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:\Dokumentumok\2019\2019_évi_költségvetés\Sármelléki_önk\"/>
    </mc:Choice>
  </mc:AlternateContent>
  <xr:revisionPtr revIDLastSave="0" documentId="13_ncr:1_{06E1243D-6409-4031-882E-932EF18896C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2" sheetId="37" r:id="rId1"/>
    <sheet name="3" sheetId="4" r:id="rId2"/>
    <sheet name="4" sheetId="36" r:id="rId3"/>
    <sheet name="5" sheetId="30" r:id="rId4"/>
    <sheet name="6" sheetId="6" r:id="rId5"/>
    <sheet name="7" sheetId="35" r:id="rId6"/>
    <sheet name="9" sheetId="33" r:id="rId7"/>
    <sheet name="11" sheetId="11" r:id="rId8"/>
    <sheet name="11a" sheetId="12" r:id="rId9"/>
    <sheet name="11f" sheetId="28" r:id="rId10"/>
    <sheet name="13" sheetId="18" r:id="rId11"/>
    <sheet name="13a" sheetId="19" r:id="rId12"/>
    <sheet name="13b" sheetId="29" r:id="rId13"/>
    <sheet name="15" sheetId="21" r:id="rId14"/>
    <sheet name="16a" sheetId="23" r:id="rId15"/>
    <sheet name="16b" sheetId="24" r:id="rId16"/>
    <sheet name="16c" sheetId="27" r:id="rId17"/>
    <sheet name="16d" sheetId="31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I20" i="4" s="1"/>
  <c r="I34" i="4" s="1"/>
  <c r="D35" i="4" s="1"/>
  <c r="J20" i="4"/>
  <c r="J34" i="4" s="1"/>
  <c r="J85" i="37"/>
  <c r="K85" i="37"/>
  <c r="J84" i="37"/>
  <c r="K84" i="37"/>
  <c r="J76" i="37"/>
  <c r="K76" i="37"/>
  <c r="J62" i="37"/>
  <c r="K62" i="37"/>
  <c r="J58" i="37"/>
  <c r="K58" i="37"/>
  <c r="J47" i="37"/>
  <c r="K47" i="37"/>
  <c r="I78" i="37"/>
  <c r="I69" i="37"/>
  <c r="I75" i="37" s="1"/>
  <c r="I67" i="37"/>
  <c r="I76" i="37" s="1"/>
  <c r="I64" i="37"/>
  <c r="I58" i="37"/>
  <c r="I51" i="37"/>
  <c r="I48" i="37"/>
  <c r="I42" i="37"/>
  <c r="I47" i="37" s="1"/>
  <c r="I61" i="37" s="1"/>
  <c r="I38" i="37"/>
  <c r="I34" i="37"/>
  <c r="H85" i="37"/>
  <c r="J14" i="37"/>
  <c r="I26" i="37"/>
  <c r="I14" i="37"/>
  <c r="I22" i="37" s="1"/>
  <c r="I30" i="37" s="1"/>
  <c r="H14" i="37"/>
  <c r="E31" i="4"/>
  <c r="D31" i="4"/>
  <c r="J25" i="4"/>
  <c r="I25" i="4"/>
  <c r="E25" i="4"/>
  <c r="D25" i="4"/>
  <c r="D34" i="4" s="1"/>
  <c r="E20" i="4"/>
  <c r="E34" i="4" s="1"/>
  <c r="D20" i="4"/>
  <c r="F81" i="37"/>
  <c r="F80" i="37"/>
  <c r="F79" i="37"/>
  <c r="H78" i="37"/>
  <c r="H83" i="37" s="1"/>
  <c r="H84" i="37" s="1"/>
  <c r="E78" i="37"/>
  <c r="F78" i="37" s="1"/>
  <c r="F83" i="37" s="1"/>
  <c r="D78" i="37"/>
  <c r="D83" i="37" s="1"/>
  <c r="E75" i="37"/>
  <c r="F71" i="37"/>
  <c r="F70" i="37"/>
  <c r="H69" i="37"/>
  <c r="E69" i="37"/>
  <c r="D69" i="37"/>
  <c r="D75" i="37" s="1"/>
  <c r="F75" i="37" s="1"/>
  <c r="F68" i="37"/>
  <c r="F65" i="37"/>
  <c r="F64" i="37" s="1"/>
  <c r="F67" i="37" s="1"/>
  <c r="E65" i="37"/>
  <c r="E64" i="37" s="1"/>
  <c r="E67" i="37" s="1"/>
  <c r="E76" i="37" s="1"/>
  <c r="D65" i="37"/>
  <c r="H64" i="37"/>
  <c r="H67" i="37" s="1"/>
  <c r="D64" i="37"/>
  <c r="D67" i="37" s="1"/>
  <c r="D76" i="37" s="1"/>
  <c r="F63" i="37"/>
  <c r="G61" i="37"/>
  <c r="G85" i="37" s="1"/>
  <c r="G58" i="37"/>
  <c r="F57" i="37"/>
  <c r="F56" i="37"/>
  <c r="F55" i="37"/>
  <c r="F54" i="37"/>
  <c r="E54" i="37"/>
  <c r="D54" i="37"/>
  <c r="F53" i="37"/>
  <c r="F52" i="37"/>
  <c r="H51" i="37"/>
  <c r="H58" i="37" s="1"/>
  <c r="F51" i="37"/>
  <c r="E51" i="37"/>
  <c r="D51" i="37"/>
  <c r="F50" i="37"/>
  <c r="F48" i="37" s="1"/>
  <c r="F58" i="37" s="1"/>
  <c r="F49" i="37"/>
  <c r="H48" i="37"/>
  <c r="E48" i="37"/>
  <c r="E58" i="37" s="1"/>
  <c r="D48" i="37"/>
  <c r="D58" i="37" s="1"/>
  <c r="G47" i="37"/>
  <c r="F46" i="37"/>
  <c r="F45" i="37"/>
  <c r="F44" i="37"/>
  <c r="F43" i="37"/>
  <c r="F42" i="37" s="1"/>
  <c r="H42" i="37"/>
  <c r="E42" i="37"/>
  <c r="D42" i="37"/>
  <c r="F41" i="37"/>
  <c r="H38" i="37"/>
  <c r="F40" i="37"/>
  <c r="E40" i="37" s="1"/>
  <c r="D40" i="37" s="1"/>
  <c r="D38" i="37" s="1"/>
  <c r="D47" i="37" s="1"/>
  <c r="D61" i="37" s="1"/>
  <c r="F39" i="37"/>
  <c r="F38" i="37" s="1"/>
  <c r="F37" i="37"/>
  <c r="F36" i="37"/>
  <c r="F35" i="37"/>
  <c r="H34" i="37"/>
  <c r="F34" i="37"/>
  <c r="E34" i="37"/>
  <c r="D34" i="37"/>
  <c r="F33" i="37"/>
  <c r="K30" i="37"/>
  <c r="G30" i="37"/>
  <c r="G62" i="37" s="1"/>
  <c r="J29" i="37"/>
  <c r="F29" i="37"/>
  <c r="J28" i="37"/>
  <c r="F28" i="37"/>
  <c r="H26" i="37"/>
  <c r="E26" i="37"/>
  <c r="D26" i="37"/>
  <c r="F24" i="37"/>
  <c r="F26" i="37" s="1"/>
  <c r="J26" i="37"/>
  <c r="F23" i="37"/>
  <c r="F21" i="37"/>
  <c r="D21" i="37"/>
  <c r="F19" i="37"/>
  <c r="F17" i="37"/>
  <c r="D17" i="37" s="1"/>
  <c r="E17" i="37"/>
  <c r="F15" i="37"/>
  <c r="F14" i="37" s="1"/>
  <c r="E15" i="37"/>
  <c r="F13" i="37"/>
  <c r="E13" i="37"/>
  <c r="D13" i="37" s="1"/>
  <c r="F12" i="37"/>
  <c r="E12" i="37"/>
  <c r="D12" i="37"/>
  <c r="F11" i="37"/>
  <c r="E11" i="37"/>
  <c r="D11" i="37"/>
  <c r="F10" i="37"/>
  <c r="E10" i="37"/>
  <c r="D10" i="37"/>
  <c r="E35" i="4" l="1"/>
  <c r="K61" i="37"/>
  <c r="J61" i="37"/>
  <c r="I85" i="37"/>
  <c r="I62" i="37"/>
  <c r="I83" i="37"/>
  <c r="I84" i="37" s="1"/>
  <c r="E38" i="37"/>
  <c r="E47" i="37" s="1"/>
  <c r="E61" i="37" s="1"/>
  <c r="E85" i="37" s="1"/>
  <c r="H47" i="37"/>
  <c r="H61" i="37" s="1"/>
  <c r="H22" i="37"/>
  <c r="H30" i="37" s="1"/>
  <c r="D21" i="4"/>
  <c r="E21" i="4"/>
  <c r="D26" i="4"/>
  <c r="E26" i="4"/>
  <c r="D15" i="37"/>
  <c r="D14" i="37" s="1"/>
  <c r="D22" i="37" s="1"/>
  <c r="D30" i="37" s="1"/>
  <c r="E14" i="37"/>
  <c r="E22" i="37" s="1"/>
  <c r="E30" i="37" s="1"/>
  <c r="G84" i="37"/>
  <c r="G87" i="37" s="1"/>
  <c r="F22" i="37"/>
  <c r="F30" i="37" s="1"/>
  <c r="F47" i="37"/>
  <c r="F61" i="37" s="1"/>
  <c r="D85" i="37"/>
  <c r="F76" i="37"/>
  <c r="J22" i="37"/>
  <c r="H75" i="37"/>
  <c r="E83" i="37"/>
  <c r="F69" i="37"/>
  <c r="J30" i="37" l="1"/>
  <c r="H62" i="37"/>
  <c r="E84" i="37"/>
  <c r="E87" i="37" s="1"/>
  <c r="E62" i="37"/>
  <c r="D87" i="37"/>
  <c r="F85" i="37"/>
  <c r="D84" i="37"/>
  <c r="D86" i="37" s="1"/>
  <c r="D62" i="37"/>
  <c r="H76" i="37"/>
  <c r="F84" i="37"/>
  <c r="F62" i="37"/>
  <c r="F87" i="37" l="1"/>
  <c r="K132" i="36" l="1"/>
  <c r="H132" i="36"/>
  <c r="F132" i="36"/>
  <c r="C132" i="36"/>
  <c r="K131" i="36"/>
  <c r="J131" i="36"/>
  <c r="I131" i="36"/>
  <c r="H131" i="36"/>
  <c r="G131" i="36"/>
  <c r="I128" i="36"/>
  <c r="G128" i="36"/>
  <c r="E128" i="36"/>
  <c r="D128" i="36"/>
  <c r="B128" i="36"/>
  <c r="J127" i="36"/>
  <c r="G127" i="36"/>
  <c r="J125" i="36"/>
  <c r="J128" i="36" s="1"/>
  <c r="J15" i="36" s="1"/>
  <c r="G125" i="36"/>
  <c r="J110" i="36"/>
  <c r="G110" i="36"/>
  <c r="E110" i="36"/>
  <c r="B110" i="36"/>
  <c r="J104" i="36"/>
  <c r="G104" i="36"/>
  <c r="J77" i="36"/>
  <c r="G77" i="36"/>
  <c r="K71" i="36"/>
  <c r="J71" i="36"/>
  <c r="I71" i="36"/>
  <c r="G71" i="36"/>
  <c r="F71" i="36"/>
  <c r="E71" i="36"/>
  <c r="D71" i="36"/>
  <c r="B71" i="36"/>
  <c r="J66" i="36"/>
  <c r="G66" i="36"/>
  <c r="I63" i="36"/>
  <c r="G63" i="36"/>
  <c r="D63" i="36"/>
  <c r="J62" i="36"/>
  <c r="G62" i="36"/>
  <c r="E62" i="36"/>
  <c r="B62" i="36"/>
  <c r="J57" i="36"/>
  <c r="J63" i="36" s="1"/>
  <c r="I57" i="36"/>
  <c r="G57" i="36"/>
  <c r="E57" i="36"/>
  <c r="E63" i="36" s="1"/>
  <c r="E64" i="36" s="1"/>
  <c r="B57" i="36"/>
  <c r="B63" i="36" s="1"/>
  <c r="B64" i="36" s="1"/>
  <c r="J56" i="36"/>
  <c r="J55" i="36"/>
  <c r="J54" i="36"/>
  <c r="J35" i="36"/>
  <c r="I35" i="36"/>
  <c r="G35" i="36"/>
  <c r="E35" i="36"/>
  <c r="D35" i="36"/>
  <c r="B35" i="36"/>
  <c r="J29" i="36"/>
  <c r="G29" i="36"/>
  <c r="J27" i="36"/>
  <c r="J30" i="36" s="1"/>
  <c r="I27" i="36"/>
  <c r="I15" i="36" s="1"/>
  <c r="G27" i="36"/>
  <c r="G15" i="36" s="1"/>
  <c r="E27" i="36"/>
  <c r="D27" i="36"/>
  <c r="B27" i="36"/>
  <c r="B15" i="36" s="1"/>
  <c r="E15" i="36"/>
  <c r="D15" i="36"/>
  <c r="C15" i="36"/>
  <c r="J14" i="36"/>
  <c r="G14" i="36"/>
  <c r="G7" i="36" s="1"/>
  <c r="E14" i="36"/>
  <c r="B14" i="36"/>
  <c r="J7" i="36"/>
  <c r="I7" i="36"/>
  <c r="I132" i="36" s="1"/>
  <c r="E7" i="36"/>
  <c r="E132" i="36" s="1"/>
  <c r="D7" i="36"/>
  <c r="D132" i="36" s="1"/>
  <c r="B7" i="36"/>
  <c r="B132" i="36" s="1"/>
  <c r="G64" i="36" l="1"/>
  <c r="G132" i="36"/>
  <c r="J132" i="36" s="1"/>
  <c r="J64" i="36"/>
  <c r="G30" i="36"/>
  <c r="J104" i="12"/>
  <c r="K104" i="12"/>
  <c r="J92" i="12"/>
  <c r="J103" i="12"/>
  <c r="K103" i="12"/>
  <c r="K102" i="12"/>
  <c r="J101" i="12"/>
  <c r="K101" i="12" s="1"/>
  <c r="AE41" i="6" l="1"/>
  <c r="AE29" i="6"/>
  <c r="D52" i="35" l="1"/>
  <c r="C52" i="35"/>
  <c r="B52" i="35"/>
  <c r="E52" i="35" s="1"/>
  <c r="E51" i="35"/>
  <c r="E50" i="35"/>
  <c r="E49" i="35"/>
  <c r="D45" i="35"/>
  <c r="E45" i="35" s="1"/>
  <c r="C45" i="35"/>
  <c r="B45" i="35"/>
  <c r="E44" i="35"/>
  <c r="E43" i="35"/>
  <c r="E42" i="35"/>
  <c r="E41" i="35"/>
  <c r="E40" i="35"/>
  <c r="E39" i="35"/>
  <c r="D24" i="35"/>
  <c r="C24" i="35"/>
  <c r="B24" i="35"/>
  <c r="E24" i="35" s="1"/>
  <c r="E23" i="35"/>
  <c r="E22" i="35"/>
  <c r="E21" i="35"/>
  <c r="D17" i="35"/>
  <c r="E17" i="35" s="1"/>
  <c r="C17" i="35"/>
  <c r="B17" i="35"/>
  <c r="E16" i="35"/>
  <c r="E15" i="35"/>
  <c r="E14" i="35"/>
  <c r="E13" i="35"/>
  <c r="E12" i="35"/>
  <c r="E11" i="35"/>
  <c r="AE27" i="6"/>
  <c r="F15" i="33"/>
  <c r="F22" i="33" s="1"/>
  <c r="G67" i="31"/>
  <c r="G39" i="31"/>
  <c r="G79" i="31"/>
  <c r="G46" i="31"/>
  <c r="I30" i="31"/>
  <c r="I21" i="33"/>
  <c r="E20" i="33"/>
  <c r="E16" i="33" s="1"/>
  <c r="D20" i="33"/>
  <c r="I19" i="33"/>
  <c r="H18" i="33"/>
  <c r="H15" i="33" s="1"/>
  <c r="G18" i="33"/>
  <c r="G15" i="33" s="1"/>
  <c r="I17" i="33"/>
  <c r="D15" i="33"/>
  <c r="I14" i="33"/>
  <c r="I13" i="33"/>
  <c r="H12" i="33"/>
  <c r="G12" i="33"/>
  <c r="F12" i="33"/>
  <c r="E12" i="33"/>
  <c r="D12" i="33"/>
  <c r="I11" i="33"/>
  <c r="I10" i="33"/>
  <c r="D9" i="33"/>
  <c r="E15" i="33" l="1"/>
  <c r="I16" i="33"/>
  <c r="I18" i="33"/>
  <c r="I20" i="33"/>
  <c r="G22" i="33"/>
  <c r="I12" i="33"/>
  <c r="H22" i="33"/>
  <c r="D22" i="33"/>
  <c r="E22" i="33"/>
  <c r="I15" i="33" l="1"/>
  <c r="I22" i="33"/>
  <c r="C44" i="27" l="1"/>
  <c r="C20" i="27"/>
  <c r="C17" i="27"/>
  <c r="C18" i="27" s="1"/>
  <c r="AC16" i="24"/>
  <c r="AF15" i="24"/>
  <c r="Z14" i="24"/>
  <c r="AC11" i="24"/>
  <c r="AI11" i="24"/>
  <c r="AH11" i="24"/>
  <c r="AG11" i="24"/>
  <c r="AA11" i="24"/>
  <c r="AC7" i="24"/>
  <c r="AC15" i="24" s="1"/>
  <c r="Y12" i="24"/>
  <c r="AI13" i="24"/>
  <c r="Z12" i="24"/>
  <c r="E83" i="21"/>
  <c r="E34" i="21"/>
  <c r="I25" i="18"/>
  <c r="I14" i="18"/>
  <c r="I21" i="18" s="1"/>
  <c r="E13" i="29"/>
  <c r="E19" i="29" s="1"/>
  <c r="I65" i="19"/>
  <c r="K64" i="19"/>
  <c r="J62" i="19"/>
  <c r="I62" i="19"/>
  <c r="K61" i="19"/>
  <c r="K62" i="19" s="1"/>
  <c r="K59" i="19"/>
  <c r="K58" i="19"/>
  <c r="K57" i="19"/>
  <c r="K56" i="19"/>
  <c r="H56" i="19"/>
  <c r="K55" i="19"/>
  <c r="K60" i="19" s="1"/>
  <c r="J55" i="19"/>
  <c r="J60" i="19" s="1"/>
  <c r="I55" i="19"/>
  <c r="I60" i="19" s="1"/>
  <c r="I63" i="19" s="1"/>
  <c r="G55" i="19"/>
  <c r="G63" i="19" s="1"/>
  <c r="F55" i="19"/>
  <c r="F63" i="19" s="1"/>
  <c r="I53" i="19"/>
  <c r="F53" i="19"/>
  <c r="K52" i="19"/>
  <c r="H52" i="19"/>
  <c r="J50" i="19"/>
  <c r="I50" i="19"/>
  <c r="G50" i="19"/>
  <c r="F50" i="19"/>
  <c r="K49" i="19"/>
  <c r="K50" i="19" s="1"/>
  <c r="H49" i="19"/>
  <c r="H50" i="19" s="1"/>
  <c r="K46" i="19"/>
  <c r="K45" i="19"/>
  <c r="K44" i="19"/>
  <c r="K43" i="19"/>
  <c r="K42" i="19"/>
  <c r="J41" i="19"/>
  <c r="K41" i="19" s="1"/>
  <c r="G41" i="19"/>
  <c r="H41" i="19" s="1"/>
  <c r="K40" i="19"/>
  <c r="I40" i="19"/>
  <c r="I47" i="19" s="1"/>
  <c r="F40" i="19"/>
  <c r="H40" i="19" s="1"/>
  <c r="K39" i="19"/>
  <c r="G39" i="19"/>
  <c r="G47" i="19" s="1"/>
  <c r="F39" i="19"/>
  <c r="K38" i="19"/>
  <c r="F38" i="19"/>
  <c r="H38" i="19" s="1"/>
  <c r="K37" i="19"/>
  <c r="J37" i="19"/>
  <c r="G37" i="19"/>
  <c r="H37" i="19" s="1"/>
  <c r="J36" i="19"/>
  <c r="G36" i="19"/>
  <c r="I34" i="19"/>
  <c r="I36" i="19" s="1"/>
  <c r="H34" i="19"/>
  <c r="H36" i="19" s="1"/>
  <c r="F34" i="19"/>
  <c r="F36" i="19" s="1"/>
  <c r="I31" i="19"/>
  <c r="I32" i="19" s="1"/>
  <c r="F31" i="19"/>
  <c r="G31" i="19" s="1"/>
  <c r="I29" i="19"/>
  <c r="J29" i="19" s="1"/>
  <c r="F29" i="19"/>
  <c r="J28" i="19"/>
  <c r="I28" i="19"/>
  <c r="K28" i="19" s="1"/>
  <c r="G28" i="19"/>
  <c r="H28" i="19" s="1"/>
  <c r="F28" i="19"/>
  <c r="I27" i="19"/>
  <c r="K27" i="19" s="1"/>
  <c r="F27" i="19"/>
  <c r="H27" i="19" s="1"/>
  <c r="I26" i="19"/>
  <c r="J26" i="19" s="1"/>
  <c r="F26" i="19"/>
  <c r="J25" i="19"/>
  <c r="K25" i="19" s="1"/>
  <c r="I24" i="19"/>
  <c r="J24" i="19" s="1"/>
  <c r="F24" i="19"/>
  <c r="F30" i="19" s="1"/>
  <c r="J23" i="19"/>
  <c r="K23" i="19" s="1"/>
  <c r="G23" i="19"/>
  <c r="H23" i="19" s="1"/>
  <c r="J21" i="19"/>
  <c r="F21" i="19"/>
  <c r="K20" i="19"/>
  <c r="J20" i="19"/>
  <c r="K19" i="19"/>
  <c r="I18" i="19"/>
  <c r="K18" i="19" s="1"/>
  <c r="H18" i="19"/>
  <c r="G18" i="19"/>
  <c r="G21" i="19" s="1"/>
  <c r="I17" i="19"/>
  <c r="K17" i="19" s="1"/>
  <c r="K21" i="19" s="1"/>
  <c r="H17" i="19"/>
  <c r="I16" i="19"/>
  <c r="F16" i="19"/>
  <c r="F22" i="19" s="1"/>
  <c r="J15" i="19"/>
  <c r="K15" i="19" s="1"/>
  <c r="K16" i="19" s="1"/>
  <c r="G15" i="19"/>
  <c r="G16" i="19" s="1"/>
  <c r="G22" i="19" s="1"/>
  <c r="K14" i="19"/>
  <c r="J14" i="19"/>
  <c r="G14" i="19"/>
  <c r="F14" i="19"/>
  <c r="J13" i="19"/>
  <c r="G13" i="19"/>
  <c r="K12" i="19"/>
  <c r="F12" i="19"/>
  <c r="H12" i="19" s="1"/>
  <c r="K11" i="19"/>
  <c r="F11" i="19"/>
  <c r="H11" i="19" s="1"/>
  <c r="K9" i="19"/>
  <c r="F9" i="19"/>
  <c r="H9" i="19" s="1"/>
  <c r="K8" i="19"/>
  <c r="I8" i="19"/>
  <c r="F8" i="19"/>
  <c r="H8" i="19" s="1"/>
  <c r="K7" i="19"/>
  <c r="H7" i="19"/>
  <c r="F7" i="19"/>
  <c r="I6" i="19"/>
  <c r="K6" i="19" s="1"/>
  <c r="F6" i="19"/>
  <c r="H6" i="19" s="1"/>
  <c r="K5" i="19"/>
  <c r="F5" i="19"/>
  <c r="F10" i="19" l="1"/>
  <c r="H10" i="19" s="1"/>
  <c r="H5" i="19"/>
  <c r="J47" i="19"/>
  <c r="K63" i="19"/>
  <c r="H14" i="19"/>
  <c r="I48" i="19"/>
  <c r="H39" i="19"/>
  <c r="J16" i="19"/>
  <c r="J22" i="19" s="1"/>
  <c r="F32" i="19"/>
  <c r="F33" i="19" s="1"/>
  <c r="G48" i="19"/>
  <c r="H21" i="19"/>
  <c r="J48" i="19"/>
  <c r="K47" i="19"/>
  <c r="J63" i="19"/>
  <c r="H31" i="19"/>
  <c r="H32" i="19" s="1"/>
  <c r="G32" i="19"/>
  <c r="H47" i="19"/>
  <c r="H48" i="19" s="1"/>
  <c r="J30" i="19"/>
  <c r="K22" i="19"/>
  <c r="J31" i="19"/>
  <c r="J32" i="19" s="1"/>
  <c r="F47" i="19"/>
  <c r="F48" i="19" s="1"/>
  <c r="H55" i="19"/>
  <c r="H63" i="19" s="1"/>
  <c r="K65" i="19"/>
  <c r="I10" i="19"/>
  <c r="F13" i="19"/>
  <c r="H13" i="19" s="1"/>
  <c r="H15" i="19"/>
  <c r="H16" i="19" s="1"/>
  <c r="H22" i="19" s="1"/>
  <c r="G24" i="19"/>
  <c r="K24" i="19"/>
  <c r="K30" i="19" s="1"/>
  <c r="G26" i="19"/>
  <c r="H26" i="19" s="1"/>
  <c r="K26" i="19"/>
  <c r="G29" i="19"/>
  <c r="H29" i="19" s="1"/>
  <c r="K29" i="19"/>
  <c r="I30" i="19"/>
  <c r="I33" i="19" s="1"/>
  <c r="K34" i="19"/>
  <c r="K36" i="19" s="1"/>
  <c r="I21" i="19"/>
  <c r="I22" i="19" s="1"/>
  <c r="H24" i="19"/>
  <c r="J33" i="19" l="1"/>
  <c r="J51" i="19" s="1"/>
  <c r="K48" i="19"/>
  <c r="H30" i="19"/>
  <c r="J53" i="19"/>
  <c r="J54" i="19" s="1"/>
  <c r="J66" i="19" s="1"/>
  <c r="K51" i="19"/>
  <c r="K53" i="19" s="1"/>
  <c r="I54" i="19"/>
  <c r="F54" i="19"/>
  <c r="F66" i="19" s="1"/>
  <c r="K10" i="19"/>
  <c r="I13" i="19"/>
  <c r="K13" i="19" s="1"/>
  <c r="G33" i="19"/>
  <c r="G51" i="19" s="1"/>
  <c r="G30" i="19"/>
  <c r="H33" i="19"/>
  <c r="K31" i="19"/>
  <c r="K32" i="19" s="1"/>
  <c r="K33" i="19" s="1"/>
  <c r="G53" i="19" l="1"/>
  <c r="G54" i="19" s="1"/>
  <c r="G66" i="19" s="1"/>
  <c r="H51" i="19"/>
  <c r="H53" i="19" s="1"/>
  <c r="K54" i="19"/>
  <c r="K66" i="19" s="1"/>
  <c r="I66" i="19"/>
  <c r="H54" i="19" l="1"/>
  <c r="H66" i="19" s="1"/>
  <c r="H138" i="12" l="1"/>
  <c r="H137" i="12"/>
  <c r="H136" i="12"/>
  <c r="J132" i="12"/>
  <c r="I132" i="12"/>
  <c r="F132" i="12"/>
  <c r="F133" i="12" s="1"/>
  <c r="F134" i="12" s="1"/>
  <c r="J131" i="12"/>
  <c r="K131" i="12" s="1"/>
  <c r="G131" i="12"/>
  <c r="H131" i="12" s="1"/>
  <c r="J130" i="12"/>
  <c r="K130" i="12" s="1"/>
  <c r="G130" i="12"/>
  <c r="H130" i="12" s="1"/>
  <c r="J129" i="12"/>
  <c r="K129" i="12" s="1"/>
  <c r="G129" i="12"/>
  <c r="H129" i="12" s="1"/>
  <c r="J128" i="12"/>
  <c r="K128" i="12" s="1"/>
  <c r="G128" i="12"/>
  <c r="H128" i="12" s="1"/>
  <c r="J127" i="12"/>
  <c r="K127" i="12" s="1"/>
  <c r="G127" i="12"/>
  <c r="H127" i="12" s="1"/>
  <c r="J126" i="12"/>
  <c r="K126" i="12" s="1"/>
  <c r="G126" i="12"/>
  <c r="H126" i="12" s="1"/>
  <c r="J125" i="12"/>
  <c r="K125" i="12" s="1"/>
  <c r="G125" i="12"/>
  <c r="H125" i="12" s="1"/>
  <c r="J124" i="12"/>
  <c r="K124" i="12" s="1"/>
  <c r="G124" i="12"/>
  <c r="H124" i="12" s="1"/>
  <c r="J123" i="12"/>
  <c r="K123" i="12" s="1"/>
  <c r="G123" i="12"/>
  <c r="H123" i="12" s="1"/>
  <c r="J122" i="12"/>
  <c r="K122" i="12" s="1"/>
  <c r="G122" i="12"/>
  <c r="H122" i="12" s="1"/>
  <c r="J121" i="12"/>
  <c r="K121" i="12" s="1"/>
  <c r="K132" i="12" s="1"/>
  <c r="G121" i="12"/>
  <c r="J119" i="12"/>
  <c r="I119" i="12"/>
  <c r="K118" i="12"/>
  <c r="K119" i="12" s="1"/>
  <c r="I117" i="12"/>
  <c r="I133" i="12" s="1"/>
  <c r="F117" i="12"/>
  <c r="J116" i="12"/>
  <c r="K116" i="12" s="1"/>
  <c r="G116" i="12"/>
  <c r="H116" i="12" s="1"/>
  <c r="J115" i="12"/>
  <c r="K115" i="12" s="1"/>
  <c r="G115" i="12"/>
  <c r="H115" i="12" s="1"/>
  <c r="J114" i="12"/>
  <c r="K114" i="12" s="1"/>
  <c r="G114" i="12"/>
  <c r="H114" i="12" s="1"/>
  <c r="J113" i="12"/>
  <c r="G113" i="12"/>
  <c r="H110" i="12"/>
  <c r="I109" i="12"/>
  <c r="J108" i="12"/>
  <c r="G108" i="12"/>
  <c r="H108" i="12" s="1"/>
  <c r="K107" i="12"/>
  <c r="K106" i="12"/>
  <c r="K105" i="12"/>
  <c r="F104" i="12"/>
  <c r="F111" i="12" s="1"/>
  <c r="I100" i="12"/>
  <c r="I104" i="12" s="1"/>
  <c r="I111" i="12" s="1"/>
  <c r="H100" i="12"/>
  <c r="J99" i="12"/>
  <c r="K99" i="12" s="1"/>
  <c r="J98" i="12"/>
  <c r="K98" i="12" s="1"/>
  <c r="G98" i="12"/>
  <c r="H98" i="12" s="1"/>
  <c r="J97" i="12"/>
  <c r="K97" i="12" s="1"/>
  <c r="K96" i="12"/>
  <c r="J95" i="12"/>
  <c r="K95" i="12" s="1"/>
  <c r="K94" i="12"/>
  <c r="J93" i="12"/>
  <c r="K93" i="12" s="1"/>
  <c r="G93" i="12"/>
  <c r="H93" i="12" s="1"/>
  <c r="K92" i="12"/>
  <c r="G92" i="12"/>
  <c r="H92" i="12" s="1"/>
  <c r="K91" i="12"/>
  <c r="G91" i="12"/>
  <c r="H91" i="12" s="1"/>
  <c r="J90" i="12"/>
  <c r="K90" i="12" s="1"/>
  <c r="G90" i="12"/>
  <c r="H90" i="12" s="1"/>
  <c r="J89" i="12"/>
  <c r="K89" i="12" s="1"/>
  <c r="G89" i="12"/>
  <c r="H89" i="12" s="1"/>
  <c r="J88" i="12"/>
  <c r="G88" i="12"/>
  <c r="H88" i="12" s="1"/>
  <c r="I84" i="12"/>
  <c r="F84" i="12"/>
  <c r="H84" i="12" s="1"/>
  <c r="G83" i="12"/>
  <c r="G85" i="12" s="1"/>
  <c r="G86" i="12" s="1"/>
  <c r="J82" i="12"/>
  <c r="I82" i="12"/>
  <c r="G82" i="12"/>
  <c r="K81" i="12"/>
  <c r="H81" i="12"/>
  <c r="K80" i="12"/>
  <c r="F80" i="12"/>
  <c r="F82" i="12" s="1"/>
  <c r="K77" i="12"/>
  <c r="K75" i="12"/>
  <c r="K74" i="12"/>
  <c r="K73" i="12"/>
  <c r="K72" i="12"/>
  <c r="H72" i="12"/>
  <c r="K71" i="12"/>
  <c r="H71" i="12"/>
  <c r="K70" i="12"/>
  <c r="H70" i="12"/>
  <c r="K69" i="12"/>
  <c r="H69" i="12"/>
  <c r="G69" i="12"/>
  <c r="F69" i="12"/>
  <c r="I68" i="12"/>
  <c r="J68" i="12" s="1"/>
  <c r="F68" i="12"/>
  <c r="G68" i="12" s="1"/>
  <c r="K67" i="12"/>
  <c r="J67" i="12"/>
  <c r="I67" i="12"/>
  <c r="H67" i="12"/>
  <c r="G67" i="12"/>
  <c r="F67" i="12"/>
  <c r="I66" i="12"/>
  <c r="K66" i="12" s="1"/>
  <c r="F66" i="12"/>
  <c r="H66" i="12" s="1"/>
  <c r="H65" i="12"/>
  <c r="F65" i="12"/>
  <c r="K64" i="12"/>
  <c r="H64" i="12"/>
  <c r="K63" i="12"/>
  <c r="H63" i="12"/>
  <c r="K62" i="12"/>
  <c r="F62" i="12"/>
  <c r="H62" i="12" s="1"/>
  <c r="I61" i="12"/>
  <c r="K61" i="12" s="1"/>
  <c r="F61" i="12"/>
  <c r="J60" i="12"/>
  <c r="K60" i="12" s="1"/>
  <c r="G60" i="12"/>
  <c r="H60" i="12" s="1"/>
  <c r="J59" i="12"/>
  <c r="K59" i="12" s="1"/>
  <c r="G59" i="12"/>
  <c r="H59" i="12" s="1"/>
  <c r="J58" i="12"/>
  <c r="G58" i="12"/>
  <c r="H58" i="12" s="1"/>
  <c r="J57" i="12"/>
  <c r="G57" i="12"/>
  <c r="I56" i="12"/>
  <c r="F56" i="12"/>
  <c r="H56" i="12" s="1"/>
  <c r="H57" i="12" s="1"/>
  <c r="J55" i="12"/>
  <c r="I55" i="12"/>
  <c r="G55" i="12"/>
  <c r="F55" i="12"/>
  <c r="H55" i="12" s="1"/>
  <c r="J54" i="12"/>
  <c r="K54" i="12" s="1"/>
  <c r="G54" i="12"/>
  <c r="H54" i="12" s="1"/>
  <c r="J53" i="12"/>
  <c r="I53" i="12"/>
  <c r="K52" i="12"/>
  <c r="K53" i="12" s="1"/>
  <c r="G52" i="12"/>
  <c r="G53" i="12" s="1"/>
  <c r="F52" i="12"/>
  <c r="F53" i="12" s="1"/>
  <c r="I49" i="12"/>
  <c r="K49" i="12" s="1"/>
  <c r="H49" i="12"/>
  <c r="J48" i="12"/>
  <c r="J50" i="12" s="1"/>
  <c r="I48" i="12"/>
  <c r="G48" i="12"/>
  <c r="G50" i="12" s="1"/>
  <c r="F48" i="12"/>
  <c r="F50" i="12" s="1"/>
  <c r="J46" i="12"/>
  <c r="J47" i="12" s="1"/>
  <c r="J51" i="12" s="1"/>
  <c r="I46" i="12"/>
  <c r="G46" i="12"/>
  <c r="G47" i="12" s="1"/>
  <c r="G51" i="12" s="1"/>
  <c r="F46" i="12"/>
  <c r="F47" i="12" s="1"/>
  <c r="I43" i="12"/>
  <c r="K43" i="12" s="1"/>
  <c r="I42" i="12"/>
  <c r="K42" i="12" s="1"/>
  <c r="K41" i="12"/>
  <c r="K40" i="12"/>
  <c r="K39" i="12"/>
  <c r="K38" i="12"/>
  <c r="I37" i="12"/>
  <c r="J37" i="12" s="1"/>
  <c r="G37" i="12"/>
  <c r="H37" i="12" s="1"/>
  <c r="J36" i="12"/>
  <c r="K36" i="12" s="1"/>
  <c r="G36" i="12"/>
  <c r="H36" i="12" s="1"/>
  <c r="J35" i="12"/>
  <c r="K35" i="12" s="1"/>
  <c r="G35" i="12"/>
  <c r="H35" i="12" s="1"/>
  <c r="J34" i="12"/>
  <c r="I34" i="12"/>
  <c r="F34" i="12"/>
  <c r="G34" i="12" s="1"/>
  <c r="J33" i="12"/>
  <c r="K33" i="12" s="1"/>
  <c r="G33" i="12"/>
  <c r="H33" i="12" s="1"/>
  <c r="J32" i="12"/>
  <c r="K32" i="12" s="1"/>
  <c r="J31" i="12"/>
  <c r="K31" i="12" s="1"/>
  <c r="G31" i="12"/>
  <c r="H31" i="12" s="1"/>
  <c r="J30" i="12"/>
  <c r="K30" i="12" s="1"/>
  <c r="G30" i="12"/>
  <c r="H30" i="12" s="1"/>
  <c r="I29" i="12"/>
  <c r="K29" i="12" s="1"/>
  <c r="G29" i="12"/>
  <c r="F29" i="12"/>
  <c r="J28" i="12"/>
  <c r="K28" i="12" s="1"/>
  <c r="G28" i="12"/>
  <c r="H28" i="12" s="1"/>
  <c r="K27" i="12"/>
  <c r="H27" i="12"/>
  <c r="I26" i="12"/>
  <c r="J26" i="12" s="1"/>
  <c r="F26" i="12"/>
  <c r="G26" i="12" s="1"/>
  <c r="J25" i="12"/>
  <c r="I25" i="12"/>
  <c r="G25" i="12"/>
  <c r="F25" i="12"/>
  <c r="I24" i="12"/>
  <c r="K24" i="12" s="1"/>
  <c r="G24" i="12"/>
  <c r="F24" i="12"/>
  <c r="K22" i="12"/>
  <c r="G22" i="12"/>
  <c r="F22" i="12"/>
  <c r="J21" i="12"/>
  <c r="J23" i="12" s="1"/>
  <c r="I21" i="12"/>
  <c r="I23" i="12" s="1"/>
  <c r="G21" i="12"/>
  <c r="G23" i="12" s="1"/>
  <c r="F21" i="12"/>
  <c r="K19" i="12"/>
  <c r="H19" i="12"/>
  <c r="F19" i="12"/>
  <c r="J17" i="12"/>
  <c r="J18" i="12" s="1"/>
  <c r="J20" i="12" s="1"/>
  <c r="I17" i="12"/>
  <c r="G17" i="12"/>
  <c r="G18" i="12" s="1"/>
  <c r="G20" i="12" s="1"/>
  <c r="F17" i="12"/>
  <c r="K16" i="12"/>
  <c r="H16" i="12"/>
  <c r="K15" i="12"/>
  <c r="H15" i="12"/>
  <c r="K14" i="12"/>
  <c r="H14" i="12"/>
  <c r="K13" i="12"/>
  <c r="H13" i="12"/>
  <c r="K12" i="12"/>
  <c r="H12" i="12"/>
  <c r="K11" i="12"/>
  <c r="H11" i="12"/>
  <c r="K10" i="12"/>
  <c r="F10" i="12"/>
  <c r="H10" i="12" s="1"/>
  <c r="I9" i="12"/>
  <c r="K9" i="12" s="1"/>
  <c r="F9" i="12"/>
  <c r="H9" i="12" s="1"/>
  <c r="I8" i="12"/>
  <c r="K8" i="12" s="1"/>
  <c r="F8" i="12"/>
  <c r="H8" i="12" s="1"/>
  <c r="I7" i="12"/>
  <c r="K7" i="12" s="1"/>
  <c r="F7" i="12"/>
  <c r="H7" i="12" s="1"/>
  <c r="K6" i="12"/>
  <c r="K5" i="12"/>
  <c r="F5" i="12"/>
  <c r="K17" i="12" l="1"/>
  <c r="K82" i="12"/>
  <c r="G117" i="12"/>
  <c r="K25" i="12"/>
  <c r="K55" i="12"/>
  <c r="H17" i="12"/>
  <c r="F44" i="12"/>
  <c r="K46" i="12"/>
  <c r="K47" i="12" s="1"/>
  <c r="F51" i="12"/>
  <c r="H29" i="12"/>
  <c r="J79" i="12"/>
  <c r="H104" i="12"/>
  <c r="H111" i="12" s="1"/>
  <c r="I134" i="12"/>
  <c r="H21" i="12"/>
  <c r="H22" i="12"/>
  <c r="G44" i="12"/>
  <c r="G45" i="12" s="1"/>
  <c r="H26" i="12"/>
  <c r="K34" i="12"/>
  <c r="K37" i="12"/>
  <c r="H52" i="12"/>
  <c r="H53" i="12" s="1"/>
  <c r="J78" i="12"/>
  <c r="K68" i="12"/>
  <c r="H80" i="12"/>
  <c r="H82" i="12" s="1"/>
  <c r="I135" i="12"/>
  <c r="I18" i="12"/>
  <c r="I85" i="12"/>
  <c r="K84" i="12"/>
  <c r="J109" i="12"/>
  <c r="J135" i="12" s="1"/>
  <c r="J100" i="12"/>
  <c r="K100" i="12" s="1"/>
  <c r="K108" i="12"/>
  <c r="K109" i="12" s="1"/>
  <c r="K135" i="12" s="1"/>
  <c r="G132" i="12"/>
  <c r="G133" i="12" s="1"/>
  <c r="G134" i="12" s="1"/>
  <c r="H121" i="12"/>
  <c r="H132" i="12" s="1"/>
  <c r="F23" i="12"/>
  <c r="H25" i="12"/>
  <c r="K26" i="12"/>
  <c r="I47" i="12"/>
  <c r="K48" i="12"/>
  <c r="K50" i="12" s="1"/>
  <c r="I50" i="12"/>
  <c r="I57" i="12"/>
  <c r="K56" i="12"/>
  <c r="K57" i="12" s="1"/>
  <c r="G78" i="12"/>
  <c r="G79" i="12" s="1"/>
  <c r="K88" i="12"/>
  <c r="K111" i="12" s="1"/>
  <c r="J44" i="12"/>
  <c r="J45" i="12" s="1"/>
  <c r="J83" i="12" s="1"/>
  <c r="H24" i="12"/>
  <c r="I44" i="12"/>
  <c r="I45" i="12" s="1"/>
  <c r="F18" i="12"/>
  <c r="F20" i="12" s="1"/>
  <c r="H5" i="12"/>
  <c r="H18" i="12" s="1"/>
  <c r="H20" i="12" s="1"/>
  <c r="H34" i="12"/>
  <c r="H48" i="12"/>
  <c r="H50" i="12" s="1"/>
  <c r="F78" i="12"/>
  <c r="H61" i="12"/>
  <c r="H68" i="12"/>
  <c r="J117" i="12"/>
  <c r="J133" i="12" s="1"/>
  <c r="K113" i="12"/>
  <c r="K117" i="12" s="1"/>
  <c r="K133" i="12" s="1"/>
  <c r="K21" i="12"/>
  <c r="K23" i="12" s="1"/>
  <c r="F57" i="12"/>
  <c r="I78" i="12"/>
  <c r="F85" i="12"/>
  <c r="G104" i="12"/>
  <c r="G111" i="12" s="1"/>
  <c r="H46" i="12"/>
  <c r="H47" i="12" s="1"/>
  <c r="K58" i="12"/>
  <c r="H83" i="12"/>
  <c r="H85" i="12" s="1"/>
  <c r="H113" i="12"/>
  <c r="H117" i="12" s="1"/>
  <c r="K78" i="12" l="1"/>
  <c r="H133" i="12"/>
  <c r="H134" i="12" s="1"/>
  <c r="I137" i="12"/>
  <c r="H78" i="12"/>
  <c r="H79" i="12" s="1"/>
  <c r="F45" i="12"/>
  <c r="F79" i="12"/>
  <c r="H44" i="12"/>
  <c r="K79" i="12"/>
  <c r="I51" i="12"/>
  <c r="K51" i="12"/>
  <c r="H23" i="12"/>
  <c r="H45" i="12" s="1"/>
  <c r="K44" i="12"/>
  <c r="K45" i="12" s="1"/>
  <c r="J85" i="12"/>
  <c r="J86" i="12" s="1"/>
  <c r="K83" i="12"/>
  <c r="K85" i="12" s="1"/>
  <c r="I20" i="12"/>
  <c r="K18" i="12"/>
  <c r="K134" i="12"/>
  <c r="I79" i="12"/>
  <c r="H51" i="12"/>
  <c r="F86" i="12" l="1"/>
  <c r="H86" i="12" s="1"/>
  <c r="I86" i="12"/>
  <c r="I138" i="12" s="1"/>
  <c r="J136" i="12"/>
  <c r="K136" i="12" s="1"/>
  <c r="J111" i="12"/>
  <c r="J134" i="12"/>
  <c r="J137" i="12" s="1"/>
  <c r="J110" i="12"/>
  <c r="K110" i="12" s="1"/>
  <c r="K20" i="12"/>
  <c r="K86" i="12" l="1"/>
  <c r="K137" i="12"/>
  <c r="K138" i="12" s="1"/>
  <c r="J138" i="12"/>
  <c r="E54" i="21" l="1"/>
  <c r="AI7" i="24" l="1"/>
  <c r="AI15" i="24" s="1"/>
  <c r="Z17" i="24" l="1"/>
  <c r="AI16" i="24"/>
  <c r="Z10" i="24"/>
  <c r="AH16" i="24"/>
  <c r="AH13" i="24"/>
  <c r="AF19" i="24"/>
  <c r="AF18" i="24"/>
  <c r="AH15" i="24" l="1"/>
  <c r="O27" i="28" l="1"/>
  <c r="I41" i="11"/>
  <c r="H41" i="11"/>
  <c r="E42" i="21" l="1"/>
  <c r="E38" i="21"/>
  <c r="W15" i="30" l="1"/>
  <c r="W10" i="30"/>
  <c r="V13" i="30"/>
  <c r="V12" i="30"/>
  <c r="V10" i="30"/>
  <c r="V15" i="30" l="1"/>
  <c r="V16" i="30" s="1"/>
  <c r="V18" i="30" s="1"/>
  <c r="W16" i="30"/>
  <c r="W18" i="30" s="1"/>
  <c r="I80" i="18" l="1"/>
  <c r="J79" i="18"/>
  <c r="J78" i="18"/>
  <c r="J77" i="18"/>
  <c r="H76" i="18"/>
  <c r="H80" i="18" s="1"/>
  <c r="J80" i="18" s="1"/>
  <c r="J75" i="18"/>
  <c r="J70" i="18"/>
  <c r="J69" i="18"/>
  <c r="H68" i="18"/>
  <c r="J68" i="18" s="1"/>
  <c r="J67" i="18"/>
  <c r="J66" i="18"/>
  <c r="I63" i="18"/>
  <c r="I66" i="18" s="1"/>
  <c r="I74" i="18" s="1"/>
  <c r="H63" i="18"/>
  <c r="H66" i="18" s="1"/>
  <c r="K57" i="18"/>
  <c r="J56" i="18"/>
  <c r="J55" i="18"/>
  <c r="I53" i="18"/>
  <c r="H53" i="18"/>
  <c r="J52" i="18"/>
  <c r="J51" i="18"/>
  <c r="J50" i="18"/>
  <c r="I50" i="18"/>
  <c r="H50" i="18"/>
  <c r="J48" i="18"/>
  <c r="J47" i="18" s="1"/>
  <c r="I47" i="18"/>
  <c r="H47" i="18"/>
  <c r="K46" i="18"/>
  <c r="J45" i="18"/>
  <c r="J44" i="18"/>
  <c r="J43" i="18"/>
  <c r="I41" i="18"/>
  <c r="H41" i="18"/>
  <c r="J39" i="18"/>
  <c r="J37" i="18" s="1"/>
  <c r="I37" i="18"/>
  <c r="H37" i="18"/>
  <c r="J33" i="18"/>
  <c r="I33" i="18"/>
  <c r="H33" i="18"/>
  <c r="K29" i="18"/>
  <c r="K81" i="18" s="1"/>
  <c r="J28" i="18"/>
  <c r="J27" i="18"/>
  <c r="H25" i="18"/>
  <c r="H14" i="18"/>
  <c r="H21" i="18" s="1"/>
  <c r="J79" i="11"/>
  <c r="J78" i="11"/>
  <c r="J77" i="11"/>
  <c r="I76" i="11"/>
  <c r="I80" i="11" s="1"/>
  <c r="H76" i="11"/>
  <c r="H80" i="11" s="1"/>
  <c r="J75" i="11"/>
  <c r="J70" i="11"/>
  <c r="J69" i="11"/>
  <c r="I68" i="11"/>
  <c r="I73" i="11" s="1"/>
  <c r="H68" i="11"/>
  <c r="H73" i="11" s="1"/>
  <c r="J67" i="11"/>
  <c r="J66" i="11"/>
  <c r="I63" i="11"/>
  <c r="I66" i="11" s="1"/>
  <c r="I74" i="11" s="1"/>
  <c r="H63" i="11"/>
  <c r="H66" i="11" s="1"/>
  <c r="H74" i="11" s="1"/>
  <c r="K57" i="11"/>
  <c r="J56" i="11"/>
  <c r="J55" i="11"/>
  <c r="I53" i="11"/>
  <c r="H53" i="11"/>
  <c r="J52" i="11"/>
  <c r="J51" i="11"/>
  <c r="I50" i="11"/>
  <c r="H50" i="11"/>
  <c r="J50" i="11" s="1"/>
  <c r="J48" i="11"/>
  <c r="J47" i="11" s="1"/>
  <c r="I47" i="11"/>
  <c r="H47" i="11"/>
  <c r="K46" i="11"/>
  <c r="J45" i="11"/>
  <c r="J44" i="11"/>
  <c r="J43" i="11"/>
  <c r="J39" i="11"/>
  <c r="J37" i="11" s="1"/>
  <c r="I37" i="11"/>
  <c r="H37" i="11"/>
  <c r="J33" i="11"/>
  <c r="I33" i="11"/>
  <c r="H33" i="11"/>
  <c r="K29" i="11"/>
  <c r="J28" i="11"/>
  <c r="J27" i="11"/>
  <c r="J25" i="11"/>
  <c r="I25" i="11"/>
  <c r="H25" i="11"/>
  <c r="J21" i="11"/>
  <c r="J29" i="11" s="1"/>
  <c r="I14" i="11"/>
  <c r="I21" i="11" s="1"/>
  <c r="H14" i="11"/>
  <c r="H21" i="11" s="1"/>
  <c r="B37" i="27"/>
  <c r="B44" i="27" s="1"/>
  <c r="C21" i="27"/>
  <c r="B21" i="27"/>
  <c r="C19" i="27"/>
  <c r="B19" i="27"/>
  <c r="B13" i="27"/>
  <c r="B11" i="27"/>
  <c r="AI35" i="24"/>
  <c r="AI36" i="24" s="1"/>
  <c r="AH35" i="24"/>
  <c r="AG35" i="24"/>
  <c r="AE35" i="24"/>
  <c r="AD35" i="24"/>
  <c r="AC35" i="24"/>
  <c r="AB35" i="24"/>
  <c r="AA35" i="24"/>
  <c r="Z35" i="24"/>
  <c r="Y34" i="24"/>
  <c r="Y33" i="24"/>
  <c r="AI32" i="24"/>
  <c r="AG32" i="24"/>
  <c r="AD32" i="24"/>
  <c r="AC32" i="24"/>
  <c r="AA32" i="24"/>
  <c r="Z32" i="24"/>
  <c r="Z36" i="24" s="1"/>
  <c r="AB31" i="24"/>
  <c r="AB32" i="24" s="1"/>
  <c r="AE30" i="24"/>
  <c r="AE32" i="24" s="1"/>
  <c r="Y29" i="24"/>
  <c r="Y28" i="24"/>
  <c r="Y26" i="24"/>
  <c r="Y24" i="24"/>
  <c r="AD17" i="24"/>
  <c r="AB17" i="24"/>
  <c r="AA17" i="24"/>
  <c r="AI18" i="24"/>
  <c r="AH18" i="24"/>
  <c r="AG18" i="24"/>
  <c r="AE16" i="24"/>
  <c r="AE18" i="24" s="1"/>
  <c r="AD16" i="24"/>
  <c r="AC18" i="24"/>
  <c r="AB16" i="24"/>
  <c r="AA16" i="24"/>
  <c r="AB14" i="24"/>
  <c r="Y14" i="24" s="1"/>
  <c r="AE13" i="24"/>
  <c r="Y13" i="24" s="1"/>
  <c r="AE11" i="24"/>
  <c r="AD11" i="24"/>
  <c r="AB11" i="24"/>
  <c r="Z11" i="24"/>
  <c r="AA10" i="24"/>
  <c r="Y10" i="24" s="1"/>
  <c r="AD9" i="24"/>
  <c r="AB9" i="24"/>
  <c r="AA9" i="24"/>
  <c r="Z9" i="24"/>
  <c r="AD8" i="24"/>
  <c r="AB8" i="24"/>
  <c r="AA8" i="24"/>
  <c r="AG7" i="24"/>
  <c r="AG15" i="24" s="1"/>
  <c r="AE7" i="24"/>
  <c r="AD7" i="24"/>
  <c r="AD15" i="24" s="1"/>
  <c r="AB7" i="24"/>
  <c r="AA7" i="24"/>
  <c r="AA15" i="24" s="1"/>
  <c r="AA36" i="23"/>
  <c r="X36" i="23" s="1"/>
  <c r="AA35" i="23"/>
  <c r="X35" i="23" s="1"/>
  <c r="AA34" i="23"/>
  <c r="X34" i="23" s="1"/>
  <c r="AA32" i="23"/>
  <c r="X32" i="23" s="1"/>
  <c r="AA31" i="23"/>
  <c r="X31" i="23" s="1"/>
  <c r="AA27" i="23"/>
  <c r="X27" i="23"/>
  <c r="X24" i="23"/>
  <c r="AA21" i="23"/>
  <c r="X21" i="23"/>
  <c r="X20" i="23"/>
  <c r="AA18" i="23"/>
  <c r="AA14" i="23"/>
  <c r="X14" i="23"/>
  <c r="AA10" i="23"/>
  <c r="X10" i="23" s="1"/>
  <c r="X11" i="23" s="1"/>
  <c r="E70" i="21"/>
  <c r="E76" i="21" s="1"/>
  <c r="E65" i="21"/>
  <c r="E68" i="21" s="1"/>
  <c r="E51" i="21"/>
  <c r="E48" i="21"/>
  <c r="E14" i="21"/>
  <c r="E77" i="21" l="1"/>
  <c r="AE15" i="24"/>
  <c r="Y16" i="24"/>
  <c r="Y17" i="24"/>
  <c r="J41" i="11"/>
  <c r="H57" i="11"/>
  <c r="J73" i="11"/>
  <c r="J29" i="18"/>
  <c r="J81" i="18" s="1"/>
  <c r="H57" i="18"/>
  <c r="X18" i="23"/>
  <c r="AA24" i="23"/>
  <c r="Y9" i="24"/>
  <c r="Z15" i="24"/>
  <c r="AB15" i="24"/>
  <c r="Y7" i="24"/>
  <c r="Y8" i="24"/>
  <c r="Y11" i="24"/>
  <c r="I57" i="18"/>
  <c r="C34" i="27"/>
  <c r="AD18" i="24"/>
  <c r="B17" i="27"/>
  <c r="B34" i="27"/>
  <c r="H29" i="11"/>
  <c r="H81" i="11" s="1"/>
  <c r="AG36" i="24"/>
  <c r="AD36" i="24"/>
  <c r="AC36" i="24"/>
  <c r="I29" i="11"/>
  <c r="I81" i="11" s="1"/>
  <c r="J53" i="11"/>
  <c r="J57" i="11" s="1"/>
  <c r="K60" i="18"/>
  <c r="K82" i="18" s="1"/>
  <c r="J53" i="18"/>
  <c r="AA11" i="23"/>
  <c r="X30" i="23"/>
  <c r="AH19" i="24"/>
  <c r="AA30" i="23"/>
  <c r="AA18" i="24"/>
  <c r="I46" i="11"/>
  <c r="K60" i="11"/>
  <c r="K82" i="11" s="1"/>
  <c r="J41" i="18"/>
  <c r="J46" i="18" s="1"/>
  <c r="AA36" i="24"/>
  <c r="J57" i="18"/>
  <c r="J46" i="11"/>
  <c r="I57" i="11"/>
  <c r="H46" i="18"/>
  <c r="H60" i="18" s="1"/>
  <c r="K61" i="11"/>
  <c r="H46" i="11"/>
  <c r="AE19" i="24"/>
  <c r="AG19" i="24"/>
  <c r="Y31" i="24"/>
  <c r="AE36" i="24"/>
  <c r="AI19" i="24"/>
  <c r="AB18" i="24"/>
  <c r="Z18" i="24"/>
  <c r="Y30" i="24"/>
  <c r="I46" i="18"/>
  <c r="I60" i="18" s="1"/>
  <c r="I29" i="18"/>
  <c r="I81" i="18" s="1"/>
  <c r="I82" i="18" s="1"/>
  <c r="H29" i="18"/>
  <c r="H81" i="18" s="1"/>
  <c r="H82" i="18" s="1"/>
  <c r="J76" i="18"/>
  <c r="H73" i="18"/>
  <c r="J73" i="18" s="1"/>
  <c r="J74" i="18" s="1"/>
  <c r="K61" i="18"/>
  <c r="J74" i="11"/>
  <c r="J80" i="11"/>
  <c r="J81" i="11" s="1"/>
  <c r="K81" i="11"/>
  <c r="J68" i="11"/>
  <c r="J76" i="11"/>
  <c r="AB36" i="24"/>
  <c r="AH32" i="24"/>
  <c r="AH36" i="24" s="1"/>
  <c r="Y35" i="24"/>
  <c r="X33" i="23"/>
  <c r="AA33" i="23"/>
  <c r="E22" i="21"/>
  <c r="E26" i="21"/>
  <c r="E59" i="21"/>
  <c r="E47" i="21"/>
  <c r="Y15" i="24" l="1"/>
  <c r="Y18" i="24"/>
  <c r="AC19" i="24"/>
  <c r="Y19" i="24"/>
  <c r="H60" i="11"/>
  <c r="H82" i="11" s="1"/>
  <c r="AD19" i="24"/>
  <c r="I60" i="11"/>
  <c r="I82" i="11" s="1"/>
  <c r="J60" i="18"/>
  <c r="J61" i="18" s="1"/>
  <c r="X38" i="23"/>
  <c r="H61" i="18"/>
  <c r="AA19" i="24"/>
  <c r="AB19" i="24"/>
  <c r="H61" i="11"/>
  <c r="J82" i="18"/>
  <c r="AA38" i="23"/>
  <c r="AA39" i="23" s="1"/>
  <c r="J60" i="11"/>
  <c r="J82" i="11" s="1"/>
  <c r="I61" i="18"/>
  <c r="E62" i="21"/>
  <c r="E85" i="21" s="1"/>
  <c r="H74" i="18"/>
  <c r="Z19" i="24"/>
  <c r="E30" i="21"/>
  <c r="E84" i="21" s="1"/>
  <c r="E87" i="21" l="1"/>
  <c r="J61" i="11"/>
  <c r="I61" i="11"/>
  <c r="E63" i="21"/>
  <c r="L31" i="28" l="1"/>
  <c r="L27" i="28"/>
  <c r="P26" i="28"/>
  <c r="O26" i="28"/>
  <c r="M26" i="28"/>
  <c r="L26" i="28"/>
  <c r="P19" i="28"/>
  <c r="O19" i="28"/>
  <c r="M19" i="28"/>
  <c r="L19" i="28"/>
  <c r="P14" i="28"/>
  <c r="O14" i="28"/>
  <c r="O20" i="28" s="1"/>
  <c r="M14" i="28"/>
  <c r="L14" i="28"/>
  <c r="N26" i="28" l="1"/>
  <c r="Q19" i="28"/>
  <c r="Q26" i="28"/>
  <c r="N14" i="28"/>
  <c r="M20" i="28"/>
  <c r="N19" i="28"/>
  <c r="P20" i="28"/>
  <c r="Q20" i="28" s="1"/>
  <c r="O35" i="28"/>
  <c r="O37" i="28" s="1"/>
  <c r="L20" i="28"/>
  <c r="L35" i="28" s="1"/>
  <c r="Q14" i="28"/>
  <c r="L37" i="28" l="1"/>
  <c r="N20" i="28"/>
  <c r="AE34" i="6" l="1"/>
  <c r="AE18" i="6"/>
  <c r="AE16" i="6"/>
  <c r="AE14" i="6"/>
  <c r="AE12" i="6"/>
  <c r="AE22" i="6" s="1"/>
  <c r="AE43" i="6" l="1"/>
  <c r="AE42" i="6"/>
  <c r="U34" i="6" l="1"/>
  <c r="U41" i="6" s="1"/>
  <c r="U18" i="6"/>
  <c r="U17" i="6"/>
  <c r="U16" i="6"/>
  <c r="U14" i="6"/>
  <c r="U12" i="6"/>
  <c r="U22" i="6" l="1"/>
  <c r="U42" i="6" s="1"/>
  <c r="U43" i="6" s="1"/>
  <c r="D70" i="21" l="1"/>
  <c r="D76" i="21" s="1"/>
  <c r="D65" i="21"/>
  <c r="D68" i="21" s="1"/>
  <c r="D77" i="21" s="1"/>
  <c r="D54" i="21"/>
  <c r="D51" i="21"/>
  <c r="D48" i="21"/>
  <c r="D42" i="21"/>
  <c r="D34" i="21"/>
  <c r="D24" i="21"/>
  <c r="D23" i="21"/>
  <c r="D14" i="21"/>
  <c r="D11" i="21"/>
  <c r="D59" i="21" l="1"/>
  <c r="D26" i="21"/>
  <c r="D47" i="21"/>
  <c r="D62" i="21" l="1"/>
  <c r="D85" i="21" s="1"/>
  <c r="D83" i="21"/>
  <c r="E76" i="11" l="1"/>
  <c r="E80" i="11" s="1"/>
  <c r="E68" i="11"/>
  <c r="E73" i="11" s="1"/>
  <c r="E63" i="11"/>
  <c r="E66" i="11" s="1"/>
  <c r="E74" i="11" s="1"/>
  <c r="E53" i="11"/>
  <c r="E50" i="11"/>
  <c r="E47" i="11"/>
  <c r="E42" i="11"/>
  <c r="E41" i="11"/>
  <c r="E37" i="11"/>
  <c r="E33" i="11"/>
  <c r="E25" i="11"/>
  <c r="E14" i="11"/>
  <c r="E21" i="11" s="1"/>
  <c r="E46" i="11" l="1"/>
  <c r="E29" i="11"/>
  <c r="E81" i="11" s="1"/>
  <c r="E57" i="11"/>
  <c r="E60" i="11" l="1"/>
  <c r="E82" i="11" s="1"/>
  <c r="E61" i="11" l="1"/>
  <c r="E80" i="18"/>
  <c r="F79" i="18"/>
  <c r="F78" i="18"/>
  <c r="F77" i="18"/>
  <c r="D76" i="18"/>
  <c r="D80" i="18" s="1"/>
  <c r="F80" i="18" s="1"/>
  <c r="F75" i="18"/>
  <c r="F70" i="18"/>
  <c r="F69" i="18"/>
  <c r="D68" i="18"/>
  <c r="D73" i="18" s="1"/>
  <c r="F73" i="18" s="1"/>
  <c r="F67" i="18"/>
  <c r="F66" i="18"/>
  <c r="E63" i="18"/>
  <c r="E66" i="18" s="1"/>
  <c r="E74" i="18" s="1"/>
  <c r="D63" i="18"/>
  <c r="D66" i="18" s="1"/>
  <c r="D74" i="18" s="1"/>
  <c r="G57" i="18"/>
  <c r="F56" i="18"/>
  <c r="F55" i="18"/>
  <c r="E53" i="18"/>
  <c r="D53" i="18"/>
  <c r="F52" i="18"/>
  <c r="F51" i="18"/>
  <c r="E50" i="18"/>
  <c r="D50" i="18"/>
  <c r="F50" i="18" s="1"/>
  <c r="F48" i="18"/>
  <c r="F47" i="18" s="1"/>
  <c r="E47" i="18"/>
  <c r="E57" i="18" s="1"/>
  <c r="D47" i="18"/>
  <c r="G46" i="18"/>
  <c r="F45" i="18"/>
  <c r="F44" i="18"/>
  <c r="F43" i="18"/>
  <c r="E41" i="18"/>
  <c r="D41" i="18"/>
  <c r="F39" i="18"/>
  <c r="F37" i="18" s="1"/>
  <c r="E37" i="18"/>
  <c r="D37" i="18"/>
  <c r="F33" i="18"/>
  <c r="E33" i="18"/>
  <c r="D33" i="18"/>
  <c r="G29" i="18"/>
  <c r="G81" i="18" s="1"/>
  <c r="F28" i="18"/>
  <c r="F27" i="18"/>
  <c r="E25" i="18"/>
  <c r="D25" i="18"/>
  <c r="E21" i="18"/>
  <c r="D14" i="18"/>
  <c r="D21" i="18" s="1"/>
  <c r="D29" i="18" s="1"/>
  <c r="G60" i="18" l="1"/>
  <c r="D57" i="18"/>
  <c r="E29" i="18"/>
  <c r="F74" i="18"/>
  <c r="E46" i="18"/>
  <c r="E60" i="18" s="1"/>
  <c r="E61" i="18" s="1"/>
  <c r="D46" i="18"/>
  <c r="D60" i="18" s="1"/>
  <c r="D61" i="18" s="1"/>
  <c r="F41" i="18"/>
  <c r="F29" i="18"/>
  <c r="F81" i="18" s="1"/>
  <c r="F53" i="18"/>
  <c r="F68" i="18"/>
  <c r="D81" i="18"/>
  <c r="D82" i="18" s="1"/>
  <c r="D84" i="18" s="1"/>
  <c r="E81" i="18"/>
  <c r="E82" i="18" s="1"/>
  <c r="E84" i="18" s="1"/>
  <c r="F46" i="18"/>
  <c r="G82" i="18"/>
  <c r="G84" i="18" s="1"/>
  <c r="G61" i="18"/>
  <c r="F57" i="18"/>
  <c r="F76" i="18"/>
  <c r="F60" i="18" l="1"/>
  <c r="F82" i="18" l="1"/>
  <c r="F84" i="18" s="1"/>
  <c r="H84" i="18" s="1"/>
  <c r="F61" i="18"/>
  <c r="F79" i="11" l="1"/>
  <c r="F78" i="11"/>
  <c r="F77" i="11"/>
  <c r="D76" i="11"/>
  <c r="D80" i="11" s="1"/>
  <c r="F80" i="11" s="1"/>
  <c r="F75" i="11"/>
  <c r="F70" i="11"/>
  <c r="F69" i="11"/>
  <c r="D68" i="11"/>
  <c r="D73" i="11" s="1"/>
  <c r="F73" i="11" s="1"/>
  <c r="F67" i="11"/>
  <c r="F66" i="11"/>
  <c r="D63" i="11"/>
  <c r="D66" i="11" s="1"/>
  <c r="G57" i="11"/>
  <c r="F56" i="11"/>
  <c r="F55" i="11"/>
  <c r="D53" i="11"/>
  <c r="F52" i="11"/>
  <c r="F51" i="11"/>
  <c r="D50" i="11"/>
  <c r="F50" i="11" s="1"/>
  <c r="F48" i="11"/>
  <c r="F47" i="11" s="1"/>
  <c r="D47" i="11"/>
  <c r="G46" i="11"/>
  <c r="F45" i="11"/>
  <c r="F44" i="11"/>
  <c r="F43" i="11"/>
  <c r="D42" i="11"/>
  <c r="F39" i="11"/>
  <c r="F37" i="11" s="1"/>
  <c r="D37" i="11"/>
  <c r="F33" i="11"/>
  <c r="D33" i="11"/>
  <c r="G29" i="11"/>
  <c r="G81" i="11" s="1"/>
  <c r="F28" i="11"/>
  <c r="F27" i="11"/>
  <c r="F25" i="11"/>
  <c r="D25" i="11"/>
  <c r="F21" i="11"/>
  <c r="D14" i="11"/>
  <c r="D21" i="11" s="1"/>
  <c r="D74" i="11" l="1"/>
  <c r="G60" i="11"/>
  <c r="G82" i="11" s="1"/>
  <c r="G84" i="11" s="1"/>
  <c r="F68" i="11"/>
  <c r="F76" i="11"/>
  <c r="F53" i="11"/>
  <c r="F57" i="11" s="1"/>
  <c r="F29" i="11"/>
  <c r="F81" i="11" s="1"/>
  <c r="F41" i="11"/>
  <c r="D41" i="11" s="1"/>
  <c r="D46" i="11" s="1"/>
  <c r="D57" i="11"/>
  <c r="F74" i="11"/>
  <c r="D29" i="11"/>
  <c r="D81" i="11" s="1"/>
  <c r="E84" i="11"/>
  <c r="G61" i="11"/>
  <c r="F46" i="11"/>
  <c r="D60" i="11" l="1"/>
  <c r="D82" i="11" s="1"/>
  <c r="D84" i="11" s="1"/>
  <c r="D61" i="11"/>
  <c r="F60" i="11"/>
  <c r="F61" i="11" s="1"/>
  <c r="F82" i="11" l="1"/>
  <c r="F84" i="11" s="1"/>
  <c r="H84" i="11" s="1"/>
  <c r="D10" i="21" l="1"/>
  <c r="D22" i="21" s="1"/>
  <c r="D30" i="21" s="1"/>
  <c r="D84" i="21" l="1"/>
  <c r="D87" i="21" s="1"/>
  <c r="D63" i="21"/>
</calcChain>
</file>

<file path=xl/sharedStrings.xml><?xml version="1.0" encoding="utf-8"?>
<sst xmlns="http://schemas.openxmlformats.org/spreadsheetml/2006/main" count="1799" uniqueCount="891">
  <si>
    <t>I.</t>
  </si>
  <si>
    <t>Sármellék Község Önkormányzata</t>
  </si>
  <si>
    <t>Kiadásainak és bevételeinek fő összesítője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</si>
  <si>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</si>
  <si>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</si>
  <si>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</si>
  <si>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</si>
  <si>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</si>
  <si>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</si>
  <si>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</si>
  <si>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</si>
  <si>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</si>
  <si>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</si>
  <si>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</si>
  <si>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</si>
  <si>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</si>
  <si>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</si>
  <si>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</si>
  <si>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</si>
  <si>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</si>
  <si>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</si>
  <si>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</si>
  <si>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</si>
  <si>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</si>
  <si>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</si>
  <si>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</si>
  <si>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</si>
  <si>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</si>
  <si>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</si>
  <si>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</si>
  <si>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</si>
  <si>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</si>
  <si>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</si>
  <si>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</si>
  <si>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</si>
  <si>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</si>
  <si>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</si>
  <si>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</si>
  <si>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</si>
  <si>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</si>
  <si>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</si>
  <si>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</si>
  <si>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</si>
  <si>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</si>
  <si>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</si>
  <si>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</si>
  <si>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</si>
  <si>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</si>
  <si>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</si>
  <si>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</si>
  <si>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</si>
  <si>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</si>
  <si>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</si>
  <si>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</si>
  <si>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</si>
  <si>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</si>
  <si>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</si>
  <si>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</si>
  <si>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</si>
  <si>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</si>
  <si>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</si>
  <si>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</si>
  <si>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</si>
  <si>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</si>
  <si>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</si>
  <si>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</si>
  <si>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</si>
  <si>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</si>
  <si>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</si>
  <si>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</si>
  <si>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</si>
  <si>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</si>
  <si>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</si>
  <si>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</si>
  <si>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</si>
  <si>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</si>
  <si>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</si>
  <si>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</si>
  <si>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</si>
  <si>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</si>
  <si>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</si>
  <si>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</si>
  <si>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</si>
  <si>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</si>
  <si>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</si>
  <si>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</si>
  <si>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</si>
  <si>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</si>
  <si>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</si>
  <si>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</si>
  <si>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</si>
  <si>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</si>
  <si>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</si>
  <si>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</si>
  <si>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</si>
  <si>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</si>
  <si>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</si>
  <si>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</si>
  <si>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</si>
  <si>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</si>
  <si>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</si>
  <si>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</si>
  <si>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</si>
  <si>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</si>
  <si>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</si>
  <si>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</si>
  <si>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</si>
  <si>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</si>
  <si>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</si>
  <si>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</si>
  <si>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Felhalmozási célú hitel törlesztése</t>
  </si>
  <si>
    <t>X.</t>
  </si>
  <si>
    <t>F.</t>
  </si>
  <si>
    <t>G.</t>
  </si>
  <si>
    <t>Tárgyévi kiadások  össsesen (A+F)</t>
  </si>
  <si>
    <t>H.</t>
  </si>
  <si>
    <t>Tárgyévi bevételek összesen (B+E)</t>
  </si>
  <si>
    <t>Támogatásértékű működési kiadások</t>
  </si>
  <si>
    <t>Előző évi állami támogatás visszafizetés</t>
  </si>
  <si>
    <t>Irányítószerv alá tartozó költségvetési szervnek folyósított támogatás</t>
  </si>
  <si>
    <t>Egyéb felhalmozási kiadások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</si>
  <si>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</si>
  <si>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</si>
  <si>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</si>
  <si>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</si>
  <si>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</si>
  <si>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</si>
  <si>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</si>
  <si>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</si>
  <si>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</si>
  <si>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</si>
  <si>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</si>
  <si>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</si>
  <si>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</si>
  <si>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</si>
  <si>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</si>
  <si>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</si>
  <si>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 xml:space="preserve">Függönyök 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</si>
  <si>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</si>
  <si>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</si>
  <si>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</si>
  <si>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</si>
  <si>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</si>
  <si>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</si>
  <si>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>ÖSSZESEN:</t>
  </si>
  <si>
    <t>Mindösszesen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</si>
  <si>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</si>
  <si>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</si>
  <si>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</si>
  <si>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</si>
  <si>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</si>
  <si>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</si>
  <si>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Működési célú pénzeszköz átadás ÁHT-n belül összesen</t>
  </si>
  <si>
    <t>Működési célú pénzeszköz átadás ÁHT-n kívül</t>
  </si>
  <si>
    <t>Keszthelyi Mentőszolg.Alapítvány</t>
  </si>
  <si>
    <t>Működési célú pénzeszköz átadás ÁHT-n kívül összesen</t>
  </si>
  <si>
    <t>Működési célú pénzeszköz átadás ÁHT-n belűl és kívül összesen</t>
  </si>
  <si>
    <t>Sármelléki Közös Önkormányzati Hivatal</t>
  </si>
  <si>
    <t>011130</t>
  </si>
  <si>
    <t>Bölcsőde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</si>
  <si>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</si>
  <si>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</si>
  <si>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</si>
  <si>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</si>
  <si>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</si>
  <si>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</si>
  <si>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</si>
  <si>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</si>
  <si>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</si>
  <si>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</si>
  <si>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</si>
  <si>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</si>
  <si>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</si>
  <si>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</si>
  <si>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</si>
  <si>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</si>
  <si>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</si>
  <si>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</si>
  <si>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Tiszteletdíj: Bakos Sándor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</si>
  <si>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</si>
  <si>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</si>
  <si>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</si>
  <si>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anyagok beszerzése összesen (K311)</t>
  </si>
  <si>
    <t xml:space="preserve">papír, írószer, fénymásoló papír, nyomtatvány </t>
  </si>
  <si>
    <t>tintaparton, toner</t>
  </si>
  <si>
    <t>Konyharuha, viaszkos vászon, lábtörlő, öntözőkanna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</si>
  <si>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</si>
  <si>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</si>
  <si>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</si>
  <si>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</si>
  <si>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</si>
  <si>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</si>
  <si>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</si>
  <si>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</si>
  <si>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</si>
  <si>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</si>
  <si>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tevékenységet segítő szolgáltatások (K336)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</si>
  <si>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</si>
  <si>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</si>
  <si>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</si>
  <si>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</si>
  <si>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</si>
  <si>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</si>
  <si>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</si>
  <si>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</si>
  <si>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</si>
  <si>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</si>
  <si>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</si>
  <si>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</si>
  <si>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</si>
  <si>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Beruházási célú előzetesen felszámított ÁFA (K67)</t>
  </si>
  <si>
    <t>KÖLTSÉGVETÉSI KIADÁSOK MINDÖSSZESEN</t>
  </si>
  <si>
    <t>Kicsi kuka, virágosládák, öntözőkanna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</si>
  <si>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</si>
  <si>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</si>
  <si>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</si>
  <si>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</si>
  <si>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</si>
  <si>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</si>
  <si>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</si>
  <si>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</si>
  <si>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</si>
  <si>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</si>
  <si>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</si>
  <si>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</si>
  <si>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</si>
  <si>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</si>
  <si>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</si>
  <si>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</si>
  <si>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</si>
  <si>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</si>
  <si>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</si>
  <si>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</si>
  <si>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</si>
  <si>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</si>
  <si>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</si>
  <si>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</si>
  <si>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</si>
  <si>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</si>
  <si>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</si>
  <si>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</si>
  <si>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</si>
  <si>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</si>
  <si>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</si>
  <si>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</si>
  <si>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</si>
  <si>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</si>
  <si>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</si>
  <si>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</si>
  <si>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</si>
  <si>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</si>
  <si>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</si>
  <si>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</si>
  <si>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</si>
  <si>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</si>
  <si>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</si>
  <si>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</si>
  <si>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</si>
  <si>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</si>
  <si>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</si>
  <si>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</si>
  <si>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</si>
  <si>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</si>
  <si>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</si>
  <si>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</si>
  <si>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</si>
  <si>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</si>
  <si>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</si>
  <si>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</si>
  <si>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</si>
  <si>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</si>
  <si>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</si>
  <si>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</si>
  <si>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</si>
  <si>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</si>
  <si>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</si>
  <si>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</si>
  <si>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</si>
  <si>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</si>
  <si>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</si>
  <si>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</si>
  <si>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</si>
  <si>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</si>
  <si>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</si>
  <si>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</si>
  <si>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</si>
  <si>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</si>
  <si>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</si>
  <si>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</si>
  <si>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</si>
  <si>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</si>
  <si>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</si>
  <si>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</si>
  <si>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</si>
  <si>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</si>
  <si>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</si>
  <si>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</si>
  <si>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</si>
  <si>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</si>
  <si>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</si>
  <si>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</si>
  <si>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</si>
  <si>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</si>
  <si>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</si>
  <si>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</si>
  <si>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</si>
  <si>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</si>
  <si>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</si>
  <si>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</si>
  <si>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</si>
  <si>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</si>
  <si>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</si>
  <si>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</si>
  <si>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</si>
  <si>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</si>
  <si>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</si>
  <si>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</si>
  <si>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</si>
  <si>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</si>
  <si>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</si>
  <si>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</si>
  <si>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</si>
  <si>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</si>
  <si>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</si>
  <si>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</si>
  <si>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</si>
  <si>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(Ft)</t>
  </si>
  <si>
    <t>Általánostartalék</t>
  </si>
  <si>
    <t>kötött, - céltartalék</t>
  </si>
  <si>
    <t>VPG-7-2-1 Külterületi utak fejlesztése Szentgyörgyvár - Sármellék</t>
  </si>
  <si>
    <t>EFOP-1.5.2-16-2017 Humán szolgáltatások fejlesztése Sármellék térségben</t>
  </si>
  <si>
    <t>EFOP-3.7.3.-16 Az egész életen át tartó tanuláshoz hozzáférés biztosítása Sármellék és Alsópáhok településeken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</si>
  <si>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</si>
  <si>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</si>
  <si>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</si>
  <si>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</si>
  <si>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</si>
  <si>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</si>
  <si>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</si>
  <si>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</si>
  <si>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</si>
  <si>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</si>
  <si>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</si>
  <si>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</si>
  <si>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</si>
  <si>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</si>
  <si>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</si>
  <si>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</si>
  <si>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</si>
  <si>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</si>
  <si>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Rendkívüli gyermekvédelmi tám.</t>
  </si>
  <si>
    <t>B16-02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</si>
  <si>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</si>
  <si>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</si>
  <si>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</si>
  <si>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</si>
  <si>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</si>
  <si>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</si>
  <si>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</si>
  <si>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Kiadás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</si>
  <si>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</si>
  <si>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</si>
  <si>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</si>
  <si>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</si>
  <si>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</si>
  <si>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</si>
  <si>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</si>
  <si>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</si>
  <si>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>Önk.hiv. működési támogatás</t>
  </si>
  <si>
    <t xml:space="preserve">pénztár: </t>
  </si>
  <si>
    <t>bankszámla</t>
  </si>
  <si>
    <t>KÖLTSÉGVETÉSI BEVÉTELEK  ÖSSZESEN:</t>
  </si>
  <si>
    <t>kiadások</t>
  </si>
  <si>
    <t>Különbözet</t>
  </si>
  <si>
    <t>Felhasználás
2019.XII.31-ig</t>
  </si>
  <si>
    <t xml:space="preserve">2019. évi eredeti előirányzat </t>
  </si>
  <si>
    <t>2019. év utáni szükséglet
(6=2 - 4 - 5)</t>
  </si>
  <si>
    <t>MTA-492 szgk. felújítása</t>
  </si>
  <si>
    <t>KDC-494 szgk. Felújítása</t>
  </si>
  <si>
    <t>Homokozóra takaróponyva (K64)</t>
  </si>
  <si>
    <t>Udvari árnyékolás  (K64)</t>
  </si>
  <si>
    <t>Teleszkópos pókhálózó (K64)</t>
  </si>
  <si>
    <t>Teleszkópos ablaklehúzó szett (K64)</t>
  </si>
  <si>
    <t>Ragasztó pisztoly (K64)</t>
  </si>
  <si>
    <t>mentőláda 1 db  (K64)</t>
  </si>
  <si>
    <t>Katlan, főzőüst, üst ház, gázrózsa  (K64)</t>
  </si>
  <si>
    <t>csocsó és ping-pong kellékek (K64)</t>
  </si>
  <si>
    <t>hűtőszekrény vásárlása (K64)</t>
  </si>
  <si>
    <t>Patriot Burst 120GB SSD PC 8 db számítógépre</t>
  </si>
  <si>
    <t>TOP 1.4 óvoda pályázat</t>
  </si>
  <si>
    <t>óvoda felújítási pályázat</t>
  </si>
  <si>
    <t>önkormányzati beruházások összesen</t>
  </si>
  <si>
    <t>Szünetmentes tápegység védőnői szolgálat részére</t>
  </si>
  <si>
    <t>vérnyomásmérő készülék</t>
  </si>
  <si>
    <t>tér, látásvizsgáló (Stereo teszt)</t>
  </si>
  <si>
    <t>Stefánia védőnői program</t>
  </si>
  <si>
    <t>Stefánia védőnői program havi rendszer díja</t>
  </si>
  <si>
    <t>Védőnői szolgálat beruházásai összesen</t>
  </si>
  <si>
    <t>2019.évi kiadás</t>
  </si>
  <si>
    <t>TÖOSZ 2019. évi tagdíj</t>
  </si>
  <si>
    <t>Sármellék Zalavár Kármentesítő Társulás</t>
  </si>
  <si>
    <t>Keszthelyi és Környéke többcélú Kistérségi Társulás 2019 tagdíj</t>
  </si>
  <si>
    <t>Keszthely város környéki Önkormányztok Ügyelet és orvosi ügyelet éves díja</t>
  </si>
  <si>
    <t>Fogászati  2019 tagdíj</t>
  </si>
  <si>
    <t>Keszthelyi Kistérségi támogatás ( belső ellenőrzési hozzájárulás)</t>
  </si>
  <si>
    <t>Egyéb alapítványok támogatása</t>
  </si>
  <si>
    <t>Erdős Bt (Iskola e.ü.) 8400 Ft/hó</t>
  </si>
  <si>
    <t>ÁMK összesen</t>
  </si>
  <si>
    <t>2019. évi eredeti előirányzat (eFt)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</si>
  <si>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</si>
  <si>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</si>
  <si>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</si>
  <si>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>Szakmai ismeretek, folyóirat előfizetése:Kereplő újság +óvoda+bölcsőde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</si>
  <si>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</si>
  <si>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</si>
  <si>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</si>
  <si>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</si>
  <si>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munkaruha 10 fő részére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</si>
  <si>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</si>
  <si>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</si>
  <si>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</si>
  <si>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</si>
  <si>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</si>
  <si>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</si>
  <si>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</si>
  <si>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Bérleti díj (légvár bérlése (K333)</t>
  </si>
  <si>
    <t>üzemorvosi díj (K336)</t>
  </si>
  <si>
    <t>Üst Gyula heti 6 alkalom 4500 Ft/37 iskolai hét 6 óra (K337)</t>
  </si>
  <si>
    <t>Üst Gyula néptánc felléspések rendezvényeken (K337)</t>
  </si>
  <si>
    <t>Színjátszó csoport éves működési díjA: Lasics Henrietta  (K337)</t>
  </si>
  <si>
    <t>Bánáti György  könyvtári szolgáltatás, közműv.tev.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</si>
  <si>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</si>
  <si>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</si>
  <si>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</si>
  <si>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</si>
  <si>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bankköltségek   (K337)</t>
  </si>
  <si>
    <t>teleszkópos pókhálózó (K64)</t>
  </si>
  <si>
    <t>teleszkópos ablaklehúzó szett (K64)</t>
  </si>
  <si>
    <t>ragasztó pisztoly  (K64)</t>
  </si>
  <si>
    <t>bölcsődei beruházások:</t>
  </si>
  <si>
    <t>óvodai beruházások</t>
  </si>
  <si>
    <t>homokozóra takaróponyva (64)</t>
  </si>
  <si>
    <t xml:space="preserve">Udvari árnyékolás </t>
  </si>
  <si>
    <t>Függönyök (64)</t>
  </si>
  <si>
    <t>óvodai beruházások mindösszesen</t>
  </si>
  <si>
    <t>Egyéb tárgyi eszközök mindösszesen óvoda és bölcsőde (K64)</t>
  </si>
  <si>
    <t>Egyéb tárgyi eszközök mindösszesen (K64)</t>
  </si>
  <si>
    <t>2019. évi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</si>
  <si>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</si>
  <si>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</si>
  <si>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</si>
  <si>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</si>
  <si>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2019. évi bevételek Közös Hivatal Sármellék</t>
  </si>
  <si>
    <t>Önk.hiv.KIEGYENLÍTŐ BÉRRENDEZÉS támogatás</t>
  </si>
  <si>
    <t>2018. december 31.-i pénzmaradvány</t>
  </si>
  <si>
    <t>Sármelléki Közös Hivatal 2019. évi kiadásai mindösszesen</t>
  </si>
  <si>
    <t>Megbízási díj (K122)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</si>
  <si>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</si>
  <si>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</si>
  <si>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</si>
  <si>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</si>
  <si>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</si>
  <si>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 xml:space="preserve">Személyi juttatásai és munkaadókat terhelő járulékai intézményi és összesített kimutatása </t>
  </si>
  <si>
    <t>066020 községgazdálkodás</t>
  </si>
  <si>
    <t>041233 közfoglalkoz-tatás</t>
  </si>
  <si>
    <t>096015    iskolai étkeztetés</t>
  </si>
  <si>
    <t>082092 Közművelődés-ifjúsági garancia program</t>
  </si>
  <si>
    <t>82091       EFOP 1.5.2 pályázat</t>
  </si>
  <si>
    <t>82092       EFOP 4.1.7 pályázat</t>
  </si>
  <si>
    <t>82093        EFOP 3.7.3 pályázat</t>
  </si>
  <si>
    <t>önk.ig.tev.</t>
  </si>
  <si>
    <t>869041 védőnő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</si>
  <si>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</si>
  <si>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</si>
  <si>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</si>
  <si>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</si>
  <si>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</si>
  <si>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</si>
  <si>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</si>
  <si>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</si>
  <si>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</si>
  <si>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</si>
  <si>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</si>
  <si>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</si>
  <si>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</si>
  <si>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</si>
  <si>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</si>
  <si>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</si>
  <si>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</si>
  <si>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</si>
  <si>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</si>
  <si>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</si>
  <si>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</si>
  <si>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</si>
  <si>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62 707 442</t>
  </si>
  <si>
    <t>29 120 300</t>
  </si>
  <si>
    <t>51 468 697</t>
  </si>
  <si>
    <t>2 228 820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</si>
  <si>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</si>
  <si>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</si>
  <si>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</si>
  <si>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Ifjúság garancia program támogatása 6 hónapig </t>
  </si>
  <si>
    <t>top 1.4 óvoda pályázat</t>
  </si>
  <si>
    <t xml:space="preserve">TOP ipari park pályázat </t>
  </si>
  <si>
    <t xml:space="preserve">Kiadásainak és bevételeinek fő összesítője </t>
  </si>
  <si>
    <t>11.melléklet</t>
  </si>
  <si>
    <t>13. melléklet</t>
  </si>
  <si>
    <t>15. számú melléklet</t>
  </si>
  <si>
    <t>2019 Sármellék Önk,</t>
  </si>
  <si>
    <t>Keszthelyi és Környéke többcélú Kistérségi Társulás 2019. évi  házi segítségnyújtás, család és gyermekjóléti szolgáltatás támogatás</t>
  </si>
  <si>
    <t>6. számú melléklet</t>
  </si>
  <si>
    <t xml:space="preserve">Támogatásértékű működési bevételek összesen </t>
  </si>
  <si>
    <t xml:space="preserve">2019. ÉVI MÓDOSÍTOTT KÖLTSÉGVETÉS  </t>
  </si>
  <si>
    <t>eredeti</t>
  </si>
  <si>
    <t>módosított</t>
  </si>
  <si>
    <t xml:space="preserve">eredeti előirányzat </t>
  </si>
  <si>
    <t>Teljes költség eredeti előirányzat</t>
  </si>
  <si>
    <t xml:space="preserve">2019. évi módosított előirányzat </t>
  </si>
  <si>
    <t>2019. Évi módosított költségvetés</t>
  </si>
  <si>
    <t>Művelődési ház felújítása</t>
  </si>
  <si>
    <t>Tájház épület felújítása:Hungarikum pályázat</t>
  </si>
  <si>
    <t>Teljes költség módosított előirányzat</t>
  </si>
  <si>
    <t>Informatikai eszközök beszerzése:Ihgálózati ROUTER TP-link   (K63)</t>
  </si>
  <si>
    <t>EPSONL120 külső tintatartályos nyomtató vásárlása (K63)</t>
  </si>
  <si>
    <t>kártyaolvasó, TP link adapter beszerzése</t>
  </si>
  <si>
    <t>bankjegyvizsgáló anyakönyvi kivonathoz</t>
  </si>
  <si>
    <t xml:space="preserve">Rackszekrény </t>
  </si>
  <si>
    <t>Szünetmentes tápegység a rackszekrénybe</t>
  </si>
  <si>
    <t xml:space="preserve">Router+WIFI </t>
  </si>
  <si>
    <t>Módosított előirányzat</t>
  </si>
  <si>
    <t>Pécs-Normandia Lions Club támogatása (szülőszállás)</t>
  </si>
  <si>
    <t>Kis Szent Teréz Plébánia Keszthely támogatása</t>
  </si>
  <si>
    <t>2019. ÉVI MÓDOSÍTOTT KÖLTSÉGVETÉS</t>
  </si>
  <si>
    <t>eredeti előirányzat</t>
  </si>
  <si>
    <t>módosított előirányzat</t>
  </si>
  <si>
    <t>Zöld Éva szabadság megváltása (K1113)</t>
  </si>
  <si>
    <t>Hálózati router tp linkhez szükséges kábelek és elemek:Extreme Digital Zrt.</t>
  </si>
  <si>
    <t>Hangosító berendezésekhez csatlakozók, átalakítók, audió kábelek:Muziker Bratislava</t>
  </si>
  <si>
    <t xml:space="preserve">Szatmári férfi viselet 2db, szatmári női viselet 6 db, sármelléki női viselet 6 db (Csóri Sándor pályázat) varrása:Bertalanné Varga Ildikó </t>
  </si>
  <si>
    <t>Csóri Sándor pályázat elszámolása: Zene és táncművészeti tevékenység: Üst Gyula</t>
  </si>
  <si>
    <t>Csóri Sándor pályázat elszámolása: Táncoktatás:Szabó Csaba</t>
  </si>
  <si>
    <t>Csóri Sándor pályázat elszámolása: Előadó művészeti tevékenység Horváth László zenekar tiszteletdíja</t>
  </si>
  <si>
    <t>Informatikai eszközök utáni szállítási költségek: Extreme Digital Zrt.</t>
  </si>
  <si>
    <t>Hangosító berendezésekhez csatlakozók, átalakítók, audió kábelek utáni szállítási költségek:Muziker Bratislava</t>
  </si>
  <si>
    <t>közművelődési beruházások:</t>
  </si>
  <si>
    <t>mentőláda (64)</t>
  </si>
  <si>
    <t>Katlan, főző üst, üst ház, gázrózsa (64)</t>
  </si>
  <si>
    <t>csocsó és ping-pong kellékek (64)</t>
  </si>
  <si>
    <t>Informatikai eszközök beszerzése:Ihgálózati ROUTER TP-link   (K63) (extreme digital)</t>
  </si>
  <si>
    <t>Informatikai eszközök összesen (K63)</t>
  </si>
  <si>
    <t>Egyéb tárgyi eszközök összesen (K64) ÁMK</t>
  </si>
  <si>
    <t>ámk beruházások mindösszesen</t>
  </si>
  <si>
    <t>BERUHÁZÁSOK MINDÖSSZESEN</t>
  </si>
  <si>
    <t>11.a. számú melléklet</t>
  </si>
  <si>
    <t>ÁMK 2019. évi Módosított KÖLTSÉGVETÉSI KIADÁSAI ÖSSZESEN</t>
  </si>
  <si>
    <t>Zöld Gólya Óvoda és Bölcsőde ÁMK bevétele</t>
  </si>
  <si>
    <t>Ifjúsági Garancia GINOP 5.2.1-14-2015-00001 bérköltség támogatás</t>
  </si>
  <si>
    <t>ZM Kormányhivataltól 2019.05.01-08.31-ig: Varga Bálint</t>
  </si>
  <si>
    <t>2018. december 31-i helyesbített pénzmaradvány:</t>
  </si>
  <si>
    <t>11. f. számú melléklet</t>
  </si>
  <si>
    <t xml:space="preserve">Egyéb külső személyi juttatások (K123) </t>
  </si>
  <si>
    <t>Fiók bérleti díja:posta 8250/név</t>
  </si>
  <si>
    <t>tisztviselői normatíva :Nemzeti Közszolgálati Egyetem</t>
  </si>
  <si>
    <t>munkavédelmi szabályzatok elkészítése:Vörös Tibor</t>
  </si>
  <si>
    <t>13. a. számú melléklet</t>
  </si>
  <si>
    <t>2019.évi bevételek módosított előirányzat</t>
  </si>
  <si>
    <t>2019.évi bevételek eredeti előirányzat</t>
  </si>
  <si>
    <t>2018. december 31.-i helyesbített pénzmaradvány</t>
  </si>
  <si>
    <t>Egyéb működési célú támogatás államháztartáson belülről (választásra átvett)</t>
  </si>
  <si>
    <t>13.b. számú melléklet</t>
  </si>
  <si>
    <t xml:space="preserve">2019. ÉVI módosított KÖLTSÉGVETÉS  </t>
  </si>
  <si>
    <t>16. a. számú melléklet</t>
  </si>
  <si>
    <t>16.b. számú melléklet</t>
  </si>
  <si>
    <t>Átvett pénzeszköz államháztartáson belül összesen</t>
  </si>
  <si>
    <t>Közbeszerzési Hatóság által kivetett bírság megtérítése</t>
  </si>
  <si>
    <t>SÁRMELLÉK KÖZSÉG ÖNKORMÁNYZAT 2019. ÉVI ÁLLAMI TÁMOGATÁSA                                           16. c. melléklet</t>
  </si>
  <si>
    <t>2019. évi módosított előirányzat (eFt)</t>
  </si>
  <si>
    <t xml:space="preserve">2019. Évi MÓDOSÍTOTT KÖLTSÉGVETÉS  </t>
  </si>
  <si>
    <t>2019. évi módosított költségvetés</t>
  </si>
  <si>
    <t>2019 ÉVI KÖLTSÉGVETÉS</t>
  </si>
  <si>
    <t>5. számú melléklet</t>
  </si>
  <si>
    <t>Önkormányzatok által folyósított ellátások részletezése</t>
  </si>
  <si>
    <t>ezer forintban</t>
  </si>
  <si>
    <t xml:space="preserve">Lakásfenntartási támogatás  </t>
  </si>
  <si>
    <t>Gyógyszer támogatás</t>
  </si>
  <si>
    <t>Iskolakezdési támogatás</t>
  </si>
  <si>
    <t>Települési támogatás</t>
  </si>
  <si>
    <t>Egyéb rendkívüli települési támogatás</t>
  </si>
  <si>
    <t>Babakötvény</t>
  </si>
  <si>
    <t>Rendkívüli települési támogatás</t>
  </si>
  <si>
    <t>Települési + rendkívüli települési támogatás</t>
  </si>
  <si>
    <t>Rendszeres gyerekvédelmi támogatás</t>
  </si>
  <si>
    <t>,</t>
  </si>
  <si>
    <t>Idősek rendkívüli települési támogatás  7000/fő</t>
  </si>
  <si>
    <t>Gyerekek rendkívüli települési támogatás  7000/fő</t>
  </si>
  <si>
    <t>néhai Horváth Lajosné Sármellék, Dózsa Gy. U. 283. szám alatti lakos köztemetési költsége</t>
  </si>
  <si>
    <t>K512</t>
  </si>
  <si>
    <t>Működési célú visszafizetendő támogatások, kölcsönök nyújtása ÁHT-n kívülre</t>
  </si>
  <si>
    <t>K508</t>
  </si>
  <si>
    <t xml:space="preserve">Sármelléki Polgárőrség részére adott kölcsön </t>
  </si>
  <si>
    <t>Sármellékért Közhasznú Nonprofit Kft. Részére adott tagi kölcsön</t>
  </si>
  <si>
    <t>K506</t>
  </si>
  <si>
    <t>Pannon Írok Társasága részére támogatás (Tar Ferenc könyv megjelenéséhez)</t>
  </si>
  <si>
    <t>Sármelléki Polgárőrség támogatása</t>
  </si>
  <si>
    <t xml:space="preserve">Sármelléki Sportegyesület támogatása </t>
  </si>
  <si>
    <t>Medicopter Légimentők támogatása</t>
  </si>
  <si>
    <t>Pénzeszköz átadások mindösszesen</t>
  </si>
  <si>
    <t>Működési célú visszatérítendő támogatások, kölcsönök nyújtása ÁHT kívülre</t>
  </si>
  <si>
    <t>Ferlhalmozási célú visszatérítendő támogatás, kölcsön ÁHT-n kívül</t>
  </si>
  <si>
    <t>IT rendszergazdai szolgáltatás:TC Informatika</t>
  </si>
  <si>
    <t xml:space="preserve"> e-hiteles térképmásolat költségei (K337)</t>
  </si>
  <si>
    <t xml:space="preserve">Fogászati kezelőegység </t>
  </si>
  <si>
    <t>Fogászati EMS Mini Pierson</t>
  </si>
  <si>
    <t>Fogorvosi rendelőben berendezések összesen</t>
  </si>
  <si>
    <t>Energiatakarékos csaptelepek beszerzése</t>
  </si>
  <si>
    <t>HACCP egészségügyi tervezés szakmai szakértés módszertani feladatra(K337)</t>
  </si>
  <si>
    <t>Egyéb működési bevételek (áramdíj visszatérítés)</t>
  </si>
  <si>
    <t>Államháztartáson belüli megelőlegezések</t>
  </si>
  <si>
    <t>diákmunka</t>
  </si>
  <si>
    <t>néhai Horváth Lajosné 8391 Sármellék, Dózsa György</t>
  </si>
  <si>
    <t>utca 283. szám alatti lakos köztemetésének megtérítése</t>
  </si>
  <si>
    <t>2019. évi szociális célú tűzelőanyag vásárlásával (109 erdei köbméter)</t>
  </si>
  <si>
    <t>kapcsolatos kiegészítő támogatás BMÖGF/51-40/2019.ikt.szám döntés</t>
  </si>
  <si>
    <t>Tenda fehér ROUTER beszerzése</t>
  </si>
  <si>
    <t>Óvoda informatikai eszközök összesen (K63)</t>
  </si>
  <si>
    <t>Óvoda beruházások összesen: (K64)</t>
  </si>
  <si>
    <t>Informatikai eszközök beszerzése: Logilink HDMI kábel ethernet(K63)</t>
  </si>
  <si>
    <t>Irodai forgószék 3 db (K64)</t>
  </si>
  <si>
    <t>Salgo fémpolc 2 db (K64)</t>
  </si>
  <si>
    <t>Állványos hamuzó 3 db (K64)</t>
  </si>
  <si>
    <t>Lábtörlő (K64)</t>
  </si>
  <si>
    <t>Könyvtári, közművelődési tev. Tárgyi eszk. Összesen: (K64)</t>
  </si>
  <si>
    <t>Könyvtári, közművelődési tev. Informatikai eszközök összesen (K63)</t>
  </si>
  <si>
    <t>Informatikai eszközök beszerzése: Digitus HDMI 4K jelerősítő (K63)</t>
  </si>
  <si>
    <t>Patriot Burst 120GB SSD PC 8 db számítógépre (K63)</t>
  </si>
  <si>
    <t>szerver (K63)</t>
  </si>
  <si>
    <t>Rackszekrény (K63)</t>
  </si>
  <si>
    <t>Szünetmentes tápegység a rackszekrénybe (K63)</t>
  </si>
  <si>
    <t>Router+WIFI (K63)</t>
  </si>
  <si>
    <t>Közös Hivatal informatikai eszközök összesen (K63)</t>
  </si>
  <si>
    <t>Közös Hivatal tárgyi eszközök összesen (K64)</t>
  </si>
  <si>
    <t>Közös Hivatal beszerzése mindösszesen:</t>
  </si>
  <si>
    <t>magasnyomású mosó beszerzése</t>
  </si>
  <si>
    <t>közlekedési táblák</t>
  </si>
  <si>
    <t xml:space="preserve">Akkus fúró vásárlása 2 db </t>
  </si>
  <si>
    <t>DVD lejátszó (ravatalozó)</t>
  </si>
  <si>
    <t>TOP-1.2.1-15 ZA1-2016-00003 Zala Kétkeréken - Kerékpárút fejlesztés Sármellék és Zalaszentgrót településeken (K62)</t>
  </si>
  <si>
    <t>Függöny beszerzése általános iskola étkezőbe</t>
  </si>
  <si>
    <t>Asztal vásárlás tárgyalóba</t>
  </si>
  <si>
    <t xml:space="preserve">Vezetői bőrszék </t>
  </si>
  <si>
    <t>Vadkamera beszerzése</t>
  </si>
  <si>
    <t>Forgalomtechnikai tükör beszerzése</t>
  </si>
  <si>
    <t>Magassági Ágvágó Husqvarna 525 PT5S</t>
  </si>
  <si>
    <t>EFOP 4.1.7 Műv.ház pályázat: Fény és hangtechnika</t>
  </si>
  <si>
    <t>TOP 3.2.1-16-ZA1-2018-000041 Műv.ház energiakorszerűsítési pályázat</t>
  </si>
  <si>
    <t>TOP 3.2.1-16-ZA1-2018-00034 Általános Iskola energiakorszerűsítési pályázat</t>
  </si>
  <si>
    <t>Felújítási kiadások mindösszesen</t>
  </si>
  <si>
    <t>Patriot Burst 120 GB gyorsító 2 db</t>
  </si>
  <si>
    <t>Szünetmentes tápegység Legrand</t>
  </si>
  <si>
    <t>Gembird C14 adatpter 2 db</t>
  </si>
  <si>
    <t>vitrines szekrény, polc beszerzés (hungarikum pályzat)</t>
  </si>
  <si>
    <t>Exclusive acél sátor 4 db (hungarikum pályázat)</t>
  </si>
  <si>
    <t>Takarító kocsi (K64)</t>
  </si>
  <si>
    <t>LED reflektor (Hangárfesztivál)</t>
  </si>
  <si>
    <t>Bortartály 3db rozsdamentes</t>
  </si>
  <si>
    <t xml:space="preserve">Kád szüretelő AKC 3 db </t>
  </si>
  <si>
    <t>Hordó 120 literes csatos 5 db</t>
  </si>
  <si>
    <t xml:space="preserve">Szőlő bogyózó </t>
  </si>
  <si>
    <t>Bortartály 2 db rozsdamentes</t>
  </si>
  <si>
    <t>vérnyomásmérő</t>
  </si>
  <si>
    <t>Téli gumiabroncs MTA-492</t>
  </si>
  <si>
    <t>Aláperemező kézi készülék</t>
  </si>
  <si>
    <t>Állványos dugozó</t>
  </si>
  <si>
    <t>Kegyeleti hütő beszerzése</t>
  </si>
  <si>
    <t>Településrendezési terv (K61)</t>
  </si>
  <si>
    <t>Immateriális javak beszerzése összesen (K61)</t>
  </si>
  <si>
    <t>Út patkázása, árok burkolása Dózsa utca 99. előtt (K62)</t>
  </si>
  <si>
    <t>TOP 1.4 Ipari park pályázat (K62)</t>
  </si>
  <si>
    <t>VP6 Külterületi utak pályázat (K62)</t>
  </si>
  <si>
    <t>Ingatlanok beszerzése, létesítése összesen (K62)</t>
  </si>
  <si>
    <t>Kültéri wifi rendszer kiépítése</t>
  </si>
  <si>
    <t>Informatikai eszközök beszerzése, létesítése összesen (K63)</t>
  </si>
  <si>
    <t>Óvoda beruházások összesen: (K63+64)</t>
  </si>
  <si>
    <t>ÁMK beruházásai összesen</t>
  </si>
  <si>
    <t>Varga Bálint (GINOP-Ifjúsági Garancia Program) bére 2019.05.01-08.31-ig (K1101) (mód..2019.10.31-IG)</t>
  </si>
  <si>
    <t xml:space="preserve">élelmiszer beszerzések </t>
  </si>
  <si>
    <t>Játékok beszerzése bölcsőde</t>
  </si>
  <si>
    <t>Játékok beszerzése óvoda</t>
  </si>
  <si>
    <t>ARTISJUS egész éves rendezvény díja (K322)</t>
  </si>
  <si>
    <t xml:space="preserve"> Kábelek, router utáni szállítási költségek (K337)</t>
  </si>
  <si>
    <t>Irodai forgószék 3 db (64)</t>
  </si>
  <si>
    <t>Salgo fémpolc (64)</t>
  </si>
  <si>
    <t>Állványos hamuzó 3 db (64)</t>
  </si>
  <si>
    <t>Lábtörlő (64)</t>
  </si>
  <si>
    <t>Takarítókocsi beszerzése (64)</t>
  </si>
  <si>
    <t>Informatikai eszközök beszerzése: Logilink HDMI kábel ehternet (BLM Hungary Kft.) (K63)</t>
  </si>
  <si>
    <t>Informatikai eszközök beszerzése: Digitus HDMI 4K jelerősítő (BLM Hungary Kft.) (K63)</t>
  </si>
  <si>
    <t>bölcsődei beruházások mindösszesen: (K64)</t>
  </si>
  <si>
    <t>Informatikai eszközök beszerzése: Tenda fehér ROUTER (K63) (PCX Kft.)</t>
  </si>
  <si>
    <t>EP választás  kiadásai(K312)</t>
  </si>
  <si>
    <t>2019.10.13-i  önk.választás kiadásai (K312)</t>
  </si>
  <si>
    <t>Egyéb szolgálatatások (EP választási költségek) (K337)</t>
  </si>
  <si>
    <t>Egészségügyi szolgáltatás költsége (K337)</t>
  </si>
  <si>
    <t>Informatikai eszközök beszerzése (K63)</t>
  </si>
  <si>
    <t>bankjegyvizsgáló anyakönyvi kivonathoz (K64)</t>
  </si>
  <si>
    <t>Egyéb tárgyi eszközök beszerzése (K64)</t>
  </si>
  <si>
    <t>Major Zoltán helyi választási tag megbízási díjának és járulékának megtérítése a munkáltatója felé (2019.október 13-i önkormányzati választás)</t>
  </si>
  <si>
    <t>Egyéb működési célú kiadások államháztartáson kívülre (K512)</t>
  </si>
  <si>
    <t>Egyéb bevételek kamatok</t>
  </si>
  <si>
    <t>Egyéb működési  bevételek kerekítések</t>
  </si>
  <si>
    <t>Központi, iránytószervi támogatás (B816)</t>
  </si>
  <si>
    <t>Államháztartáson belüli megelőlegezések visszafizetése</t>
  </si>
  <si>
    <t>2019. évi lakossági víz és csatorna támogatás</t>
  </si>
  <si>
    <t xml:space="preserve">30 éve szabadon pályázat </t>
  </si>
  <si>
    <t xml:space="preserve">TOP 3.2.1.-16.ZA1-20018-00034 Általános Iskola energetikai korszerűsítése pályázat </t>
  </si>
  <si>
    <t xml:space="preserve">TOP 3.2.1.-16.ZA1-20018-00041 Művelődési ház  energetikai korszerűsítése pályázat </t>
  </si>
  <si>
    <t>EFOP 4.1.7. Művelődési ház fejlesztése tám.</t>
  </si>
  <si>
    <t xml:space="preserve">Bérkompenzeció közművelődési pótlék </t>
  </si>
  <si>
    <t>3 fő nyári diákmunka támogatása bérköltség támogatása ZM Kormányhivatal Foglalkoztatási Osztály</t>
  </si>
  <si>
    <t>Hungarikum pályázat: Települési értéktár bővítése Sármelléken</t>
  </si>
  <si>
    <t>B25</t>
  </si>
  <si>
    <t>Egyéb felhalmozási célú támogatások bevételei összesen:</t>
  </si>
  <si>
    <t>Sármellék Község Önkormányzat 2019. évi intézményi, működési és felhalmozási bevételei                     16.d. melléklet</t>
  </si>
  <si>
    <t>Nettó</t>
  </si>
  <si>
    <t>Bruttó</t>
  </si>
  <si>
    <t>Temető fenntartási ktg.</t>
  </si>
  <si>
    <t>nettó</t>
  </si>
  <si>
    <t>Garázsbérlet</t>
  </si>
  <si>
    <t>B402</t>
  </si>
  <si>
    <t>Lakbér</t>
  </si>
  <si>
    <t>Háziorvosi rezsi hozzájárulás</t>
  </si>
  <si>
    <t>B406</t>
  </si>
  <si>
    <t>Földbérleti díjak</t>
  </si>
  <si>
    <t>Közműfejlesztési hozzáj.</t>
  </si>
  <si>
    <t>Sírhely megváltás</t>
  </si>
  <si>
    <t xml:space="preserve">Helység bérleti díjak </t>
  </si>
  <si>
    <t>Óvodai étkeztetés</t>
  </si>
  <si>
    <t>B405</t>
  </si>
  <si>
    <t>Iskolai étkeztetés</t>
  </si>
  <si>
    <t>Szocétkeztetés</t>
  </si>
  <si>
    <t>Közműfejlesztési hj.</t>
  </si>
  <si>
    <t xml:space="preserve">Összesen: </t>
  </si>
  <si>
    <t>Koncessziós díj Iv .név ÁFA</t>
  </si>
  <si>
    <t>levonható ÁFA  étkeztetés, tisztítószer csak iskola+óvoda</t>
  </si>
  <si>
    <t>Visszaigényelhető ÁFA</t>
  </si>
  <si>
    <t>B407</t>
  </si>
  <si>
    <t>Előző évi visszaigényelhető ÁFA</t>
  </si>
  <si>
    <t>összes visszaigényelhető ÁFA</t>
  </si>
  <si>
    <t>ZSA osztalék</t>
  </si>
  <si>
    <t>B404-05</t>
  </si>
  <si>
    <t xml:space="preserve">Hévíz </t>
  </si>
  <si>
    <t>B404-02</t>
  </si>
  <si>
    <t>Koncessziós díj</t>
  </si>
  <si>
    <t>Westel torony</t>
  </si>
  <si>
    <t>Felhalmozási és tőke jellegű bevétel összesen:</t>
  </si>
  <si>
    <t>pénzmaradvány igénybevétele:</t>
  </si>
  <si>
    <t>B8131</t>
  </si>
  <si>
    <t>pénztár</t>
  </si>
  <si>
    <t>elszámolási szlák összesen</t>
  </si>
  <si>
    <t>lakás bevétel</t>
  </si>
  <si>
    <t>B52</t>
  </si>
  <si>
    <t>Mándi Imréné</t>
  </si>
  <si>
    <t xml:space="preserve">Nagy Orsolya 570600/év </t>
  </si>
  <si>
    <t>Dr. Erdős Júlianna 106000/hó</t>
  </si>
  <si>
    <t xml:space="preserve">Bittó Katalin </t>
  </si>
  <si>
    <t>építmény</t>
  </si>
  <si>
    <t>B34-01</t>
  </si>
  <si>
    <t>magánszemélyek kommunális adója</t>
  </si>
  <si>
    <t>B34-03</t>
  </si>
  <si>
    <t>iparűzés</t>
  </si>
  <si>
    <t>B351-07</t>
  </si>
  <si>
    <t>talajtrh.</t>
  </si>
  <si>
    <t>B36-15</t>
  </si>
  <si>
    <t>gépjármű</t>
  </si>
  <si>
    <t>B354-01</t>
  </si>
  <si>
    <t>termőf. Bérbead.</t>
  </si>
  <si>
    <t>B311-03</t>
  </si>
  <si>
    <t>Jövedéki adó</t>
  </si>
  <si>
    <t>B36-12</t>
  </si>
  <si>
    <t xml:space="preserve"> pótlék</t>
  </si>
  <si>
    <t>idegenforg.</t>
  </si>
  <si>
    <t>B355-08</t>
  </si>
  <si>
    <t>egyéb bev.:</t>
  </si>
  <si>
    <t>mezőőri jár.</t>
  </si>
  <si>
    <t>Önkormányzat sajátos működési bevételei összesen:</t>
  </si>
  <si>
    <t>2019. Évi költségvetés</t>
  </si>
  <si>
    <t>Európai Uniós támogatással megvalósuló projektek bevételei, kiadásai, hozzájárulások</t>
  </si>
  <si>
    <t>EU-s projekt azonosítója:</t>
  </si>
  <si>
    <t>7.melléklet</t>
  </si>
  <si>
    <t>Források</t>
  </si>
  <si>
    <t>Összesen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</si>
  <si>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</si>
  <si>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</si>
  <si>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</si>
  <si>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</si>
  <si>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</si>
  <si>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</si>
  <si>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</si>
  <si>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</si>
  <si>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</si>
  <si>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</si>
  <si>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</si>
  <si>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</si>
  <si>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TOP-1.2.1-15-ZA1-2016-00003 Zala Kétkeréken - Kerékpárút fejlesztés Sármellék és Zalaszentgrót településeken</t>
  </si>
  <si>
    <t>EU-s  projekt azonosítója:</t>
  </si>
  <si>
    <t xml:space="preserve">2019 év Költségvetés 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</si>
  <si>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</si>
  <si>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</si>
  <si>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</si>
  <si>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</si>
  <si>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</si>
  <si>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</si>
  <si>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2019. előtti kifizetés</t>
  </si>
  <si>
    <t>Kiadás vonzata évenként</t>
  </si>
  <si>
    <t>2019.</t>
  </si>
  <si>
    <t>2021.</t>
  </si>
  <si>
    <t>2021. után</t>
  </si>
  <si>
    <t>9=(4+5+6+7+8)</t>
  </si>
  <si>
    <t>Működési célú hiteltörlesztés tőke</t>
  </si>
  <si>
    <t>Felhalmozási célú hiteltörlesztés (tőke+kamat)</t>
  </si>
  <si>
    <t>Beruházás feladatonként</t>
  </si>
  <si>
    <t>13.</t>
  </si>
  <si>
    <t>Hungarikum pályázat</t>
  </si>
  <si>
    <t>14.</t>
  </si>
  <si>
    <t>15.</t>
  </si>
  <si>
    <t>16.</t>
  </si>
  <si>
    <t xml:space="preserve">Egyéb </t>
  </si>
  <si>
    <t>17.</t>
  </si>
  <si>
    <t>Összesen (1+4+7+9+11)</t>
  </si>
  <si>
    <t>Intézményi működési bevételek</t>
  </si>
  <si>
    <t>Kamatbevételek</t>
  </si>
  <si>
    <t>B408</t>
  </si>
  <si>
    <t>Biztosító által fizetett kártérítés</t>
  </si>
  <si>
    <t>B410</t>
  </si>
  <si>
    <t>B411</t>
  </si>
  <si>
    <t>Egyéb működési bevétel (kerekítések miatti NAV)</t>
  </si>
  <si>
    <t>B65</t>
  </si>
  <si>
    <t xml:space="preserve">Horváth Tibor támogatása üzemanyaghoz a gyerekek utaztatásához </t>
  </si>
  <si>
    <t>DRV. Zrt. Visszautalás</t>
  </si>
  <si>
    <t>Egyéb működési célú pénzeszközátvétel ÁHT-n kívülről összesen</t>
  </si>
  <si>
    <t>B914</t>
  </si>
  <si>
    <t xml:space="preserve">Államháztartáson belüli megelőlegezések </t>
  </si>
  <si>
    <t>helyesbített pénzmar.</t>
  </si>
  <si>
    <t>Felhalmozási bevételek: Lakáseladás részletének bevétele</t>
  </si>
  <si>
    <t>TOP 3.2.1 Műv.ház energetikai korszerűsítése</t>
  </si>
  <si>
    <t>TOP 3.2.1 Ált.Isk. energetikai korszerűsítése</t>
  </si>
  <si>
    <t>Lakossági víz és csatorna tám. DRV. Részére</t>
  </si>
  <si>
    <t>Pécs Normandia Lions Club:szülő szálláshely támogatása</t>
  </si>
  <si>
    <t>Kis példaképeink ösztöndíj támogatása</t>
  </si>
  <si>
    <t>Hévíz és Térsége Társulás tagdíj</t>
  </si>
  <si>
    <t>Sármelléki Gyerekétkeztetési Alapítvány részére kölcsön nyújtása</t>
  </si>
  <si>
    <t>Ruhásszekrény EJERSTED 144x200 Tölgy (K64) SÖTYE részére</t>
  </si>
  <si>
    <t>Szekrény és asztal beszerzés hegyi pincébe (K64) (Otelló Borbarátok részére</t>
  </si>
  <si>
    <t>Füstgép  beszerzése (K64) MIKI-TEAM részére</t>
  </si>
  <si>
    <t>Ruhásszekrény EJERSTED 144-200 tölgy (K64) SÖTYE részére</t>
  </si>
  <si>
    <t>Szekrény és asztal hegyi pincébe (K64) (otelló borbarát</t>
  </si>
  <si>
    <t>Füstgép (K64) Miki Team részére</t>
  </si>
  <si>
    <t xml:space="preserve">2019 ÉVI MÓDOSÍTOTT KÖLTSÉGVETÉS  </t>
  </si>
  <si>
    <t>2.melléklet</t>
  </si>
  <si>
    <t>2019 évi eredeti előirányzat (Ft)</t>
  </si>
  <si>
    <t>2019 évi módosított előirányzat (Ft)</t>
  </si>
  <si>
    <t>Kötött, - céltartalék</t>
  </si>
  <si>
    <t>Előző évi állami támogatás visszafizetése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</si>
  <si>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</si>
  <si>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ÁHT-n kívülre nyújtott működési célú hitel bevétele</t>
  </si>
  <si>
    <t>Működési célú hitel nyújtása (éven belüli)</t>
  </si>
  <si>
    <t>Működési célú hitel nyújtása (éven túli)</t>
  </si>
  <si>
    <t>Finanszírozási kiadások összesen (VIII+IX+X)</t>
  </si>
  <si>
    <t xml:space="preserve"> működési és felhalmozási célú bevételi és kiadási előirányzatok bemutatása tájékoztató jelleggel</t>
  </si>
  <si>
    <t>3 melléklet</t>
  </si>
  <si>
    <t>Önkormányzat összesen</t>
  </si>
  <si>
    <t>előirányzat</t>
  </si>
  <si>
    <t xml:space="preserve">módosított előirányzat </t>
  </si>
  <si>
    <t>Működési bevételek</t>
  </si>
  <si>
    <t xml:space="preserve">Működési célú pénzeszközátadás </t>
  </si>
  <si>
    <t>Működési bevételek (1+2+3+49)</t>
  </si>
  <si>
    <t xml:space="preserve">Működési bevételek és működési kiadások különbözete: </t>
  </si>
  <si>
    <t>Beruházási kiadások</t>
  </si>
  <si>
    <t>Felhalmozási kiadások (6+….+8)</t>
  </si>
  <si>
    <t>Felhalmozási bevételek és kiadások különbözete:</t>
  </si>
  <si>
    <t>2018. évi állami támogatás visszafizetése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</si>
  <si>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</si>
  <si>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</si>
  <si>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</si>
  <si>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</si>
  <si>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</si>
  <si>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</si>
  <si>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</si>
  <si>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</si>
  <si>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</si>
  <si>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Működési célú visszatérítendő kölcsönök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</si>
</sst>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0\ _F_t"/>
    <numFmt numFmtId="166" formatCode="_-* #,##0.00\ _€_-;\-* #,##0.00\ _€_-;_-* &quot;-&quot;??\ _€_-;_-@_-"/>
    <numFmt numFmtId="167" formatCode="_-* #,##0\ _F_t_-;\-* #,##0\ _F_t_-;_-* &quot;-&quot;??\ _F_t_-;_-@_-"/>
    <numFmt numFmtId="168" formatCode="#,###"/>
    <numFmt numFmtId="169" formatCode="0__"/>
    <numFmt numFmtId="170" formatCode="#,##0_ ;\-#,##0\ "/>
    <numFmt numFmtId="171" formatCode="#"/>
  </numFmts>
  <fonts count="8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4"/>
      <name val="Times New Roman CE"/>
      <charset val="238"/>
    </font>
    <font>
      <sz val="14"/>
      <name val="Arial"/>
      <family val="2"/>
      <charset val="238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b/>
      <sz val="12"/>
      <color theme="0"/>
      <name val="Arial CE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18" fillId="0" borderId="0"/>
    <xf numFmtId="164" fontId="1" fillId="0" borderId="0" applyFont="0" applyFill="0" applyBorder="0" applyAlignment="0" applyProtection="0"/>
  </cellStyleXfs>
  <cellXfs count="1123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5" fontId="5" fillId="0" borderId="14" xfId="2" applyNumberFormat="1" applyFont="1" applyBorder="1" applyAlignment="1">
      <alignment horizontal="center" vertical="center"/>
    </xf>
    <xf numFmtId="165" fontId="5" fillId="0" borderId="5" xfId="3" applyNumberFormat="1" applyFont="1" applyFill="1" applyBorder="1" applyAlignment="1">
      <alignment horizontal="center"/>
    </xf>
    <xf numFmtId="167" fontId="6" fillId="0" borderId="6" xfId="1" applyNumberFormat="1" applyFont="1" applyBorder="1" applyAlignment="1">
      <alignment vertical="center"/>
    </xf>
    <xf numFmtId="167" fontId="5" fillId="0" borderId="6" xfId="1" applyNumberFormat="1" applyFont="1" applyBorder="1" applyAlignment="1">
      <alignment horizontal="center" vertical="center"/>
    </xf>
    <xf numFmtId="167" fontId="6" fillId="0" borderId="15" xfId="1" applyNumberFormat="1" applyFont="1" applyBorder="1" applyAlignment="1">
      <alignment vertical="center"/>
    </xf>
    <xf numFmtId="165" fontId="5" fillId="0" borderId="5" xfId="2" applyNumberFormat="1" applyFont="1" applyBorder="1" applyAlignment="1">
      <alignment horizontal="center" vertical="center"/>
    </xf>
    <xf numFmtId="165" fontId="5" fillId="0" borderId="5" xfId="3" applyNumberFormat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12" fillId="0" borderId="0" xfId="0" applyFont="1"/>
    <xf numFmtId="165" fontId="5" fillId="0" borderId="14" xfId="3" applyNumberFormat="1" applyFont="1" applyBorder="1" applyAlignment="1">
      <alignment horizontal="center"/>
    </xf>
    <xf numFmtId="165" fontId="7" fillId="0" borderId="5" xfId="3" applyNumberFormat="1" applyFont="1" applyBorder="1" applyAlignment="1">
      <alignment horizontal="center"/>
    </xf>
    <xf numFmtId="165" fontId="7" fillId="0" borderId="14" xfId="3" applyNumberFormat="1" applyFont="1" applyBorder="1" applyAlignment="1">
      <alignment horizontal="center"/>
    </xf>
    <xf numFmtId="165" fontId="5" fillId="2" borderId="18" xfId="3" applyNumberFormat="1" applyFont="1" applyFill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3" fontId="5" fillId="0" borderId="5" xfId="3" applyNumberFormat="1" applyFont="1" applyBorder="1" applyAlignment="1">
      <alignment horizontal="center"/>
    </xf>
    <xf numFmtId="49" fontId="5" fillId="0" borderId="5" xfId="2" applyNumberFormat="1" applyFont="1" applyBorder="1" applyAlignment="1">
      <alignment horizontal="left"/>
    </xf>
    <xf numFmtId="3" fontId="7" fillId="0" borderId="5" xfId="3" applyNumberFormat="1" applyFont="1" applyBorder="1" applyAlignment="1">
      <alignment horizontal="center"/>
    </xf>
    <xf numFmtId="165" fontId="4" fillId="0" borderId="5" xfId="3" applyNumberFormat="1" applyFont="1" applyBorder="1" applyAlignment="1">
      <alignment horizontal="center"/>
    </xf>
    <xf numFmtId="165" fontId="4" fillId="0" borderId="15" xfId="3" applyNumberFormat="1" applyFont="1" applyBorder="1" applyAlignment="1">
      <alignment horizontal="center"/>
    </xf>
    <xf numFmtId="49" fontId="5" fillId="0" borderId="5" xfId="2" applyNumberFormat="1" applyFont="1" applyBorder="1" applyAlignment="1">
      <alignment horizontal="right"/>
    </xf>
    <xf numFmtId="167" fontId="14" fillId="0" borderId="15" xfId="1" applyNumberFormat="1" applyFont="1" applyBorder="1" applyAlignment="1">
      <alignment vertical="center"/>
    </xf>
    <xf numFmtId="165" fontId="4" fillId="0" borderId="14" xfId="3" applyNumberFormat="1" applyFont="1" applyBorder="1" applyAlignment="1">
      <alignment horizontal="center"/>
    </xf>
    <xf numFmtId="165" fontId="4" fillId="0" borderId="5" xfId="3" applyNumberFormat="1" applyFont="1" applyFill="1" applyBorder="1" applyAlignment="1">
      <alignment horizontal="center"/>
    </xf>
    <xf numFmtId="167" fontId="14" fillId="0" borderId="6" xfId="1" applyNumberFormat="1" applyFont="1" applyBorder="1" applyAlignment="1">
      <alignment vertical="center"/>
    </xf>
    <xf numFmtId="165" fontId="8" fillId="0" borderId="5" xfId="3" applyNumberFormat="1" applyFont="1" applyBorder="1" applyAlignment="1">
      <alignment horizontal="center"/>
    </xf>
    <xf numFmtId="165" fontId="8" fillId="0" borderId="14" xfId="3" applyNumberFormat="1" applyFont="1" applyBorder="1" applyAlignment="1">
      <alignment horizontal="center"/>
    </xf>
    <xf numFmtId="165" fontId="8" fillId="0" borderId="5" xfId="3" applyNumberFormat="1" applyFont="1" applyFill="1" applyBorder="1" applyAlignment="1">
      <alignment horizont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165" fontId="5" fillId="3" borderId="5" xfId="3" applyNumberFormat="1" applyFont="1" applyFill="1" applyBorder="1" applyAlignment="1">
      <alignment horizontal="center"/>
    </xf>
    <xf numFmtId="165" fontId="5" fillId="0" borderId="11" xfId="3" applyNumberFormat="1" applyFont="1" applyFill="1" applyBorder="1" applyAlignment="1">
      <alignment horizontal="center"/>
    </xf>
    <xf numFmtId="165" fontId="5" fillId="3" borderId="6" xfId="3" applyNumberFormat="1" applyFont="1" applyFill="1" applyBorder="1" applyAlignment="1">
      <alignment horizontal="center"/>
    </xf>
    <xf numFmtId="167" fontId="0" fillId="0" borderId="0" xfId="1" applyNumberFormat="1" applyFont="1"/>
    <xf numFmtId="0" fontId="23" fillId="0" borderId="0" xfId="0" applyFont="1"/>
    <xf numFmtId="3" fontId="0" fillId="0" borderId="35" xfId="0" applyNumberFormat="1" applyFont="1" applyBorder="1"/>
    <xf numFmtId="167" fontId="14" fillId="0" borderId="35" xfId="1" applyNumberFormat="1" applyFont="1" applyFill="1" applyBorder="1" applyAlignment="1" applyProtection="1">
      <alignment vertical="center" wrapText="1"/>
      <protection locked="0"/>
    </xf>
    <xf numFmtId="167" fontId="11" fillId="0" borderId="35" xfId="1" applyNumberFormat="1" applyFont="1" applyBorder="1"/>
    <xf numFmtId="0" fontId="6" fillId="0" borderId="6" xfId="2" applyFont="1" applyBorder="1" applyAlignment="1">
      <alignment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165" fontId="5" fillId="0" borderId="6" xfId="2" applyNumberFormat="1" applyFont="1" applyBorder="1" applyAlignment="1">
      <alignment horizontal="center" vertical="center"/>
    </xf>
    <xf numFmtId="165" fontId="5" fillId="0" borderId="6" xfId="3" applyNumberFormat="1" applyFont="1" applyBorder="1" applyAlignment="1">
      <alignment horizontal="center"/>
    </xf>
    <xf numFmtId="165" fontId="5" fillId="0" borderId="18" xfId="3" applyNumberFormat="1" applyFont="1" applyFill="1" applyBorder="1" applyAlignment="1">
      <alignment horizontal="center"/>
    </xf>
    <xf numFmtId="167" fontId="6" fillId="0" borderId="17" xfId="1" applyNumberFormat="1" applyFont="1" applyBorder="1" applyAlignment="1">
      <alignment vertical="center"/>
    </xf>
    <xf numFmtId="0" fontId="0" fillId="0" borderId="5" xfId="0" applyBorder="1"/>
    <xf numFmtId="165" fontId="7" fillId="0" borderId="6" xfId="3" applyNumberFormat="1" applyFont="1" applyBorder="1" applyAlignment="1">
      <alignment horizontal="center"/>
    </xf>
    <xf numFmtId="165" fontId="5" fillId="2" borderId="14" xfId="3" applyNumberFormat="1" applyFont="1" applyFill="1" applyBorder="1" applyAlignment="1">
      <alignment horizontal="center"/>
    </xf>
    <xf numFmtId="165" fontId="4" fillId="0" borderId="6" xfId="3" applyNumberFormat="1" applyFont="1" applyBorder="1" applyAlignment="1">
      <alignment horizontal="center"/>
    </xf>
    <xf numFmtId="165" fontId="4" fillId="0" borderId="16" xfId="3" applyNumberFormat="1" applyFont="1" applyBorder="1" applyAlignment="1">
      <alignment horizontal="center"/>
    </xf>
    <xf numFmtId="165" fontId="5" fillId="3" borderId="14" xfId="3" applyNumberFormat="1" applyFont="1" applyFill="1" applyBorder="1" applyAlignment="1">
      <alignment horizontal="center"/>
    </xf>
    <xf numFmtId="165" fontId="7" fillId="0" borderId="15" xfId="3" applyNumberFormat="1" applyFont="1" applyBorder="1" applyAlignment="1">
      <alignment horizontal="center"/>
    </xf>
    <xf numFmtId="165" fontId="7" fillId="0" borderId="5" xfId="3" applyNumberFormat="1" applyFont="1" applyFill="1" applyBorder="1" applyAlignment="1">
      <alignment horizontal="center"/>
    </xf>
    <xf numFmtId="167" fontId="13" fillId="0" borderId="6" xfId="1" applyNumberFormat="1" applyFont="1" applyBorder="1" applyAlignment="1">
      <alignment vertical="center"/>
    </xf>
    <xf numFmtId="165" fontId="8" fillId="0" borderId="6" xfId="3" applyNumberFormat="1" applyFont="1" applyBorder="1" applyAlignment="1">
      <alignment horizontal="center"/>
    </xf>
    <xf numFmtId="165" fontId="4" fillId="0" borderId="6" xfId="2" applyNumberFormat="1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65" fontId="4" fillId="0" borderId="9" xfId="2" applyNumberFormat="1" applyFont="1" applyBorder="1" applyAlignment="1">
      <alignment horizontal="center"/>
    </xf>
    <xf numFmtId="3" fontId="0" fillId="0" borderId="0" xfId="0" applyNumberFormat="1"/>
    <xf numFmtId="0" fontId="2" fillId="0" borderId="0" xfId="0" applyFont="1"/>
    <xf numFmtId="3" fontId="2" fillId="0" borderId="35" xfId="0" applyNumberFormat="1" applyFont="1" applyBorder="1" applyAlignment="1">
      <alignment horizontal="center"/>
    </xf>
    <xf numFmtId="3" fontId="2" fillId="0" borderId="35" xfId="0" applyNumberFormat="1" applyFont="1" applyBorder="1"/>
    <xf numFmtId="3" fontId="0" fillId="0" borderId="35" xfId="0" applyNumberFormat="1" applyBorder="1"/>
    <xf numFmtId="3" fontId="37" fillId="0" borderId="35" xfId="0" applyNumberFormat="1" applyFont="1" applyBorder="1"/>
    <xf numFmtId="0" fontId="37" fillId="0" borderId="0" xfId="0" applyFont="1"/>
    <xf numFmtId="3" fontId="36" fillId="0" borderId="35" xfId="0" applyNumberFormat="1" applyFont="1" applyBorder="1"/>
    <xf numFmtId="0" fontId="36" fillId="0" borderId="0" xfId="0" applyFont="1"/>
    <xf numFmtId="165" fontId="5" fillId="0" borderId="14" xfId="3" applyNumberFormat="1" applyFont="1" applyFill="1" applyBorder="1" applyAlignment="1">
      <alignment horizontal="center"/>
    </xf>
    <xf numFmtId="165" fontId="5" fillId="3" borderId="16" xfId="3" applyNumberFormat="1" applyFont="1" applyFill="1" applyBorder="1" applyAlignment="1">
      <alignment horizontal="center"/>
    </xf>
    <xf numFmtId="0" fontId="13" fillId="0" borderId="0" xfId="2" applyFont="1" applyAlignment="1">
      <alignment vertical="center"/>
    </xf>
    <xf numFmtId="3" fontId="4" fillId="0" borderId="5" xfId="3" applyNumberFormat="1" applyFont="1" applyBorder="1" applyAlignment="1">
      <alignment horizontal="center"/>
    </xf>
    <xf numFmtId="0" fontId="14" fillId="0" borderId="0" xfId="2" applyFont="1" applyAlignment="1">
      <alignment vertical="center"/>
    </xf>
    <xf numFmtId="165" fontId="4" fillId="0" borderId="5" xfId="2" applyNumberFormat="1" applyFont="1" applyBorder="1" applyAlignment="1">
      <alignment horizontal="center"/>
    </xf>
    <xf numFmtId="167" fontId="24" fillId="0" borderId="5" xfId="1" applyNumberFormat="1" applyFont="1" applyFill="1" applyBorder="1" applyAlignment="1" applyProtection="1">
      <alignment vertical="center" wrapText="1"/>
      <protection locked="0"/>
    </xf>
    <xf numFmtId="167" fontId="5" fillId="0" borderId="19" xfId="1" applyNumberFormat="1" applyFont="1" applyBorder="1"/>
    <xf numFmtId="167" fontId="11" fillId="0" borderId="37" xfId="1" applyNumberFormat="1" applyFont="1" applyBorder="1"/>
    <xf numFmtId="167" fontId="24" fillId="0" borderId="16" xfId="1" applyNumberFormat="1" applyFont="1" applyFill="1" applyBorder="1" applyAlignment="1" applyProtection="1">
      <alignment vertical="center" wrapText="1"/>
      <protection locked="0"/>
    </xf>
    <xf numFmtId="0" fontId="44" fillId="0" borderId="0" xfId="0" applyFont="1"/>
    <xf numFmtId="167" fontId="0" fillId="5" borderId="0" xfId="1" applyNumberFormat="1" applyFont="1" applyFill="1"/>
    <xf numFmtId="0" fontId="0" fillId="6" borderId="0" xfId="0" applyFill="1"/>
    <xf numFmtId="167" fontId="45" fillId="0" borderId="0" xfId="1" applyNumberFormat="1" applyFont="1"/>
    <xf numFmtId="0" fontId="45" fillId="0" borderId="0" xfId="0" applyFont="1"/>
    <xf numFmtId="0" fontId="46" fillId="0" borderId="0" xfId="0" applyFont="1"/>
    <xf numFmtId="167" fontId="16" fillId="0" borderId="16" xfId="1" applyNumberFormat="1" applyFont="1" applyBorder="1" applyAlignment="1">
      <alignment horizontal="left" vertical="justify" wrapText="1"/>
    </xf>
    <xf numFmtId="167" fontId="16" fillId="0" borderId="16" xfId="1" applyNumberFormat="1" applyFont="1" applyBorder="1" applyAlignment="1">
      <alignment horizontal="left" wrapText="1"/>
    </xf>
    <xf numFmtId="0" fontId="26" fillId="0" borderId="0" xfId="0" applyFont="1"/>
    <xf numFmtId="167" fontId="26" fillId="7" borderId="0" xfId="1" applyNumberFormat="1" applyFont="1" applyFill="1"/>
    <xf numFmtId="167" fontId="16" fillId="0" borderId="22" xfId="1" applyNumberFormat="1" applyFont="1" applyBorder="1" applyAlignment="1">
      <alignment vertical="distributed" wrapText="1"/>
    </xf>
    <xf numFmtId="0" fontId="26" fillId="0" borderId="16" xfId="0" applyFont="1" applyBorder="1"/>
    <xf numFmtId="167" fontId="26" fillId="7" borderId="35" xfId="1" applyNumberFormat="1" applyFont="1" applyFill="1" applyBorder="1"/>
    <xf numFmtId="0" fontId="0" fillId="5" borderId="0" xfId="0" applyFill="1"/>
    <xf numFmtId="0" fontId="47" fillId="0" borderId="0" xfId="0" applyFont="1"/>
    <xf numFmtId="0" fontId="2" fillId="0" borderId="35" xfId="0" applyFont="1" applyBorder="1" applyAlignment="1">
      <alignment horizontal="center"/>
    </xf>
    <xf numFmtId="0" fontId="2" fillId="0" borderId="37" xfId="0" applyFont="1" applyBorder="1"/>
    <xf numFmtId="0" fontId="2" fillId="0" borderId="35" xfId="0" applyFont="1" applyBorder="1"/>
    <xf numFmtId="3" fontId="36" fillId="0" borderId="37" xfId="0" applyNumberFormat="1" applyFont="1" applyBorder="1"/>
    <xf numFmtId="3" fontId="2" fillId="0" borderId="37" xfId="0" applyNumberFormat="1" applyFont="1" applyBorder="1"/>
    <xf numFmtId="3" fontId="48" fillId="0" borderId="35" xfId="0" applyNumberFormat="1" applyFont="1" applyBorder="1"/>
    <xf numFmtId="0" fontId="48" fillId="0" borderId="0" xfId="0" applyFont="1"/>
    <xf numFmtId="0" fontId="0" fillId="0" borderId="35" xfId="0" applyBorder="1" applyAlignment="1">
      <alignment horizontal="center"/>
    </xf>
    <xf numFmtId="167" fontId="49" fillId="5" borderId="56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3" fontId="50" fillId="0" borderId="0" xfId="0" applyNumberFormat="1" applyFont="1"/>
    <xf numFmtId="3" fontId="50" fillId="5" borderId="0" xfId="0" applyNumberFormat="1" applyFont="1" applyFill="1"/>
    <xf numFmtId="3" fontId="26" fillId="7" borderId="35" xfId="1" applyNumberFormat="1" applyFont="1" applyFill="1" applyBorder="1"/>
    <xf numFmtId="167" fontId="14" fillId="0" borderId="0" xfId="1" applyNumberFormat="1" applyFont="1" applyFill="1" applyBorder="1" applyAlignment="1" applyProtection="1">
      <alignment vertical="center" wrapText="1"/>
      <protection locked="0"/>
    </xf>
    <xf numFmtId="167" fontId="5" fillId="0" borderId="0" xfId="1" applyNumberFormat="1" applyFont="1" applyBorder="1" applyAlignment="1"/>
    <xf numFmtId="167" fontId="7" fillId="0" borderId="37" xfId="1" applyNumberFormat="1" applyFont="1" applyBorder="1" applyAlignment="1">
      <alignment horizontal="left"/>
    </xf>
    <xf numFmtId="167" fontId="7" fillId="0" borderId="28" xfId="1" applyNumberFormat="1" applyFont="1" applyBorder="1"/>
    <xf numFmtId="167" fontId="7" fillId="0" borderId="36" xfId="1" applyNumberFormat="1" applyFont="1" applyBorder="1" applyAlignment="1"/>
    <xf numFmtId="167" fontId="5" fillId="0" borderId="56" xfId="1" applyNumberFormat="1" applyFont="1" applyBorder="1"/>
    <xf numFmtId="167" fontId="5" fillId="0" borderId="30" xfId="1" applyNumberFormat="1" applyFont="1" applyBorder="1"/>
    <xf numFmtId="167" fontId="5" fillId="0" borderId="40" xfId="1" applyNumberFormat="1" applyFont="1" applyBorder="1" applyAlignment="1"/>
    <xf numFmtId="167" fontId="5" fillId="0" borderId="52" xfId="1" applyNumberFormat="1" applyFont="1" applyBorder="1" applyAlignment="1"/>
    <xf numFmtId="167" fontId="5" fillId="0" borderId="60" xfId="1" applyNumberFormat="1" applyFont="1" applyBorder="1" applyAlignment="1">
      <alignment horizontal="left"/>
    </xf>
    <xf numFmtId="167" fontId="7" fillId="0" borderId="51" xfId="1" applyNumberFormat="1" applyFont="1" applyBorder="1"/>
    <xf numFmtId="167" fontId="7" fillId="0" borderId="0" xfId="1" applyNumberFormat="1" applyFont="1" applyBorder="1" applyAlignment="1">
      <alignment horizontal="left"/>
    </xf>
    <xf numFmtId="167" fontId="7" fillId="0" borderId="0" xfId="1" applyNumberFormat="1" applyFont="1" applyBorder="1"/>
    <xf numFmtId="167" fontId="7" fillId="0" borderId="0" xfId="1" applyNumberFormat="1" applyFont="1" applyBorder="1" applyAlignment="1"/>
    <xf numFmtId="0" fontId="3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centerContinuous"/>
    </xf>
    <xf numFmtId="0" fontId="3" fillId="0" borderId="5" xfId="0" applyFont="1" applyBorder="1"/>
    <xf numFmtId="169" fontId="3" fillId="0" borderId="0" xfId="0" applyNumberFormat="1" applyFont="1"/>
    <xf numFmtId="0" fontId="5" fillId="0" borderId="5" xfId="2" applyFont="1" applyBorder="1" applyAlignment="1">
      <alignment horizontal="left"/>
    </xf>
    <xf numFmtId="0" fontId="5" fillId="0" borderId="5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wrapText="1"/>
    </xf>
    <xf numFmtId="165" fontId="6" fillId="0" borderId="0" xfId="2" applyNumberFormat="1" applyFont="1" applyAlignment="1">
      <alignment vertical="center"/>
    </xf>
    <xf numFmtId="3" fontId="1" fillId="0" borderId="35" xfId="0" applyNumberFormat="1" applyFont="1" applyBorder="1"/>
    <xf numFmtId="0" fontId="1" fillId="0" borderId="0" xfId="0" applyFont="1"/>
    <xf numFmtId="0" fontId="0" fillId="0" borderId="35" xfId="0" applyBorder="1"/>
    <xf numFmtId="0" fontId="48" fillId="0" borderId="35" xfId="0" applyFont="1" applyBorder="1"/>
    <xf numFmtId="3" fontId="0" fillId="0" borderId="40" xfId="0" applyNumberFormat="1" applyBorder="1"/>
    <xf numFmtId="3" fontId="53" fillId="0" borderId="35" xfId="0" applyNumberFormat="1" applyFont="1" applyBorder="1"/>
    <xf numFmtId="0" fontId="37" fillId="0" borderId="2" xfId="0" applyFont="1" applyBorder="1"/>
    <xf numFmtId="0" fontId="37" fillId="0" borderId="57" xfId="0" applyFont="1" applyBorder="1"/>
    <xf numFmtId="0" fontId="52" fillId="0" borderId="19" xfId="0" quotePrefix="1" applyFont="1" applyBorder="1" applyAlignment="1">
      <alignment wrapText="1"/>
    </xf>
    <xf numFmtId="0" fontId="52" fillId="0" borderId="2" xfId="0" applyFont="1" applyBorder="1"/>
    <xf numFmtId="0" fontId="52" fillId="0" borderId="11" xfId="0" quotePrefix="1" applyFont="1" applyBorder="1" applyAlignment="1">
      <alignment wrapText="1"/>
    </xf>
    <xf numFmtId="0" fontId="52" fillId="0" borderId="16" xfId="0" applyFont="1" applyBorder="1" applyAlignment="1">
      <alignment horizontal="center" wrapText="1"/>
    </xf>
    <xf numFmtId="167" fontId="0" fillId="0" borderId="4" xfId="0" applyNumberFormat="1" applyBorder="1"/>
    <xf numFmtId="167" fontId="3" fillId="0" borderId="16" xfId="1" applyNumberFormat="1" applyFont="1" applyBorder="1"/>
    <xf numFmtId="3" fontId="3" fillId="0" borderId="35" xfId="0" applyNumberFormat="1" applyFont="1" applyBorder="1" applyAlignment="1">
      <alignment wrapText="1"/>
    </xf>
    <xf numFmtId="167" fontId="3" fillId="0" borderId="14" xfId="1" applyNumberFormat="1" applyFont="1" applyBorder="1"/>
    <xf numFmtId="167" fontId="3" fillId="0" borderId="5" xfId="1" applyNumberFormat="1" applyFont="1" applyBorder="1"/>
    <xf numFmtId="167" fontId="3" fillId="0" borderId="13" xfId="1" applyNumberFormat="1" applyFont="1" applyBorder="1"/>
    <xf numFmtId="167" fontId="3" fillId="0" borderId="11" xfId="1" applyNumberFormat="1" applyFont="1" applyBorder="1"/>
    <xf numFmtId="167" fontId="3" fillId="0" borderId="6" xfId="1" applyNumberFormat="1" applyFont="1" applyBorder="1"/>
    <xf numFmtId="167" fontId="37" fillId="0" borderId="4" xfId="0" applyNumberFormat="1" applyFont="1" applyBorder="1"/>
    <xf numFmtId="167" fontId="13" fillId="0" borderId="4" xfId="1" applyNumberFormat="1" applyFont="1" applyBorder="1"/>
    <xf numFmtId="167" fontId="13" fillId="0" borderId="53" xfId="1" applyNumberFormat="1" applyFont="1" applyBorder="1"/>
    <xf numFmtId="167" fontId="3" fillId="0" borderId="22" xfId="1" applyNumberFormat="1" applyFont="1" applyBorder="1"/>
    <xf numFmtId="167" fontId="3" fillId="0" borderId="48" xfId="1" applyNumberFormat="1" applyFont="1" applyBorder="1"/>
    <xf numFmtId="167" fontId="3" fillId="0" borderId="23" xfId="1" applyNumberFormat="1" applyFont="1" applyBorder="1"/>
    <xf numFmtId="167" fontId="13" fillId="0" borderId="65" xfId="0" applyNumberFormat="1" applyFont="1" applyBorder="1"/>
    <xf numFmtId="167" fontId="13" fillId="0" borderId="28" xfId="0" applyNumberFormat="1" applyFont="1" applyBorder="1"/>
    <xf numFmtId="167" fontId="13" fillId="0" borderId="29" xfId="0" applyNumberFormat="1" applyFont="1" applyBorder="1"/>
    <xf numFmtId="167" fontId="13" fillId="0" borderId="7" xfId="0" applyNumberFormat="1" applyFont="1" applyBorder="1"/>
    <xf numFmtId="167" fontId="13" fillId="0" borderId="59" xfId="0" applyNumberFormat="1" applyFont="1" applyBorder="1"/>
    <xf numFmtId="0" fontId="13" fillId="0" borderId="0" xfId="0" applyFont="1"/>
    <xf numFmtId="167" fontId="3" fillId="0" borderId="0" xfId="0" applyNumberFormat="1" applyFont="1"/>
    <xf numFmtId="0" fontId="53" fillId="5" borderId="37" xfId="0" applyFont="1" applyFill="1" applyBorder="1" applyAlignment="1">
      <alignment horizontal="center"/>
    </xf>
    <xf numFmtId="170" fontId="14" fillId="0" borderId="44" xfId="1" applyNumberFormat="1" applyFont="1" applyBorder="1"/>
    <xf numFmtId="0" fontId="53" fillId="0" borderId="0" xfId="0" applyFont="1"/>
    <xf numFmtId="3" fontId="56" fillId="0" borderId="0" xfId="0" applyNumberFormat="1" applyFont="1"/>
    <xf numFmtId="167" fontId="57" fillId="5" borderId="5" xfId="1" applyNumberFormat="1" applyFont="1" applyFill="1" applyBorder="1" applyAlignment="1">
      <alignment horizontal="center"/>
    </xf>
    <xf numFmtId="165" fontId="8" fillId="0" borderId="22" xfId="3" applyNumberFormat="1" applyFont="1" applyBorder="1" applyAlignment="1">
      <alignment horizontal="center"/>
    </xf>
    <xf numFmtId="165" fontId="4" fillId="0" borderId="11" xfId="3" applyNumberFormat="1" applyFont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5" fillId="0" borderId="5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9" fontId="42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2" fillId="0" borderId="4" xfId="1" applyNumberFormat="1" applyFont="1" applyBorder="1" applyAlignment="1">
      <alignment horizontal="center"/>
    </xf>
    <xf numFmtId="3" fontId="52" fillId="0" borderId="35" xfId="0" applyNumberFormat="1" applyFont="1" applyBorder="1" applyAlignment="1">
      <alignment horizontal="center"/>
    </xf>
    <xf numFmtId="49" fontId="43" fillId="0" borderId="4" xfId="1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8" fontId="24" fillId="0" borderId="71" xfId="4" applyNumberFormat="1" applyFont="1" applyFill="1" applyBorder="1" applyAlignment="1" applyProtection="1">
      <alignment vertical="center" wrapText="1"/>
      <protection locked="0"/>
    </xf>
    <xf numFmtId="1" fontId="24" fillId="0" borderId="71" xfId="4" applyNumberFormat="1" applyFont="1" applyFill="1" applyBorder="1" applyAlignment="1" applyProtection="1">
      <alignment vertical="center" wrapText="1"/>
      <protection locked="0"/>
    </xf>
    <xf numFmtId="168" fontId="25" fillId="0" borderId="26" xfId="4" applyNumberFormat="1" applyFont="1" applyFill="1" applyBorder="1" applyAlignment="1" applyProtection="1">
      <alignment vertical="center" wrapText="1"/>
    </xf>
    <xf numFmtId="1" fontId="24" fillId="0" borderId="71" xfId="4" applyNumberFormat="1" applyFont="1" applyFill="1" applyBorder="1" applyAlignment="1" applyProtection="1">
      <alignment horizontal="right" vertical="center" wrapText="1"/>
      <protection locked="0"/>
    </xf>
    <xf numFmtId="168" fontId="25" fillId="0" borderId="52" xfId="4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0" fillId="0" borderId="22" xfId="2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48" fillId="0" borderId="36" xfId="0" applyFont="1" applyBorder="1" applyAlignment="1">
      <alignment horizontal="center"/>
    </xf>
    <xf numFmtId="0" fontId="48" fillId="0" borderId="44" xfId="0" applyFont="1" applyBorder="1" applyAlignment="1">
      <alignment horizontal="center"/>
    </xf>
    <xf numFmtId="0" fontId="53" fillId="0" borderId="36" xfId="0" applyFont="1" applyBorder="1" applyAlignment="1">
      <alignment horizontal="center"/>
    </xf>
    <xf numFmtId="0" fontId="3" fillId="0" borderId="41" xfId="0" applyFont="1" applyBorder="1"/>
    <xf numFmtId="0" fontId="3" fillId="0" borderId="45" xfId="0" applyFont="1" applyBorder="1"/>
    <xf numFmtId="3" fontId="57" fillId="0" borderId="35" xfId="0" applyNumberFormat="1" applyFont="1" applyBorder="1"/>
    <xf numFmtId="0" fontId="49" fillId="0" borderId="0" xfId="0" applyFont="1"/>
    <xf numFmtId="167" fontId="1" fillId="0" borderId="35" xfId="1" applyNumberFormat="1" applyBorder="1" applyAlignment="1">
      <alignment horizontal="right"/>
    </xf>
    <xf numFmtId="0" fontId="37" fillId="0" borderId="36" xfId="0" applyFont="1" applyBorder="1" applyAlignment="1">
      <alignment horizontal="center" vertical="distributed" wrapText="1"/>
    </xf>
    <xf numFmtId="3" fontId="36" fillId="0" borderId="0" xfId="0" applyNumberFormat="1" applyFont="1"/>
    <xf numFmtId="0" fontId="38" fillId="0" borderId="0" xfId="0" applyFont="1"/>
    <xf numFmtId="3" fontId="43" fillId="0" borderId="35" xfId="0" applyNumberFormat="1" applyFont="1" applyBorder="1"/>
    <xf numFmtId="0" fontId="43" fillId="0" borderId="0" xfId="0" applyFont="1"/>
    <xf numFmtId="3" fontId="3" fillId="0" borderId="35" xfId="0" applyNumberFormat="1" applyFont="1" applyBorder="1"/>
    <xf numFmtId="0" fontId="59" fillId="0" borderId="0" xfId="0" applyFont="1"/>
    <xf numFmtId="3" fontId="59" fillId="0" borderId="35" xfId="0" applyNumberFormat="1" applyFont="1" applyBorder="1"/>
    <xf numFmtId="0" fontId="39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41" fillId="0" borderId="0" xfId="0" applyFont="1" applyAlignment="1">
      <alignment horizontal="center" vertical="top"/>
    </xf>
    <xf numFmtId="0" fontId="0" fillId="0" borderId="41" xfId="0" applyBorder="1"/>
    <xf numFmtId="0" fontId="0" fillId="0" borderId="45" xfId="0" applyBorder="1"/>
    <xf numFmtId="3" fontId="0" fillId="0" borderId="45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72" xfId="0" applyBorder="1" applyAlignment="1">
      <alignment wrapText="1"/>
    </xf>
    <xf numFmtId="3" fontId="0" fillId="0" borderId="72" xfId="0" applyNumberFormat="1" applyBorder="1" applyAlignment="1">
      <alignment horizontal="center"/>
    </xf>
    <xf numFmtId="3" fontId="3" fillId="0" borderId="72" xfId="0" applyNumberFormat="1" applyFont="1" applyBorder="1" applyAlignment="1">
      <alignment horizontal="center"/>
    </xf>
    <xf numFmtId="49" fontId="42" fillId="0" borderId="7" xfId="1" applyNumberFormat="1" applyFont="1" applyBorder="1" applyAlignment="1">
      <alignment horizontal="center"/>
    </xf>
    <xf numFmtId="49" fontId="0" fillId="0" borderId="63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54" fillId="0" borderId="0" xfId="0" applyFont="1"/>
    <xf numFmtId="0" fontId="54" fillId="0" borderId="15" xfId="0" applyFont="1" applyBorder="1" applyAlignment="1">
      <alignment horizontal="left" vertical="center" wrapText="1"/>
    </xf>
    <xf numFmtId="167" fontId="6" fillId="0" borderId="4" xfId="1" applyNumberFormat="1" applyFont="1" applyBorder="1"/>
    <xf numFmtId="167" fontId="0" fillId="0" borderId="35" xfId="1" applyNumberFormat="1" applyFont="1" applyBorder="1"/>
    <xf numFmtId="0" fontId="0" fillId="5" borderId="0" xfId="0" applyFill="1" applyAlignment="1">
      <alignment horizontal="center"/>
    </xf>
    <xf numFmtId="0" fontId="37" fillId="0" borderId="35" xfId="0" applyFont="1" applyBorder="1"/>
    <xf numFmtId="167" fontId="26" fillId="7" borderId="37" xfId="1" applyNumberFormat="1" applyFont="1" applyFill="1" applyBorder="1"/>
    <xf numFmtId="0" fontId="5" fillId="0" borderId="5" xfId="2" applyFont="1" applyBorder="1" applyAlignment="1">
      <alignment horizontal="left"/>
    </xf>
    <xf numFmtId="0" fontId="34" fillId="0" borderId="0" xfId="0" applyFont="1" applyAlignment="1">
      <alignment horizontal="center"/>
    </xf>
    <xf numFmtId="167" fontId="34" fillId="0" borderId="0" xfId="1" applyNumberFormat="1" applyFont="1" applyAlignment="1">
      <alignment horizontal="center"/>
    </xf>
    <xf numFmtId="0" fontId="34" fillId="0" borderId="0" xfId="0" applyFont="1" applyAlignment="1">
      <alignment horizontal="center" vertical="center"/>
    </xf>
    <xf numFmtId="167" fontId="34" fillId="0" borderId="0" xfId="1" applyNumberFormat="1" applyFont="1" applyAlignment="1">
      <alignment horizontal="center" vertical="center"/>
    </xf>
    <xf numFmtId="0" fontId="35" fillId="0" borderId="0" xfId="0" applyFont="1"/>
    <xf numFmtId="167" fontId="35" fillId="0" borderId="0" xfId="1" applyNumberFormat="1" applyFont="1"/>
    <xf numFmtId="0" fontId="35" fillId="0" borderId="0" xfId="0" applyFont="1" applyAlignment="1">
      <alignment horizontal="left"/>
    </xf>
    <xf numFmtId="167" fontId="35" fillId="0" borderId="5" xfId="1" quotePrefix="1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167" fontId="60" fillId="0" borderId="5" xfId="1" quotePrefix="1" applyNumberFormat="1" applyFont="1" applyBorder="1" applyAlignment="1">
      <alignment horizontal="center" vertical="center"/>
    </xf>
    <xf numFmtId="167" fontId="60" fillId="0" borderId="22" xfId="1" quotePrefix="1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/>
    </xf>
    <xf numFmtId="167" fontId="34" fillId="0" borderId="11" xfId="1" quotePrefix="1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167" fontId="35" fillId="0" borderId="0" xfId="0" applyNumberFormat="1" applyFont="1"/>
    <xf numFmtId="169" fontId="35" fillId="0" borderId="0" xfId="0" applyNumberFormat="1" applyFont="1"/>
    <xf numFmtId="0" fontId="3" fillId="0" borderId="16" xfId="0" applyFont="1" applyBorder="1"/>
    <xf numFmtId="3" fontId="0" fillId="0" borderId="0" xfId="0" applyNumberFormat="1" applyAlignment="1">
      <alignment wrapText="1"/>
    </xf>
    <xf numFmtId="3" fontId="12" fillId="0" borderId="0" xfId="0" applyNumberFormat="1" applyFont="1" applyAlignment="1">
      <alignment wrapText="1"/>
    </xf>
    <xf numFmtId="0" fontId="5" fillId="0" borderId="5" xfId="2" applyFont="1" applyBorder="1" applyAlignment="1">
      <alignment horizontal="left"/>
    </xf>
    <xf numFmtId="0" fontId="0" fillId="0" borderId="41" xfId="0" applyBorder="1" applyAlignment="1">
      <alignment horizontal="center"/>
    </xf>
    <xf numFmtId="0" fontId="52" fillId="0" borderId="40" xfId="0" applyFont="1" applyBorder="1" applyAlignment="1">
      <alignment horizontal="center" vertical="distributed" wrapText="1"/>
    </xf>
    <xf numFmtId="0" fontId="52" fillId="0" borderId="38" xfId="0" applyFont="1" applyBorder="1" applyAlignment="1">
      <alignment horizontal="center" vertical="distributed" wrapText="1"/>
    </xf>
    <xf numFmtId="168" fontId="29" fillId="0" borderId="42" xfId="4" applyNumberFormat="1" applyFont="1" applyFill="1" applyBorder="1" applyAlignment="1" applyProtection="1">
      <alignment horizontal="left" vertical="center" wrapText="1" indent="1"/>
      <protection locked="0"/>
    </xf>
    <xf numFmtId="167" fontId="26" fillId="0" borderId="33" xfId="1" applyNumberFormat="1" applyFont="1" applyBorder="1"/>
    <xf numFmtId="167" fontId="26" fillId="0" borderId="61" xfId="1" applyNumberFormat="1" applyFont="1" applyBorder="1"/>
    <xf numFmtId="167" fontId="26" fillId="0" borderId="38" xfId="1" applyNumberFormat="1" applyFont="1" applyBorder="1"/>
    <xf numFmtId="167" fontId="6" fillId="0" borderId="17" xfId="1" applyNumberFormat="1" applyFont="1" applyBorder="1"/>
    <xf numFmtId="168" fontId="19" fillId="0" borderId="42" xfId="4" applyNumberFormat="1" applyFont="1" applyFill="1" applyBorder="1" applyAlignment="1" applyProtection="1">
      <alignment horizontal="left" vertical="center" wrapText="1" indent="1"/>
      <protection locked="0"/>
    </xf>
    <xf numFmtId="168" fontId="61" fillId="0" borderId="42" xfId="4" applyNumberFormat="1" applyFont="1" applyFill="1" applyBorder="1" applyAlignment="1" applyProtection="1">
      <alignment horizontal="left" vertical="center" wrapText="1" indent="1"/>
      <protection locked="0"/>
    </xf>
    <xf numFmtId="167" fontId="62" fillId="0" borderId="63" xfId="1" applyNumberFormat="1" applyFont="1" applyFill="1" applyBorder="1" applyAlignment="1" applyProtection="1">
      <alignment vertical="center" wrapText="1"/>
      <protection locked="0"/>
    </xf>
    <xf numFmtId="167" fontId="62" fillId="0" borderId="0" xfId="1" applyNumberFormat="1" applyFont="1" applyFill="1" applyBorder="1" applyAlignment="1" applyProtection="1">
      <alignment vertical="center" wrapText="1"/>
      <protection locked="0"/>
    </xf>
    <xf numFmtId="167" fontId="62" fillId="0" borderId="43" xfId="1" applyNumberFormat="1" applyFont="1" applyFill="1" applyBorder="1" applyAlignment="1" applyProtection="1">
      <alignment vertical="center" wrapText="1"/>
      <protection locked="0"/>
    </xf>
    <xf numFmtId="167" fontId="14" fillId="0" borderId="40" xfId="1" applyNumberFormat="1" applyFont="1" applyFill="1" applyBorder="1" applyAlignment="1" applyProtection="1">
      <alignment vertical="center" wrapText="1"/>
      <protection locked="0"/>
    </xf>
    <xf numFmtId="167" fontId="62" fillId="0" borderId="5" xfId="1" applyNumberFormat="1" applyFont="1" applyFill="1" applyBorder="1" applyAlignment="1" applyProtection="1">
      <alignment vertical="center" wrapText="1"/>
      <protection locked="0"/>
    </xf>
    <xf numFmtId="168" fontId="25" fillId="0" borderId="67" xfId="4" applyNumberFormat="1" applyFont="1" applyFill="1" applyBorder="1" applyAlignment="1" applyProtection="1">
      <alignment vertical="center" wrapText="1"/>
    </xf>
    <xf numFmtId="168" fontId="25" fillId="0" borderId="5" xfId="4" applyNumberFormat="1" applyFont="1" applyFill="1" applyBorder="1" applyAlignment="1" applyProtection="1">
      <alignment vertical="center" wrapText="1"/>
    </xf>
    <xf numFmtId="168" fontId="20" fillId="0" borderId="52" xfId="4" applyNumberFormat="1" applyFont="1" applyFill="1" applyBorder="1" applyAlignment="1" applyProtection="1">
      <alignment vertical="center" wrapText="1"/>
    </xf>
    <xf numFmtId="168" fontId="63" fillId="0" borderId="52" xfId="4" applyNumberFormat="1" applyFont="1" applyFill="1" applyBorder="1" applyAlignment="1" applyProtection="1">
      <alignment vertical="center" wrapText="1"/>
    </xf>
    <xf numFmtId="168" fontId="25" fillId="0" borderId="64" xfId="4" applyNumberFormat="1" applyFont="1" applyFill="1" applyBorder="1" applyAlignment="1" applyProtection="1">
      <alignment vertical="center" wrapText="1"/>
    </xf>
    <xf numFmtId="0" fontId="50" fillId="0" borderId="0" xfId="0" applyFont="1"/>
    <xf numFmtId="168" fontId="29" fillId="0" borderId="60" xfId="4" applyNumberFormat="1" applyFont="1" applyFill="1" applyBorder="1" applyAlignment="1" applyProtection="1">
      <alignment horizontal="left" vertical="center" wrapText="1" indent="1"/>
      <protection locked="0"/>
    </xf>
    <xf numFmtId="167" fontId="26" fillId="0" borderId="0" xfId="1" applyNumberFormat="1" applyFont="1" applyBorder="1"/>
    <xf numFmtId="168" fontId="28" fillId="0" borderId="52" xfId="4" applyNumberFormat="1" applyFont="1" applyFill="1" applyBorder="1" applyAlignment="1" applyProtection="1">
      <alignment vertical="center" wrapText="1"/>
    </xf>
    <xf numFmtId="1" fontId="64" fillId="0" borderId="65" xfId="4" applyNumberFormat="1" applyFont="1" applyFill="1" applyBorder="1" applyAlignment="1" applyProtection="1">
      <alignment horizontal="right" vertical="center" wrapText="1"/>
      <protection locked="0"/>
    </xf>
    <xf numFmtId="168" fontId="20" fillId="0" borderId="35" xfId="4" applyNumberFormat="1" applyFont="1" applyFill="1" applyBorder="1" applyAlignment="1" applyProtection="1">
      <alignment vertical="center" wrapText="1"/>
    </xf>
    <xf numFmtId="168" fontId="28" fillId="0" borderId="38" xfId="4" applyNumberFormat="1" applyFont="1" applyFill="1" applyBorder="1" applyAlignment="1" applyProtection="1">
      <alignment vertical="center" wrapText="1"/>
    </xf>
    <xf numFmtId="168" fontId="19" fillId="0" borderId="27" xfId="4" applyNumberFormat="1" applyFont="1" applyFill="1" applyBorder="1" applyAlignment="1" applyProtection="1">
      <alignment horizontal="left" vertical="center" wrapText="1" indent="1"/>
      <protection locked="0"/>
    </xf>
    <xf numFmtId="168" fontId="63" fillId="0" borderId="35" xfId="4" applyNumberFormat="1" applyFont="1" applyFill="1" applyBorder="1" applyAlignment="1" applyProtection="1">
      <alignment vertical="center" wrapText="1"/>
    </xf>
    <xf numFmtId="168" fontId="65" fillId="0" borderId="65" xfId="4" applyNumberFormat="1" applyFont="1" applyFill="1" applyBorder="1" applyAlignment="1" applyProtection="1">
      <alignment vertical="center" wrapText="1"/>
      <protection locked="0"/>
    </xf>
    <xf numFmtId="1" fontId="65" fillId="0" borderId="65" xfId="4" applyNumberFormat="1" applyFont="1" applyFill="1" applyBorder="1" applyAlignment="1" applyProtection="1">
      <alignment vertical="center" wrapText="1"/>
      <protection locked="0"/>
    </xf>
    <xf numFmtId="168" fontId="65" fillId="0" borderId="29" xfId="4" applyNumberFormat="1" applyFont="1" applyFill="1" applyBorder="1" applyAlignment="1" applyProtection="1">
      <alignment vertical="center" wrapText="1"/>
    </xf>
    <xf numFmtId="168" fontId="19" fillId="0" borderId="60" xfId="4" applyNumberFormat="1" applyFont="1" applyFill="1" applyBorder="1" applyAlignment="1" applyProtection="1">
      <alignment horizontal="left" vertical="center" wrapText="1" indent="1"/>
      <protection locked="0"/>
    </xf>
    <xf numFmtId="167" fontId="14" fillId="0" borderId="22" xfId="1" applyNumberFormat="1" applyFont="1" applyFill="1" applyBorder="1" applyAlignment="1" applyProtection="1">
      <alignment vertical="center" wrapText="1"/>
      <protection locked="0"/>
    </xf>
    <xf numFmtId="167" fontId="14" fillId="0" borderId="52" xfId="1" applyNumberFormat="1" applyFont="1" applyFill="1" applyBorder="1" applyAlignment="1" applyProtection="1">
      <alignment vertical="center" wrapText="1"/>
      <protection locked="0"/>
    </xf>
    <xf numFmtId="168" fontId="25" fillId="0" borderId="22" xfId="4" applyNumberFormat="1" applyFont="1" applyFill="1" applyBorder="1" applyAlignment="1" applyProtection="1">
      <alignment vertical="center" wrapText="1"/>
    </xf>
    <xf numFmtId="167" fontId="14" fillId="0" borderId="72" xfId="1" applyNumberFormat="1" applyFont="1" applyFill="1" applyBorder="1" applyAlignment="1" applyProtection="1">
      <alignment vertical="center" wrapText="1"/>
      <protection locked="0"/>
    </xf>
    <xf numFmtId="1" fontId="24" fillId="0" borderId="20" xfId="4" applyNumberFormat="1" applyFont="1" applyFill="1" applyBorder="1" applyAlignment="1" applyProtection="1">
      <alignment vertical="center" wrapText="1"/>
      <protection locked="0"/>
    </xf>
    <xf numFmtId="167" fontId="14" fillId="0" borderId="28" xfId="1" applyNumberFormat="1" applyFont="1" applyFill="1" applyBorder="1" applyAlignment="1" applyProtection="1">
      <alignment vertical="center" wrapText="1"/>
      <protection locked="0"/>
    </xf>
    <xf numFmtId="167" fontId="14" fillId="0" borderId="36" xfId="1" applyNumberFormat="1" applyFont="1" applyFill="1" applyBorder="1" applyAlignment="1" applyProtection="1">
      <alignment vertical="center" wrapText="1"/>
      <protection locked="0"/>
    </xf>
    <xf numFmtId="168" fontId="25" fillId="0" borderId="51" xfId="4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66" fillId="0" borderId="0" xfId="0" applyFont="1"/>
    <xf numFmtId="0" fontId="67" fillId="0" borderId="0" xfId="0" applyFont="1"/>
    <xf numFmtId="3" fontId="50" fillId="0" borderId="60" xfId="0" applyNumberFormat="1" applyFont="1" applyBorder="1"/>
    <xf numFmtId="0" fontId="68" fillId="0" borderId="0" xfId="0" applyFont="1"/>
    <xf numFmtId="0" fontId="69" fillId="0" borderId="0" xfId="0" applyFont="1"/>
    <xf numFmtId="3" fontId="68" fillId="0" borderId="0" xfId="0" applyNumberFormat="1" applyFont="1"/>
    <xf numFmtId="3" fontId="57" fillId="0" borderId="36" xfId="0" applyNumberFormat="1" applyFont="1" applyBorder="1"/>
    <xf numFmtId="3" fontId="57" fillId="0" borderId="0" xfId="0" applyNumberFormat="1" applyFont="1"/>
    <xf numFmtId="3" fontId="57" fillId="0" borderId="38" xfId="0" applyNumberFormat="1" applyFont="1" applyBorder="1"/>
    <xf numFmtId="3" fontId="67" fillId="0" borderId="35" xfId="0" applyNumberFormat="1" applyFont="1" applyBorder="1"/>
    <xf numFmtId="0" fontId="70" fillId="0" borderId="0" xfId="0" applyFont="1"/>
    <xf numFmtId="167" fontId="53" fillId="0" borderId="4" xfId="0" applyNumberFormat="1" applyFont="1" applyBorder="1"/>
    <xf numFmtId="3" fontId="0" fillId="0" borderId="0" xfId="0" applyNumberForma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7" fontId="26" fillId="7" borderId="0" xfId="1" applyNumberFormat="1" applyFont="1" applyFill="1" applyAlignment="1">
      <alignment horizontal="center"/>
    </xf>
    <xf numFmtId="170" fontId="14" fillId="0" borderId="44" xfId="1" applyNumberFormat="1" applyFont="1" applyBorder="1" applyAlignment="1">
      <alignment horizontal="center"/>
    </xf>
    <xf numFmtId="167" fontId="45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26" fillId="7" borderId="44" xfId="1" applyNumberFormat="1" applyFont="1" applyFill="1" applyBorder="1" applyAlignment="1">
      <alignment horizontal="center"/>
    </xf>
    <xf numFmtId="167" fontId="26" fillId="7" borderId="35" xfId="1" applyNumberFormat="1" applyFont="1" applyFill="1" applyBorder="1" applyAlignment="1">
      <alignment horizontal="center"/>
    </xf>
    <xf numFmtId="167" fontId="16" fillId="0" borderId="0" xfId="1" applyNumberFormat="1" applyFont="1" applyBorder="1" applyAlignment="1">
      <alignment vertical="distributed" wrapText="1"/>
    </xf>
    <xf numFmtId="0" fontId="0" fillId="5" borderId="0" xfId="0" applyFill="1" applyAlignment="1">
      <alignment horizontal="left"/>
    </xf>
    <xf numFmtId="167" fontId="16" fillId="0" borderId="0" xfId="1" applyNumberFormat="1" applyFont="1"/>
    <xf numFmtId="0" fontId="0" fillId="0" borderId="0" xfId="0"/>
    <xf numFmtId="0" fontId="0" fillId="0" borderId="0" xfId="0"/>
    <xf numFmtId="0" fontId="12" fillId="0" borderId="0" xfId="0" applyFont="1"/>
    <xf numFmtId="165" fontId="5" fillId="0" borderId="0" xfId="2" applyNumberFormat="1" applyFont="1" applyAlignment="1">
      <alignment horizontal="center" vertical="center" wrapText="1"/>
    </xf>
    <xf numFmtId="0" fontId="5" fillId="0" borderId="0" xfId="2" applyFont="1" applyBorder="1" applyAlignment="1">
      <alignment horizontal="left"/>
    </xf>
    <xf numFmtId="168" fontId="18" fillId="0" borderId="0" xfId="4" applyNumberFormat="1" applyFill="1" applyAlignment="1">
      <alignment vertical="center" wrapText="1"/>
    </xf>
    <xf numFmtId="167" fontId="0" fillId="0" borderId="0" xfId="5" applyNumberFormat="1" applyFont="1"/>
    <xf numFmtId="168" fontId="3" fillId="0" borderId="0" xfId="4" applyNumberFormat="1" applyFont="1" applyFill="1" applyAlignment="1">
      <alignment horizontal="right" wrapText="1"/>
    </xf>
    <xf numFmtId="168" fontId="20" fillId="0" borderId="27" xfId="4" applyNumberFormat="1" applyFont="1" applyFill="1" applyBorder="1" applyAlignment="1">
      <alignment horizontal="center" vertical="center" wrapText="1"/>
    </xf>
    <xf numFmtId="168" fontId="20" fillId="0" borderId="28" xfId="4" applyNumberFormat="1" applyFont="1" applyFill="1" applyBorder="1" applyAlignment="1">
      <alignment horizontal="center" vertical="center" wrapText="1"/>
    </xf>
    <xf numFmtId="168" fontId="20" fillId="0" borderId="29" xfId="4" applyNumberFormat="1" applyFont="1" applyFill="1" applyBorder="1" applyAlignment="1" applyProtection="1">
      <alignment horizontal="center" vertical="center" wrapText="1"/>
    </xf>
    <xf numFmtId="168" fontId="21" fillId="0" borderId="32" xfId="4" applyNumberFormat="1" applyFont="1" applyFill="1" applyBorder="1" applyAlignment="1" applyProtection="1">
      <alignment horizontal="center" vertical="center" wrapText="1"/>
    </xf>
    <xf numFmtId="168" fontId="21" fillId="0" borderId="33" xfId="4" applyNumberFormat="1" applyFont="1" applyFill="1" applyBorder="1" applyAlignment="1" applyProtection="1">
      <alignment horizontal="center" vertical="center" wrapText="1"/>
    </xf>
    <xf numFmtId="168" fontId="21" fillId="0" borderId="34" xfId="4" applyNumberFormat="1" applyFont="1" applyFill="1" applyBorder="1" applyAlignment="1" applyProtection="1">
      <alignment horizontal="center" vertical="center" wrapText="1"/>
    </xf>
    <xf numFmtId="168" fontId="19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8" fontId="19" fillId="0" borderId="5" xfId="4" applyNumberFormat="1" applyFont="1" applyFill="1" applyBorder="1" applyAlignment="1" applyProtection="1">
      <alignment vertical="center" wrapText="1"/>
      <protection locked="0"/>
    </xf>
    <xf numFmtId="168" fontId="22" fillId="0" borderId="6" xfId="4" applyNumberFormat="1" applyFont="1" applyFill="1" applyBorder="1" applyAlignment="1" applyProtection="1">
      <alignment vertical="center" wrapText="1"/>
    </xf>
    <xf numFmtId="0" fontId="23" fillId="0" borderId="0" xfId="0" applyFont="1"/>
    <xf numFmtId="168" fontId="24" fillId="0" borderId="5" xfId="4" applyNumberFormat="1" applyFont="1" applyFill="1" applyBorder="1" applyAlignment="1" applyProtection="1">
      <alignment vertical="center" wrapText="1"/>
      <protection locked="0"/>
    </xf>
    <xf numFmtId="1" fontId="24" fillId="0" borderId="5" xfId="4" applyNumberFormat="1" applyFont="1" applyFill="1" applyBorder="1" applyAlignment="1" applyProtection="1">
      <alignment vertical="center" wrapText="1"/>
      <protection locked="0"/>
    </xf>
    <xf numFmtId="168" fontId="25" fillId="0" borderId="6" xfId="4" applyNumberFormat="1" applyFont="1" applyFill="1" applyBorder="1" applyAlignment="1" applyProtection="1">
      <alignment vertical="center" wrapText="1"/>
    </xf>
    <xf numFmtId="168" fontId="24" fillId="0" borderId="22" xfId="4" applyNumberFormat="1" applyFont="1" applyFill="1" applyBorder="1" applyAlignment="1" applyProtection="1">
      <alignment vertical="center" wrapText="1"/>
      <protection locked="0"/>
    </xf>
    <xf numFmtId="1" fontId="24" fillId="0" borderId="22" xfId="4" applyNumberFormat="1" applyFont="1" applyFill="1" applyBorder="1" applyAlignment="1" applyProtection="1">
      <alignment vertical="center" wrapText="1"/>
      <protection locked="0"/>
    </xf>
    <xf numFmtId="168" fontId="25" fillId="0" borderId="23" xfId="4" applyNumberFormat="1" applyFont="1" applyFill="1" applyBorder="1" applyAlignment="1" applyProtection="1">
      <alignment vertical="center" wrapText="1"/>
    </xf>
    <xf numFmtId="168" fontId="19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19" fillId="0" borderId="27" xfId="4" applyNumberFormat="1" applyFont="1" applyFill="1" applyBorder="1" applyAlignment="1" applyProtection="1">
      <alignment vertical="center" wrapText="1"/>
      <protection locked="0"/>
    </xf>
    <xf numFmtId="168" fontId="25" fillId="0" borderId="29" xfId="4" applyNumberFormat="1" applyFont="1" applyFill="1" applyBorder="1" applyAlignment="1" applyProtection="1">
      <alignment vertical="center" wrapText="1"/>
    </xf>
    <xf numFmtId="168" fontId="25" fillId="0" borderId="13" xfId="4" applyNumberFormat="1" applyFont="1" applyFill="1" applyBorder="1" applyAlignment="1" applyProtection="1">
      <alignment vertical="center" wrapText="1"/>
    </xf>
    <xf numFmtId="168" fontId="19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" fontId="24" fillId="0" borderId="14" xfId="4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0" applyFont="1"/>
    <xf numFmtId="0" fontId="33" fillId="0" borderId="0" xfId="0" applyFont="1"/>
    <xf numFmtId="168" fontId="18" fillId="0" borderId="0" xfId="4" applyNumberFormat="1" applyFill="1" applyAlignment="1">
      <alignment horizontal="center" vertical="center" wrapText="1"/>
    </xf>
    <xf numFmtId="168" fontId="18" fillId="0" borderId="0" xfId="4" applyNumberFormat="1" applyFont="1" applyFill="1" applyAlignment="1">
      <alignment vertical="center" wrapText="1"/>
    </xf>
    <xf numFmtId="168" fontId="27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18" fillId="0" borderId="0" xfId="4" applyNumberFormat="1" applyFont="1" applyFill="1" applyBorder="1" applyAlignment="1">
      <alignment vertical="center" wrapText="1"/>
    </xf>
    <xf numFmtId="0" fontId="18" fillId="0" borderId="0" xfId="4" applyNumberFormat="1" applyFont="1" applyFill="1" applyBorder="1" applyAlignment="1">
      <alignment horizontal="center" vertical="center" wrapText="1"/>
    </xf>
    <xf numFmtId="168" fontId="28" fillId="0" borderId="0" xfId="4" applyNumberFormat="1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 vertical="center" wrapText="1"/>
    </xf>
    <xf numFmtId="0" fontId="5" fillId="0" borderId="27" xfId="0" applyFont="1" applyBorder="1"/>
    <xf numFmtId="0" fontId="5" fillId="0" borderId="10" xfId="0" applyFont="1" applyBorder="1"/>
    <xf numFmtId="0" fontId="71" fillId="0" borderId="4" xfId="0" applyFont="1" applyBorder="1" applyAlignment="1">
      <alignment horizontal="right"/>
    </xf>
    <xf numFmtId="0" fontId="5" fillId="0" borderId="4" xfId="0" applyFont="1" applyBorder="1"/>
    <xf numFmtId="0" fontId="5" fillId="0" borderId="21" xfId="0" applyFont="1" applyBorder="1"/>
    <xf numFmtId="0" fontId="5" fillId="0" borderId="0" xfId="0" applyFont="1"/>
    <xf numFmtId="168" fontId="73" fillId="0" borderId="0" xfId="4" applyNumberFormat="1" applyFont="1" applyFill="1" applyAlignment="1">
      <alignment horizontal="right"/>
    </xf>
    <xf numFmtId="168" fontId="20" fillId="0" borderId="42" xfId="4" applyNumberFormat="1" applyFont="1" applyFill="1" applyBorder="1" applyAlignment="1">
      <alignment horizontal="center" vertical="center"/>
    </xf>
    <xf numFmtId="168" fontId="20" fillId="0" borderId="9" xfId="4" applyNumberFormat="1" applyFont="1" applyFill="1" applyBorder="1" applyAlignment="1">
      <alignment horizontal="center" vertical="center" wrapText="1"/>
    </xf>
    <xf numFmtId="168" fontId="21" fillId="0" borderId="37" xfId="4" applyNumberFormat="1" applyFont="1" applyFill="1" applyBorder="1" applyAlignment="1">
      <alignment horizontal="center" vertical="center" wrapText="1"/>
    </xf>
    <xf numFmtId="168" fontId="21" fillId="0" borderId="35" xfId="4" applyNumberFormat="1" applyFont="1" applyFill="1" applyBorder="1" applyAlignment="1">
      <alignment horizontal="center" vertical="center" wrapText="1"/>
    </xf>
    <xf numFmtId="168" fontId="21" fillId="0" borderId="51" xfId="4" applyNumberFormat="1" applyFont="1" applyFill="1" applyBorder="1" applyAlignment="1">
      <alignment horizontal="center" vertical="center" wrapText="1"/>
    </xf>
    <xf numFmtId="168" fontId="21" fillId="0" borderId="29" xfId="4" applyNumberFormat="1" applyFont="1" applyFill="1" applyBorder="1" applyAlignment="1">
      <alignment horizontal="center" vertical="center" wrapText="1"/>
    </xf>
    <xf numFmtId="168" fontId="21" fillId="0" borderId="52" xfId="4" applyNumberFormat="1" applyFont="1" applyFill="1" applyBorder="1" applyAlignment="1">
      <alignment horizontal="center" vertical="center" wrapText="1"/>
    </xf>
    <xf numFmtId="168" fontId="21" fillId="0" borderId="27" xfId="4" applyNumberFormat="1" applyFont="1" applyFill="1" applyBorder="1" applyAlignment="1">
      <alignment horizontal="center" vertical="center" wrapText="1"/>
    </xf>
    <xf numFmtId="168" fontId="21" fillId="0" borderId="35" xfId="4" applyNumberFormat="1" applyFont="1" applyFill="1" applyBorder="1" applyAlignment="1">
      <alignment horizontal="left" vertical="center" wrapText="1" indent="1"/>
    </xf>
    <xf numFmtId="168" fontId="74" fillId="0" borderId="28" xfId="4" applyNumberFormat="1" applyFont="1" applyFill="1" applyBorder="1" applyAlignment="1" applyProtection="1">
      <alignment horizontal="left" vertical="center" wrapText="1" indent="2"/>
    </xf>
    <xf numFmtId="168" fontId="74" fillId="0" borderId="35" xfId="4" applyNumberFormat="1" applyFont="1" applyFill="1" applyBorder="1" applyAlignment="1" applyProtection="1">
      <alignment vertical="center" wrapText="1"/>
    </xf>
    <xf numFmtId="168" fontId="74" fillId="0" borderId="27" xfId="4" applyNumberFormat="1" applyFont="1" applyFill="1" applyBorder="1" applyAlignment="1" applyProtection="1">
      <alignment vertical="center" wrapText="1"/>
    </xf>
    <xf numFmtId="168" fontId="74" fillId="0" borderId="28" xfId="4" applyNumberFormat="1" applyFont="1" applyFill="1" applyBorder="1" applyAlignment="1" applyProtection="1">
      <alignment vertical="center" wrapText="1"/>
    </xf>
    <xf numFmtId="168" fontId="74" fillId="0" borderId="29" xfId="4" applyNumberFormat="1" applyFont="1" applyFill="1" applyBorder="1" applyAlignment="1" applyProtection="1">
      <alignment vertical="center" wrapText="1"/>
    </xf>
    <xf numFmtId="168" fontId="74" fillId="0" borderId="35" xfId="4" applyNumberFormat="1" applyFont="1" applyFill="1" applyBorder="1" applyAlignment="1">
      <alignment vertical="center" wrapText="1"/>
    </xf>
    <xf numFmtId="168" fontId="21" fillId="0" borderId="4" xfId="4" applyNumberFormat="1" applyFont="1" applyFill="1" applyBorder="1" applyAlignment="1">
      <alignment horizontal="center" vertical="center" wrapText="1"/>
    </xf>
    <xf numFmtId="168" fontId="74" fillId="0" borderId="53" xfId="4" applyNumberFormat="1" applyFont="1" applyFill="1" applyBorder="1" applyAlignment="1" applyProtection="1">
      <alignment horizontal="left" vertical="center" wrapText="1" indent="1"/>
      <protection locked="0"/>
    </xf>
    <xf numFmtId="171" fontId="24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74" fillId="0" borderId="53" xfId="4" applyNumberFormat="1" applyFont="1" applyFill="1" applyBorder="1" applyAlignment="1" applyProtection="1">
      <alignment vertical="center" wrapText="1"/>
      <protection locked="0"/>
    </xf>
    <xf numFmtId="168" fontId="74" fillId="0" borderId="4" xfId="4" applyNumberFormat="1" applyFont="1" applyFill="1" applyBorder="1" applyAlignment="1" applyProtection="1">
      <alignment vertical="center" wrapText="1"/>
      <protection locked="0"/>
    </xf>
    <xf numFmtId="168" fontId="74" fillId="0" borderId="5" xfId="4" applyNumberFormat="1" applyFont="1" applyFill="1" applyBorder="1" applyAlignment="1" applyProtection="1">
      <alignment vertical="center" wrapText="1"/>
      <protection locked="0"/>
    </xf>
    <xf numFmtId="168" fontId="74" fillId="0" borderId="6" xfId="4" applyNumberFormat="1" applyFont="1" applyFill="1" applyBorder="1" applyAlignment="1" applyProtection="1">
      <alignment vertical="center" wrapText="1"/>
      <protection locked="0"/>
    </xf>
    <xf numFmtId="168" fontId="74" fillId="0" borderId="53" xfId="4" applyNumberFormat="1" applyFont="1" applyFill="1" applyBorder="1" applyAlignment="1">
      <alignment vertical="center" wrapText="1"/>
    </xf>
    <xf numFmtId="168" fontId="21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4" fillId="0" borderId="28" xfId="4" applyNumberFormat="1" applyFont="1" applyFill="1" applyBorder="1" applyAlignment="1" applyProtection="1">
      <alignment horizontal="left" vertical="center" wrapText="1" indent="2"/>
    </xf>
    <xf numFmtId="14" fontId="24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8" fontId="75" fillId="0" borderId="27" xfId="4" applyNumberFormat="1" applyFont="1" applyFill="1" applyBorder="1" applyAlignment="1">
      <alignment horizontal="center" vertical="center" wrapText="1"/>
    </xf>
    <xf numFmtId="168" fontId="75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75" fillId="0" borderId="28" xfId="4" applyNumberFormat="1" applyFont="1" applyFill="1" applyBorder="1" applyAlignment="1" applyProtection="1">
      <alignment horizontal="left" vertical="center" wrapText="1" indent="2"/>
    </xf>
    <xf numFmtId="168" fontId="75" fillId="0" borderId="35" xfId="4" applyNumberFormat="1" applyFont="1" applyFill="1" applyBorder="1" applyAlignment="1" applyProtection="1">
      <alignment vertical="center" wrapText="1"/>
    </xf>
    <xf numFmtId="168" fontId="75" fillId="0" borderId="27" xfId="4" applyNumberFormat="1" applyFont="1" applyFill="1" applyBorder="1" applyAlignment="1" applyProtection="1">
      <alignment vertical="center" wrapText="1"/>
    </xf>
    <xf numFmtId="168" fontId="75" fillId="0" borderId="0" xfId="4" applyNumberFormat="1" applyFont="1" applyFill="1" applyAlignment="1">
      <alignment vertical="center" wrapText="1"/>
    </xf>
    <xf numFmtId="168" fontId="21" fillId="0" borderId="10" xfId="4" applyNumberFormat="1" applyFont="1" applyFill="1" applyBorder="1" applyAlignment="1">
      <alignment horizontal="center" vertical="center" wrapText="1"/>
    </xf>
    <xf numFmtId="168" fontId="24" fillId="0" borderId="13" xfId="4" applyNumberFormat="1" applyFont="1" applyFill="1" applyBorder="1" applyAlignment="1" applyProtection="1">
      <alignment vertical="center" wrapText="1"/>
    </xf>
    <xf numFmtId="168" fontId="24" fillId="0" borderId="11" xfId="4" applyNumberFormat="1" applyFont="1" applyFill="1" applyBorder="1" applyAlignment="1" applyProtection="1">
      <alignment vertical="center" wrapText="1"/>
      <protection locked="0"/>
    </xf>
    <xf numFmtId="168" fontId="24" fillId="0" borderId="13" xfId="4" applyNumberFormat="1" applyFont="1" applyFill="1" applyBorder="1" applyAlignment="1" applyProtection="1">
      <alignment vertical="center" wrapText="1"/>
      <protection locked="0"/>
    </xf>
    <xf numFmtId="168" fontId="24" fillId="0" borderId="54" xfId="4" applyNumberFormat="1" applyFont="1" applyFill="1" applyBorder="1" applyAlignment="1">
      <alignment vertical="center" wrapText="1"/>
    </xf>
    <xf numFmtId="171" fontId="24" fillId="0" borderId="22" xfId="4" applyNumberFormat="1" applyFont="1" applyFill="1" applyBorder="1" applyAlignment="1" applyProtection="1">
      <alignment horizontal="left" vertical="center" wrapText="1" indent="2"/>
      <protection locked="0"/>
    </xf>
    <xf numFmtId="168" fontId="74" fillId="0" borderId="55" xfId="4" applyNumberFormat="1" applyFont="1" applyFill="1" applyBorder="1" applyAlignment="1" applyProtection="1">
      <alignment vertical="center" wrapText="1"/>
      <protection locked="0"/>
    </xf>
    <xf numFmtId="168" fontId="74" fillId="0" borderId="21" xfId="4" applyNumberFormat="1" applyFont="1" applyFill="1" applyBorder="1" applyAlignment="1" applyProtection="1">
      <alignment vertical="center" wrapText="1"/>
      <protection locked="0"/>
    </xf>
    <xf numFmtId="168" fontId="74" fillId="0" borderId="22" xfId="4" applyNumberFormat="1" applyFont="1" applyFill="1" applyBorder="1" applyAlignment="1" applyProtection="1">
      <alignment vertical="center" wrapText="1"/>
      <protection locked="0"/>
    </xf>
    <xf numFmtId="168" fontId="74" fillId="0" borderId="23" xfId="4" applyNumberFormat="1" applyFont="1" applyFill="1" applyBorder="1" applyAlignment="1" applyProtection="1">
      <alignment vertical="center" wrapText="1"/>
      <protection locked="0"/>
    </xf>
    <xf numFmtId="168" fontId="74" fillId="0" borderId="55" xfId="4" applyNumberFormat="1" applyFont="1" applyFill="1" applyBorder="1" applyAlignment="1">
      <alignment vertical="center" wrapText="1"/>
    </xf>
    <xf numFmtId="168" fontId="72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74" fillId="0" borderId="35" xfId="4" applyNumberFormat="1" applyFont="1" applyFill="1" applyBorder="1" applyAlignment="1" applyProtection="1">
      <alignment vertical="center" wrapText="1"/>
      <protection locked="0"/>
    </xf>
    <xf numFmtId="168" fontId="74" fillId="0" borderId="27" xfId="4" applyNumberFormat="1" applyFont="1" applyFill="1" applyBorder="1" applyAlignment="1" applyProtection="1">
      <alignment vertical="center" wrapText="1"/>
      <protection locked="0"/>
    </xf>
    <xf numFmtId="168" fontId="74" fillId="0" borderId="28" xfId="4" applyNumberFormat="1" applyFont="1" applyFill="1" applyBorder="1" applyAlignment="1" applyProtection="1">
      <alignment vertical="center" wrapText="1"/>
      <protection locked="0"/>
    </xf>
    <xf numFmtId="168" fontId="74" fillId="0" borderId="29" xfId="4" applyNumberFormat="1" applyFont="1" applyFill="1" applyBorder="1" applyAlignment="1" applyProtection="1">
      <alignment vertical="center" wrapText="1"/>
      <protection locked="0"/>
    </xf>
    <xf numFmtId="168" fontId="74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171" fontId="24" fillId="0" borderId="56" xfId="4" applyNumberFormat="1" applyFont="1" applyFill="1" applyBorder="1" applyAlignment="1" applyProtection="1">
      <alignment horizontal="left" vertical="center" wrapText="1" indent="2"/>
      <protection locked="0"/>
    </xf>
    <xf numFmtId="168" fontId="74" fillId="0" borderId="52" xfId="4" applyNumberFormat="1" applyFont="1" applyFill="1" applyBorder="1" applyAlignment="1" applyProtection="1">
      <alignment vertical="center" wrapText="1"/>
      <protection locked="0"/>
    </xf>
    <xf numFmtId="168" fontId="74" fillId="0" borderId="24" xfId="4" applyNumberFormat="1" applyFont="1" applyFill="1" applyBorder="1" applyAlignment="1" applyProtection="1">
      <alignment vertical="center" wrapText="1"/>
      <protection locked="0"/>
    </xf>
    <xf numFmtId="168" fontId="74" fillId="0" borderId="20" xfId="4" applyNumberFormat="1" applyFont="1" applyFill="1" applyBorder="1" applyAlignment="1" applyProtection="1">
      <alignment vertical="center" wrapText="1"/>
      <protection locked="0"/>
    </xf>
    <xf numFmtId="168" fontId="74" fillId="0" borderId="26" xfId="4" applyNumberFormat="1" applyFont="1" applyFill="1" applyBorder="1" applyAlignment="1" applyProtection="1">
      <alignment vertical="center" wrapText="1"/>
      <protection locked="0"/>
    </xf>
    <xf numFmtId="168" fontId="74" fillId="0" borderId="52" xfId="4" applyNumberFormat="1" applyFont="1" applyFill="1" applyBorder="1" applyAlignment="1">
      <alignment vertical="center" wrapText="1"/>
    </xf>
    <xf numFmtId="168" fontId="29" fillId="3" borderId="51" xfId="4" applyNumberFormat="1" applyFont="1" applyFill="1" applyBorder="1" applyAlignment="1" applyProtection="1">
      <alignment horizontal="left" vertical="center" wrapText="1" indent="2"/>
    </xf>
    <xf numFmtId="168" fontId="29" fillId="0" borderId="35" xfId="4" applyNumberFormat="1" applyFont="1" applyFill="1" applyBorder="1" applyAlignment="1" applyProtection="1">
      <alignment vertical="center" wrapText="1"/>
    </xf>
    <xf numFmtId="168" fontId="29" fillId="0" borderId="27" xfId="4" applyNumberFormat="1" applyFont="1" applyFill="1" applyBorder="1" applyAlignment="1" applyProtection="1">
      <alignment vertical="center" wrapText="1"/>
    </xf>
    <xf numFmtId="168" fontId="29" fillId="0" borderId="28" xfId="4" applyNumberFormat="1" applyFont="1" applyFill="1" applyBorder="1" applyAlignment="1" applyProtection="1">
      <alignment vertical="center" wrapText="1"/>
    </xf>
    <xf numFmtId="168" fontId="29" fillId="0" borderId="29" xfId="4" applyNumberFormat="1" applyFont="1" applyFill="1" applyBorder="1" applyAlignment="1" applyProtection="1">
      <alignment vertical="center" wrapText="1"/>
    </xf>
    <xf numFmtId="168" fontId="29" fillId="0" borderId="35" xfId="4" applyNumberFormat="1" applyFont="1" applyFill="1" applyBorder="1" applyAlignment="1">
      <alignment vertical="center" wrapText="1"/>
    </xf>
    <xf numFmtId="168" fontId="29" fillId="0" borderId="0" xfId="4" applyNumberFormat="1" applyFont="1" applyFill="1" applyAlignment="1">
      <alignment vertical="center" wrapText="1"/>
    </xf>
    <xf numFmtId="168" fontId="18" fillId="0" borderId="0" xfId="4" applyNumberFormat="1" applyFont="1" applyFill="1" applyAlignment="1">
      <alignment horizontal="right" vertical="center" wrapText="1"/>
    </xf>
    <xf numFmtId="3" fontId="0" fillId="0" borderId="0" xfId="0" applyNumberFormat="1"/>
    <xf numFmtId="0" fontId="2" fillId="0" borderId="0" xfId="0" applyFont="1"/>
    <xf numFmtId="168" fontId="28" fillId="0" borderId="46" xfId="4" applyNumberFormat="1" applyFont="1" applyFill="1" applyBorder="1" applyAlignment="1" applyProtection="1">
      <alignment horizontal="left" vertical="center" wrapText="1" indent="1"/>
      <protection locked="0"/>
    </xf>
    <xf numFmtId="168" fontId="24" fillId="0" borderId="20" xfId="4" applyNumberFormat="1" applyFont="1" applyFill="1" applyBorder="1" applyAlignment="1" applyProtection="1">
      <alignment vertical="center" wrapText="1"/>
      <protection locked="0"/>
    </xf>
    <xf numFmtId="168" fontId="24" fillId="0" borderId="16" xfId="4" applyNumberFormat="1" applyFont="1" applyFill="1" applyBorder="1" applyAlignment="1" applyProtection="1">
      <alignment vertical="center" wrapText="1"/>
    </xf>
    <xf numFmtId="168" fontId="24" fillId="0" borderId="6" xfId="4" applyNumberFormat="1" applyFont="1" applyFill="1" applyBorder="1" applyAlignment="1" applyProtection="1">
      <alignment vertical="center" wrapText="1"/>
      <protection locked="0"/>
    </xf>
    <xf numFmtId="168" fontId="24" fillId="0" borderId="53" xfId="4" applyNumberFormat="1" applyFont="1" applyFill="1" applyBorder="1" applyAlignment="1">
      <alignment vertical="center" wrapText="1"/>
    </xf>
    <xf numFmtId="167" fontId="26" fillId="0" borderId="0" xfId="5" applyNumberFormat="1" applyFont="1" applyFill="1"/>
    <xf numFmtId="167" fontId="45" fillId="0" borderId="0" xfId="5" applyNumberFormat="1" applyFont="1"/>
    <xf numFmtId="0" fontId="45" fillId="0" borderId="0" xfId="0" applyFont="1"/>
    <xf numFmtId="167" fontId="26" fillId="7" borderId="0" xfId="5" applyNumberFormat="1" applyFont="1" applyFill="1"/>
    <xf numFmtId="167" fontId="45" fillId="0" borderId="0" xfId="5" applyNumberFormat="1" applyFont="1" applyBorder="1"/>
    <xf numFmtId="167" fontId="76" fillId="0" borderId="0" xfId="5" applyNumberFormat="1" applyFont="1"/>
    <xf numFmtId="167" fontId="45" fillId="5" borderId="0" xfId="5" applyNumberFormat="1" applyFont="1" applyFill="1" applyBorder="1"/>
    <xf numFmtId="167" fontId="26" fillId="8" borderId="0" xfId="5" applyNumberFormat="1" applyFont="1" applyFill="1"/>
    <xf numFmtId="167" fontId="77" fillId="0" borderId="0" xfId="5" applyNumberFormat="1" applyFont="1" applyFill="1"/>
    <xf numFmtId="164" fontId="0" fillId="0" borderId="0" xfId="5" applyFont="1"/>
    <xf numFmtId="0" fontId="12" fillId="8" borderId="5" xfId="0" applyFont="1" applyFill="1" applyBorder="1"/>
    <xf numFmtId="167" fontId="12" fillId="5" borderId="5" xfId="5" applyNumberFormat="1" applyFont="1" applyFill="1" applyBorder="1"/>
    <xf numFmtId="167" fontId="12" fillId="5" borderId="0" xfId="5" applyNumberFormat="1" applyFont="1" applyFill="1"/>
    <xf numFmtId="167" fontId="17" fillId="8" borderId="5" xfId="5" applyNumberFormat="1" applyFont="1" applyFill="1" applyBorder="1"/>
    <xf numFmtId="0" fontId="78" fillId="5" borderId="5" xfId="0" applyFont="1" applyFill="1" applyBorder="1"/>
    <xf numFmtId="167" fontId="26" fillId="5" borderId="5" xfId="5" applyNumberFormat="1" applyFont="1" applyFill="1" applyBorder="1"/>
    <xf numFmtId="0" fontId="0" fillId="8" borderId="0" xfId="0" applyFill="1"/>
    <xf numFmtId="167" fontId="12" fillId="0" borderId="40" xfId="5" applyNumberFormat="1" applyFont="1" applyBorder="1"/>
    <xf numFmtId="167" fontId="0" fillId="0" borderId="0" xfId="5" applyNumberFormat="1" applyFont="1" applyAlignment="1">
      <alignment horizontal="center"/>
    </xf>
    <xf numFmtId="167" fontId="0" fillId="5" borderId="5" xfId="5" applyNumberFormat="1" applyFont="1" applyFill="1" applyBorder="1"/>
    <xf numFmtId="167" fontId="45" fillId="5" borderId="5" xfId="5" applyNumberFormat="1" applyFont="1" applyFill="1" applyBorder="1"/>
    <xf numFmtId="0" fontId="0" fillId="7" borderId="0" xfId="0" applyFill="1"/>
    <xf numFmtId="167" fontId="0" fillId="7" borderId="0" xfId="5" applyNumberFormat="1" applyFont="1" applyFill="1"/>
    <xf numFmtId="0" fontId="0" fillId="5" borderId="0" xfId="0" applyFill="1"/>
    <xf numFmtId="167" fontId="26" fillId="5" borderId="35" xfId="5" applyNumberFormat="1" applyFont="1" applyFill="1" applyBorder="1"/>
    <xf numFmtId="167" fontId="12" fillId="5" borderId="0" xfId="5" applyNumberFormat="1" applyFont="1" applyFill="1" applyBorder="1"/>
    <xf numFmtId="0" fontId="2" fillId="0" borderId="37" xfId="0" applyFont="1" applyBorder="1"/>
    <xf numFmtId="0" fontId="0" fillId="0" borderId="0" xfId="0" applyAlignment="1"/>
    <xf numFmtId="168" fontId="1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5" fillId="0" borderId="0" xfId="4" applyNumberFormat="1" applyFont="1" applyFill="1" applyBorder="1" applyAlignment="1" applyProtection="1">
      <alignment vertical="center" wrapText="1"/>
    </xf>
    <xf numFmtId="168" fontId="20" fillId="0" borderId="51" xfId="4" applyNumberFormat="1" applyFont="1" applyFill="1" applyBorder="1" applyAlignment="1">
      <alignment horizontal="center" vertical="center" wrapText="1"/>
    </xf>
    <xf numFmtId="168" fontId="21" fillId="0" borderId="61" xfId="4" applyNumberFormat="1" applyFont="1" applyFill="1" applyBorder="1" applyAlignment="1" applyProtection="1">
      <alignment horizontal="center" vertical="center" wrapText="1"/>
    </xf>
    <xf numFmtId="168" fontId="20" fillId="0" borderId="35" xfId="4" applyNumberFormat="1" applyFont="1" applyFill="1" applyBorder="1" applyAlignment="1" applyProtection="1">
      <alignment horizontal="center" vertical="center" wrapText="1"/>
    </xf>
    <xf numFmtId="168" fontId="21" fillId="0" borderId="38" xfId="4" applyNumberFormat="1" applyFont="1" applyFill="1" applyBorder="1" applyAlignment="1" applyProtection="1">
      <alignment horizontal="center" vertical="center" wrapText="1"/>
    </xf>
    <xf numFmtId="168" fontId="25" fillId="0" borderId="35" xfId="4" applyNumberFormat="1" applyFont="1" applyFill="1" applyBorder="1" applyAlignment="1" applyProtection="1">
      <alignment vertical="center" wrapText="1"/>
    </xf>
    <xf numFmtId="168" fontId="25" fillId="0" borderId="54" xfId="4" applyNumberFormat="1" applyFont="1" applyFill="1" applyBorder="1" applyAlignment="1" applyProtection="1">
      <alignment vertical="center" wrapText="1"/>
    </xf>
    <xf numFmtId="168" fontId="25" fillId="0" borderId="53" xfId="4" applyNumberFormat="1" applyFont="1" applyFill="1" applyBorder="1" applyAlignment="1" applyProtection="1">
      <alignment vertical="center" wrapText="1"/>
    </xf>
    <xf numFmtId="168" fontId="25" fillId="0" borderId="55" xfId="4" applyNumberFormat="1" applyFont="1" applyFill="1" applyBorder="1" applyAlignment="1" applyProtection="1">
      <alignment vertical="center" wrapText="1"/>
    </xf>
    <xf numFmtId="168" fontId="31" fillId="0" borderId="38" xfId="4" applyNumberFormat="1" applyFont="1" applyFill="1" applyBorder="1" applyAlignment="1" applyProtection="1">
      <alignment vertical="center" wrapText="1"/>
    </xf>
    <xf numFmtId="168" fontId="27" fillId="0" borderId="62" xfId="4" applyNumberFormat="1" applyFont="1" applyFill="1" applyBorder="1" applyAlignment="1" applyProtection="1">
      <alignment horizontal="left" vertical="center" wrapText="1" indent="1"/>
      <protection locked="0"/>
    </xf>
    <xf numFmtId="1" fontId="24" fillId="0" borderId="12" xfId="4" applyNumberFormat="1" applyFont="1" applyFill="1" applyBorder="1" applyAlignment="1" applyProtection="1">
      <alignment horizontal="right" vertical="center" wrapText="1"/>
      <protection locked="0"/>
    </xf>
    <xf numFmtId="1" fontId="24" fillId="0" borderId="18" xfId="4" applyNumberFormat="1" applyFont="1" applyFill="1" applyBorder="1" applyAlignment="1" applyProtection="1">
      <alignment horizontal="right" vertical="center" wrapText="1"/>
      <protection locked="0"/>
    </xf>
    <xf numFmtId="168" fontId="31" fillId="0" borderId="42" xfId="4" applyNumberFormat="1" applyFont="1" applyFill="1" applyBorder="1" applyAlignment="1">
      <alignment horizontal="left" vertical="center" wrapText="1"/>
    </xf>
    <xf numFmtId="168" fontId="32" fillId="0" borderId="33" xfId="4" applyNumberFormat="1" applyFont="1" applyFill="1" applyBorder="1" applyAlignment="1">
      <alignment vertical="center" wrapText="1"/>
    </xf>
    <xf numFmtId="168" fontId="32" fillId="0" borderId="61" xfId="4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5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44" xfId="0" applyNumberFormat="1" applyFont="1" applyBorder="1" applyAlignment="1">
      <alignment horizontal="center"/>
    </xf>
    <xf numFmtId="167" fontId="5" fillId="0" borderId="28" xfId="1" applyNumberFormat="1" applyFont="1" applyBorder="1" applyAlignment="1">
      <alignment horizontal="center"/>
    </xf>
    <xf numFmtId="167" fontId="5" fillId="0" borderId="29" xfId="1" applyNumberFormat="1" applyFont="1" applyBorder="1" applyAlignment="1">
      <alignment horizontal="center"/>
    </xf>
    <xf numFmtId="167" fontId="5" fillId="0" borderId="11" xfId="1" applyNumberFormat="1" applyFont="1" applyBorder="1"/>
    <xf numFmtId="167" fontId="5" fillId="0" borderId="13" xfId="1" applyNumberFormat="1" applyFont="1" applyBorder="1"/>
    <xf numFmtId="167" fontId="5" fillId="0" borderId="5" xfId="1" applyNumberFormat="1" applyFont="1" applyBorder="1"/>
    <xf numFmtId="167" fontId="5" fillId="0" borderId="22" xfId="1" applyNumberFormat="1" applyFont="1" applyBorder="1"/>
    <xf numFmtId="167" fontId="5" fillId="0" borderId="26" xfId="1" applyNumberFormat="1" applyFont="1" applyBorder="1"/>
    <xf numFmtId="167" fontId="5" fillId="0" borderId="28" xfId="1" applyNumberFormat="1" applyFont="1" applyBorder="1"/>
    <xf numFmtId="167" fontId="5" fillId="0" borderId="29" xfId="1" applyNumberFormat="1" applyFont="1" applyBorder="1"/>
    <xf numFmtId="167" fontId="5" fillId="0" borderId="0" xfId="1" applyNumberFormat="1" applyFont="1"/>
    <xf numFmtId="167" fontId="5" fillId="0" borderId="0" xfId="1" applyNumberFormat="1" applyFont="1" applyBorder="1"/>
    <xf numFmtId="167" fontId="16" fillId="0" borderId="11" xfId="1" applyNumberFormat="1" applyFont="1" applyBorder="1" applyAlignment="1">
      <alignment vertical="distributed" wrapText="1"/>
    </xf>
    <xf numFmtId="167" fontId="16" fillId="0" borderId="50" xfId="1" applyNumberFormat="1" applyFont="1" applyBorder="1" applyAlignment="1">
      <alignment vertical="distributed" wrapText="1"/>
    </xf>
    <xf numFmtId="167" fontId="5" fillId="0" borderId="5" xfId="1" applyNumberFormat="1" applyFont="1" applyBorder="1" applyAlignment="1">
      <alignment vertical="distributed" wrapText="1"/>
    </xf>
    <xf numFmtId="167" fontId="16" fillId="0" borderId="47" xfId="1" applyNumberFormat="1" applyFont="1" applyBorder="1" applyAlignment="1">
      <alignment vertical="distributed" wrapText="1"/>
    </xf>
    <xf numFmtId="167" fontId="5" fillId="0" borderId="47" xfId="1" applyNumberFormat="1" applyFont="1" applyBorder="1" applyAlignment="1">
      <alignment vertical="distributed" wrapText="1"/>
    </xf>
    <xf numFmtId="167" fontId="5" fillId="0" borderId="50" xfId="1" applyNumberFormat="1" applyFont="1" applyBorder="1" applyAlignment="1">
      <alignment vertical="distributed" wrapText="1"/>
    </xf>
    <xf numFmtId="167" fontId="16" fillId="0" borderId="5" xfId="1" applyNumberFormat="1" applyFont="1" applyBorder="1" applyAlignment="1">
      <alignment vertical="distributed" wrapText="1"/>
    </xf>
    <xf numFmtId="3" fontId="49" fillId="0" borderId="0" xfId="0" applyNumberFormat="1" applyFont="1" applyAlignment="1">
      <alignment horizontal="center"/>
    </xf>
    <xf numFmtId="0" fontId="2" fillId="0" borderId="36" xfId="0" applyFont="1" applyBorder="1"/>
    <xf numFmtId="167" fontId="49" fillId="0" borderId="0" xfId="1" applyNumberFormat="1" applyFont="1"/>
    <xf numFmtId="0" fontId="49" fillId="0" borderId="40" xfId="0" applyFont="1" applyBorder="1"/>
    <xf numFmtId="0" fontId="49" fillId="0" borderId="38" xfId="0" applyFont="1" applyBorder="1"/>
    <xf numFmtId="0" fontId="49" fillId="0" borderId="52" xfId="0" applyFont="1" applyBorder="1"/>
    <xf numFmtId="0" fontId="79" fillId="0" borderId="35" xfId="0" applyFont="1" applyBorder="1" applyAlignment="1">
      <alignment vertical="distributed" wrapText="1"/>
    </xf>
    <xf numFmtId="0" fontId="49" fillId="0" borderId="37" xfId="0" applyFont="1" applyBorder="1" applyAlignment="1"/>
    <xf numFmtId="3" fontId="49" fillId="0" borderId="38" xfId="0" applyNumberFormat="1" applyFont="1" applyBorder="1"/>
    <xf numFmtId="0" fontId="49" fillId="0" borderId="33" xfId="0" applyFont="1" applyBorder="1" applyAlignment="1"/>
    <xf numFmtId="3" fontId="49" fillId="0" borderId="35" xfId="0" applyNumberFormat="1" applyFont="1" applyBorder="1"/>
    <xf numFmtId="0" fontId="49" fillId="0" borderId="28" xfId="0" applyFont="1" applyBorder="1" applyAlignment="1"/>
    <xf numFmtId="0" fontId="49" fillId="0" borderId="39" xfId="0" applyFont="1" applyBorder="1" applyAlignment="1"/>
    <xf numFmtId="3" fontId="49" fillId="0" borderId="40" xfId="0" applyNumberFormat="1" applyFont="1" applyBorder="1"/>
    <xf numFmtId="0" fontId="49" fillId="0" borderId="19" xfId="0" applyFont="1" applyBorder="1" applyAlignment="1"/>
    <xf numFmtId="0" fontId="49" fillId="0" borderId="42" xfId="0" applyFont="1" applyBorder="1" applyAlignment="1"/>
    <xf numFmtId="0" fontId="49" fillId="0" borderId="38" xfId="0" applyFont="1" applyBorder="1" applyAlignment="1"/>
    <xf numFmtId="0" fontId="49" fillId="0" borderId="43" xfId="0" applyFont="1" applyBorder="1" applyAlignment="1"/>
    <xf numFmtId="0" fontId="49" fillId="0" borderId="35" xfId="0" applyFont="1" applyBorder="1" applyAlignment="1"/>
    <xf numFmtId="0" fontId="49" fillId="0" borderId="44" xfId="0" applyFont="1" applyBorder="1" applyAlignment="1"/>
    <xf numFmtId="167" fontId="49" fillId="0" borderId="0" xfId="0" applyNumberFormat="1" applyFont="1"/>
    <xf numFmtId="0" fontId="49" fillId="0" borderId="36" xfId="0" applyFont="1" applyBorder="1" applyAlignment="1"/>
    <xf numFmtId="0" fontId="49" fillId="0" borderId="51" xfId="0" applyFont="1" applyBorder="1" applyAlignment="1"/>
    <xf numFmtId="0" fontId="49" fillId="0" borderId="61" xfId="0" applyFont="1" applyBorder="1" applyAlignment="1"/>
    <xf numFmtId="0" fontId="49" fillId="0" borderId="5" xfId="0" applyFont="1" applyBorder="1" applyAlignment="1"/>
    <xf numFmtId="0" fontId="49" fillId="0" borderId="22" xfId="0" applyFont="1" applyBorder="1" applyAlignment="1"/>
    <xf numFmtId="0" fontId="49" fillId="0" borderId="41" xfId="0" applyFont="1" applyBorder="1" applyAlignment="1"/>
    <xf numFmtId="0" fontId="49" fillId="0" borderId="40" xfId="0" applyFont="1" applyBorder="1" applyAlignment="1"/>
    <xf numFmtId="0" fontId="49" fillId="0" borderId="0" xfId="0" applyFont="1" applyBorder="1" applyAlignment="1"/>
    <xf numFmtId="0" fontId="49" fillId="0" borderId="36" xfId="0" applyFont="1" applyFill="1" applyBorder="1" applyAlignment="1"/>
    <xf numFmtId="0" fontId="80" fillId="0" borderId="20" xfId="0" applyFont="1" applyBorder="1" applyAlignment="1"/>
    <xf numFmtId="0" fontId="80" fillId="0" borderId="63" xfId="0" applyFont="1" applyBorder="1" applyAlignment="1"/>
    <xf numFmtId="0" fontId="80" fillId="0" borderId="38" xfId="0" applyFont="1" applyBorder="1" applyAlignment="1"/>
    <xf numFmtId="0" fontId="80" fillId="0" borderId="0" xfId="0" applyFont="1"/>
    <xf numFmtId="0" fontId="49" fillId="0" borderId="22" xfId="0" applyFont="1" applyFill="1" applyBorder="1" applyAlignment="1"/>
    <xf numFmtId="0" fontId="49" fillId="0" borderId="0" xfId="0" applyFont="1" applyFill="1" applyBorder="1" applyAlignment="1"/>
    <xf numFmtId="0" fontId="80" fillId="0" borderId="28" xfId="0" applyFont="1" applyBorder="1" applyAlignment="1"/>
    <xf numFmtId="0" fontId="80" fillId="0" borderId="36" xfId="0" applyFont="1" applyBorder="1" applyAlignment="1"/>
    <xf numFmtId="0" fontId="80" fillId="0" borderId="35" xfId="0" applyFont="1" applyBorder="1" applyAlignment="1"/>
    <xf numFmtId="0" fontId="57" fillId="0" borderId="0" xfId="0" applyFont="1"/>
    <xf numFmtId="167" fontId="24" fillId="0" borderId="11" xfId="1" applyNumberFormat="1" applyFont="1" applyFill="1" applyBorder="1" applyAlignment="1" applyProtection="1">
      <alignment vertical="center" wrapText="1"/>
      <protection locked="0"/>
    </xf>
    <xf numFmtId="167" fontId="24" fillId="0" borderId="47" xfId="1" applyNumberFormat="1" applyFont="1" applyFill="1" applyBorder="1" applyAlignment="1" applyProtection="1">
      <alignment vertical="center" wrapText="1"/>
      <protection locked="0"/>
    </xf>
    <xf numFmtId="167" fontId="5" fillId="0" borderId="46" xfId="1" applyNumberFormat="1" applyFont="1" applyBorder="1" applyAlignment="1">
      <alignment horizontal="left"/>
    </xf>
    <xf numFmtId="167" fontId="5" fillId="0" borderId="5" xfId="1" applyNumberFormat="1" applyFont="1" applyBorder="1" applyAlignment="1"/>
    <xf numFmtId="167" fontId="7" fillId="0" borderId="29" xfId="1" applyNumberFormat="1" applyFont="1" applyBorder="1"/>
    <xf numFmtId="167" fontId="5" fillId="0" borderId="20" xfId="1" applyNumberFormat="1" applyFont="1" applyBorder="1"/>
    <xf numFmtId="167" fontId="5" fillId="0" borderId="71" xfId="1" applyNumberFormat="1" applyFont="1" applyBorder="1"/>
    <xf numFmtId="167" fontId="7" fillId="0" borderId="65" xfId="1" applyNumberFormat="1" applyFont="1" applyBorder="1"/>
    <xf numFmtId="167" fontId="7" fillId="0" borderId="36" xfId="1" applyNumberFormat="1" applyFont="1" applyBorder="1"/>
    <xf numFmtId="167" fontId="7" fillId="0" borderId="44" xfId="1" applyNumberFormat="1" applyFont="1" applyBorder="1"/>
    <xf numFmtId="0" fontId="49" fillId="0" borderId="30" xfId="0" applyFont="1" applyBorder="1" applyAlignment="1"/>
    <xf numFmtId="0" fontId="59" fillId="0" borderId="39" xfId="0" applyFont="1" applyBorder="1" applyAlignment="1"/>
    <xf numFmtId="0" fontId="59" fillId="0" borderId="35" xfId="0" applyFont="1" applyBorder="1" applyAlignment="1"/>
    <xf numFmtId="0" fontId="59" fillId="0" borderId="41" xfId="0" applyFont="1" applyBorder="1" applyAlignment="1"/>
    <xf numFmtId="0" fontId="59" fillId="0" borderId="40" xfId="0" applyFont="1" applyBorder="1" applyAlignment="1"/>
    <xf numFmtId="3" fontId="59" fillId="0" borderId="37" xfId="0" applyNumberFormat="1" applyFont="1" applyBorder="1"/>
    <xf numFmtId="3" fontId="49" fillId="0" borderId="37" xfId="0" applyNumberFormat="1" applyFont="1" applyBorder="1"/>
    <xf numFmtId="168" fontId="18" fillId="0" borderId="0" xfId="4" applyNumberFormat="1" applyFont="1" applyFill="1" applyAlignment="1">
      <alignment horizontal="center" vertical="center" wrapText="1"/>
    </xf>
    <xf numFmtId="0" fontId="18" fillId="0" borderId="0" xfId="4" applyNumberFormat="1" applyFont="1" applyFill="1" applyAlignment="1">
      <alignment horizontal="center" vertical="center" wrapText="1"/>
    </xf>
    <xf numFmtId="168" fontId="18" fillId="0" borderId="0" xfId="4" applyNumberFormat="1" applyFont="1" applyFill="1" applyBorder="1" applyAlignment="1">
      <alignment horizontal="center" vertical="center" wrapText="1"/>
    </xf>
    <xf numFmtId="0" fontId="18" fillId="0" borderId="0" xfId="4" applyNumberFormat="1" applyFont="1" applyFill="1" applyBorder="1" applyAlignment="1">
      <alignment vertical="center" wrapText="1"/>
    </xf>
    <xf numFmtId="168" fontId="19" fillId="0" borderId="0" xfId="4" applyNumberFormat="1" applyFont="1" applyFill="1" applyAlignment="1">
      <alignment horizontal="center" vertical="center" wrapText="1"/>
    </xf>
    <xf numFmtId="168" fontId="19" fillId="0" borderId="0" xfId="4" applyNumberFormat="1" applyFont="1" applyFill="1" applyAlignment="1">
      <alignment vertical="center" wrapText="1"/>
    </xf>
    <xf numFmtId="0" fontId="7" fillId="0" borderId="5" xfId="2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49" fillId="0" borderId="20" xfId="0" applyFont="1" applyBorder="1" applyAlignment="1"/>
    <xf numFmtId="0" fontId="49" fillId="0" borderId="63" xfId="0" applyFont="1" applyBorder="1" applyAlignment="1"/>
    <xf numFmtId="168" fontId="19" fillId="0" borderId="0" xfId="4" applyNumberFormat="1" applyFont="1" applyFill="1" applyAlignment="1">
      <alignment horizontal="center" vertical="center" wrapText="1"/>
    </xf>
    <xf numFmtId="168" fontId="19" fillId="0" borderId="0" xfId="4" applyNumberFormat="1" applyFont="1" applyFill="1" applyAlignment="1">
      <alignment vertical="center" wrapText="1"/>
    </xf>
    <xf numFmtId="0" fontId="60" fillId="0" borderId="11" xfId="0" applyFont="1" applyBorder="1" applyAlignment="1">
      <alignment horizontal="left" vertical="center" wrapText="1"/>
    </xf>
    <xf numFmtId="0" fontId="35" fillId="0" borderId="5" xfId="0" quotePrefix="1" applyFont="1" applyBorder="1" applyAlignment="1">
      <alignment horizontal="center" vertical="center"/>
    </xf>
    <xf numFmtId="165" fontId="60" fillId="0" borderId="11" xfId="0" applyNumberFormat="1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left" vertical="center" wrapText="1"/>
    </xf>
    <xf numFmtId="165" fontId="35" fillId="0" borderId="22" xfId="0" applyNumberFormat="1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60" fillId="0" borderId="5" xfId="0" applyFont="1" applyBorder="1" applyAlignment="1">
      <alignment horizontal="left" vertical="center" wrapText="1"/>
    </xf>
    <xf numFmtId="165" fontId="60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left" vertical="center" wrapText="1"/>
    </xf>
    <xf numFmtId="165" fontId="35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left" vertical="top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165" fontId="52" fillId="0" borderId="5" xfId="0" applyNumberFormat="1" applyFont="1" applyBorder="1" applyAlignment="1">
      <alignment horizontal="center"/>
    </xf>
    <xf numFmtId="165" fontId="52" fillId="0" borderId="16" xfId="0" applyNumberFormat="1" applyFont="1" applyBorder="1" applyAlignment="1">
      <alignment horizontal="center"/>
    </xf>
    <xf numFmtId="165" fontId="52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65" fontId="3" fillId="4" borderId="5" xfId="0" applyNumberFormat="1" applyFont="1" applyFill="1" applyBorder="1" applyAlignment="1">
      <alignment horizontal="center"/>
    </xf>
    <xf numFmtId="0" fontId="49" fillId="0" borderId="5" xfId="0" applyFont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49" fillId="0" borderId="22" xfId="0" applyFont="1" applyBorder="1" applyAlignment="1">
      <alignment horizontal="left" vertical="center"/>
    </xf>
    <xf numFmtId="165" fontId="3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51" fillId="0" borderId="27" xfId="0" applyFont="1" applyBorder="1" applyAlignment="1">
      <alignment horizontal="left" vertical="center" wrapText="1"/>
    </xf>
    <xf numFmtId="0" fontId="51" fillId="0" borderId="28" xfId="0" applyFont="1" applyBorder="1" applyAlignment="1">
      <alignment horizontal="left" vertical="center" wrapText="1"/>
    </xf>
    <xf numFmtId="165" fontId="3" fillId="0" borderId="28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51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/>
    </xf>
    <xf numFmtId="165" fontId="3" fillId="4" borderId="16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46" xfId="0" applyNumberFormat="1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4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27" xfId="0" applyNumberFormat="1" applyFont="1" applyFill="1" applyBorder="1" applyAlignment="1">
      <alignment horizontal="center"/>
    </xf>
    <xf numFmtId="165" fontId="3" fillId="0" borderId="28" xfId="0" applyNumberFormat="1" applyFont="1" applyFill="1" applyBorder="1" applyAlignment="1">
      <alignment horizontal="center"/>
    </xf>
    <xf numFmtId="165" fontId="3" fillId="0" borderId="51" xfId="0" applyNumberFormat="1" applyFont="1" applyFill="1" applyBorder="1" applyAlignment="1">
      <alignment horizontal="center"/>
    </xf>
    <xf numFmtId="165" fontId="52" fillId="0" borderId="27" xfId="0" applyNumberFormat="1" applyFont="1" applyBorder="1" applyAlignment="1">
      <alignment horizontal="center"/>
    </xf>
    <xf numFmtId="165" fontId="52" fillId="0" borderId="28" xfId="0" applyNumberFormat="1" applyFont="1" applyBorder="1" applyAlignment="1">
      <alignment horizontal="center"/>
    </xf>
    <xf numFmtId="165" fontId="52" fillId="0" borderId="5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7" fontId="5" fillId="0" borderId="16" xfId="1" applyNumberFormat="1" applyFont="1" applyBorder="1" applyAlignment="1">
      <alignment horizontal="center"/>
    </xf>
    <xf numFmtId="167" fontId="5" fillId="0" borderId="17" xfId="1" applyNumberFormat="1" applyFont="1" applyBorder="1" applyAlignment="1">
      <alignment horizontal="center"/>
    </xf>
    <xf numFmtId="167" fontId="5" fillId="0" borderId="14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7" fontId="5" fillId="0" borderId="16" xfId="1" applyNumberFormat="1" applyFont="1" applyBorder="1" applyAlignment="1">
      <alignment horizontal="justify" vertical="distributed" wrapText="1"/>
    </xf>
    <xf numFmtId="167" fontId="5" fillId="0" borderId="17" xfId="1" applyNumberFormat="1" applyFont="1" applyBorder="1" applyAlignment="1">
      <alignment horizontal="justify" vertical="distributed" wrapText="1"/>
    </xf>
    <xf numFmtId="167" fontId="5" fillId="0" borderId="14" xfId="1" applyNumberFormat="1" applyFont="1" applyBorder="1" applyAlignment="1">
      <alignment horizontal="justify" vertical="distributed" wrapText="1"/>
    </xf>
    <xf numFmtId="168" fontId="20" fillId="0" borderId="40" xfId="4" applyNumberFormat="1" applyFont="1" applyFill="1" applyBorder="1" applyAlignment="1">
      <alignment horizontal="center" vertical="center"/>
    </xf>
    <xf numFmtId="168" fontId="20" fillId="0" borderId="38" xfId="4" applyNumberFormat="1" applyFont="1" applyFill="1" applyBorder="1" applyAlignment="1">
      <alignment horizontal="center" vertical="center"/>
    </xf>
    <xf numFmtId="168" fontId="29" fillId="0" borderId="37" xfId="4" applyNumberFormat="1" applyFont="1" applyFill="1" applyBorder="1" applyAlignment="1">
      <alignment horizontal="left" vertical="center" wrapText="1" indent="2"/>
    </xf>
    <xf numFmtId="168" fontId="29" fillId="0" borderId="44" xfId="4" applyNumberFormat="1" applyFont="1" applyFill="1" applyBorder="1" applyAlignment="1">
      <alignment horizontal="left" vertical="center" wrapText="1" indent="2"/>
    </xf>
    <xf numFmtId="168" fontId="61" fillId="0" borderId="0" xfId="4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8" fontId="20" fillId="0" borderId="40" xfId="4" applyNumberFormat="1" applyFont="1" applyFill="1" applyBorder="1" applyAlignment="1">
      <alignment horizontal="center" vertical="center" wrapText="1"/>
    </xf>
    <xf numFmtId="168" fontId="20" fillId="0" borderId="38" xfId="4" applyNumberFormat="1" applyFont="1" applyFill="1" applyBorder="1" applyAlignment="1">
      <alignment horizontal="center" vertical="center" wrapText="1"/>
    </xf>
    <xf numFmtId="168" fontId="20" fillId="0" borderId="76" xfId="4" applyNumberFormat="1" applyFont="1" applyFill="1" applyBorder="1" applyAlignment="1">
      <alignment horizontal="center" vertical="center"/>
    </xf>
    <xf numFmtId="168" fontId="20" fillId="0" borderId="77" xfId="4" applyNumberFormat="1" applyFont="1" applyFill="1" applyBorder="1" applyAlignment="1">
      <alignment horizontal="center" vertical="center"/>
    </xf>
    <xf numFmtId="168" fontId="20" fillId="0" borderId="78" xfId="4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/>
    </xf>
    <xf numFmtId="0" fontId="7" fillId="0" borderId="5" xfId="2" applyFont="1" applyBorder="1" applyAlignment="1">
      <alignment horizontal="left"/>
    </xf>
    <xf numFmtId="0" fontId="4" fillId="0" borderId="5" xfId="2" applyFont="1" applyBorder="1" applyAlignment="1">
      <alignment horizontal="left" wrapText="1"/>
    </xf>
    <xf numFmtId="0" fontId="5" fillId="0" borderId="5" xfId="2" applyFont="1" applyBorder="1" applyAlignment="1">
      <alignment horizontal="left"/>
    </xf>
    <xf numFmtId="0" fontId="15" fillId="0" borderId="5" xfId="2" applyFont="1" applyBorder="1" applyAlignment="1">
      <alignment horizontal="left" wrapText="1"/>
    </xf>
    <xf numFmtId="0" fontId="5" fillId="3" borderId="5" xfId="2" applyFont="1" applyFill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wrapText="1"/>
    </xf>
    <xf numFmtId="0" fontId="5" fillId="0" borderId="5" xfId="2" applyFont="1" applyBorder="1" applyAlignment="1">
      <alignment horizontal="right" vertical="center"/>
    </xf>
    <xf numFmtId="0" fontId="5" fillId="0" borderId="5" xfId="2" applyFont="1" applyBorder="1" applyAlignment="1">
      <alignment horizontal="right" wrapText="1"/>
    </xf>
    <xf numFmtId="0" fontId="5" fillId="0" borderId="5" xfId="2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right"/>
    </xf>
    <xf numFmtId="0" fontId="5" fillId="0" borderId="5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57" fillId="0" borderId="37" xfId="0" applyFont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0" fontId="57" fillId="0" borderId="37" xfId="0" applyFont="1" applyBorder="1" applyAlignment="1">
      <alignment horizontal="center" vertical="distributed" wrapText="1"/>
    </xf>
    <xf numFmtId="0" fontId="57" fillId="0" borderId="36" xfId="0" applyFont="1" applyBorder="1" applyAlignment="1">
      <alignment horizontal="center" vertical="distributed" wrapText="1"/>
    </xf>
    <xf numFmtId="0" fontId="57" fillId="0" borderId="44" xfId="0" applyFont="1" applyBorder="1" applyAlignment="1">
      <alignment horizontal="center" vertical="distributed" wrapText="1"/>
    </xf>
    <xf numFmtId="0" fontId="47" fillId="0" borderId="37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0" fillId="0" borderId="37" xfId="0" applyBorder="1" applyAlignment="1">
      <alignment horizontal="center" vertical="distributed" wrapText="1"/>
    </xf>
    <xf numFmtId="0" fontId="0" fillId="0" borderId="36" xfId="0" applyBorder="1" applyAlignment="1">
      <alignment horizontal="center" vertical="distributed" wrapText="1"/>
    </xf>
    <xf numFmtId="0" fontId="0" fillId="0" borderId="44" xfId="0" applyBorder="1" applyAlignment="1">
      <alignment horizontal="center" vertical="distributed" wrapText="1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58" fillId="0" borderId="37" xfId="0" applyFont="1" applyBorder="1" applyAlignment="1">
      <alignment horizontal="center" vertical="distributed" wrapText="1"/>
    </xf>
    <xf numFmtId="0" fontId="37" fillId="0" borderId="39" xfId="0" applyFont="1" applyBorder="1" applyAlignment="1">
      <alignment horizontal="center"/>
    </xf>
    <xf numFmtId="0" fontId="37" fillId="0" borderId="41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37" fillId="0" borderId="39" xfId="0" applyFont="1" applyBorder="1" applyAlignment="1">
      <alignment horizontal="justify" vertical="distributed" wrapText="1"/>
    </xf>
    <xf numFmtId="0" fontId="37" fillId="0" borderId="41" xfId="0" applyFont="1" applyBorder="1" applyAlignment="1">
      <alignment horizontal="justify" vertical="distributed" wrapText="1"/>
    </xf>
    <xf numFmtId="0" fontId="37" fillId="0" borderId="45" xfId="0" applyFont="1" applyBorder="1" applyAlignment="1">
      <alignment horizontal="justify" vertical="distributed" wrapText="1"/>
    </xf>
    <xf numFmtId="0" fontId="0" fillId="0" borderId="39" xfId="0" applyBorder="1" applyAlignment="1">
      <alignment horizontal="center" vertical="distributed" wrapText="1"/>
    </xf>
    <xf numFmtId="0" fontId="0" fillId="0" borderId="41" xfId="0" applyBorder="1" applyAlignment="1">
      <alignment horizontal="center" vertical="distributed" wrapText="1"/>
    </xf>
    <xf numFmtId="0" fontId="0" fillId="0" borderId="45" xfId="0" applyBorder="1" applyAlignment="1">
      <alignment horizontal="center" vertical="distributed" wrapText="1"/>
    </xf>
    <xf numFmtId="0" fontId="47" fillId="0" borderId="39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3" fontId="37" fillId="0" borderId="37" xfId="0" applyNumberFormat="1" applyFont="1" applyBorder="1" applyAlignment="1">
      <alignment horizontal="center"/>
    </xf>
    <xf numFmtId="3" fontId="37" fillId="0" borderId="36" xfId="0" applyNumberFormat="1" applyFont="1" applyBorder="1" applyAlignment="1">
      <alignment horizontal="center"/>
    </xf>
    <xf numFmtId="3" fontId="37" fillId="0" borderId="44" xfId="0" applyNumberFormat="1" applyFont="1" applyBorder="1" applyAlignment="1">
      <alignment horizontal="center"/>
    </xf>
    <xf numFmtId="0" fontId="57" fillId="0" borderId="42" xfId="0" applyFont="1" applyBorder="1" applyAlignment="1">
      <alignment horizontal="center" vertical="distributed" wrapText="1"/>
    </xf>
    <xf numFmtId="0" fontId="57" fillId="0" borderId="63" xfId="0" applyFont="1" applyBorder="1" applyAlignment="1">
      <alignment horizontal="center" vertical="distributed" wrapText="1"/>
    </xf>
    <xf numFmtId="0" fontId="57" fillId="0" borderId="43" xfId="0" applyFont="1" applyBorder="1" applyAlignment="1">
      <alignment horizontal="center" vertical="distributed" wrapText="1"/>
    </xf>
    <xf numFmtId="3" fontId="44" fillId="0" borderId="39" xfId="0" applyNumberFormat="1" applyFont="1" applyBorder="1" applyAlignment="1">
      <alignment horizontal="center" vertical="distributed" wrapText="1"/>
    </xf>
    <xf numFmtId="3" fontId="44" fillId="0" borderId="41" xfId="0" applyNumberFormat="1" applyFont="1" applyBorder="1" applyAlignment="1">
      <alignment horizontal="center" vertical="distributed" wrapText="1"/>
    </xf>
    <xf numFmtId="3" fontId="44" fillId="0" borderId="45" xfId="0" applyNumberFormat="1" applyFont="1" applyBorder="1" applyAlignment="1">
      <alignment horizontal="center" vertical="distributed" wrapText="1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8" fillId="0" borderId="37" xfId="0" applyFont="1" applyBorder="1" applyAlignment="1">
      <alignment horizontal="center"/>
    </xf>
    <xf numFmtId="0" fontId="48" fillId="0" borderId="36" xfId="0" applyFont="1" applyBorder="1" applyAlignment="1">
      <alignment horizontal="center"/>
    </xf>
    <xf numFmtId="0" fontId="48" fillId="0" borderId="44" xfId="0" applyFont="1" applyBorder="1" applyAlignment="1">
      <alignment horizontal="center"/>
    </xf>
    <xf numFmtId="0" fontId="37" fillId="0" borderId="37" xfId="0" applyFont="1" applyBorder="1" applyAlignment="1">
      <alignment horizontal="center" vertical="distributed" wrapText="1"/>
    </xf>
    <xf numFmtId="0" fontId="37" fillId="0" borderId="36" xfId="0" applyFont="1" applyBorder="1" applyAlignment="1">
      <alignment horizontal="center" vertical="distributed" wrapText="1"/>
    </xf>
    <xf numFmtId="0" fontId="49" fillId="5" borderId="37" xfId="0" applyFont="1" applyFill="1" applyBorder="1" applyAlignment="1">
      <alignment horizontal="center"/>
    </xf>
    <xf numFmtId="0" fontId="49" fillId="5" borderId="36" xfId="0" applyFont="1" applyFill="1" applyBorder="1" applyAlignment="1">
      <alignment horizontal="center"/>
    </xf>
    <xf numFmtId="0" fontId="49" fillId="5" borderId="44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/>
    </xf>
    <xf numFmtId="0" fontId="53" fillId="0" borderId="37" xfId="0" applyFont="1" applyBorder="1" applyAlignment="1">
      <alignment horizontal="center"/>
    </xf>
    <xf numFmtId="0" fontId="53" fillId="0" borderId="36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Font="1" applyBorder="1" applyAlignment="1">
      <alignment horizontal="justify" vertical="distributed" wrapText="1"/>
    </xf>
    <xf numFmtId="0" fontId="0" fillId="0" borderId="36" xfId="0" applyFont="1" applyBorder="1" applyAlignment="1">
      <alignment horizontal="justify" vertical="distributed" wrapText="1"/>
    </xf>
    <xf numFmtId="0" fontId="0" fillId="0" borderId="44" xfId="0" applyFont="1" applyBorder="1" applyAlignment="1">
      <alignment horizontal="justify" vertical="distributed" wrapText="1"/>
    </xf>
    <xf numFmtId="0" fontId="59" fillId="0" borderId="37" xfId="0" applyFont="1" applyBorder="1" applyAlignment="1">
      <alignment horizontal="center"/>
    </xf>
    <xf numFmtId="0" fontId="59" fillId="0" borderId="36" xfId="0" applyFont="1" applyBorder="1" applyAlignment="1">
      <alignment horizontal="center"/>
    </xf>
    <xf numFmtId="0" fontId="59" fillId="0" borderId="4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3" fontId="52" fillId="0" borderId="37" xfId="0" applyNumberFormat="1" applyFont="1" applyBorder="1" applyAlignment="1">
      <alignment horizontal="center"/>
    </xf>
    <xf numFmtId="3" fontId="52" fillId="0" borderId="36" xfId="0" applyNumberFormat="1" applyFont="1" applyBorder="1" applyAlignment="1">
      <alignment horizontal="center"/>
    </xf>
    <xf numFmtId="3" fontId="52" fillId="0" borderId="44" xfId="0" applyNumberFormat="1" applyFont="1" applyBorder="1" applyAlignment="1">
      <alignment horizontal="center"/>
    </xf>
    <xf numFmtId="0" fontId="52" fillId="0" borderId="37" xfId="0" applyFont="1" applyBorder="1" applyAlignment="1">
      <alignment horizontal="center"/>
    </xf>
    <xf numFmtId="0" fontId="52" fillId="0" borderId="36" xfId="0" applyFont="1" applyBorder="1" applyAlignment="1">
      <alignment horizontal="center"/>
    </xf>
    <xf numFmtId="0" fontId="52" fillId="0" borderId="44" xfId="0" applyFont="1" applyBorder="1" applyAlignment="1">
      <alignment horizontal="center"/>
    </xf>
    <xf numFmtId="0" fontId="52" fillId="0" borderId="60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63" xfId="0" applyFont="1" applyBorder="1" applyAlignment="1">
      <alignment horizontal="center"/>
    </xf>
    <xf numFmtId="0" fontId="4" fillId="0" borderId="16" xfId="2" applyFont="1" applyBorder="1" applyAlignment="1">
      <alignment horizontal="left" wrapText="1"/>
    </xf>
    <xf numFmtId="0" fontId="5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6" xfId="2" applyFont="1" applyBorder="1" applyAlignment="1">
      <alignment horizontal="right" wrapText="1"/>
    </xf>
    <xf numFmtId="0" fontId="5" fillId="0" borderId="14" xfId="2" applyFont="1" applyBorder="1" applyAlignment="1">
      <alignment horizontal="right" wrapText="1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9" fillId="0" borderId="16" xfId="0" quotePrefix="1" applyFont="1" applyBorder="1" applyAlignment="1">
      <alignment horizontal="center" vertical="center"/>
    </xf>
    <xf numFmtId="0" fontId="39" fillId="0" borderId="15" xfId="0" quotePrefix="1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 wrapText="1"/>
    </xf>
    <xf numFmtId="0" fontId="39" fillId="0" borderId="17" xfId="0" applyFont="1" applyBorder="1" applyAlignment="1">
      <alignment horizontal="right" vertical="center" wrapText="1"/>
    </xf>
    <xf numFmtId="0" fontId="39" fillId="0" borderId="14" xfId="0" applyFont="1" applyBorder="1" applyAlignment="1">
      <alignment horizontal="righ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6" xfId="0" quotePrefix="1" applyFont="1" applyBorder="1" applyAlignment="1">
      <alignment horizontal="center" vertical="center"/>
    </xf>
    <xf numFmtId="0" fontId="35" fillId="0" borderId="15" xfId="0" quotePrefix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distributed" wrapText="1"/>
    </xf>
    <xf numFmtId="0" fontId="52" fillId="0" borderId="38" xfId="0" applyFont="1" applyBorder="1" applyAlignment="1">
      <alignment horizontal="center" vertical="distributed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5" fillId="0" borderId="39" xfId="0" applyFont="1" applyBorder="1" applyAlignment="1">
      <alignment horizontal="center" vertical="center"/>
    </xf>
    <xf numFmtId="0" fontId="55" fillId="0" borderId="41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54" fillId="0" borderId="64" xfId="0" applyFont="1" applyBorder="1" applyAlignment="1">
      <alignment horizontal="left" vertical="center" wrapText="1"/>
    </xf>
    <xf numFmtId="0" fontId="54" fillId="0" borderId="49" xfId="0" applyFont="1" applyBorder="1" applyAlignment="1">
      <alignment horizontal="left" vertical="center" wrapText="1"/>
    </xf>
    <xf numFmtId="0" fontId="54" fillId="0" borderId="69" xfId="0" applyFont="1" applyBorder="1" applyAlignment="1">
      <alignment horizontal="left" vertical="center" wrapText="1"/>
    </xf>
    <xf numFmtId="0" fontId="55" fillId="0" borderId="41" xfId="0" applyFont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52" fillId="0" borderId="19" xfId="0" applyFont="1" applyBorder="1" applyAlignment="1">
      <alignment horizontal="center" wrapText="1"/>
    </xf>
    <xf numFmtId="0" fontId="52" fillId="0" borderId="33" xfId="0" applyFont="1" applyBorder="1" applyAlignment="1">
      <alignment horizontal="center" wrapText="1"/>
    </xf>
    <xf numFmtId="3" fontId="52" fillId="0" borderId="19" xfId="0" applyNumberFormat="1" applyFont="1" applyBorder="1" applyAlignment="1">
      <alignment horizontal="center" wrapText="1"/>
    </xf>
    <xf numFmtId="3" fontId="52" fillId="0" borderId="11" xfId="0" applyNumberFormat="1" applyFont="1" applyBorder="1" applyAlignment="1">
      <alignment horizontal="center" wrapText="1"/>
    </xf>
    <xf numFmtId="0" fontId="37" fillId="0" borderId="16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54" fillId="0" borderId="46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17" xfId="0" quotePrefix="1" applyFont="1" applyBorder="1" applyAlignment="1">
      <alignment horizontal="center" vertical="center"/>
    </xf>
    <xf numFmtId="0" fontId="54" fillId="0" borderId="14" xfId="0" quotePrefix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54" fillId="0" borderId="46" xfId="0" applyFont="1" applyBorder="1" applyAlignment="1">
      <alignment horizontal="left" vertical="center" wrapText="1"/>
    </xf>
    <xf numFmtId="0" fontId="54" fillId="0" borderId="17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left" vertical="center" wrapText="1"/>
    </xf>
    <xf numFmtId="0" fontId="52" fillId="0" borderId="67" xfId="0" applyFont="1" applyBorder="1" applyAlignment="1">
      <alignment horizontal="center" wrapText="1"/>
    </xf>
    <xf numFmtId="0" fontId="52" fillId="0" borderId="13" xfId="0" applyFont="1" applyBorder="1" applyAlignment="1">
      <alignment horizontal="center" wrapText="1"/>
    </xf>
    <xf numFmtId="0" fontId="41" fillId="0" borderId="36" xfId="0" quotePrefix="1" applyFont="1" applyBorder="1" applyAlignment="1">
      <alignment horizontal="center" vertical="center"/>
    </xf>
    <xf numFmtId="0" fontId="41" fillId="0" borderId="65" xfId="0" quotePrefix="1" applyFont="1" applyBorder="1" applyAlignment="1">
      <alignment horizontal="center" vertical="center"/>
    </xf>
    <xf numFmtId="49" fontId="37" fillId="0" borderId="51" xfId="0" applyNumberFormat="1" applyFont="1" applyBorder="1" applyAlignment="1">
      <alignment horizontal="center"/>
    </xf>
    <xf numFmtId="49" fontId="37" fillId="0" borderId="44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 vertical="distributed" wrapText="1"/>
    </xf>
    <xf numFmtId="0" fontId="13" fillId="0" borderId="63" xfId="0" applyFont="1" applyBorder="1" applyAlignment="1">
      <alignment horizontal="center" vertical="distributed" wrapText="1"/>
    </xf>
    <xf numFmtId="0" fontId="13" fillId="0" borderId="43" xfId="0" applyFont="1" applyBorder="1" applyAlignment="1">
      <alignment horizontal="center" vertical="distributed" wrapText="1"/>
    </xf>
    <xf numFmtId="0" fontId="34" fillId="0" borderId="4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7" xfId="0" quotePrefix="1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/>
    </xf>
    <xf numFmtId="49" fontId="5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54" fillId="0" borderId="46" xfId="0" quotePrefix="1" applyFont="1" applyBorder="1" applyAlignment="1">
      <alignment horizontal="center" vertical="center"/>
    </xf>
    <xf numFmtId="167" fontId="13" fillId="0" borderId="37" xfId="0" applyNumberFormat="1" applyFont="1" applyBorder="1" applyAlignment="1">
      <alignment horizontal="center"/>
    </xf>
    <xf numFmtId="167" fontId="13" fillId="0" borderId="36" xfId="0" applyNumberFormat="1" applyFont="1" applyBorder="1" applyAlignment="1">
      <alignment horizontal="center"/>
    </xf>
    <xf numFmtId="167" fontId="13" fillId="0" borderId="44" xfId="0" applyNumberFormat="1" applyFont="1" applyBorder="1" applyAlignment="1">
      <alignment horizontal="center"/>
    </xf>
    <xf numFmtId="0" fontId="55" fillId="0" borderId="39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41" fillId="0" borderId="63" xfId="0" quotePrefix="1" applyFont="1" applyBorder="1" applyAlignment="1">
      <alignment horizontal="center" vertical="center"/>
    </xf>
    <xf numFmtId="0" fontId="41" fillId="0" borderId="70" xfId="0" quotePrefix="1" applyFont="1" applyBorder="1" applyAlignment="1">
      <alignment horizontal="center" vertical="center"/>
    </xf>
    <xf numFmtId="49" fontId="37" fillId="0" borderId="61" xfId="0" applyNumberFormat="1" applyFont="1" applyBorder="1" applyAlignment="1">
      <alignment horizontal="center"/>
    </xf>
    <xf numFmtId="49" fontId="37" fillId="0" borderId="43" xfId="0" applyNumberFormat="1" applyFont="1" applyBorder="1" applyAlignment="1">
      <alignment horizontal="center"/>
    </xf>
    <xf numFmtId="0" fontId="54" fillId="0" borderId="49" xfId="0" quotePrefix="1" applyFont="1" applyBorder="1" applyAlignment="1">
      <alignment horizontal="center" vertical="center"/>
    </xf>
    <xf numFmtId="0" fontId="54" fillId="0" borderId="18" xfId="0" quotePrefix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/>
    </xf>
    <xf numFmtId="49" fontId="3" fillId="0" borderId="69" xfId="0" applyNumberFormat="1" applyFont="1" applyBorder="1" applyAlignment="1">
      <alignment horizontal="center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34" fillId="0" borderId="46" xfId="0" quotePrefix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distributed" wrapText="1"/>
    </xf>
    <xf numFmtId="0" fontId="13" fillId="0" borderId="36" xfId="0" applyFont="1" applyBorder="1" applyAlignment="1">
      <alignment horizontal="center" vertical="distributed" wrapText="1"/>
    </xf>
    <xf numFmtId="0" fontId="13" fillId="0" borderId="44" xfId="0" applyFont="1" applyBorder="1" applyAlignment="1">
      <alignment horizontal="center" vertical="distributed" wrapText="1"/>
    </xf>
    <xf numFmtId="0" fontId="41" fillId="0" borderId="37" xfId="0" quotePrefix="1" applyFont="1" applyBorder="1" applyAlignment="1">
      <alignment horizontal="center" vertical="center"/>
    </xf>
    <xf numFmtId="0" fontId="54" fillId="0" borderId="73" xfId="0" applyFont="1" applyBorder="1" applyAlignment="1">
      <alignment horizontal="left" vertical="center" wrapText="1"/>
    </xf>
    <xf numFmtId="0" fontId="54" fillId="0" borderId="58" xfId="0" applyFont="1" applyBorder="1" applyAlignment="1">
      <alignment horizontal="left" vertical="center" wrapText="1"/>
    </xf>
    <xf numFmtId="0" fontId="54" fillId="0" borderId="74" xfId="0" applyFont="1" applyBorder="1" applyAlignment="1">
      <alignment horizontal="left" vertical="center" wrapText="1"/>
    </xf>
    <xf numFmtId="0" fontId="54" fillId="0" borderId="73" xfId="0" quotePrefix="1" applyFont="1" applyBorder="1" applyAlignment="1">
      <alignment horizontal="center" vertical="center"/>
    </xf>
    <xf numFmtId="0" fontId="54" fillId="0" borderId="58" xfId="0" quotePrefix="1" applyFont="1" applyBorder="1" applyAlignment="1">
      <alignment horizontal="center" vertical="center"/>
    </xf>
    <xf numFmtId="0" fontId="54" fillId="0" borderId="75" xfId="0" quotePrefix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/>
    </xf>
    <xf numFmtId="49" fontId="3" fillId="0" borderId="74" xfId="0" applyNumberFormat="1" applyFont="1" applyBorder="1" applyAlignment="1">
      <alignment horizontal="center"/>
    </xf>
    <xf numFmtId="0" fontId="41" fillId="0" borderId="37" xfId="0" applyFont="1" applyBorder="1" applyAlignment="1">
      <alignment horizontal="left" vertical="center" wrapText="1"/>
    </xf>
    <xf numFmtId="0" fontId="41" fillId="0" borderId="36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2" applyFont="1" applyAlignment="1">
      <alignment horizontal="right"/>
    </xf>
    <xf numFmtId="0" fontId="9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vertical="center"/>
    </xf>
    <xf numFmtId="0" fontId="9" fillId="0" borderId="10" xfId="2" applyFont="1" applyBorder="1" applyAlignment="1">
      <alignment horizontal="center" vertical="center" wrapText="1"/>
    </xf>
    <xf numFmtId="0" fontId="7" fillId="9" borderId="11" xfId="2" applyFont="1" applyFill="1" applyBorder="1" applyAlignment="1">
      <alignment horizontal="center" vertical="center"/>
    </xf>
    <xf numFmtId="0" fontId="10" fillId="9" borderId="11" xfId="2" applyFont="1" applyFill="1" applyBorder="1" applyAlignment="1">
      <alignment horizontal="center" vertical="center" wrapText="1"/>
    </xf>
    <xf numFmtId="0" fontId="10" fillId="9" borderId="12" xfId="2" applyFont="1" applyFill="1" applyBorder="1" applyAlignment="1">
      <alignment horizontal="center" vertical="center" wrapText="1"/>
    </xf>
    <xf numFmtId="0" fontId="10" fillId="9" borderId="13" xfId="2" applyFont="1" applyFill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4" fillId="10" borderId="16" xfId="2" applyFont="1" applyFill="1" applyBorder="1" applyAlignment="1">
      <alignment horizontal="left" vertical="center"/>
    </xf>
    <xf numFmtId="0" fontId="11" fillId="10" borderId="14" xfId="0" applyFont="1" applyFill="1" applyBorder="1"/>
    <xf numFmtId="165" fontId="7" fillId="10" borderId="5" xfId="2" applyNumberFormat="1" applyFont="1" applyFill="1" applyBorder="1" applyAlignment="1">
      <alignment horizontal="center" vertical="center"/>
    </xf>
    <xf numFmtId="165" fontId="7" fillId="10" borderId="15" xfId="2" applyNumberFormat="1" applyFont="1" applyFill="1" applyBorder="1" applyAlignment="1">
      <alignment horizontal="center" vertical="center"/>
    </xf>
    <xf numFmtId="0" fontId="4" fillId="10" borderId="5" xfId="2" applyFont="1" applyFill="1" applyBorder="1" applyAlignment="1">
      <alignment horizontal="left" vertical="center" wrapText="1"/>
    </xf>
    <xf numFmtId="165" fontId="7" fillId="10" borderId="5" xfId="3" applyNumberFormat="1" applyFont="1" applyFill="1" applyBorder="1" applyAlignment="1">
      <alignment horizontal="center"/>
    </xf>
    <xf numFmtId="167" fontId="13" fillId="10" borderId="6" xfId="1" applyNumberFormat="1" applyFont="1" applyFill="1" applyBorder="1" applyAlignment="1">
      <alignment vertical="center"/>
    </xf>
    <xf numFmtId="0" fontId="81" fillId="11" borderId="5" xfId="2" applyFont="1" applyFill="1" applyBorder="1" applyAlignment="1">
      <alignment horizontal="left" wrapText="1"/>
    </xf>
    <xf numFmtId="165" fontId="4" fillId="11" borderId="16" xfId="3" applyNumberFormat="1" applyFont="1" applyFill="1" applyBorder="1" applyAlignment="1">
      <alignment horizontal="center"/>
    </xf>
    <xf numFmtId="165" fontId="4" fillId="11" borderId="5" xfId="3" applyNumberFormat="1" applyFont="1" applyFill="1" applyBorder="1" applyAlignment="1">
      <alignment horizontal="center"/>
    </xf>
    <xf numFmtId="165" fontId="4" fillId="11" borderId="15" xfId="3" applyNumberFormat="1" applyFont="1" applyFill="1" applyBorder="1" applyAlignment="1">
      <alignment horizontal="center"/>
    </xf>
    <xf numFmtId="0" fontId="5" fillId="12" borderId="5" xfId="2" applyFont="1" applyFill="1" applyBorder="1" applyAlignment="1">
      <alignment horizontal="center"/>
    </xf>
    <xf numFmtId="165" fontId="5" fillId="12" borderId="16" xfId="3" applyNumberFormat="1" applyFont="1" applyFill="1" applyBorder="1" applyAlignment="1">
      <alignment horizontal="center"/>
    </xf>
    <xf numFmtId="165" fontId="5" fillId="12" borderId="5" xfId="3" applyNumberFormat="1" applyFont="1" applyFill="1" applyBorder="1" applyAlignment="1">
      <alignment horizontal="center"/>
    </xf>
    <xf numFmtId="165" fontId="5" fillId="12" borderId="14" xfId="3" applyNumberFormat="1" applyFont="1" applyFill="1" applyBorder="1" applyAlignment="1">
      <alignment horizontal="center"/>
    </xf>
    <xf numFmtId="165" fontId="5" fillId="12" borderId="6" xfId="3" applyNumberFormat="1" applyFont="1" applyFill="1" applyBorder="1" applyAlignment="1">
      <alignment horizontal="center"/>
    </xf>
    <xf numFmtId="0" fontId="7" fillId="11" borderId="5" xfId="2" applyFont="1" applyFill="1" applyBorder="1" applyAlignment="1">
      <alignment horizontal="center"/>
    </xf>
    <xf numFmtId="165" fontId="5" fillId="11" borderId="5" xfId="3" applyNumberFormat="1" applyFont="1" applyFill="1" applyBorder="1" applyAlignment="1">
      <alignment horizontal="center"/>
    </xf>
    <xf numFmtId="165" fontId="5" fillId="11" borderId="12" xfId="3" applyNumberFormat="1" applyFont="1" applyFill="1" applyBorder="1" applyAlignment="1">
      <alignment horizontal="center"/>
    </xf>
    <xf numFmtId="167" fontId="6" fillId="11" borderId="6" xfId="1" applyNumberFormat="1" applyFont="1" applyFill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4" fillId="10" borderId="5" xfId="2" applyFont="1" applyFill="1" applyBorder="1" applyAlignment="1">
      <alignment horizontal="left"/>
    </xf>
    <xf numFmtId="3" fontId="7" fillId="10" borderId="5" xfId="3" applyNumberFormat="1" applyFont="1" applyFill="1" applyBorder="1" applyAlignment="1">
      <alignment horizontal="center"/>
    </xf>
    <xf numFmtId="3" fontId="7" fillId="10" borderId="15" xfId="3" applyNumberFormat="1" applyFont="1" applyFill="1" applyBorder="1" applyAlignment="1">
      <alignment horizontal="center"/>
    </xf>
    <xf numFmtId="3" fontId="13" fillId="0" borderId="15" xfId="1" applyNumberFormat="1" applyFont="1" applyBorder="1" applyAlignment="1">
      <alignment vertical="center"/>
    </xf>
    <xf numFmtId="0" fontId="81" fillId="11" borderId="5" xfId="2" applyFont="1" applyFill="1" applyBorder="1" applyAlignment="1">
      <alignment horizontal="left"/>
    </xf>
    <xf numFmtId="3" fontId="4" fillId="11" borderId="5" xfId="3" applyNumberFormat="1" applyFont="1" applyFill="1" applyBorder="1" applyAlignment="1">
      <alignment horizontal="center"/>
    </xf>
    <xf numFmtId="3" fontId="4" fillId="11" borderId="17" xfId="3" applyNumberFormat="1" applyFont="1" applyFill="1" applyBorder="1" applyAlignment="1">
      <alignment horizontal="center"/>
    </xf>
    <xf numFmtId="3" fontId="4" fillId="11" borderId="15" xfId="3" applyNumberFormat="1" applyFont="1" applyFill="1" applyBorder="1" applyAlignment="1">
      <alignment horizontal="center"/>
    </xf>
    <xf numFmtId="0" fontId="5" fillId="0" borderId="14" xfId="2" applyFont="1" applyBorder="1" applyAlignment="1">
      <alignment horizontal="left"/>
    </xf>
    <xf numFmtId="0" fontId="4" fillId="13" borderId="4" xfId="2" applyFont="1" applyFill="1" applyBorder="1" applyAlignment="1">
      <alignment horizontal="center" vertical="center"/>
    </xf>
    <xf numFmtId="0" fontId="4" fillId="13" borderId="5" xfId="2" applyFont="1" applyFill="1" applyBorder="1" applyAlignment="1">
      <alignment horizontal="left"/>
    </xf>
    <xf numFmtId="165" fontId="4" fillId="13" borderId="5" xfId="2" applyNumberFormat="1" applyFont="1" applyFill="1" applyBorder="1" applyAlignment="1">
      <alignment horizontal="center"/>
    </xf>
    <xf numFmtId="165" fontId="4" fillId="13" borderId="15" xfId="2" applyNumberFormat="1" applyFont="1" applyFill="1" applyBorder="1" applyAlignment="1">
      <alignment horizontal="center"/>
    </xf>
    <xf numFmtId="0" fontId="4" fillId="13" borderId="7" xfId="2" applyFont="1" applyFill="1" applyBorder="1" applyAlignment="1">
      <alignment horizontal="center" vertical="center"/>
    </xf>
    <xf numFmtId="0" fontId="4" fillId="13" borderId="8" xfId="2" applyFont="1" applyFill="1" applyBorder="1" applyAlignment="1">
      <alignment vertical="center"/>
    </xf>
    <xf numFmtId="165" fontId="4" fillId="13" borderId="8" xfId="2" applyNumberFormat="1" applyFont="1" applyFill="1" applyBorder="1" applyAlignment="1">
      <alignment horizontal="center"/>
    </xf>
    <xf numFmtId="165" fontId="4" fillId="13" borderId="9" xfId="2" applyNumberFormat="1" applyFont="1" applyFill="1" applyBorder="1" applyAlignment="1">
      <alignment horizontal="center"/>
    </xf>
    <xf numFmtId="0" fontId="7" fillId="0" borderId="0" xfId="2" applyFont="1" applyAlignment="1">
      <alignment horizontal="right"/>
    </xf>
    <xf numFmtId="0" fontId="9" fillId="0" borderId="2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3" borderId="53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 wrapText="1"/>
    </xf>
    <xf numFmtId="165" fontId="5" fillId="0" borderId="53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5" fontId="5" fillId="0" borderId="53" xfId="3" applyNumberFormat="1" applyFont="1" applyBorder="1" applyAlignment="1">
      <alignment horizontal="center"/>
    </xf>
    <xf numFmtId="0" fontId="0" fillId="3" borderId="4" xfId="0" applyFill="1" applyBorder="1"/>
    <xf numFmtId="0" fontId="5" fillId="3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0" fillId="3" borderId="21" xfId="0" applyFill="1" applyBorder="1"/>
    <xf numFmtId="0" fontId="5" fillId="3" borderId="22" xfId="2" applyFont="1" applyFill="1" applyBorder="1" applyAlignment="1">
      <alignment horizontal="left"/>
    </xf>
    <xf numFmtId="165" fontId="5" fillId="3" borderId="22" xfId="3" applyNumberFormat="1" applyFont="1" applyFill="1" applyBorder="1" applyAlignment="1">
      <alignment horizontal="center"/>
    </xf>
    <xf numFmtId="0" fontId="5" fillId="0" borderId="22" xfId="2" applyFont="1" applyBorder="1" applyAlignment="1">
      <alignment horizontal="center" vertical="center"/>
    </xf>
    <xf numFmtId="0" fontId="16" fillId="0" borderId="16" xfId="2" applyFont="1" applyBorder="1" applyAlignment="1">
      <alignment horizontal="right" wrapText="1"/>
    </xf>
    <xf numFmtId="0" fontId="16" fillId="0" borderId="17" xfId="2" applyFont="1" applyBorder="1" applyAlignment="1">
      <alignment horizontal="right" wrapText="1"/>
    </xf>
    <xf numFmtId="165" fontId="5" fillId="0" borderId="55" xfId="3" applyNumberFormat="1" applyFont="1" applyBorder="1" applyAlignment="1">
      <alignment horizontal="center"/>
    </xf>
    <xf numFmtId="0" fontId="0" fillId="3" borderId="24" xfId="0" applyFill="1" applyBorder="1"/>
    <xf numFmtId="0" fontId="5" fillId="3" borderId="20" xfId="2" applyFont="1" applyFill="1" applyBorder="1" applyAlignment="1">
      <alignment horizontal="left"/>
    </xf>
    <xf numFmtId="165" fontId="5" fillId="3" borderId="20" xfId="3" applyNumberFormat="1" applyFont="1" applyFill="1" applyBorder="1" applyAlignment="1">
      <alignment horizontal="center"/>
    </xf>
    <xf numFmtId="0" fontId="16" fillId="0" borderId="5" xfId="2" applyFont="1" applyBorder="1" applyAlignment="1">
      <alignment horizontal="center" vertical="center"/>
    </xf>
    <xf numFmtId="0" fontId="5" fillId="0" borderId="16" xfId="2" applyFont="1" applyBorder="1" applyAlignment="1">
      <alignment horizontal="right" vertical="center" wrapText="1"/>
    </xf>
    <xf numFmtId="0" fontId="16" fillId="0" borderId="20" xfId="2" applyFont="1" applyBorder="1" applyAlignment="1">
      <alignment horizontal="center" vertical="center"/>
    </xf>
    <xf numFmtId="0" fontId="5" fillId="0" borderId="25" xfId="2" applyFont="1" applyBorder="1" applyAlignment="1">
      <alignment horizontal="right" vertical="center" wrapText="1"/>
    </xf>
    <xf numFmtId="0" fontId="5" fillId="0" borderId="58" xfId="2" applyFont="1" applyBorder="1" applyAlignment="1">
      <alignment horizontal="right" vertical="center" wrapText="1"/>
    </xf>
    <xf numFmtId="165" fontId="5" fillId="0" borderId="52" xfId="3" applyNumberFormat="1" applyFont="1" applyBorder="1" applyAlignment="1">
      <alignment horizontal="center"/>
    </xf>
    <xf numFmtId="0" fontId="17" fillId="0" borderId="27" xfId="0" applyFont="1" applyBorder="1"/>
    <xf numFmtId="0" fontId="9" fillId="0" borderId="28" xfId="2" applyFont="1" applyBorder="1" applyAlignment="1">
      <alignment horizontal="left"/>
    </xf>
    <xf numFmtId="165" fontId="9" fillId="0" borderId="28" xfId="3" applyNumberFormat="1" applyFont="1" applyBorder="1" applyAlignment="1">
      <alignment horizontal="center"/>
    </xf>
    <xf numFmtId="0" fontId="9" fillId="0" borderId="28" xfId="2" applyFont="1" applyBorder="1" applyAlignment="1">
      <alignment horizontal="center" vertical="center"/>
    </xf>
    <xf numFmtId="0" fontId="9" fillId="0" borderId="28" xfId="2" applyFont="1" applyBorder="1" applyAlignment="1">
      <alignment horizontal="left" vertical="center"/>
    </xf>
    <xf numFmtId="0" fontId="17" fillId="0" borderId="51" xfId="0" applyFont="1" applyBorder="1"/>
    <xf numFmtId="165" fontId="9" fillId="0" borderId="35" xfId="3" applyNumberFormat="1" applyFont="1" applyBorder="1" applyAlignment="1">
      <alignment horizontal="center"/>
    </xf>
    <xf numFmtId="0" fontId="17" fillId="0" borderId="0" xfId="0" applyFont="1"/>
    <xf numFmtId="0" fontId="9" fillId="0" borderId="24" xfId="0" applyFont="1" applyBorder="1"/>
    <xf numFmtId="0" fontId="9" fillId="0" borderId="30" xfId="2" applyFont="1" applyBorder="1" applyAlignment="1">
      <alignment horizontal="left"/>
    </xf>
    <xf numFmtId="0" fontId="9" fillId="0" borderId="31" xfId="2" applyFont="1" applyBorder="1" applyAlignment="1">
      <alignment horizontal="left"/>
    </xf>
    <xf numFmtId="165" fontId="9" fillId="0" borderId="20" xfId="3" applyNumberFormat="1" applyFont="1" applyBorder="1" applyAlignment="1">
      <alignment horizontal="center"/>
    </xf>
    <xf numFmtId="0" fontId="9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17" fillId="0" borderId="56" xfId="0" applyFont="1" applyBorder="1"/>
    <xf numFmtId="165" fontId="9" fillId="0" borderId="52" xfId="3" applyNumberFormat="1" applyFont="1" applyBorder="1" applyAlignment="1">
      <alignment horizontal="center"/>
    </xf>
    <xf numFmtId="0" fontId="0" fillId="0" borderId="10" xfId="0" applyBorder="1"/>
    <xf numFmtId="0" fontId="5" fillId="0" borderId="11" xfId="2" applyFont="1" applyBorder="1" applyAlignment="1">
      <alignment horizontal="left"/>
    </xf>
    <xf numFmtId="165" fontId="5" fillId="0" borderId="11" xfId="3" applyNumberFormat="1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wrapText="1"/>
    </xf>
    <xf numFmtId="0" fontId="5" fillId="0" borderId="47" xfId="2" applyFont="1" applyBorder="1" applyAlignment="1">
      <alignment horizontal="left" vertical="center" wrapText="1"/>
    </xf>
    <xf numFmtId="165" fontId="5" fillId="0" borderId="54" xfId="3" applyNumberFormat="1" applyFont="1" applyBorder="1" applyAlignment="1">
      <alignment horizontal="center"/>
    </xf>
    <xf numFmtId="0" fontId="0" fillId="0" borderId="21" xfId="0" applyBorder="1"/>
    <xf numFmtId="0" fontId="5" fillId="0" borderId="22" xfId="2" applyFont="1" applyBorder="1" applyAlignment="1">
      <alignment horizontal="left"/>
    </xf>
    <xf numFmtId="165" fontId="5" fillId="0" borderId="22" xfId="3" applyNumberFormat="1" applyFont="1" applyBorder="1" applyAlignment="1">
      <alignment horizontal="center"/>
    </xf>
    <xf numFmtId="0" fontId="5" fillId="0" borderId="22" xfId="2" applyFont="1" applyBorder="1" applyAlignment="1">
      <alignment horizontal="left" vertical="center" wrapText="1"/>
    </xf>
    <xf numFmtId="0" fontId="5" fillId="0" borderId="4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51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56" xfId="2" applyFont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left" wrapText="1"/>
    </xf>
    <xf numFmtId="0" fontId="7" fillId="3" borderId="16" xfId="2" applyFont="1" applyFill="1" applyBorder="1" applyAlignment="1">
      <alignment horizontal="left" wrapText="1"/>
    </xf>
    <xf numFmtId="165" fontId="7" fillId="3" borderId="53" xfId="3" applyNumberFormat="1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left" wrapText="1"/>
    </xf>
    <xf numFmtId="0" fontId="5" fillId="3" borderId="16" xfId="2" applyFont="1" applyFill="1" applyBorder="1" applyAlignment="1">
      <alignment horizontal="left" wrapText="1"/>
    </xf>
    <xf numFmtId="0" fontId="7" fillId="3" borderId="17" xfId="2" applyFont="1" applyFill="1" applyBorder="1" applyAlignment="1">
      <alignment horizontal="left" wrapText="1"/>
    </xf>
    <xf numFmtId="0" fontId="17" fillId="0" borderId="4" xfId="0" applyFont="1" applyBorder="1"/>
    <xf numFmtId="0" fontId="9" fillId="0" borderId="5" xfId="2" applyFont="1" applyBorder="1" applyAlignment="1">
      <alignment horizontal="left"/>
    </xf>
    <xf numFmtId="165" fontId="9" fillId="0" borderId="5" xfId="3" applyNumberFormat="1" applyFont="1" applyBorder="1" applyAlignment="1">
      <alignment horizontal="center"/>
    </xf>
    <xf numFmtId="0" fontId="7" fillId="0" borderId="16" xfId="2" applyFont="1" applyBorder="1" applyAlignment="1">
      <alignment horizontal="left" wrapText="1"/>
    </xf>
    <xf numFmtId="0" fontId="7" fillId="0" borderId="17" xfId="2" applyFont="1" applyBorder="1" applyAlignment="1">
      <alignment horizontal="left" wrapText="1"/>
    </xf>
    <xf numFmtId="165" fontId="7" fillId="0" borderId="53" xfId="3" applyNumberFormat="1" applyFont="1" applyBorder="1" applyAlignment="1">
      <alignment horizontal="center"/>
    </xf>
    <xf numFmtId="0" fontId="5" fillId="3" borderId="16" xfId="2" applyFont="1" applyFill="1" applyBorder="1" applyAlignment="1">
      <alignment horizontal="center"/>
    </xf>
    <xf numFmtId="165" fontId="5" fillId="3" borderId="53" xfId="3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165" fontId="4" fillId="0" borderId="53" xfId="3" applyNumberFormat="1" applyFont="1" applyBorder="1" applyAlignment="1">
      <alignment horizontal="center"/>
    </xf>
    <xf numFmtId="0" fontId="0" fillId="0" borderId="7" xfId="0" applyBorder="1"/>
    <xf numFmtId="0" fontId="4" fillId="0" borderId="8" xfId="2" applyFont="1" applyBorder="1" applyAlignment="1">
      <alignment horizontal="left"/>
    </xf>
    <xf numFmtId="165" fontId="4" fillId="0" borderId="8" xfId="2" applyNumberFormat="1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horizontal="left" wrapText="1"/>
    </xf>
    <xf numFmtId="0" fontId="4" fillId="0" borderId="25" xfId="2" applyFont="1" applyBorder="1" applyAlignment="1">
      <alignment horizontal="left" wrapText="1"/>
    </xf>
    <xf numFmtId="165" fontId="4" fillId="0" borderId="59" xfId="3" applyNumberFormat="1" applyFont="1" applyBorder="1" applyAlignment="1">
      <alignment horizontal="center"/>
    </xf>
    <xf numFmtId="0" fontId="5" fillId="0" borderId="0" xfId="2" applyFont="1" applyAlignment="1">
      <alignment horizontal="left"/>
    </xf>
    <xf numFmtId="165" fontId="5" fillId="0" borderId="0" xfId="3" applyNumberFormat="1" applyFont="1" applyAlignment="1">
      <alignment horizontal="center"/>
    </xf>
    <xf numFmtId="165" fontId="5" fillId="0" borderId="0" xfId="2" applyNumberFormat="1" applyFont="1" applyAlignment="1">
      <alignment horizontal="center" vertical="center"/>
    </xf>
    <xf numFmtId="165" fontId="4" fillId="0" borderId="0" xfId="3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/>
    </xf>
    <xf numFmtId="165" fontId="4" fillId="0" borderId="0" xfId="2" applyNumberFormat="1" applyFont="1" applyAlignment="1">
      <alignment horizontal="center"/>
    </xf>
    <xf numFmtId="0" fontId="5" fillId="3" borderId="16" xfId="2" applyFont="1" applyFill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5" fillId="0" borderId="14" xfId="2" applyFont="1" applyBorder="1" applyAlignment="1">
      <alignment horizontal="center"/>
    </xf>
  </cellXfs>
  <cellStyles count="6">
    <cellStyle name="Ezres" xfId="1" builtinId="3"/>
    <cellStyle name="Ezres 2" xfId="5" xr:uid="{00000000-0005-0000-0000-000001000000}"/>
    <cellStyle name="Ezres_Ktgvetési rendelet mellékletek_2008_Eszteregnye" xfId="3" xr:uid="{00000000-0005-0000-0000-000002000000}"/>
    <cellStyle name="Normál" xfId="0" builtinId="0"/>
    <cellStyle name="Normál_Ktgvetési rendelet mellékletek_2008_Eszteregnye" xfId="2" xr:uid="{00000000-0005-0000-0000-000004000000}"/>
    <cellStyle name="Normál_KVIREND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&#193;MK_ktgvet&#233;s_m&#243;d\&#193;MK_k&#246;lts&#233;gvet&#233;s_m&#243;dos&#237;t&#225;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K&#246;z&#246;s_Hivatal_ktgvet&#233;s_m&#243;d\2019&#233;vi_m&#243;d_ktgvet&#233;s_k&#246;z&#246;s_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&#233;vi_tervez&#233;s_test&#252;letnek\Ktgvet&#233;s_tervez&#233;se_SM&#214;nk_3_v&#225;ltozat_2019_03_0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S&#225;rmell&#233;ki_&#214;nk_ktgvet&#233;s_m&#243;d\S&#225;rmell&#233;k_M&#211;D_ktgvet&#233;s_el&#337;terjeszt&#233;s_mell&#233;klete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&#233;vi_v&#233;gleges_ktgvet&#233;se\S&#225;rmell&#233;k_ktgvet&#233;s_el&#337;terjeszt&#233;s_mell&#233;klete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8\k&#246;lts&#233;gvet&#233;s_tervez&#233;s\S&#225;rmell&#233;k\S&#225;rmell&#233;k_k&#246;lts&#233;gvet&#233;se_2_fordul&#243;_2018_02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ÁMK_bevétele"/>
    </sheetNames>
    <sheetDataSet>
      <sheetData sheetId="0" refreshError="1">
        <row r="9">
          <cell r="F9">
            <v>82080</v>
          </cell>
          <cell r="I9">
            <v>82080</v>
          </cell>
        </row>
        <row r="49">
          <cell r="H49">
            <v>13566945</v>
          </cell>
          <cell r="K49">
            <v>13781173</v>
          </cell>
        </row>
      </sheetData>
      <sheetData sheetId="1" refreshError="1">
        <row r="10">
          <cell r="F10">
            <v>197100</v>
          </cell>
          <cell r="I10">
            <v>197100</v>
          </cell>
        </row>
        <row r="63">
          <cell r="H63">
            <v>26621592</v>
          </cell>
          <cell r="K63">
            <v>28313228</v>
          </cell>
        </row>
      </sheetData>
      <sheetData sheetId="2" refreshError="1">
        <row r="6">
          <cell r="F6">
            <v>24763807</v>
          </cell>
        </row>
        <row r="8">
          <cell r="F8">
            <v>900000</v>
          </cell>
          <cell r="I8">
            <v>900000</v>
          </cell>
        </row>
        <row r="9">
          <cell r="F9">
            <v>864000</v>
          </cell>
          <cell r="I9">
            <v>864000</v>
          </cell>
        </row>
        <row r="11">
          <cell r="F11">
            <v>180000</v>
          </cell>
        </row>
        <row r="14">
          <cell r="F14">
            <v>5392062</v>
          </cell>
          <cell r="H14">
            <v>5392062</v>
          </cell>
        </row>
        <row r="16">
          <cell r="F16">
            <v>139000</v>
          </cell>
          <cell r="G16">
            <v>6950</v>
          </cell>
          <cell r="I16">
            <v>139000</v>
          </cell>
          <cell r="J16">
            <v>6950</v>
          </cell>
        </row>
        <row r="17">
          <cell r="F17">
            <v>911700</v>
          </cell>
          <cell r="G17">
            <v>246159</v>
          </cell>
        </row>
        <row r="19">
          <cell r="F19">
            <v>100000</v>
          </cell>
          <cell r="G19">
            <v>27000</v>
          </cell>
          <cell r="I19">
            <v>100000</v>
          </cell>
        </row>
        <row r="20">
          <cell r="F20">
            <v>80000</v>
          </cell>
          <cell r="G20">
            <v>21600</v>
          </cell>
          <cell r="I20">
            <v>80000</v>
          </cell>
          <cell r="J20">
            <v>21600</v>
          </cell>
        </row>
        <row r="21">
          <cell r="F21">
            <v>260000</v>
          </cell>
          <cell r="I21">
            <v>260000</v>
          </cell>
        </row>
        <row r="23">
          <cell r="F23">
            <v>140000</v>
          </cell>
          <cell r="G23">
            <v>37800</v>
          </cell>
          <cell r="I23">
            <v>140000</v>
          </cell>
        </row>
        <row r="29">
          <cell r="F29">
            <v>75000</v>
          </cell>
          <cell r="G29">
            <v>3750</v>
          </cell>
          <cell r="I29">
            <v>75000</v>
          </cell>
          <cell r="J29">
            <v>3750</v>
          </cell>
        </row>
        <row r="31">
          <cell r="F31">
            <v>216000</v>
          </cell>
          <cell r="G31">
            <v>58320</v>
          </cell>
          <cell r="I31">
            <v>216000</v>
          </cell>
          <cell r="J31">
            <v>58320</v>
          </cell>
        </row>
        <row r="34">
          <cell r="F34">
            <v>2010000</v>
          </cell>
          <cell r="G34">
            <v>542699</v>
          </cell>
        </row>
        <row r="35">
          <cell r="F35">
            <v>160000</v>
          </cell>
          <cell r="G35">
            <v>43200</v>
          </cell>
          <cell r="I35">
            <v>160000</v>
          </cell>
          <cell r="J35">
            <v>43200</v>
          </cell>
        </row>
        <row r="38">
          <cell r="F38">
            <v>300300</v>
          </cell>
          <cell r="I38">
            <v>300300</v>
          </cell>
        </row>
        <row r="39">
          <cell r="F39">
            <v>66000</v>
          </cell>
          <cell r="G39">
            <v>17820</v>
          </cell>
          <cell r="H39">
            <v>83820</v>
          </cell>
          <cell r="I39">
            <v>66000</v>
          </cell>
          <cell r="J39">
            <v>17820</v>
          </cell>
          <cell r="K39">
            <v>83820</v>
          </cell>
        </row>
        <row r="40">
          <cell r="F40">
            <v>30000</v>
          </cell>
          <cell r="I40">
            <v>30000</v>
          </cell>
        </row>
        <row r="41">
          <cell r="F41">
            <v>25000</v>
          </cell>
          <cell r="G41">
            <v>6750</v>
          </cell>
          <cell r="H41">
            <v>31750</v>
          </cell>
        </row>
        <row r="45">
          <cell r="F45">
            <v>120000</v>
          </cell>
        </row>
        <row r="47">
          <cell r="G47">
            <v>1263148</v>
          </cell>
        </row>
        <row r="48">
          <cell r="F48">
            <v>25000</v>
          </cell>
          <cell r="I48">
            <v>25000</v>
          </cell>
        </row>
      </sheetData>
      <sheetData sheetId="3" refreshError="1">
        <row r="7">
          <cell r="F7">
            <v>100000</v>
          </cell>
          <cell r="I7">
            <v>100000</v>
          </cell>
        </row>
        <row r="19">
          <cell r="G19">
            <v>8500</v>
          </cell>
          <cell r="J19">
            <v>8500</v>
          </cell>
        </row>
        <row r="20">
          <cell r="G20">
            <v>51300</v>
          </cell>
        </row>
        <row r="22">
          <cell r="G22">
            <v>40500</v>
          </cell>
        </row>
        <row r="23">
          <cell r="G23">
            <v>21600</v>
          </cell>
          <cell r="J23">
            <v>21600</v>
          </cell>
        </row>
        <row r="26">
          <cell r="G26">
            <v>10800</v>
          </cell>
        </row>
        <row r="36">
          <cell r="G36">
            <v>3500</v>
          </cell>
          <cell r="J36">
            <v>3500</v>
          </cell>
        </row>
        <row r="38">
          <cell r="G38">
            <v>75600</v>
          </cell>
          <cell r="J38">
            <v>75600</v>
          </cell>
        </row>
        <row r="41">
          <cell r="G41">
            <v>156600</v>
          </cell>
        </row>
        <row r="44">
          <cell r="F44">
            <v>50000</v>
          </cell>
          <cell r="G44">
            <v>13500</v>
          </cell>
          <cell r="I44">
            <v>50000</v>
          </cell>
          <cell r="J44">
            <v>13500</v>
          </cell>
        </row>
        <row r="46">
          <cell r="F46">
            <v>19200</v>
          </cell>
          <cell r="I46">
            <v>19200</v>
          </cell>
        </row>
        <row r="63">
          <cell r="F63">
            <v>70000</v>
          </cell>
        </row>
        <row r="66">
          <cell r="G66">
            <v>985350</v>
          </cell>
        </row>
        <row r="67">
          <cell r="F67">
            <v>30000</v>
          </cell>
          <cell r="I67">
            <v>30000</v>
          </cell>
        </row>
        <row r="83">
          <cell r="H83">
            <v>13403366</v>
          </cell>
          <cell r="K83">
            <v>13276898.120000001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tábla+dologi"/>
      <sheetName val="dologi+ber_tételes"/>
      <sheetName val="bEVÉTEL"/>
    </sheetNames>
    <sheetDataSet>
      <sheetData sheetId="0" refreshError="1">
        <row r="9">
          <cell r="C9">
            <v>31121100</v>
          </cell>
        </row>
        <row r="10">
          <cell r="C10">
            <v>800000</v>
          </cell>
        </row>
        <row r="11">
          <cell r="C11">
            <v>1509592</v>
          </cell>
        </row>
        <row r="12">
          <cell r="C12">
            <v>288960</v>
          </cell>
        </row>
        <row r="13">
          <cell r="C13">
            <v>150000</v>
          </cell>
        </row>
        <row r="14">
          <cell r="C14">
            <v>700000</v>
          </cell>
        </row>
        <row r="15">
          <cell r="C15">
            <v>20000</v>
          </cell>
        </row>
        <row r="16">
          <cell r="C16">
            <v>6971421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/>
      <sheetData sheetId="2">
        <row r="15">
          <cell r="Y15">
            <v>71038925</v>
          </cell>
        </row>
        <row r="18">
          <cell r="Y18">
            <v>14121345.225</v>
          </cell>
        </row>
      </sheetData>
      <sheetData sheetId="3">
        <row r="14">
          <cell r="B14">
            <v>396755930</v>
          </cell>
        </row>
        <row r="21">
          <cell r="B21">
            <v>241000</v>
          </cell>
        </row>
        <row r="25">
          <cell r="B25">
            <v>850000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Kiadások_összesen"/>
      <sheetName val="Pénzeszközátadások"/>
      <sheetName val="dologi_kiadások_összesen"/>
      <sheetName val="Dologi_kiadás_összesítő"/>
      <sheetName val="Bevételek"/>
      <sheetName val="Munka2"/>
    </sheetNames>
    <sheetDataSet>
      <sheetData sheetId="0"/>
      <sheetData sheetId="1">
        <row r="11">
          <cell r="K11">
            <v>15726600</v>
          </cell>
          <cell r="N11">
            <v>648000</v>
          </cell>
          <cell r="O11">
            <v>312000</v>
          </cell>
          <cell r="P11">
            <v>775000</v>
          </cell>
          <cell r="W11">
            <v>3436212</v>
          </cell>
          <cell r="X11">
            <v>97200</v>
          </cell>
        </row>
        <row r="25">
          <cell r="K25">
            <v>3110300</v>
          </cell>
          <cell r="N25">
            <v>192000</v>
          </cell>
          <cell r="P25">
            <v>200000</v>
          </cell>
          <cell r="S25">
            <v>80000</v>
          </cell>
          <cell r="W25">
            <v>698548.5</v>
          </cell>
          <cell r="X25">
            <v>28800</v>
          </cell>
        </row>
        <row r="27">
          <cell r="Q27">
            <v>148699</v>
          </cell>
        </row>
        <row r="35">
          <cell r="O35">
            <v>900000</v>
          </cell>
          <cell r="S35">
            <v>50000</v>
          </cell>
          <cell r="X35">
            <v>128354.85</v>
          </cell>
        </row>
        <row r="37">
          <cell r="K37">
            <v>3642000</v>
          </cell>
          <cell r="L37">
            <v>396000</v>
          </cell>
          <cell r="M37">
            <v>185400</v>
          </cell>
          <cell r="N37">
            <v>96000</v>
          </cell>
          <cell r="P37">
            <v>100000</v>
          </cell>
          <cell r="S37">
            <v>30000</v>
          </cell>
        </row>
        <row r="38">
          <cell r="W38">
            <v>867633</v>
          </cell>
          <cell r="X38">
            <v>14400</v>
          </cell>
        </row>
        <row r="40">
          <cell r="K40">
            <v>1755000</v>
          </cell>
          <cell r="S40">
            <v>20000</v>
          </cell>
        </row>
        <row r="41">
          <cell r="Y41">
            <v>346125</v>
          </cell>
        </row>
        <row r="47">
          <cell r="K47"/>
        </row>
        <row r="54">
          <cell r="K54">
            <v>8484000</v>
          </cell>
          <cell r="S54">
            <v>0</v>
          </cell>
        </row>
        <row r="58">
          <cell r="W58">
            <v>49140</v>
          </cell>
        </row>
        <row r="72">
          <cell r="K72">
            <v>4028400</v>
          </cell>
          <cell r="W72">
            <v>1269820.5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>
        <row r="64">
          <cell r="K64"/>
        </row>
        <row r="71">
          <cell r="S7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 refreshError="1"/>
      <sheetData sheetId="1" refreshError="1"/>
      <sheetData sheetId="2" refreshError="1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2">
          <cell r="F22"/>
        </row>
        <row r="24">
          <cell r="F24"/>
        </row>
        <row r="25">
          <cell r="F25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40">
          <cell r="F40"/>
        </row>
        <row r="41">
          <cell r="F41"/>
        </row>
        <row r="42">
          <cell r="F42"/>
        </row>
        <row r="44">
          <cell r="F44"/>
        </row>
        <row r="45">
          <cell r="F45"/>
        </row>
        <row r="46">
          <cell r="F46"/>
        </row>
        <row r="47">
          <cell r="F47">
            <v>0</v>
          </cell>
        </row>
        <row r="50">
          <cell r="F50"/>
        </row>
        <row r="51">
          <cell r="F51"/>
        </row>
        <row r="53">
          <cell r="F53">
            <v>0</v>
          </cell>
        </row>
        <row r="54">
          <cell r="F54">
            <v>0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66">
          <cell r="F6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4" refreshError="1"/>
      <sheetData sheetId="15" refreshError="1"/>
      <sheetData sheetId="16" refreshError="1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6EA1-C056-4048-8253-4A4AAE0D2407}">
  <dimension ref="A1:K107"/>
  <sheetViews>
    <sheetView tabSelected="1" topLeftCell="D1" workbookViewId="0">
      <selection activeCell="I84" sqref="I84:J84"/>
    </sheetView>
  </sheetViews>
  <sheetFormatPr defaultRowHeight="15.75" x14ac:dyDescent="0.25"/>
  <cols>
    <col min="1" max="1" width="6" style="2" customWidth="1"/>
    <col min="2" max="2" width="5.140625" style="1" customWidth="1"/>
    <col min="3" max="3" width="53.7109375" style="1" customWidth="1"/>
    <col min="4" max="4" width="21.28515625" style="2" bestFit="1" customWidth="1"/>
    <col min="5" max="5" width="19.140625" style="2" bestFit="1" customWidth="1"/>
    <col min="6" max="6" width="16.7109375" style="2" customWidth="1"/>
    <col min="7" max="7" width="14.85546875" style="4" bestFit="1" customWidth="1"/>
    <col min="8" max="8" width="19.5703125" style="336" bestFit="1" customWidth="1"/>
    <col min="9" max="9" width="19.140625" style="336" bestFit="1" customWidth="1"/>
    <col min="10" max="10" width="17" style="336" bestFit="1" customWidth="1"/>
    <col min="11" max="16384" width="9.140625" style="336"/>
  </cols>
  <sheetData>
    <row r="1" spans="1:11" ht="18.75" x14ac:dyDescent="0.3">
      <c r="A1" s="723" t="s">
        <v>857</v>
      </c>
      <c r="B1" s="724"/>
      <c r="C1" s="724"/>
      <c r="D1" s="724"/>
      <c r="E1" s="724"/>
      <c r="F1" s="724"/>
    </row>
    <row r="2" spans="1:11" x14ac:dyDescent="0.25">
      <c r="A2" s="725"/>
      <c r="B2" s="725"/>
      <c r="C2" s="725"/>
      <c r="D2" s="725"/>
      <c r="E2" s="725"/>
      <c r="F2" s="725"/>
    </row>
    <row r="3" spans="1:11" x14ac:dyDescent="0.25">
      <c r="A3" s="726" t="s">
        <v>1</v>
      </c>
      <c r="B3" s="726"/>
      <c r="C3" s="726"/>
      <c r="D3" s="726"/>
      <c r="E3" s="726"/>
      <c r="F3" s="726"/>
    </row>
    <row r="4" spans="1:11" x14ac:dyDescent="0.25">
      <c r="A4" s="725" t="s">
        <v>2</v>
      </c>
      <c r="B4" s="725"/>
      <c r="C4" s="725"/>
      <c r="D4" s="725"/>
      <c r="E4" s="725"/>
      <c r="F4" s="725"/>
    </row>
    <row r="5" spans="1:11" ht="16.5" thickBot="1" x14ac:dyDescent="0.3">
      <c r="A5" s="965" t="s">
        <v>858</v>
      </c>
      <c r="B5" s="965"/>
      <c r="C5" s="965"/>
      <c r="D5" s="965"/>
      <c r="E5" s="965"/>
      <c r="F5" s="965"/>
    </row>
    <row r="6" spans="1:11" ht="12.75" customHeight="1" x14ac:dyDescent="0.25">
      <c r="A6" s="737" t="s">
        <v>3</v>
      </c>
      <c r="B6" s="736" t="s">
        <v>4</v>
      </c>
      <c r="C6" s="736"/>
      <c r="D6" s="735" t="s">
        <v>5</v>
      </c>
      <c r="E6" s="729" t="s">
        <v>6</v>
      </c>
      <c r="F6" s="729" t="s">
        <v>7</v>
      </c>
      <c r="G6" s="731" t="s">
        <v>8</v>
      </c>
      <c r="H6" s="735" t="s">
        <v>5</v>
      </c>
      <c r="I6" s="729" t="s">
        <v>6</v>
      </c>
      <c r="J6" s="729" t="s">
        <v>7</v>
      </c>
      <c r="K6" s="731" t="s">
        <v>8</v>
      </c>
    </row>
    <row r="7" spans="1:11" ht="21.75" customHeight="1" x14ac:dyDescent="0.25">
      <c r="A7" s="738"/>
      <c r="B7" s="740"/>
      <c r="C7" s="740"/>
      <c r="D7" s="734"/>
      <c r="E7" s="730"/>
      <c r="F7" s="730"/>
      <c r="G7" s="732"/>
      <c r="H7" s="734"/>
      <c r="I7" s="730"/>
      <c r="J7" s="730"/>
      <c r="K7" s="732"/>
    </row>
    <row r="8" spans="1:11" ht="15.75" customHeight="1" thickBot="1" x14ac:dyDescent="0.3">
      <c r="A8" s="966"/>
      <c r="B8" s="967"/>
      <c r="C8" s="967"/>
      <c r="D8" s="968" t="s">
        <v>859</v>
      </c>
      <c r="E8" s="968"/>
      <c r="F8" s="968"/>
      <c r="G8" s="969"/>
      <c r="H8" s="968" t="s">
        <v>860</v>
      </c>
      <c r="I8" s="968"/>
      <c r="J8" s="968"/>
      <c r="K8" s="969"/>
    </row>
    <row r="9" spans="1:11" x14ac:dyDescent="0.25">
      <c r="A9" s="970"/>
      <c r="B9" s="971" t="s">
        <v>9</v>
      </c>
      <c r="C9" s="971"/>
      <c r="D9" s="972"/>
      <c r="E9" s="973"/>
      <c r="F9" s="972"/>
      <c r="G9" s="974"/>
      <c r="H9" s="972"/>
      <c r="I9" s="973"/>
      <c r="J9" s="972"/>
      <c r="K9" s="974"/>
    </row>
    <row r="10" spans="1:11" ht="15.75" customHeight="1" x14ac:dyDescent="0.25">
      <c r="A10" s="3">
        <v>1</v>
      </c>
      <c r="B10" s="717" t="s">
        <v>10</v>
      </c>
      <c r="C10" s="717"/>
      <c r="D10" s="5">
        <f>71038925+34589652+31149887</f>
        <v>136778464</v>
      </c>
      <c r="E10" s="5">
        <f>71038925+34589652+31149887</f>
        <v>136778464</v>
      </c>
      <c r="F10" s="11">
        <f>'[6]11'!F10+'[6]13'!F10+'[6]15'!F10</f>
        <v>0</v>
      </c>
      <c r="G10" s="7"/>
      <c r="H10" s="5">
        <v>149482806</v>
      </c>
      <c r="I10" s="5">
        <v>149482806</v>
      </c>
      <c r="J10" s="11">
        <v>0</v>
      </c>
      <c r="K10" s="7"/>
    </row>
    <row r="11" spans="1:11" ht="15.75" customHeight="1" x14ac:dyDescent="0.25">
      <c r="A11" s="3">
        <v>2</v>
      </c>
      <c r="B11" s="717" t="s">
        <v>11</v>
      </c>
      <c r="C11" s="717"/>
      <c r="D11" s="5">
        <f>14121345+6971421+6406478</f>
        <v>27499244</v>
      </c>
      <c r="E11" s="5">
        <f>14121345+6971421+6406478</f>
        <v>27499244</v>
      </c>
      <c r="F11" s="11">
        <f>'[6]11'!F11+'[6]13'!F11+'[6]15'!F11</f>
        <v>0</v>
      </c>
      <c r="G11" s="7"/>
      <c r="H11" s="5">
        <v>29732295</v>
      </c>
      <c r="I11" s="5">
        <v>29732295</v>
      </c>
      <c r="J11" s="11">
        <v>0</v>
      </c>
      <c r="K11" s="7"/>
    </row>
    <row r="12" spans="1:11" ht="15.75" customHeight="1" x14ac:dyDescent="0.25">
      <c r="A12" s="3">
        <v>3</v>
      </c>
      <c r="B12" s="717" t="s">
        <v>12</v>
      </c>
      <c r="C12" s="717"/>
      <c r="D12" s="5">
        <f>14977198+3524010+133766236</f>
        <v>152267444</v>
      </c>
      <c r="E12" s="5">
        <f>14977198+3524010+133766236</f>
        <v>152267444</v>
      </c>
      <c r="F12" s="11">
        <f>'[6]11'!F12+'[6]13'!F12+'[6]15'!F12</f>
        <v>0</v>
      </c>
      <c r="G12" s="8"/>
      <c r="H12" s="5">
        <v>215406767</v>
      </c>
      <c r="I12" s="5">
        <v>215406767</v>
      </c>
      <c r="J12" s="11">
        <v>0</v>
      </c>
      <c r="K12" s="8"/>
    </row>
    <row r="13" spans="1:11" ht="15.75" customHeight="1" x14ac:dyDescent="0.25">
      <c r="A13" s="3" t="s">
        <v>13</v>
      </c>
      <c r="B13" s="717" t="s">
        <v>14</v>
      </c>
      <c r="C13" s="717"/>
      <c r="D13" s="5">
        <f t="shared" ref="D13:D17" si="0">SUM(E13:G13)</f>
        <v>0</v>
      </c>
      <c r="E13" s="5">
        <f>'[6]11'!E13+'[6]13'!E13+'[6]15'!E13</f>
        <v>0</v>
      </c>
      <c r="F13" s="11">
        <f>'[6]11'!F13+'[6]13'!F13+'[6]15'!F13</f>
        <v>0</v>
      </c>
      <c r="G13" s="9"/>
      <c r="H13" s="5">
        <v>0</v>
      </c>
      <c r="I13" s="5">
        <v>0</v>
      </c>
      <c r="J13" s="11">
        <v>0</v>
      </c>
      <c r="K13" s="9"/>
    </row>
    <row r="14" spans="1:11" x14ac:dyDescent="0.25">
      <c r="A14" s="3" t="s">
        <v>15</v>
      </c>
      <c r="B14" s="728" t="s">
        <v>16</v>
      </c>
      <c r="C14" s="728"/>
      <c r="D14" s="5">
        <f>D15+D16+D17+D18</f>
        <v>18280262</v>
      </c>
      <c r="E14" s="975">
        <f>+E15+E16+E17+E18</f>
        <v>14843562</v>
      </c>
      <c r="F14" s="10">
        <f>+F15+F16+F17+F18+F19</f>
        <v>3436700</v>
      </c>
      <c r="G14" s="976"/>
      <c r="H14" s="5">
        <f>H15+H16+H17+H18</f>
        <v>30091211</v>
      </c>
      <c r="I14" s="5">
        <f>I15+I16+I17+I18</f>
        <v>21247716</v>
      </c>
      <c r="J14" s="5">
        <f>J15+J16+J17+J18</f>
        <v>8843495</v>
      </c>
      <c r="K14" s="976"/>
    </row>
    <row r="15" spans="1:11" x14ac:dyDescent="0.25">
      <c r="A15" s="3" t="s">
        <v>17</v>
      </c>
      <c r="B15" s="719"/>
      <c r="C15" s="719"/>
      <c r="D15" s="5">
        <f t="shared" si="0"/>
        <v>0</v>
      </c>
      <c r="E15" s="5">
        <f>'[6]11'!E15+'[6]13'!E15+'[6]15'!E15</f>
        <v>0</v>
      </c>
      <c r="F15" s="11">
        <f>'[6]11'!F15+'[6]13'!F15+'[6]15'!F15</f>
        <v>0</v>
      </c>
      <c r="G15" s="9"/>
      <c r="H15" s="5">
        <v>0</v>
      </c>
      <c r="I15" s="5">
        <v>0</v>
      </c>
      <c r="J15" s="11">
        <v>0</v>
      </c>
      <c r="K15" s="9"/>
    </row>
    <row r="16" spans="1:11" x14ac:dyDescent="0.25">
      <c r="A16" s="3" t="s">
        <v>18</v>
      </c>
      <c r="B16" s="719" t="s">
        <v>19</v>
      </c>
      <c r="C16" s="719"/>
      <c r="D16" s="5">
        <v>8161962</v>
      </c>
      <c r="E16" s="5">
        <v>5781162</v>
      </c>
      <c r="F16" s="11">
        <v>2380800</v>
      </c>
      <c r="G16" s="9"/>
      <c r="H16" s="5">
        <v>17146116</v>
      </c>
      <c r="I16" s="5">
        <v>12385316</v>
      </c>
      <c r="J16" s="11">
        <v>4760800</v>
      </c>
      <c r="K16" s="9"/>
    </row>
    <row r="17" spans="1:11" x14ac:dyDescent="0.25">
      <c r="A17" s="3"/>
      <c r="B17" s="840" t="s">
        <v>890</v>
      </c>
      <c r="C17" s="841"/>
      <c r="D17" s="5">
        <f t="shared" si="0"/>
        <v>0</v>
      </c>
      <c r="E17" s="5">
        <f>'[6]11'!E17+'[6]13'!E17+'[6]15'!E17</f>
        <v>0</v>
      </c>
      <c r="F17" s="11">
        <f>'[6]11'!F17+'[6]13'!F17+'[6]15'!F17</f>
        <v>0</v>
      </c>
      <c r="G17" s="9"/>
      <c r="H17" s="5">
        <v>2826795</v>
      </c>
      <c r="I17" s="5">
        <v>0</v>
      </c>
      <c r="J17" s="11">
        <v>2826795</v>
      </c>
      <c r="K17" s="9"/>
    </row>
    <row r="18" spans="1:11" ht="15.75" customHeight="1" x14ac:dyDescent="0.25">
      <c r="A18" s="3" t="s">
        <v>20</v>
      </c>
      <c r="B18" s="721" t="s">
        <v>21</v>
      </c>
      <c r="C18" s="721"/>
      <c r="D18" s="5">
        <v>10118300</v>
      </c>
      <c r="E18" s="5">
        <v>9062400</v>
      </c>
      <c r="F18" s="11">
        <v>1055900</v>
      </c>
      <c r="G18" s="9"/>
      <c r="H18" s="5">
        <v>10118300</v>
      </c>
      <c r="I18" s="5">
        <v>8862400</v>
      </c>
      <c r="J18" s="11">
        <v>1255900</v>
      </c>
      <c r="K18" s="9"/>
    </row>
    <row r="19" spans="1:11" ht="15.75" customHeight="1" x14ac:dyDescent="0.25">
      <c r="A19" s="3" t="s">
        <v>22</v>
      </c>
      <c r="B19" s="717"/>
      <c r="C19" s="717"/>
      <c r="D19" s="10"/>
      <c r="E19" s="10"/>
      <c r="F19" s="11">
        <f>'[6]11'!F19+'[6]13'!F19+'[6]15'!F19</f>
        <v>0</v>
      </c>
      <c r="G19" s="9"/>
      <c r="H19" s="10"/>
      <c r="I19" s="10"/>
      <c r="J19" s="11"/>
      <c r="K19" s="9"/>
    </row>
    <row r="20" spans="1:11" ht="15.75" customHeight="1" x14ac:dyDescent="0.25">
      <c r="A20" s="3"/>
      <c r="B20" s="717" t="s">
        <v>23</v>
      </c>
      <c r="C20" s="717"/>
      <c r="D20" s="10">
        <v>0</v>
      </c>
      <c r="E20" s="5">
        <v>0</v>
      </c>
      <c r="F20" s="11">
        <v>0</v>
      </c>
      <c r="G20" s="9"/>
      <c r="H20" s="10">
        <v>0</v>
      </c>
      <c r="I20" s="5">
        <v>0</v>
      </c>
      <c r="J20" s="11">
        <v>0</v>
      </c>
      <c r="K20" s="9"/>
    </row>
    <row r="21" spans="1:11" ht="15.75" customHeight="1" x14ac:dyDescent="0.25">
      <c r="A21" s="3"/>
      <c r="B21" s="977" t="s">
        <v>861</v>
      </c>
      <c r="C21" s="978"/>
      <c r="D21" s="11">
        <f>28456625+1449948+269381</f>
        <v>30175954</v>
      </c>
      <c r="E21" s="5">
        <v>30175954</v>
      </c>
      <c r="F21" s="11">
        <f>'[6]15'!F22</f>
        <v>0</v>
      </c>
      <c r="G21" s="9"/>
      <c r="H21" s="11">
        <v>3868303</v>
      </c>
      <c r="I21" s="11">
        <v>3868303</v>
      </c>
      <c r="J21" s="11">
        <v>0</v>
      </c>
      <c r="K21" s="9"/>
    </row>
    <row r="22" spans="1:11" s="337" customFormat="1" ht="15.75" customHeight="1" x14ac:dyDescent="0.25">
      <c r="A22" s="12" t="s">
        <v>0</v>
      </c>
      <c r="B22" s="979" t="s">
        <v>24</v>
      </c>
      <c r="C22" s="980"/>
      <c r="D22" s="981">
        <f>D10+D11+D12+D14+D19+D21+D20</f>
        <v>365001368</v>
      </c>
      <c r="E22" s="981">
        <f t="shared" ref="E22:F22" si="1">E10+E11+E12+E14+E19+E21+E20</f>
        <v>361564668</v>
      </c>
      <c r="F22" s="981">
        <f t="shared" si="1"/>
        <v>3436700</v>
      </c>
      <c r="G22" s="982"/>
      <c r="H22" s="981">
        <f>H10+H11+H12+H14+H19+H21+H20</f>
        <v>428581382</v>
      </c>
      <c r="I22" s="981">
        <f t="shared" ref="I22:J22" si="2">I10+I11+I12+I14+I19+I21+I20</f>
        <v>419737887</v>
      </c>
      <c r="J22" s="981">
        <f t="shared" si="2"/>
        <v>8843495</v>
      </c>
      <c r="K22" s="982"/>
    </row>
    <row r="23" spans="1:11" x14ac:dyDescent="0.25">
      <c r="A23" s="3" t="s">
        <v>25</v>
      </c>
      <c r="B23" s="717" t="s">
        <v>26</v>
      </c>
      <c r="C23" s="717"/>
      <c r="D23" s="5">
        <v>399314520</v>
      </c>
      <c r="E23" s="5">
        <v>399314520</v>
      </c>
      <c r="F23" s="11">
        <f>'[6]15'!F24</f>
        <v>0</v>
      </c>
      <c r="G23" s="7"/>
      <c r="H23" s="5">
        <v>475423120</v>
      </c>
      <c r="I23" s="5">
        <v>475423120</v>
      </c>
      <c r="J23" s="11">
        <v>0</v>
      </c>
      <c r="K23" s="7"/>
    </row>
    <row r="24" spans="1:11" ht="15.75" customHeight="1" x14ac:dyDescent="0.25">
      <c r="A24" s="3" t="s">
        <v>27</v>
      </c>
      <c r="B24" s="717" t="s">
        <v>28</v>
      </c>
      <c r="C24" s="717"/>
      <c r="D24" s="5">
        <v>850000</v>
      </c>
      <c r="E24" s="5">
        <v>850000</v>
      </c>
      <c r="F24" s="11">
        <f>'[6]11'!F24+'[6]13'!F24+'[6]15'!F25</f>
        <v>0</v>
      </c>
      <c r="G24" s="7"/>
      <c r="H24" s="5">
        <v>9833510</v>
      </c>
      <c r="I24" s="5">
        <v>9833510</v>
      </c>
      <c r="J24" s="11">
        <v>0</v>
      </c>
      <c r="K24" s="7"/>
    </row>
    <row r="25" spans="1:11" ht="15.75" customHeight="1" x14ac:dyDescent="0.25">
      <c r="A25" s="3" t="s">
        <v>29</v>
      </c>
      <c r="B25" s="717" t="s">
        <v>30</v>
      </c>
      <c r="C25" s="717"/>
      <c r="D25" s="5">
        <v>0</v>
      </c>
      <c r="E25" s="5"/>
      <c r="F25" s="11">
        <v>0</v>
      </c>
      <c r="G25" s="7"/>
      <c r="H25" s="5">
        <v>0</v>
      </c>
      <c r="I25" s="5">
        <v>0</v>
      </c>
      <c r="J25" s="11">
        <v>0</v>
      </c>
      <c r="K25" s="7"/>
    </row>
    <row r="26" spans="1:11" s="337" customFormat="1" ht="18.75" x14ac:dyDescent="0.25">
      <c r="A26" s="12" t="s">
        <v>31</v>
      </c>
      <c r="B26" s="983" t="s">
        <v>32</v>
      </c>
      <c r="C26" s="983"/>
      <c r="D26" s="984">
        <f>+D23+D24+D25</f>
        <v>400164520</v>
      </c>
      <c r="E26" s="984">
        <f>+E23+E24+E25</f>
        <v>400164520</v>
      </c>
      <c r="F26" s="984">
        <f>+F23+F24+F25</f>
        <v>0</v>
      </c>
      <c r="G26" s="985"/>
      <c r="H26" s="984">
        <f>+H23+H24+H25</f>
        <v>485256630</v>
      </c>
      <c r="I26" s="984">
        <f>+I23+I24+I25</f>
        <v>485256630</v>
      </c>
      <c r="J26" s="984">
        <f>+J23+J24+J25</f>
        <v>0</v>
      </c>
      <c r="K26" s="985"/>
    </row>
    <row r="27" spans="1:11" x14ac:dyDescent="0.25">
      <c r="A27" s="3" t="s">
        <v>33</v>
      </c>
      <c r="B27" s="717" t="s">
        <v>862</v>
      </c>
      <c r="C27" s="717"/>
      <c r="D27" s="11">
        <v>1136830</v>
      </c>
      <c r="E27" s="14">
        <v>1136830</v>
      </c>
      <c r="F27" s="11"/>
      <c r="G27" s="7"/>
      <c r="H27" s="11">
        <v>3685034</v>
      </c>
      <c r="I27" s="11">
        <v>3685034</v>
      </c>
      <c r="J27" s="11">
        <v>0</v>
      </c>
      <c r="K27" s="7"/>
    </row>
    <row r="28" spans="1:11" x14ac:dyDescent="0.25">
      <c r="A28" s="3" t="s">
        <v>34</v>
      </c>
      <c r="B28" s="718"/>
      <c r="C28" s="718"/>
      <c r="D28" s="15"/>
      <c r="E28" s="16"/>
      <c r="F28" s="11">
        <f>+D28+E28</f>
        <v>0</v>
      </c>
      <c r="G28" s="7"/>
      <c r="H28" s="15"/>
      <c r="I28" s="16"/>
      <c r="J28" s="11">
        <f>+H28+I28</f>
        <v>0</v>
      </c>
      <c r="K28" s="7"/>
    </row>
    <row r="29" spans="1:11" ht="19.5" customHeight="1" x14ac:dyDescent="0.25">
      <c r="A29" s="3" t="s">
        <v>35</v>
      </c>
      <c r="B29" s="718"/>
      <c r="C29" s="718"/>
      <c r="D29" s="15"/>
      <c r="E29" s="17"/>
      <c r="F29" s="11">
        <f>+D29+E29</f>
        <v>0</v>
      </c>
      <c r="G29" s="7"/>
      <c r="H29" s="15"/>
      <c r="I29" s="17"/>
      <c r="J29" s="11">
        <f>+H29+I29</f>
        <v>0</v>
      </c>
      <c r="K29" s="7"/>
    </row>
    <row r="30" spans="1:11" ht="20.25" x14ac:dyDescent="0.3">
      <c r="A30" s="18" t="s">
        <v>36</v>
      </c>
      <c r="B30" s="986" t="s">
        <v>863</v>
      </c>
      <c r="C30" s="986"/>
      <c r="D30" s="987">
        <f t="shared" ref="D30:K30" si="3">+D22+D26+D27+D28+D29</f>
        <v>766302718</v>
      </c>
      <c r="E30" s="988">
        <f t="shared" si="3"/>
        <v>762866018</v>
      </c>
      <c r="F30" s="988">
        <f t="shared" si="3"/>
        <v>3436700</v>
      </c>
      <c r="G30" s="989">
        <f t="shared" si="3"/>
        <v>0</v>
      </c>
      <c r="H30" s="987">
        <f t="shared" si="3"/>
        <v>917523046</v>
      </c>
      <c r="I30" s="987">
        <f t="shared" si="3"/>
        <v>908679551</v>
      </c>
      <c r="J30" s="987">
        <f t="shared" si="3"/>
        <v>8843495</v>
      </c>
      <c r="K30" s="989">
        <f t="shared" si="3"/>
        <v>0</v>
      </c>
    </row>
    <row r="31" spans="1:11" x14ac:dyDescent="0.25">
      <c r="A31" s="19"/>
      <c r="B31" s="990"/>
      <c r="C31" s="990"/>
      <c r="D31" s="991"/>
      <c r="E31" s="992"/>
      <c r="F31" s="993"/>
      <c r="G31" s="994"/>
      <c r="H31" s="991"/>
      <c r="I31" s="992"/>
      <c r="J31" s="993"/>
      <c r="K31" s="994"/>
    </row>
    <row r="32" spans="1:11" x14ac:dyDescent="0.25">
      <c r="A32" s="3"/>
      <c r="B32" s="995" t="s">
        <v>37</v>
      </c>
      <c r="C32" s="995"/>
      <c r="D32" s="996"/>
      <c r="E32" s="997"/>
      <c r="F32" s="996"/>
      <c r="G32" s="998"/>
      <c r="H32" s="996"/>
      <c r="I32" s="997"/>
      <c r="J32" s="996"/>
      <c r="K32" s="998"/>
    </row>
    <row r="33" spans="1:11" x14ac:dyDescent="0.25">
      <c r="A33" s="3" t="s">
        <v>38</v>
      </c>
      <c r="B33" s="713" t="s">
        <v>39</v>
      </c>
      <c r="C33" s="713"/>
      <c r="D33" s="20">
        <v>14451020</v>
      </c>
      <c r="E33" s="20">
        <v>14451020</v>
      </c>
      <c r="F33" s="21">
        <f>'[6]11'!F32+'[6]13'!F32+'[6]15'!F34</f>
        <v>0</v>
      </c>
      <c r="G33" s="999"/>
      <c r="H33" s="20">
        <v>19060932</v>
      </c>
      <c r="I33" s="20">
        <v>19060932</v>
      </c>
      <c r="J33" s="21">
        <v>0</v>
      </c>
      <c r="K33" s="999"/>
    </row>
    <row r="34" spans="1:11" x14ac:dyDescent="0.25">
      <c r="A34" s="3" t="s">
        <v>40</v>
      </c>
      <c r="B34" s="713" t="s">
        <v>41</v>
      </c>
      <c r="C34" s="713"/>
      <c r="D34" s="20">
        <f>D35+D36+D37</f>
        <v>40830000</v>
      </c>
      <c r="E34" s="20">
        <f>E35+E36+E37</f>
        <v>40830000</v>
      </c>
      <c r="F34" s="21">
        <f>SUM(F35:F37)</f>
        <v>0</v>
      </c>
      <c r="G34" s="999"/>
      <c r="H34" s="20">
        <f>H35+H36+H37</f>
        <v>47080950</v>
      </c>
      <c r="I34" s="20">
        <f>I35+I36+I37</f>
        <v>47080950</v>
      </c>
      <c r="J34" s="21">
        <v>0</v>
      </c>
      <c r="K34" s="999"/>
    </row>
    <row r="35" spans="1:11" x14ac:dyDescent="0.25">
      <c r="A35" s="3"/>
      <c r="B35" s="22" t="s">
        <v>42</v>
      </c>
      <c r="C35" s="23" t="s">
        <v>43</v>
      </c>
      <c r="D35" s="20">
        <v>35825000</v>
      </c>
      <c r="E35" s="20">
        <v>35825000</v>
      </c>
      <c r="F35" s="21">
        <f>'[6]11'!F34+'[6]13'!F34+'[6]15'!F36</f>
        <v>0</v>
      </c>
      <c r="G35" s="999"/>
      <c r="H35" s="20">
        <v>41096191</v>
      </c>
      <c r="I35" s="20">
        <v>41096191</v>
      </c>
      <c r="J35" s="21">
        <v>0</v>
      </c>
      <c r="K35" s="999"/>
    </row>
    <row r="36" spans="1:11" x14ac:dyDescent="0.25">
      <c r="A36" s="3"/>
      <c r="B36" s="22" t="s">
        <v>44</v>
      </c>
      <c r="C36" s="23" t="s">
        <v>45</v>
      </c>
      <c r="D36" s="20">
        <v>4500000</v>
      </c>
      <c r="E36" s="20">
        <v>4500000</v>
      </c>
      <c r="F36" s="21">
        <f>'[6]11'!F35+'[6]13'!F35+'[6]15'!F37</f>
        <v>0</v>
      </c>
      <c r="G36" s="999"/>
      <c r="H36" s="20">
        <v>5479759</v>
      </c>
      <c r="I36" s="20">
        <v>5479759</v>
      </c>
      <c r="J36" s="21">
        <v>0</v>
      </c>
      <c r="K36" s="999"/>
    </row>
    <row r="37" spans="1:11" x14ac:dyDescent="0.25">
      <c r="A37" s="3"/>
      <c r="B37" s="22" t="s">
        <v>46</v>
      </c>
      <c r="C37" s="23" t="s">
        <v>47</v>
      </c>
      <c r="D37" s="20">
        <v>505000</v>
      </c>
      <c r="E37" s="20">
        <v>505000</v>
      </c>
      <c r="F37" s="21">
        <f>'[6]11'!F36+'[6]13'!F36+'[6]15'!F38</f>
        <v>0</v>
      </c>
      <c r="G37" s="999"/>
      <c r="H37" s="20">
        <v>505000</v>
      </c>
      <c r="I37" s="20">
        <v>505000</v>
      </c>
      <c r="J37" s="21">
        <v>0</v>
      </c>
      <c r="K37" s="999"/>
    </row>
    <row r="38" spans="1:11" x14ac:dyDescent="0.25">
      <c r="A38" s="3" t="s">
        <v>48</v>
      </c>
      <c r="B38" s="713" t="s">
        <v>49</v>
      </c>
      <c r="C38" s="713"/>
      <c r="D38" s="24">
        <f>D39+D40+D41</f>
        <v>152161604</v>
      </c>
      <c r="E38" s="24">
        <f>E39+E40+E41</f>
        <v>152161604</v>
      </c>
      <c r="F38" s="24">
        <f>SUM(F39:F41)</f>
        <v>0</v>
      </c>
      <c r="G38" s="999"/>
      <c r="H38" s="24">
        <f>H39+H40+H41</f>
        <v>168080269</v>
      </c>
      <c r="I38" s="24">
        <f>I39+I40+I41</f>
        <v>168080269</v>
      </c>
      <c r="J38" s="21">
        <v>0</v>
      </c>
      <c r="K38" s="999"/>
    </row>
    <row r="39" spans="1:11" x14ac:dyDescent="0.25">
      <c r="A39" s="3"/>
      <c r="B39" s="25" t="s">
        <v>50</v>
      </c>
      <c r="C39" s="586" t="s">
        <v>51</v>
      </c>
      <c r="D39" s="24">
        <v>145525259</v>
      </c>
      <c r="E39" s="24">
        <v>145525259</v>
      </c>
      <c r="F39" s="21">
        <f>'[6]11'!F38+'[6]13'!F38+'[6]15'!F40</f>
        <v>0</v>
      </c>
      <c r="G39" s="999"/>
      <c r="H39" s="24">
        <v>150286259</v>
      </c>
      <c r="I39" s="24">
        <v>150286259</v>
      </c>
      <c r="J39" s="21">
        <v>0</v>
      </c>
      <c r="K39" s="999"/>
    </row>
    <row r="40" spans="1:11" x14ac:dyDescent="0.25">
      <c r="A40" s="3"/>
      <c r="B40" s="25" t="s">
        <v>52</v>
      </c>
      <c r="C40" s="586" t="s">
        <v>53</v>
      </c>
      <c r="D40" s="24">
        <f t="shared" ref="D40:E40" si="4">SUM(E40:G40)</f>
        <v>0</v>
      </c>
      <c r="E40" s="24">
        <f t="shared" si="4"/>
        <v>0</v>
      </c>
      <c r="F40" s="21">
        <f>'[6]11'!F39+'[6]13'!F39+'[6]15'!F41</f>
        <v>0</v>
      </c>
      <c r="G40" s="999"/>
      <c r="H40" s="24">
        <v>0</v>
      </c>
      <c r="I40" s="24">
        <v>0</v>
      </c>
      <c r="J40" s="21">
        <v>0</v>
      </c>
      <c r="K40" s="999"/>
    </row>
    <row r="41" spans="1:11" x14ac:dyDescent="0.25">
      <c r="A41" s="3"/>
      <c r="B41" s="25" t="s">
        <v>54</v>
      </c>
      <c r="C41" s="586" t="s">
        <v>55</v>
      </c>
      <c r="D41" s="24">
        <v>6636345</v>
      </c>
      <c r="E41" s="24">
        <v>6636345</v>
      </c>
      <c r="F41" s="21">
        <f>'[6]11'!F40+'[6]13'!F40+'[6]15'!F42</f>
        <v>0</v>
      </c>
      <c r="G41" s="999"/>
      <c r="H41" s="24">
        <v>17794010</v>
      </c>
      <c r="I41" s="24">
        <v>17794010</v>
      </c>
      <c r="J41" s="21">
        <v>0</v>
      </c>
      <c r="K41" s="999"/>
    </row>
    <row r="42" spans="1:11" x14ac:dyDescent="0.25">
      <c r="A42" s="3" t="s">
        <v>13</v>
      </c>
      <c r="B42" s="713" t="s">
        <v>56</v>
      </c>
      <c r="C42" s="713"/>
      <c r="D42" s="24">
        <f>SUM(D43:D46)</f>
        <v>14483373</v>
      </c>
      <c r="E42" s="24">
        <f>SUM(E43:E46)</f>
        <v>14483373</v>
      </c>
      <c r="F42" s="21">
        <f>SUM(F43:F46)</f>
        <v>0</v>
      </c>
      <c r="G42" s="999"/>
      <c r="H42" s="24">
        <f>SUM(H43:H46)</f>
        <v>133094718</v>
      </c>
      <c r="I42" s="24">
        <f>SUM(I43:I46)</f>
        <v>133094718</v>
      </c>
      <c r="J42" s="21">
        <v>0</v>
      </c>
      <c r="K42" s="999"/>
    </row>
    <row r="43" spans="1:11" x14ac:dyDescent="0.25">
      <c r="A43" s="3"/>
      <c r="B43" s="25" t="s">
        <v>57</v>
      </c>
      <c r="C43" s="586" t="s">
        <v>58</v>
      </c>
      <c r="D43" s="24">
        <v>13483373</v>
      </c>
      <c r="E43" s="24">
        <v>13483373</v>
      </c>
      <c r="F43" s="21">
        <f>'[6]11'!F42+'[6]13'!F42+'[6]15'!F44</f>
        <v>0</v>
      </c>
      <c r="G43" s="999"/>
      <c r="H43" s="24">
        <v>131340353</v>
      </c>
      <c r="I43" s="24">
        <v>131340353</v>
      </c>
      <c r="J43" s="21">
        <v>0</v>
      </c>
      <c r="K43" s="999"/>
    </row>
    <row r="44" spans="1:11" x14ac:dyDescent="0.25">
      <c r="A44" s="3"/>
      <c r="B44" s="25" t="s">
        <v>59</v>
      </c>
      <c r="C44" s="586" t="s">
        <v>60</v>
      </c>
      <c r="D44" s="24"/>
      <c r="E44" s="24"/>
      <c r="F44" s="21">
        <f>'[6]11'!F43+'[6]13'!F43+'[6]15'!F45</f>
        <v>0</v>
      </c>
      <c r="G44" s="999"/>
      <c r="H44" s="24">
        <v>462365</v>
      </c>
      <c r="I44" s="24">
        <v>462365</v>
      </c>
      <c r="J44" s="21">
        <v>0</v>
      </c>
      <c r="K44" s="999"/>
    </row>
    <row r="45" spans="1:11" x14ac:dyDescent="0.25">
      <c r="A45" s="3"/>
      <c r="B45" s="25" t="s">
        <v>61</v>
      </c>
      <c r="C45" s="586" t="s">
        <v>62</v>
      </c>
      <c r="D45" s="24">
        <v>1000000</v>
      </c>
      <c r="E45" s="24">
        <v>1000000</v>
      </c>
      <c r="F45" s="21">
        <f>'[6]11'!F44+'[6]13'!F44+'[6]15'!F46</f>
        <v>0</v>
      </c>
      <c r="G45" s="999"/>
      <c r="H45" s="24">
        <v>1292000</v>
      </c>
      <c r="I45" s="24">
        <v>1292000</v>
      </c>
      <c r="J45" s="21">
        <v>0</v>
      </c>
      <c r="K45" s="999"/>
    </row>
    <row r="46" spans="1:11" x14ac:dyDescent="0.25">
      <c r="A46" s="3"/>
      <c r="B46" s="25" t="s">
        <v>63</v>
      </c>
      <c r="C46" s="586" t="s">
        <v>64</v>
      </c>
      <c r="D46" s="24"/>
      <c r="E46" s="24"/>
      <c r="F46" s="21">
        <f>'[6]11'!F45+'[6]13'!F45+'[6]15'!F47</f>
        <v>0</v>
      </c>
      <c r="G46" s="999"/>
      <c r="H46" s="24"/>
      <c r="I46" s="24"/>
      <c r="J46" s="21">
        <v>0</v>
      </c>
      <c r="K46" s="999"/>
    </row>
    <row r="47" spans="1:11" ht="18.75" x14ac:dyDescent="0.3">
      <c r="A47" s="12" t="s">
        <v>0</v>
      </c>
      <c r="B47" s="1000" t="s">
        <v>65</v>
      </c>
      <c r="C47" s="1000"/>
      <c r="D47" s="1001">
        <f>D42+D38+D33+D34</f>
        <v>221925997</v>
      </c>
      <c r="E47" s="1001">
        <f>E42+E38+E33+E34</f>
        <v>221925997</v>
      </c>
      <c r="F47" s="1001">
        <f>+F33+F34+F38+F42</f>
        <v>0</v>
      </c>
      <c r="G47" s="1002">
        <f>+G33+G34+G38+G42</f>
        <v>0</v>
      </c>
      <c r="H47" s="1001">
        <f>H42+H38+H33+H34</f>
        <v>367316869</v>
      </c>
      <c r="I47" s="1001">
        <f>I42+I38+I33+I34</f>
        <v>367316869</v>
      </c>
      <c r="J47" s="1001">
        <f t="shared" ref="J47:K47" si="5">J42+J38+J33+J34</f>
        <v>0</v>
      </c>
      <c r="K47" s="1001">
        <f t="shared" si="5"/>
        <v>0</v>
      </c>
    </row>
    <row r="48" spans="1:11" x14ac:dyDescent="0.25">
      <c r="A48" s="3" t="s">
        <v>15</v>
      </c>
      <c r="B48" s="713" t="s">
        <v>66</v>
      </c>
      <c r="C48" s="713"/>
      <c r="D48" s="21">
        <f>SUM(D49:D50)</f>
        <v>7867898</v>
      </c>
      <c r="E48" s="21">
        <f>SUM(E49:E50)</f>
        <v>7867898</v>
      </c>
      <c r="F48" s="21">
        <f>SUM(F49:F50)</f>
        <v>0</v>
      </c>
      <c r="G48" s="999"/>
      <c r="H48" s="21">
        <f>SUM(H49:H50)</f>
        <v>9380270</v>
      </c>
      <c r="I48" s="21">
        <f>SUM(I49:I50)</f>
        <v>9380270</v>
      </c>
      <c r="J48" s="21">
        <v>0</v>
      </c>
      <c r="K48" s="999"/>
    </row>
    <row r="49" spans="1:11" x14ac:dyDescent="0.25">
      <c r="A49" s="3"/>
      <c r="B49" s="25" t="s">
        <v>67</v>
      </c>
      <c r="C49" s="586" t="s">
        <v>68</v>
      </c>
      <c r="D49" s="24">
        <v>3518600</v>
      </c>
      <c r="E49" s="24">
        <v>3518600</v>
      </c>
      <c r="F49" s="21">
        <f>'[6]11'!F48+'[6]13'!F48+'[6]15'!F50</f>
        <v>0</v>
      </c>
      <c r="G49" s="999"/>
      <c r="H49" s="24">
        <v>5030972</v>
      </c>
      <c r="I49" s="24">
        <v>5030972</v>
      </c>
      <c r="J49" s="21">
        <v>0</v>
      </c>
      <c r="K49" s="999"/>
    </row>
    <row r="50" spans="1:11" x14ac:dyDescent="0.25">
      <c r="A50" s="3"/>
      <c r="B50" s="25" t="s">
        <v>69</v>
      </c>
      <c r="C50" s="586" t="s">
        <v>70</v>
      </c>
      <c r="D50" s="24">
        <v>4349298</v>
      </c>
      <c r="E50" s="24">
        <v>4349298</v>
      </c>
      <c r="F50" s="21">
        <f>'[6]11'!F49+'[6]13'!F49+'[6]15'!F51</f>
        <v>0</v>
      </c>
      <c r="G50" s="999"/>
      <c r="H50" s="24">
        <v>4349298</v>
      </c>
      <c r="I50" s="24">
        <v>4349298</v>
      </c>
      <c r="J50" s="21">
        <v>0</v>
      </c>
      <c r="K50" s="999"/>
    </row>
    <row r="51" spans="1:11" x14ac:dyDescent="0.25">
      <c r="A51" s="3" t="s">
        <v>25</v>
      </c>
      <c r="B51" s="713" t="s">
        <v>71</v>
      </c>
      <c r="C51" s="713"/>
      <c r="D51" s="24">
        <f>SUM(D52:D53)</f>
        <v>0</v>
      </c>
      <c r="E51" s="24">
        <f>SUM(E52:E53)</f>
        <v>0</v>
      </c>
      <c r="F51" s="24">
        <f>SUM(D51:D51)</f>
        <v>0</v>
      </c>
      <c r="G51" s="999"/>
      <c r="H51" s="24">
        <f>SUM(H52:H53)</f>
        <v>240909096</v>
      </c>
      <c r="I51" s="24">
        <f>SUM(I52:I53)</f>
        <v>240909096</v>
      </c>
      <c r="J51" s="21">
        <v>0</v>
      </c>
      <c r="K51" s="999"/>
    </row>
    <row r="52" spans="1:11" x14ac:dyDescent="0.25">
      <c r="A52" s="3"/>
      <c r="B52" s="25" t="s">
        <v>72</v>
      </c>
      <c r="C52" s="586" t="s">
        <v>73</v>
      </c>
      <c r="D52" s="24"/>
      <c r="E52" s="24"/>
      <c r="F52" s="21">
        <f>'[6]11'!F51+'[6]13'!F51+'[6]15'!F53</f>
        <v>0</v>
      </c>
      <c r="G52" s="999"/>
      <c r="H52" s="24"/>
      <c r="I52" s="24"/>
      <c r="J52" s="21">
        <v>0</v>
      </c>
      <c r="K52" s="999"/>
    </row>
    <row r="53" spans="1:11" x14ac:dyDescent="0.25">
      <c r="A53" s="3"/>
      <c r="B53" s="25" t="s">
        <v>74</v>
      </c>
      <c r="C53" s="586" t="s">
        <v>75</v>
      </c>
      <c r="D53" s="24">
        <v>0</v>
      </c>
      <c r="E53" s="24">
        <v>0</v>
      </c>
      <c r="F53" s="21">
        <f>'[6]11'!F52+'[6]13'!F52+'[6]15'!F54</f>
        <v>0</v>
      </c>
      <c r="G53" s="999"/>
      <c r="H53" s="24">
        <v>240909096</v>
      </c>
      <c r="I53" s="24">
        <v>240909096</v>
      </c>
      <c r="J53" s="21">
        <v>0</v>
      </c>
      <c r="K53" s="999"/>
    </row>
    <row r="54" spans="1:11" x14ac:dyDescent="0.25">
      <c r="A54" s="3" t="s">
        <v>27</v>
      </c>
      <c r="B54" s="713" t="s">
        <v>76</v>
      </c>
      <c r="C54" s="713"/>
      <c r="D54" s="24">
        <f>SUM(D55:D57)</f>
        <v>269478267</v>
      </c>
      <c r="E54" s="24">
        <f>SUM(E55:E57)</f>
        <v>269478267</v>
      </c>
      <c r="F54" s="24">
        <f>SUM(F55:F57)</f>
        <v>0</v>
      </c>
      <c r="G54" s="999"/>
      <c r="H54" s="24">
        <v>22074571</v>
      </c>
      <c r="I54" s="24">
        <v>22074571</v>
      </c>
      <c r="J54" s="21">
        <v>0</v>
      </c>
      <c r="K54" s="999"/>
    </row>
    <row r="55" spans="1:11" x14ac:dyDescent="0.25">
      <c r="A55" s="3"/>
      <c r="B55" s="25" t="s">
        <v>77</v>
      </c>
      <c r="C55" s="586" t="s">
        <v>78</v>
      </c>
      <c r="D55" s="24"/>
      <c r="E55" s="24"/>
      <c r="F55" s="21">
        <f>'[6]11'!F54+'[6]13'!F54+'[6]15'!F56</f>
        <v>0</v>
      </c>
      <c r="G55" s="999"/>
      <c r="H55" s="24"/>
      <c r="I55" s="24"/>
      <c r="J55" s="21">
        <v>0</v>
      </c>
      <c r="K55" s="999"/>
    </row>
    <row r="56" spans="1:11" x14ac:dyDescent="0.25">
      <c r="A56" s="3"/>
      <c r="B56" s="25" t="s">
        <v>79</v>
      </c>
      <c r="C56" s="586" t="s">
        <v>80</v>
      </c>
      <c r="D56" s="24">
        <v>269478267</v>
      </c>
      <c r="E56" s="24">
        <v>269478267</v>
      </c>
      <c r="F56" s="21">
        <f>'[6]11'!F55+'[6]13'!F55+'[6]15'!F57</f>
        <v>0</v>
      </c>
      <c r="G56" s="999"/>
      <c r="H56" s="24">
        <v>22074571</v>
      </c>
      <c r="I56" s="24">
        <v>22074571</v>
      </c>
      <c r="J56" s="21">
        <v>0</v>
      </c>
      <c r="K56" s="999"/>
    </row>
    <row r="57" spans="1:11" x14ac:dyDescent="0.25">
      <c r="A57" s="3"/>
      <c r="B57" s="25" t="s">
        <v>81</v>
      </c>
      <c r="C57" s="586" t="s">
        <v>82</v>
      </c>
      <c r="D57" s="24"/>
      <c r="E57" s="24"/>
      <c r="F57" s="21">
        <f>'[6]11'!F56+'[6]13'!F56+'[6]15'!F58</f>
        <v>0</v>
      </c>
      <c r="G57" s="999"/>
      <c r="H57" s="24"/>
      <c r="I57" s="24"/>
      <c r="J57" s="21">
        <v>0</v>
      </c>
      <c r="K57" s="999"/>
    </row>
    <row r="58" spans="1:11" ht="18.75" x14ac:dyDescent="0.3">
      <c r="A58" s="12" t="s">
        <v>31</v>
      </c>
      <c r="B58" s="1000" t="s">
        <v>83</v>
      </c>
      <c r="C58" s="1000"/>
      <c r="D58" s="1001">
        <f>D48+D51+D54</f>
        <v>277346165</v>
      </c>
      <c r="E58" s="1001">
        <f>E48+E51+E54</f>
        <v>277346165</v>
      </c>
      <c r="F58" s="1001">
        <f>+F48+F51+F54</f>
        <v>0</v>
      </c>
      <c r="G58" s="1002">
        <f>+G48+G51+G54</f>
        <v>0</v>
      </c>
      <c r="H58" s="1001">
        <f>H48+H51+H54</f>
        <v>272363937</v>
      </c>
      <c r="I58" s="1001">
        <f>I48+I51+I54</f>
        <v>272363937</v>
      </c>
      <c r="J58" s="1001">
        <f t="shared" ref="J58:K58" si="6">J48+J51+J54</f>
        <v>0</v>
      </c>
      <c r="K58" s="1001">
        <f t="shared" si="6"/>
        <v>0</v>
      </c>
    </row>
    <row r="59" spans="1:11" x14ac:dyDescent="0.25">
      <c r="A59" s="12" t="s">
        <v>33</v>
      </c>
      <c r="B59" s="711" t="s">
        <v>84</v>
      </c>
      <c r="C59" s="711"/>
      <c r="D59" s="26"/>
      <c r="E59" s="26"/>
      <c r="F59" s="26"/>
      <c r="G59" s="1003"/>
      <c r="H59" s="26"/>
      <c r="I59" s="26"/>
      <c r="J59" s="21">
        <v>0</v>
      </c>
      <c r="K59" s="1003"/>
    </row>
    <row r="60" spans="1:11" x14ac:dyDescent="0.25">
      <c r="A60" s="12" t="s">
        <v>34</v>
      </c>
      <c r="B60" s="711" t="s">
        <v>85</v>
      </c>
      <c r="C60" s="711"/>
      <c r="D60" s="26"/>
      <c r="E60" s="26"/>
      <c r="F60" s="26"/>
      <c r="G60" s="1003"/>
      <c r="H60" s="26"/>
      <c r="I60" s="26"/>
      <c r="J60" s="21">
        <v>0</v>
      </c>
      <c r="K60" s="1003"/>
    </row>
    <row r="61" spans="1:11" ht="20.25" x14ac:dyDescent="0.3">
      <c r="A61" s="18" t="s">
        <v>86</v>
      </c>
      <c r="B61" s="1004" t="s">
        <v>87</v>
      </c>
      <c r="C61" s="1004"/>
      <c r="D61" s="1005">
        <f>D47+D58</f>
        <v>499272162</v>
      </c>
      <c r="E61" s="1005">
        <f>E47+E58</f>
        <v>499272162</v>
      </c>
      <c r="F61" s="1006">
        <f>+F47+F58+F59+F60</f>
        <v>0</v>
      </c>
      <c r="G61" s="1007">
        <f>+G47+G58+G59+G60</f>
        <v>0</v>
      </c>
      <c r="H61" s="1005">
        <f>H47+H58</f>
        <v>639680806</v>
      </c>
      <c r="I61" s="1005">
        <f>I47+I58</f>
        <v>639680806</v>
      </c>
      <c r="J61" s="1005">
        <f>J47+J58</f>
        <v>0</v>
      </c>
      <c r="K61" s="1007">
        <f>+K47+K58+K59+K60</f>
        <v>0</v>
      </c>
    </row>
    <row r="62" spans="1:11" ht="18.75" x14ac:dyDescent="0.3">
      <c r="A62" s="18"/>
      <c r="B62" s="710" t="s">
        <v>88</v>
      </c>
      <c r="C62" s="710"/>
      <c r="D62" s="27">
        <f>+D30-D61</f>
        <v>267030556</v>
      </c>
      <c r="E62" s="27">
        <f>+E30-E61</f>
        <v>263593856</v>
      </c>
      <c r="F62" s="27">
        <f>F30-F61</f>
        <v>3436700</v>
      </c>
      <c r="G62" s="28">
        <f>+G30-G61</f>
        <v>0</v>
      </c>
      <c r="H62" s="27">
        <f>+H30-H61</f>
        <v>277842240</v>
      </c>
      <c r="I62" s="27">
        <f>+I30-I61</f>
        <v>268998745</v>
      </c>
      <c r="J62" s="27">
        <f t="shared" ref="J62:K62" si="7">+J30-J61</f>
        <v>8843495</v>
      </c>
      <c r="K62" s="27">
        <f t="shared" si="7"/>
        <v>0</v>
      </c>
    </row>
    <row r="63" spans="1:11" ht="18.75" x14ac:dyDescent="0.3">
      <c r="A63" s="18"/>
      <c r="B63" s="711" t="s">
        <v>89</v>
      </c>
      <c r="C63" s="711"/>
      <c r="D63" s="27"/>
      <c r="E63" s="27"/>
      <c r="F63" s="27">
        <f>+'[6]11'!F62+'[6]13'!F62</f>
        <v>0</v>
      </c>
      <c r="G63" s="28"/>
      <c r="H63" s="27"/>
      <c r="I63" s="27"/>
      <c r="J63" s="21">
        <v>0</v>
      </c>
      <c r="K63" s="28"/>
    </row>
    <row r="64" spans="1:11" x14ac:dyDescent="0.25">
      <c r="A64" s="12" t="s">
        <v>35</v>
      </c>
      <c r="B64" s="711" t="s">
        <v>90</v>
      </c>
      <c r="C64" s="711"/>
      <c r="D64" s="11">
        <f>D65+D66</f>
        <v>267030556</v>
      </c>
      <c r="E64" s="11">
        <f>E65+E66</f>
        <v>267030556</v>
      </c>
      <c r="F64" s="11">
        <f>SUM(F65:F66)</f>
        <v>0</v>
      </c>
      <c r="G64" s="9"/>
      <c r="H64" s="11">
        <f>H65+H66</f>
        <v>272156575</v>
      </c>
      <c r="I64" s="11">
        <f>I65+I66</f>
        <v>272156575</v>
      </c>
      <c r="J64" s="21">
        <v>0</v>
      </c>
      <c r="K64" s="9"/>
    </row>
    <row r="65" spans="1:11" ht="18.75" x14ac:dyDescent="0.25">
      <c r="A65" s="18"/>
      <c r="B65" s="29" t="s">
        <v>38</v>
      </c>
      <c r="C65" s="586" t="s">
        <v>91</v>
      </c>
      <c r="D65" s="11">
        <f>29532605+1449948+269381</f>
        <v>31251934</v>
      </c>
      <c r="E65" s="11">
        <f>29532605+1449948+269381</f>
        <v>31251934</v>
      </c>
      <c r="F65" s="11">
        <f>'[6]11'!F64+'[6]13'!F64+'[6]15'!F66</f>
        <v>0</v>
      </c>
      <c r="G65" s="30"/>
      <c r="H65" s="11">
        <v>36634104</v>
      </c>
      <c r="I65" s="11">
        <v>36634104</v>
      </c>
      <c r="J65" s="21">
        <v>0</v>
      </c>
      <c r="K65" s="30"/>
    </row>
    <row r="66" spans="1:11" ht="18.75" x14ac:dyDescent="0.25">
      <c r="A66" s="18"/>
      <c r="B66" s="29" t="s">
        <v>40</v>
      </c>
      <c r="C66" s="586" t="s">
        <v>92</v>
      </c>
      <c r="D66" s="11">
        <v>235778622</v>
      </c>
      <c r="E66" s="11">
        <v>235778622</v>
      </c>
      <c r="F66" s="11"/>
      <c r="G66" s="30"/>
      <c r="H66" s="11">
        <v>235522471</v>
      </c>
      <c r="I66" s="11">
        <v>235522471</v>
      </c>
      <c r="J66" s="21">
        <v>0</v>
      </c>
      <c r="K66" s="30"/>
    </row>
    <row r="67" spans="1:11" ht="18.75" customHeight="1" x14ac:dyDescent="0.3">
      <c r="A67" s="18" t="s">
        <v>93</v>
      </c>
      <c r="B67" s="712" t="s">
        <v>94</v>
      </c>
      <c r="C67" s="712"/>
      <c r="D67" s="27">
        <f>D64</f>
        <v>267030556</v>
      </c>
      <c r="E67" s="27">
        <f>E64</f>
        <v>267030556</v>
      </c>
      <c r="F67" s="27">
        <f>+F64</f>
        <v>0</v>
      </c>
      <c r="G67" s="30"/>
      <c r="H67" s="27">
        <f>H64</f>
        <v>272156575</v>
      </c>
      <c r="I67" s="27">
        <f>I64</f>
        <v>272156575</v>
      </c>
      <c r="J67" s="21">
        <v>0</v>
      </c>
      <c r="K67" s="30"/>
    </row>
    <row r="68" spans="1:11" ht="18.75" x14ac:dyDescent="0.3">
      <c r="A68" s="3" t="s">
        <v>95</v>
      </c>
      <c r="B68" s="838" t="s">
        <v>96</v>
      </c>
      <c r="C68" s="1008"/>
      <c r="D68" s="27"/>
      <c r="E68" s="27"/>
      <c r="F68" s="27">
        <f>SUM(D68:E68)</f>
        <v>0</v>
      </c>
      <c r="G68" s="33"/>
      <c r="H68" s="27"/>
      <c r="I68" s="27"/>
      <c r="J68" s="21">
        <v>0</v>
      </c>
      <c r="K68" s="33"/>
    </row>
    <row r="69" spans="1:11" ht="18.75" x14ac:dyDescent="0.3">
      <c r="A69" s="3" t="s">
        <v>97</v>
      </c>
      <c r="B69" s="713" t="s">
        <v>98</v>
      </c>
      <c r="C69" s="713"/>
      <c r="D69" s="27">
        <f>SUM(D70:D73)</f>
        <v>0</v>
      </c>
      <c r="E69" s="27">
        <f>SUM(E70:E73)</f>
        <v>0</v>
      </c>
      <c r="F69" s="27">
        <f>SUM(D69:E69)</f>
        <v>0</v>
      </c>
      <c r="G69" s="33"/>
      <c r="H69" s="27">
        <f>SUM(H70:H73)</f>
        <v>0</v>
      </c>
      <c r="I69" s="27">
        <f>SUM(I70:I73)</f>
        <v>0</v>
      </c>
      <c r="J69" s="21">
        <v>0</v>
      </c>
      <c r="K69" s="33"/>
    </row>
    <row r="70" spans="1:11" ht="18.75" x14ac:dyDescent="0.3">
      <c r="A70" s="3"/>
      <c r="B70" s="25" t="s">
        <v>38</v>
      </c>
      <c r="C70" s="586" t="s">
        <v>864</v>
      </c>
      <c r="D70" s="34"/>
      <c r="E70" s="34"/>
      <c r="F70" s="34">
        <f>SUM(D70:E70)</f>
        <v>0</v>
      </c>
      <c r="G70" s="33"/>
      <c r="H70" s="34"/>
      <c r="I70" s="34"/>
      <c r="J70" s="21">
        <v>0</v>
      </c>
      <c r="K70" s="33"/>
    </row>
    <row r="71" spans="1:11" ht="18.75" x14ac:dyDescent="0.3">
      <c r="A71" s="3"/>
      <c r="B71" s="25" t="s">
        <v>40</v>
      </c>
      <c r="C71" s="586" t="s">
        <v>99</v>
      </c>
      <c r="D71" s="27"/>
      <c r="E71" s="27"/>
      <c r="F71" s="27">
        <f>SUM(D71:E71)</f>
        <v>0</v>
      </c>
      <c r="G71" s="33"/>
      <c r="H71" s="27"/>
      <c r="I71" s="27"/>
      <c r="J71" s="21">
        <v>0</v>
      </c>
      <c r="K71" s="33"/>
    </row>
    <row r="72" spans="1:11" ht="18.75" x14ac:dyDescent="0.3">
      <c r="A72" s="3"/>
      <c r="B72" s="25" t="s">
        <v>48</v>
      </c>
      <c r="C72" s="586" t="s">
        <v>100</v>
      </c>
      <c r="D72" s="34"/>
      <c r="E72" s="34"/>
      <c r="F72" s="27"/>
      <c r="G72" s="33"/>
      <c r="H72" s="34"/>
      <c r="I72" s="34"/>
      <c r="J72" s="21">
        <v>0</v>
      </c>
      <c r="K72" s="33"/>
    </row>
    <row r="73" spans="1:11" ht="18.75" x14ac:dyDescent="0.3">
      <c r="A73" s="3"/>
      <c r="B73" s="25" t="s">
        <v>13</v>
      </c>
      <c r="C73" s="586" t="s">
        <v>101</v>
      </c>
      <c r="D73" s="34"/>
      <c r="E73" s="34"/>
      <c r="F73" s="27"/>
      <c r="G73" s="33"/>
      <c r="H73" s="34"/>
      <c r="I73" s="34"/>
      <c r="J73" s="21">
        <v>0</v>
      </c>
      <c r="K73" s="33"/>
    </row>
    <row r="74" spans="1:11" ht="18.75" x14ac:dyDescent="0.3">
      <c r="A74" s="3"/>
      <c r="B74" s="25"/>
      <c r="C74" s="586" t="s">
        <v>617</v>
      </c>
      <c r="D74" s="34"/>
      <c r="E74" s="34"/>
      <c r="F74" s="27"/>
      <c r="G74" s="33"/>
      <c r="H74" s="34">
        <v>5685665</v>
      </c>
      <c r="I74" s="34">
        <v>5685665</v>
      </c>
      <c r="J74" s="21">
        <v>0</v>
      </c>
      <c r="K74" s="33"/>
    </row>
    <row r="75" spans="1:11" ht="35.25" customHeight="1" x14ac:dyDescent="0.3">
      <c r="A75" s="18" t="s">
        <v>102</v>
      </c>
      <c r="B75" s="714" t="s">
        <v>103</v>
      </c>
      <c r="C75" s="714"/>
      <c r="D75" s="27">
        <f>+D68+D69</f>
        <v>0</v>
      </c>
      <c r="E75" s="27">
        <f>+E68+E69</f>
        <v>0</v>
      </c>
      <c r="F75" s="27">
        <f>SUM(D75:E75)</f>
        <v>0</v>
      </c>
      <c r="G75" s="33"/>
      <c r="H75" s="27">
        <f>+H68+H69</f>
        <v>0</v>
      </c>
      <c r="I75" s="27">
        <f>+I68+I69</f>
        <v>0</v>
      </c>
      <c r="J75" s="21">
        <v>0</v>
      </c>
      <c r="K75" s="33"/>
    </row>
    <row r="76" spans="1:11" ht="18.75" x14ac:dyDescent="0.3">
      <c r="A76" s="18" t="s">
        <v>104</v>
      </c>
      <c r="B76" s="710" t="s">
        <v>105</v>
      </c>
      <c r="C76" s="710"/>
      <c r="D76" s="27">
        <f>+D67+D75</f>
        <v>267030556</v>
      </c>
      <c r="E76" s="27">
        <f>+E67+E75</f>
        <v>267030556</v>
      </c>
      <c r="F76" s="31">
        <f>+F67+F75</f>
        <v>0</v>
      </c>
      <c r="G76" s="33"/>
      <c r="H76" s="27">
        <f>+H67+H75</f>
        <v>272156575</v>
      </c>
      <c r="I76" s="27">
        <f>+I67+I75</f>
        <v>272156575</v>
      </c>
      <c r="J76" s="27">
        <f t="shared" ref="J76:K76" si="8">+J67+J75</f>
        <v>0</v>
      </c>
      <c r="K76" s="27">
        <f t="shared" si="8"/>
        <v>0</v>
      </c>
    </row>
    <row r="77" spans="1:11" ht="18.75" x14ac:dyDescent="0.3">
      <c r="A77" s="3" t="s">
        <v>106</v>
      </c>
      <c r="B77" s="713" t="s">
        <v>107</v>
      </c>
      <c r="C77" s="713"/>
      <c r="D77" s="27"/>
      <c r="E77" s="27"/>
      <c r="F77" s="27"/>
      <c r="G77" s="33"/>
      <c r="H77" s="27"/>
      <c r="I77" s="27"/>
      <c r="J77" s="21">
        <v>0</v>
      </c>
      <c r="K77" s="33"/>
    </row>
    <row r="78" spans="1:11" ht="18.75" x14ac:dyDescent="0.3">
      <c r="A78" s="3" t="s">
        <v>108</v>
      </c>
      <c r="B78" s="713" t="s">
        <v>109</v>
      </c>
      <c r="C78" s="713"/>
      <c r="D78" s="34">
        <f>SUM(D79:D81)</f>
        <v>0</v>
      </c>
      <c r="E78" s="34">
        <f>SUM(E79:E81)</f>
        <v>0</v>
      </c>
      <c r="F78" s="34">
        <f>SUM(D78:E78)</f>
        <v>0</v>
      </c>
      <c r="G78" s="33"/>
      <c r="H78" s="34">
        <f>SUM(H79:H81)</f>
        <v>0</v>
      </c>
      <c r="I78" s="34">
        <f>SUM(I79:I81)</f>
        <v>0</v>
      </c>
      <c r="J78" s="21">
        <v>0</v>
      </c>
      <c r="K78" s="33"/>
    </row>
    <row r="79" spans="1:11" ht="18.75" x14ac:dyDescent="0.3">
      <c r="A79" s="3"/>
      <c r="B79" s="25" t="s">
        <v>38</v>
      </c>
      <c r="C79" s="586" t="s">
        <v>865</v>
      </c>
      <c r="D79" s="34"/>
      <c r="E79" s="34"/>
      <c r="F79" s="34">
        <f>SUM(D79:E79)</f>
        <v>0</v>
      </c>
      <c r="G79" s="33"/>
      <c r="H79" s="34"/>
      <c r="I79" s="34"/>
      <c r="J79" s="21">
        <v>0</v>
      </c>
      <c r="K79" s="33"/>
    </row>
    <row r="80" spans="1:11" ht="18.75" x14ac:dyDescent="0.3">
      <c r="A80" s="3"/>
      <c r="B80" s="25" t="s">
        <v>40</v>
      </c>
      <c r="C80" s="586" t="s">
        <v>866</v>
      </c>
      <c r="D80" s="34"/>
      <c r="E80" s="34"/>
      <c r="F80" s="34">
        <f>SUM(D80:E80)</f>
        <v>0</v>
      </c>
      <c r="G80" s="33"/>
      <c r="H80" s="34"/>
      <c r="I80" s="34"/>
      <c r="J80" s="21">
        <v>0</v>
      </c>
      <c r="K80" s="33"/>
    </row>
    <row r="81" spans="1:11" ht="18.75" x14ac:dyDescent="0.3">
      <c r="A81" s="3"/>
      <c r="B81" s="25" t="s">
        <v>48</v>
      </c>
      <c r="C81" s="586" t="s">
        <v>110</v>
      </c>
      <c r="D81" s="34"/>
      <c r="E81" s="34"/>
      <c r="F81" s="34">
        <f>SUM(D81:E81)</f>
        <v>0</v>
      </c>
      <c r="G81" s="33"/>
      <c r="H81" s="34"/>
      <c r="I81" s="34"/>
      <c r="J81" s="21">
        <v>0</v>
      </c>
      <c r="K81" s="33"/>
    </row>
    <row r="82" spans="1:11" ht="18.75" x14ac:dyDescent="0.3">
      <c r="A82" s="3" t="s">
        <v>111</v>
      </c>
      <c r="B82" s="838"/>
      <c r="C82" s="839"/>
      <c r="D82" s="34"/>
      <c r="E82" s="34"/>
      <c r="F82" s="35"/>
      <c r="G82" s="33"/>
      <c r="H82" s="34"/>
      <c r="I82" s="34"/>
      <c r="J82" s="21">
        <v>0</v>
      </c>
      <c r="K82" s="33"/>
    </row>
    <row r="83" spans="1:11" ht="18.75" x14ac:dyDescent="0.3">
      <c r="A83" s="18" t="s">
        <v>112</v>
      </c>
      <c r="B83" s="710" t="s">
        <v>867</v>
      </c>
      <c r="C83" s="710"/>
      <c r="D83" s="27">
        <f>+D77+D78+D82</f>
        <v>0</v>
      </c>
      <c r="E83" s="27">
        <f>+E77+E78+E82</f>
        <v>0</v>
      </c>
      <c r="F83" s="31">
        <f>+F77+F78</f>
        <v>0</v>
      </c>
      <c r="G83" s="33"/>
      <c r="H83" s="27">
        <f>+H77+H78+H82</f>
        <v>0</v>
      </c>
      <c r="I83" s="27">
        <f>+I77+I78+I82</f>
        <v>0</v>
      </c>
      <c r="J83" s="21">
        <v>0</v>
      </c>
      <c r="K83" s="33"/>
    </row>
    <row r="84" spans="1:11" ht="18.75" x14ac:dyDescent="0.3">
      <c r="A84" s="1009" t="s">
        <v>113</v>
      </c>
      <c r="B84" s="1010" t="s">
        <v>114</v>
      </c>
      <c r="C84" s="1010"/>
      <c r="D84" s="1011">
        <f>+D30+D83</f>
        <v>766302718</v>
      </c>
      <c r="E84" s="1011">
        <f>+E30+E83</f>
        <v>762866018</v>
      </c>
      <c r="F84" s="1011">
        <f>F30+G30+F83</f>
        <v>3436700</v>
      </c>
      <c r="G84" s="1012">
        <f>+G30+G83</f>
        <v>0</v>
      </c>
      <c r="H84" s="1011">
        <f>+H30+H83</f>
        <v>917523046</v>
      </c>
      <c r="I84" s="1011">
        <f>+I30+I83</f>
        <v>908679551</v>
      </c>
      <c r="J84" s="1011">
        <f t="shared" ref="J84:K84" si="9">+J30+J83</f>
        <v>8843495</v>
      </c>
      <c r="K84" s="1011">
        <f t="shared" si="9"/>
        <v>0</v>
      </c>
    </row>
    <row r="85" spans="1:11" ht="19.5" thickBot="1" x14ac:dyDescent="0.35">
      <c r="A85" s="1013" t="s">
        <v>115</v>
      </c>
      <c r="B85" s="1014" t="s">
        <v>116</v>
      </c>
      <c r="C85" s="1014"/>
      <c r="D85" s="1015">
        <f>+D61+D76+D63</f>
        <v>766302718</v>
      </c>
      <c r="E85" s="1015">
        <f>+E61+E76+E63</f>
        <v>766302718</v>
      </c>
      <c r="F85" s="1015">
        <f>+F61+F76+F63</f>
        <v>0</v>
      </c>
      <c r="G85" s="1016">
        <f>+G61+G76</f>
        <v>0</v>
      </c>
      <c r="H85" s="1015">
        <f>+H61+H76+H63+H74</f>
        <v>917523046</v>
      </c>
      <c r="I85" s="1015">
        <f>+I61+I76+I63+I74</f>
        <v>917523046</v>
      </c>
      <c r="J85" s="1015">
        <f t="shared" ref="J85:K85" si="10">+J61+J76+J63+J74</f>
        <v>0</v>
      </c>
      <c r="K85" s="1015">
        <f t="shared" si="10"/>
        <v>0</v>
      </c>
    </row>
    <row r="86" spans="1:11" x14ac:dyDescent="0.25">
      <c r="B86" s="37"/>
      <c r="C86" s="37"/>
      <c r="D86" s="338">
        <f>D85-D84</f>
        <v>0</v>
      </c>
      <c r="E86" s="38"/>
      <c r="F86" s="38"/>
    </row>
    <row r="87" spans="1:11" hidden="1" x14ac:dyDescent="0.25">
      <c r="B87" s="37"/>
      <c r="C87" s="37"/>
      <c r="D87" s="338">
        <f>+D85-D84</f>
        <v>0</v>
      </c>
      <c r="E87" s="338">
        <f>+E85-E84</f>
        <v>3436700</v>
      </c>
      <c r="F87" s="338">
        <f>+F85-F84</f>
        <v>-3436700</v>
      </c>
      <c r="G87" s="338">
        <f>+G85-G84</f>
        <v>0</v>
      </c>
    </row>
    <row r="88" spans="1:11" x14ac:dyDescent="0.25">
      <c r="B88" s="37"/>
      <c r="C88" s="37"/>
      <c r="D88" s="38"/>
      <c r="E88" s="38"/>
      <c r="F88" s="38"/>
    </row>
    <row r="89" spans="1:11" x14ac:dyDescent="0.25">
      <c r="B89" s="37"/>
      <c r="C89" s="37"/>
      <c r="D89" s="38"/>
      <c r="E89" s="38"/>
      <c r="F89" s="38"/>
    </row>
    <row r="90" spans="1:11" x14ac:dyDescent="0.25">
      <c r="B90" s="37"/>
      <c r="C90" s="37"/>
      <c r="D90" s="38"/>
      <c r="E90" s="38"/>
      <c r="F90" s="38"/>
    </row>
    <row r="91" spans="1:11" x14ac:dyDescent="0.25">
      <c r="B91" s="37"/>
      <c r="C91" s="37"/>
      <c r="D91" s="38"/>
      <c r="E91" s="38"/>
      <c r="F91" s="38"/>
    </row>
    <row r="92" spans="1:11" x14ac:dyDescent="0.25">
      <c r="B92" s="37"/>
      <c r="C92" s="37"/>
      <c r="D92" s="38"/>
      <c r="E92" s="38"/>
      <c r="F92" s="38"/>
    </row>
    <row r="93" spans="1:11" x14ac:dyDescent="0.25">
      <c r="B93" s="37"/>
      <c r="C93" s="37"/>
      <c r="D93" s="38"/>
      <c r="E93" s="38"/>
      <c r="F93" s="38"/>
    </row>
    <row r="94" spans="1:11" x14ac:dyDescent="0.25">
      <c r="B94" s="37"/>
      <c r="C94" s="37"/>
      <c r="D94" s="38"/>
      <c r="E94" s="38"/>
      <c r="F94" s="38"/>
    </row>
    <row r="95" spans="1:11" x14ac:dyDescent="0.25">
      <c r="B95" s="37"/>
      <c r="C95" s="37"/>
      <c r="D95" s="38"/>
      <c r="E95" s="38"/>
      <c r="F95" s="38"/>
    </row>
    <row r="96" spans="1:11" x14ac:dyDescent="0.25">
      <c r="B96" s="37"/>
      <c r="C96" s="37"/>
      <c r="D96" s="38"/>
      <c r="E96" s="38"/>
      <c r="F96" s="38"/>
    </row>
    <row r="97" spans="2:6" x14ac:dyDescent="0.25">
      <c r="B97" s="37"/>
      <c r="C97" s="37"/>
      <c r="D97" s="38"/>
      <c r="E97" s="38"/>
      <c r="F97" s="38"/>
    </row>
    <row r="98" spans="2:6" x14ac:dyDescent="0.25">
      <c r="B98" s="37"/>
      <c r="C98" s="37"/>
      <c r="D98" s="38"/>
      <c r="E98" s="38"/>
      <c r="F98" s="38"/>
    </row>
    <row r="99" spans="2:6" x14ac:dyDescent="0.25">
      <c r="B99" s="37"/>
      <c r="C99" s="37"/>
      <c r="D99" s="38"/>
      <c r="E99" s="38"/>
      <c r="F99" s="38"/>
    </row>
    <row r="100" spans="2:6" x14ac:dyDescent="0.25">
      <c r="B100" s="37"/>
      <c r="C100" s="37"/>
      <c r="D100" s="38"/>
      <c r="E100" s="38"/>
      <c r="F100" s="38"/>
    </row>
    <row r="101" spans="2:6" x14ac:dyDescent="0.25">
      <c r="B101" s="37"/>
      <c r="C101" s="37"/>
      <c r="D101" s="38"/>
      <c r="E101" s="38"/>
      <c r="F101" s="38"/>
    </row>
    <row r="102" spans="2:6" x14ac:dyDescent="0.25">
      <c r="B102" s="37"/>
      <c r="C102" s="37"/>
      <c r="D102" s="38"/>
      <c r="E102" s="38"/>
      <c r="F102" s="38"/>
    </row>
    <row r="103" spans="2:6" x14ac:dyDescent="0.25">
      <c r="B103" s="37"/>
      <c r="C103" s="37"/>
      <c r="D103" s="38"/>
      <c r="E103" s="38"/>
      <c r="F103" s="38"/>
    </row>
    <row r="104" spans="2:6" x14ac:dyDescent="0.25">
      <c r="B104" s="37"/>
      <c r="C104" s="37"/>
      <c r="D104" s="38"/>
      <c r="E104" s="38"/>
      <c r="F104" s="38"/>
    </row>
    <row r="105" spans="2:6" x14ac:dyDescent="0.25">
      <c r="B105" s="37"/>
      <c r="C105" s="37"/>
      <c r="D105" s="38"/>
      <c r="E105" s="38"/>
      <c r="F105" s="38"/>
    </row>
    <row r="106" spans="2:6" x14ac:dyDescent="0.25">
      <c r="B106" s="37"/>
      <c r="C106" s="37"/>
      <c r="D106" s="38"/>
      <c r="E106" s="38"/>
      <c r="F106" s="38"/>
    </row>
    <row r="107" spans="2:6" x14ac:dyDescent="0.25">
      <c r="B107" s="37"/>
      <c r="C107" s="37"/>
      <c r="D107" s="38"/>
      <c r="E107" s="38"/>
      <c r="F107" s="38"/>
    </row>
  </sheetData>
  <mergeCells count="66">
    <mergeCell ref="B84:C84"/>
    <mergeCell ref="B75:C75"/>
    <mergeCell ref="B76:C76"/>
    <mergeCell ref="B77:C77"/>
    <mergeCell ref="B78:C78"/>
    <mergeCell ref="B82:C82"/>
    <mergeCell ref="B83:C83"/>
    <mergeCell ref="B62:C62"/>
    <mergeCell ref="B63:C63"/>
    <mergeCell ref="B64:C64"/>
    <mergeCell ref="B67:C67"/>
    <mergeCell ref="B68:C68"/>
    <mergeCell ref="B69:C69"/>
    <mergeCell ref="B51:C51"/>
    <mergeCell ref="B54:C54"/>
    <mergeCell ref="B58:C58"/>
    <mergeCell ref="B59:C59"/>
    <mergeCell ref="B60:C60"/>
    <mergeCell ref="B61:C61"/>
    <mergeCell ref="B33:C33"/>
    <mergeCell ref="B34:C34"/>
    <mergeCell ref="B38:C38"/>
    <mergeCell ref="B42:C42"/>
    <mergeCell ref="B47:C47"/>
    <mergeCell ref="B48:C4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G6:G7"/>
    <mergeCell ref="H6:H7"/>
    <mergeCell ref="I6:I7"/>
    <mergeCell ref="J6:J7"/>
    <mergeCell ref="K6:K7"/>
    <mergeCell ref="D8:F8"/>
    <mergeCell ref="H8:J8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Q37"/>
  <sheetViews>
    <sheetView topLeftCell="A22" workbookViewId="0">
      <selection activeCell="O37" sqref="O37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72" bestFit="1" customWidth="1"/>
    <col min="13" max="13" width="15.42578125" bestFit="1" customWidth="1"/>
    <col min="14" max="14" width="14.85546875" bestFit="1" customWidth="1"/>
    <col min="15" max="15" width="16.85546875" bestFit="1" customWidth="1"/>
    <col min="16" max="16" width="15.42578125" bestFit="1" customWidth="1"/>
    <col min="17" max="17" width="17.28515625" bestFit="1" customWidth="1"/>
    <col min="255" max="255" width="12.42578125" bestFit="1" customWidth="1"/>
    <col min="265" max="265" width="17" bestFit="1" customWidth="1"/>
    <col min="266" max="266" width="15.42578125" bestFit="1" customWidth="1"/>
    <col min="267" max="267" width="14.85546875" bestFit="1" customWidth="1"/>
    <col min="511" max="511" width="12.42578125" bestFit="1" customWidth="1"/>
    <col min="521" max="521" width="17" bestFit="1" customWidth="1"/>
    <col min="522" max="522" width="15.42578125" bestFit="1" customWidth="1"/>
    <col min="523" max="523" width="14.85546875" bestFit="1" customWidth="1"/>
    <col min="767" max="767" width="12.42578125" bestFit="1" customWidth="1"/>
    <col min="777" max="777" width="17" bestFit="1" customWidth="1"/>
    <col min="778" max="778" width="15.42578125" bestFit="1" customWidth="1"/>
    <col min="779" max="779" width="14.85546875" bestFit="1" customWidth="1"/>
    <col min="1023" max="1023" width="12.42578125" bestFit="1" customWidth="1"/>
    <col min="1033" max="1033" width="17" bestFit="1" customWidth="1"/>
    <col min="1034" max="1034" width="15.42578125" bestFit="1" customWidth="1"/>
    <col min="1035" max="1035" width="14.85546875" bestFit="1" customWidth="1"/>
    <col min="1279" max="1279" width="12.42578125" bestFit="1" customWidth="1"/>
    <col min="1289" max="1289" width="17" bestFit="1" customWidth="1"/>
    <col min="1290" max="1290" width="15.42578125" bestFit="1" customWidth="1"/>
    <col min="1291" max="1291" width="14.85546875" bestFit="1" customWidth="1"/>
    <col min="1535" max="1535" width="12.42578125" bestFit="1" customWidth="1"/>
    <col min="1545" max="1545" width="17" bestFit="1" customWidth="1"/>
    <col min="1546" max="1546" width="15.42578125" bestFit="1" customWidth="1"/>
    <col min="1547" max="1547" width="14.85546875" bestFit="1" customWidth="1"/>
    <col min="1791" max="1791" width="12.42578125" bestFit="1" customWidth="1"/>
    <col min="1801" max="1801" width="17" bestFit="1" customWidth="1"/>
    <col min="1802" max="1802" width="15.42578125" bestFit="1" customWidth="1"/>
    <col min="1803" max="1803" width="14.85546875" bestFit="1" customWidth="1"/>
    <col min="2047" max="2047" width="12.42578125" bestFit="1" customWidth="1"/>
    <col min="2057" max="2057" width="17" bestFit="1" customWidth="1"/>
    <col min="2058" max="2058" width="15.42578125" bestFit="1" customWidth="1"/>
    <col min="2059" max="2059" width="14.85546875" bestFit="1" customWidth="1"/>
    <col min="2303" max="2303" width="12.42578125" bestFit="1" customWidth="1"/>
    <col min="2313" max="2313" width="17" bestFit="1" customWidth="1"/>
    <col min="2314" max="2314" width="15.42578125" bestFit="1" customWidth="1"/>
    <col min="2315" max="2315" width="14.85546875" bestFit="1" customWidth="1"/>
    <col min="2559" max="2559" width="12.42578125" bestFit="1" customWidth="1"/>
    <col min="2569" max="2569" width="17" bestFit="1" customWidth="1"/>
    <col min="2570" max="2570" width="15.42578125" bestFit="1" customWidth="1"/>
    <col min="2571" max="2571" width="14.85546875" bestFit="1" customWidth="1"/>
    <col min="2815" max="2815" width="12.42578125" bestFit="1" customWidth="1"/>
    <col min="2825" max="2825" width="17" bestFit="1" customWidth="1"/>
    <col min="2826" max="2826" width="15.42578125" bestFit="1" customWidth="1"/>
    <col min="2827" max="2827" width="14.85546875" bestFit="1" customWidth="1"/>
    <col min="3071" max="3071" width="12.42578125" bestFit="1" customWidth="1"/>
    <col min="3081" max="3081" width="17" bestFit="1" customWidth="1"/>
    <col min="3082" max="3082" width="15.42578125" bestFit="1" customWidth="1"/>
    <col min="3083" max="3083" width="14.85546875" bestFit="1" customWidth="1"/>
    <col min="3327" max="3327" width="12.42578125" bestFit="1" customWidth="1"/>
    <col min="3337" max="3337" width="17" bestFit="1" customWidth="1"/>
    <col min="3338" max="3338" width="15.42578125" bestFit="1" customWidth="1"/>
    <col min="3339" max="3339" width="14.85546875" bestFit="1" customWidth="1"/>
    <col min="3583" max="3583" width="12.42578125" bestFit="1" customWidth="1"/>
    <col min="3593" max="3593" width="17" bestFit="1" customWidth="1"/>
    <col min="3594" max="3594" width="15.42578125" bestFit="1" customWidth="1"/>
    <col min="3595" max="3595" width="14.85546875" bestFit="1" customWidth="1"/>
    <col min="3839" max="3839" width="12.42578125" bestFit="1" customWidth="1"/>
    <col min="3849" max="3849" width="17" bestFit="1" customWidth="1"/>
    <col min="3850" max="3850" width="15.42578125" bestFit="1" customWidth="1"/>
    <col min="3851" max="3851" width="14.85546875" bestFit="1" customWidth="1"/>
    <col min="4095" max="4095" width="12.42578125" bestFit="1" customWidth="1"/>
    <col min="4105" max="4105" width="17" bestFit="1" customWidth="1"/>
    <col min="4106" max="4106" width="15.42578125" bestFit="1" customWidth="1"/>
    <col min="4107" max="4107" width="14.85546875" bestFit="1" customWidth="1"/>
    <col min="4351" max="4351" width="12.42578125" bestFit="1" customWidth="1"/>
    <col min="4361" max="4361" width="17" bestFit="1" customWidth="1"/>
    <col min="4362" max="4362" width="15.42578125" bestFit="1" customWidth="1"/>
    <col min="4363" max="4363" width="14.85546875" bestFit="1" customWidth="1"/>
    <col min="4607" max="4607" width="12.42578125" bestFit="1" customWidth="1"/>
    <col min="4617" max="4617" width="17" bestFit="1" customWidth="1"/>
    <col min="4618" max="4618" width="15.42578125" bestFit="1" customWidth="1"/>
    <col min="4619" max="4619" width="14.85546875" bestFit="1" customWidth="1"/>
    <col min="4863" max="4863" width="12.42578125" bestFit="1" customWidth="1"/>
    <col min="4873" max="4873" width="17" bestFit="1" customWidth="1"/>
    <col min="4874" max="4874" width="15.42578125" bestFit="1" customWidth="1"/>
    <col min="4875" max="4875" width="14.85546875" bestFit="1" customWidth="1"/>
    <col min="5119" max="5119" width="12.42578125" bestFit="1" customWidth="1"/>
    <col min="5129" max="5129" width="17" bestFit="1" customWidth="1"/>
    <col min="5130" max="5130" width="15.42578125" bestFit="1" customWidth="1"/>
    <col min="5131" max="5131" width="14.85546875" bestFit="1" customWidth="1"/>
    <col min="5375" max="5375" width="12.42578125" bestFit="1" customWidth="1"/>
    <col min="5385" max="5385" width="17" bestFit="1" customWidth="1"/>
    <col min="5386" max="5386" width="15.42578125" bestFit="1" customWidth="1"/>
    <col min="5387" max="5387" width="14.85546875" bestFit="1" customWidth="1"/>
    <col min="5631" max="5631" width="12.42578125" bestFit="1" customWidth="1"/>
    <col min="5641" max="5641" width="17" bestFit="1" customWidth="1"/>
    <col min="5642" max="5642" width="15.42578125" bestFit="1" customWidth="1"/>
    <col min="5643" max="5643" width="14.85546875" bestFit="1" customWidth="1"/>
    <col min="5887" max="5887" width="12.42578125" bestFit="1" customWidth="1"/>
    <col min="5897" max="5897" width="17" bestFit="1" customWidth="1"/>
    <col min="5898" max="5898" width="15.42578125" bestFit="1" customWidth="1"/>
    <col min="5899" max="5899" width="14.85546875" bestFit="1" customWidth="1"/>
    <col min="6143" max="6143" width="12.42578125" bestFit="1" customWidth="1"/>
    <col min="6153" max="6153" width="17" bestFit="1" customWidth="1"/>
    <col min="6154" max="6154" width="15.42578125" bestFit="1" customWidth="1"/>
    <col min="6155" max="6155" width="14.85546875" bestFit="1" customWidth="1"/>
    <col min="6399" max="6399" width="12.42578125" bestFit="1" customWidth="1"/>
    <col min="6409" max="6409" width="17" bestFit="1" customWidth="1"/>
    <col min="6410" max="6410" width="15.42578125" bestFit="1" customWidth="1"/>
    <col min="6411" max="6411" width="14.85546875" bestFit="1" customWidth="1"/>
    <col min="6655" max="6655" width="12.42578125" bestFit="1" customWidth="1"/>
    <col min="6665" max="6665" width="17" bestFit="1" customWidth="1"/>
    <col min="6666" max="6666" width="15.42578125" bestFit="1" customWidth="1"/>
    <col min="6667" max="6667" width="14.85546875" bestFit="1" customWidth="1"/>
    <col min="6911" max="6911" width="12.42578125" bestFit="1" customWidth="1"/>
    <col min="6921" max="6921" width="17" bestFit="1" customWidth="1"/>
    <col min="6922" max="6922" width="15.42578125" bestFit="1" customWidth="1"/>
    <col min="6923" max="6923" width="14.85546875" bestFit="1" customWidth="1"/>
    <col min="7167" max="7167" width="12.42578125" bestFit="1" customWidth="1"/>
    <col min="7177" max="7177" width="17" bestFit="1" customWidth="1"/>
    <col min="7178" max="7178" width="15.42578125" bestFit="1" customWidth="1"/>
    <col min="7179" max="7179" width="14.85546875" bestFit="1" customWidth="1"/>
    <col min="7423" max="7423" width="12.42578125" bestFit="1" customWidth="1"/>
    <col min="7433" max="7433" width="17" bestFit="1" customWidth="1"/>
    <col min="7434" max="7434" width="15.42578125" bestFit="1" customWidth="1"/>
    <col min="7435" max="7435" width="14.85546875" bestFit="1" customWidth="1"/>
    <col min="7679" max="7679" width="12.42578125" bestFit="1" customWidth="1"/>
    <col min="7689" max="7689" width="17" bestFit="1" customWidth="1"/>
    <col min="7690" max="7690" width="15.42578125" bestFit="1" customWidth="1"/>
    <col min="7691" max="7691" width="14.85546875" bestFit="1" customWidth="1"/>
    <col min="7935" max="7935" width="12.42578125" bestFit="1" customWidth="1"/>
    <col min="7945" max="7945" width="17" bestFit="1" customWidth="1"/>
    <col min="7946" max="7946" width="15.42578125" bestFit="1" customWidth="1"/>
    <col min="7947" max="7947" width="14.85546875" bestFit="1" customWidth="1"/>
    <col min="8191" max="8191" width="12.42578125" bestFit="1" customWidth="1"/>
    <col min="8201" max="8201" width="17" bestFit="1" customWidth="1"/>
    <col min="8202" max="8202" width="15.42578125" bestFit="1" customWidth="1"/>
    <col min="8203" max="8203" width="14.85546875" bestFit="1" customWidth="1"/>
    <col min="8447" max="8447" width="12.42578125" bestFit="1" customWidth="1"/>
    <col min="8457" max="8457" width="17" bestFit="1" customWidth="1"/>
    <col min="8458" max="8458" width="15.42578125" bestFit="1" customWidth="1"/>
    <col min="8459" max="8459" width="14.85546875" bestFit="1" customWidth="1"/>
    <col min="8703" max="8703" width="12.42578125" bestFit="1" customWidth="1"/>
    <col min="8713" max="8713" width="17" bestFit="1" customWidth="1"/>
    <col min="8714" max="8714" width="15.42578125" bestFit="1" customWidth="1"/>
    <col min="8715" max="8715" width="14.85546875" bestFit="1" customWidth="1"/>
    <col min="8959" max="8959" width="12.42578125" bestFit="1" customWidth="1"/>
    <col min="8969" max="8969" width="17" bestFit="1" customWidth="1"/>
    <col min="8970" max="8970" width="15.42578125" bestFit="1" customWidth="1"/>
    <col min="8971" max="8971" width="14.85546875" bestFit="1" customWidth="1"/>
    <col min="9215" max="9215" width="12.42578125" bestFit="1" customWidth="1"/>
    <col min="9225" max="9225" width="17" bestFit="1" customWidth="1"/>
    <col min="9226" max="9226" width="15.42578125" bestFit="1" customWidth="1"/>
    <col min="9227" max="9227" width="14.85546875" bestFit="1" customWidth="1"/>
    <col min="9471" max="9471" width="12.42578125" bestFit="1" customWidth="1"/>
    <col min="9481" max="9481" width="17" bestFit="1" customWidth="1"/>
    <col min="9482" max="9482" width="15.42578125" bestFit="1" customWidth="1"/>
    <col min="9483" max="9483" width="14.85546875" bestFit="1" customWidth="1"/>
    <col min="9727" max="9727" width="12.42578125" bestFit="1" customWidth="1"/>
    <col min="9737" max="9737" width="17" bestFit="1" customWidth="1"/>
    <col min="9738" max="9738" width="15.42578125" bestFit="1" customWidth="1"/>
    <col min="9739" max="9739" width="14.85546875" bestFit="1" customWidth="1"/>
    <col min="9983" max="9983" width="12.42578125" bestFit="1" customWidth="1"/>
    <col min="9993" max="9993" width="17" bestFit="1" customWidth="1"/>
    <col min="9994" max="9994" width="15.42578125" bestFit="1" customWidth="1"/>
    <col min="9995" max="9995" width="14.85546875" bestFit="1" customWidth="1"/>
    <col min="10239" max="10239" width="12.42578125" bestFit="1" customWidth="1"/>
    <col min="10249" max="10249" width="17" bestFit="1" customWidth="1"/>
    <col min="10250" max="10250" width="15.42578125" bestFit="1" customWidth="1"/>
    <col min="10251" max="10251" width="14.85546875" bestFit="1" customWidth="1"/>
    <col min="10495" max="10495" width="12.42578125" bestFit="1" customWidth="1"/>
    <col min="10505" max="10505" width="17" bestFit="1" customWidth="1"/>
    <col min="10506" max="10506" width="15.42578125" bestFit="1" customWidth="1"/>
    <col min="10507" max="10507" width="14.85546875" bestFit="1" customWidth="1"/>
    <col min="10751" max="10751" width="12.42578125" bestFit="1" customWidth="1"/>
    <col min="10761" max="10761" width="17" bestFit="1" customWidth="1"/>
    <col min="10762" max="10762" width="15.42578125" bestFit="1" customWidth="1"/>
    <col min="10763" max="10763" width="14.85546875" bestFit="1" customWidth="1"/>
    <col min="11007" max="11007" width="12.42578125" bestFit="1" customWidth="1"/>
    <col min="11017" max="11017" width="17" bestFit="1" customWidth="1"/>
    <col min="11018" max="11018" width="15.42578125" bestFit="1" customWidth="1"/>
    <col min="11019" max="11019" width="14.85546875" bestFit="1" customWidth="1"/>
    <col min="11263" max="11263" width="12.42578125" bestFit="1" customWidth="1"/>
    <col min="11273" max="11273" width="17" bestFit="1" customWidth="1"/>
    <col min="11274" max="11274" width="15.42578125" bestFit="1" customWidth="1"/>
    <col min="11275" max="11275" width="14.85546875" bestFit="1" customWidth="1"/>
    <col min="11519" max="11519" width="12.42578125" bestFit="1" customWidth="1"/>
    <col min="11529" max="11529" width="17" bestFit="1" customWidth="1"/>
    <col min="11530" max="11530" width="15.42578125" bestFit="1" customWidth="1"/>
    <col min="11531" max="11531" width="14.85546875" bestFit="1" customWidth="1"/>
    <col min="11775" max="11775" width="12.42578125" bestFit="1" customWidth="1"/>
    <col min="11785" max="11785" width="17" bestFit="1" customWidth="1"/>
    <col min="11786" max="11786" width="15.42578125" bestFit="1" customWidth="1"/>
    <col min="11787" max="11787" width="14.85546875" bestFit="1" customWidth="1"/>
    <col min="12031" max="12031" width="12.42578125" bestFit="1" customWidth="1"/>
    <col min="12041" max="12041" width="17" bestFit="1" customWidth="1"/>
    <col min="12042" max="12042" width="15.42578125" bestFit="1" customWidth="1"/>
    <col min="12043" max="12043" width="14.85546875" bestFit="1" customWidth="1"/>
    <col min="12287" max="12287" width="12.42578125" bestFit="1" customWidth="1"/>
    <col min="12297" max="12297" width="17" bestFit="1" customWidth="1"/>
    <col min="12298" max="12298" width="15.42578125" bestFit="1" customWidth="1"/>
    <col min="12299" max="12299" width="14.85546875" bestFit="1" customWidth="1"/>
    <col min="12543" max="12543" width="12.42578125" bestFit="1" customWidth="1"/>
    <col min="12553" max="12553" width="17" bestFit="1" customWidth="1"/>
    <col min="12554" max="12554" width="15.42578125" bestFit="1" customWidth="1"/>
    <col min="12555" max="12555" width="14.85546875" bestFit="1" customWidth="1"/>
    <col min="12799" max="12799" width="12.42578125" bestFit="1" customWidth="1"/>
    <col min="12809" max="12809" width="17" bestFit="1" customWidth="1"/>
    <col min="12810" max="12810" width="15.42578125" bestFit="1" customWidth="1"/>
    <col min="12811" max="12811" width="14.85546875" bestFit="1" customWidth="1"/>
    <col min="13055" max="13055" width="12.42578125" bestFit="1" customWidth="1"/>
    <col min="13065" max="13065" width="17" bestFit="1" customWidth="1"/>
    <col min="13066" max="13066" width="15.42578125" bestFit="1" customWidth="1"/>
    <col min="13067" max="13067" width="14.85546875" bestFit="1" customWidth="1"/>
    <col min="13311" max="13311" width="12.42578125" bestFit="1" customWidth="1"/>
    <col min="13321" max="13321" width="17" bestFit="1" customWidth="1"/>
    <col min="13322" max="13322" width="15.42578125" bestFit="1" customWidth="1"/>
    <col min="13323" max="13323" width="14.85546875" bestFit="1" customWidth="1"/>
    <col min="13567" max="13567" width="12.42578125" bestFit="1" customWidth="1"/>
    <col min="13577" max="13577" width="17" bestFit="1" customWidth="1"/>
    <col min="13578" max="13578" width="15.42578125" bestFit="1" customWidth="1"/>
    <col min="13579" max="13579" width="14.85546875" bestFit="1" customWidth="1"/>
    <col min="13823" max="13823" width="12.42578125" bestFit="1" customWidth="1"/>
    <col min="13833" max="13833" width="17" bestFit="1" customWidth="1"/>
    <col min="13834" max="13834" width="15.42578125" bestFit="1" customWidth="1"/>
    <col min="13835" max="13835" width="14.85546875" bestFit="1" customWidth="1"/>
    <col min="14079" max="14079" width="12.42578125" bestFit="1" customWidth="1"/>
    <col min="14089" max="14089" width="17" bestFit="1" customWidth="1"/>
    <col min="14090" max="14090" width="15.42578125" bestFit="1" customWidth="1"/>
    <col min="14091" max="14091" width="14.85546875" bestFit="1" customWidth="1"/>
    <col min="14335" max="14335" width="12.42578125" bestFit="1" customWidth="1"/>
    <col min="14345" max="14345" width="17" bestFit="1" customWidth="1"/>
    <col min="14346" max="14346" width="15.42578125" bestFit="1" customWidth="1"/>
    <col min="14347" max="14347" width="14.85546875" bestFit="1" customWidth="1"/>
    <col min="14591" max="14591" width="12.42578125" bestFit="1" customWidth="1"/>
    <col min="14601" max="14601" width="17" bestFit="1" customWidth="1"/>
    <col min="14602" max="14602" width="15.42578125" bestFit="1" customWidth="1"/>
    <col min="14603" max="14603" width="14.85546875" bestFit="1" customWidth="1"/>
    <col min="14847" max="14847" width="12.42578125" bestFit="1" customWidth="1"/>
    <col min="14857" max="14857" width="17" bestFit="1" customWidth="1"/>
    <col min="14858" max="14858" width="15.42578125" bestFit="1" customWidth="1"/>
    <col min="14859" max="14859" width="14.85546875" bestFit="1" customWidth="1"/>
    <col min="15103" max="15103" width="12.42578125" bestFit="1" customWidth="1"/>
    <col min="15113" max="15113" width="17" bestFit="1" customWidth="1"/>
    <col min="15114" max="15114" width="15.42578125" bestFit="1" customWidth="1"/>
    <col min="15115" max="15115" width="14.85546875" bestFit="1" customWidth="1"/>
    <col min="15359" max="15359" width="12.42578125" bestFit="1" customWidth="1"/>
    <col min="15369" max="15369" width="17" bestFit="1" customWidth="1"/>
    <col min="15370" max="15370" width="15.42578125" bestFit="1" customWidth="1"/>
    <col min="15371" max="15371" width="14.85546875" bestFit="1" customWidth="1"/>
    <col min="15615" max="15615" width="12.42578125" bestFit="1" customWidth="1"/>
    <col min="15625" max="15625" width="17" bestFit="1" customWidth="1"/>
    <col min="15626" max="15626" width="15.42578125" bestFit="1" customWidth="1"/>
    <col min="15627" max="15627" width="14.85546875" bestFit="1" customWidth="1"/>
    <col min="15871" max="15871" width="12.42578125" bestFit="1" customWidth="1"/>
    <col min="15881" max="15881" width="17" bestFit="1" customWidth="1"/>
    <col min="15882" max="15882" width="15.42578125" bestFit="1" customWidth="1"/>
    <col min="15883" max="15883" width="14.85546875" bestFit="1" customWidth="1"/>
    <col min="16127" max="16127" width="12.42578125" bestFit="1" customWidth="1"/>
    <col min="16137" max="16137" width="17" bestFit="1" customWidth="1"/>
    <col min="16138" max="16138" width="15.42578125" bestFit="1" customWidth="1"/>
    <col min="16139" max="16139" width="14.85546875" bestFit="1" customWidth="1"/>
  </cols>
  <sheetData>
    <row r="1" spans="1:17" s="78" customFormat="1" ht="15.75" x14ac:dyDescent="0.25">
      <c r="B1" s="806" t="s">
        <v>555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</row>
    <row r="2" spans="1:17" ht="15.75" thickBot="1" x14ac:dyDescent="0.3">
      <c r="Q2" s="105" t="s">
        <v>559</v>
      </c>
    </row>
    <row r="3" spans="1:17" ht="15.75" thickBot="1" x14ac:dyDescent="0.3">
      <c r="L3" s="748" t="s">
        <v>533</v>
      </c>
      <c r="M3" s="749"/>
      <c r="N3" s="750"/>
      <c r="O3" s="748" t="s">
        <v>534</v>
      </c>
      <c r="P3" s="749"/>
      <c r="Q3" s="750"/>
    </row>
    <row r="4" spans="1:17" ht="15.75" thickBot="1" x14ac:dyDescent="0.3">
      <c r="L4" s="807" t="s">
        <v>447</v>
      </c>
      <c r="M4" s="808"/>
      <c r="N4" s="809"/>
      <c r="O4" s="807" t="s">
        <v>447</v>
      </c>
      <c r="P4" s="808"/>
      <c r="Q4" s="809"/>
    </row>
    <row r="5" spans="1:17" ht="15.75" thickBot="1" x14ac:dyDescent="0.3">
      <c r="A5" s="748"/>
      <c r="B5" s="749"/>
      <c r="C5" s="749"/>
      <c r="D5" s="749"/>
      <c r="E5" s="749"/>
      <c r="F5" s="749"/>
      <c r="G5" s="749"/>
      <c r="H5" s="749"/>
      <c r="I5" s="749"/>
      <c r="J5" s="749"/>
      <c r="K5" s="750"/>
      <c r="L5" s="74" t="s">
        <v>352</v>
      </c>
      <c r="M5" s="106" t="s">
        <v>353</v>
      </c>
      <c r="N5" s="106" t="s">
        <v>354</v>
      </c>
      <c r="O5" s="74" t="s">
        <v>352</v>
      </c>
      <c r="P5" s="106" t="s">
        <v>353</v>
      </c>
      <c r="Q5" s="106" t="s">
        <v>354</v>
      </c>
    </row>
    <row r="6" spans="1:17" ht="16.5" thickBot="1" x14ac:dyDescent="0.3">
      <c r="A6" s="751" t="s">
        <v>355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76"/>
      <c r="M6" s="107"/>
      <c r="N6" s="108"/>
      <c r="O6" s="76"/>
      <c r="P6" s="107"/>
      <c r="Q6" s="108"/>
    </row>
    <row r="7" spans="1:17" ht="15.75" thickBot="1" x14ac:dyDescent="0.3">
      <c r="A7" s="748"/>
      <c r="B7" s="749"/>
      <c r="C7" s="749"/>
      <c r="D7" s="749"/>
      <c r="E7" s="749"/>
      <c r="F7" s="749"/>
      <c r="G7" s="749"/>
      <c r="H7" s="749"/>
      <c r="I7" s="749"/>
      <c r="J7" s="749"/>
      <c r="K7" s="750"/>
      <c r="L7" s="76">
        <v>13405933</v>
      </c>
      <c r="M7" s="107"/>
      <c r="N7" s="108"/>
      <c r="O7" s="76">
        <v>13405933</v>
      </c>
      <c r="P7" s="107"/>
      <c r="Q7" s="108"/>
    </row>
    <row r="8" spans="1:17" ht="15.75" thickBot="1" x14ac:dyDescent="0.3">
      <c r="A8" s="748"/>
      <c r="B8" s="749"/>
      <c r="C8" s="749"/>
      <c r="D8" s="749"/>
      <c r="E8" s="749"/>
      <c r="F8" s="749"/>
      <c r="G8" s="749"/>
      <c r="H8" s="749"/>
      <c r="I8" s="749"/>
      <c r="J8" s="749"/>
      <c r="K8" s="750"/>
      <c r="L8" s="76">
        <v>2940000</v>
      </c>
      <c r="M8" s="107"/>
      <c r="N8" s="108"/>
      <c r="O8" s="76">
        <v>2940000</v>
      </c>
      <c r="P8" s="107"/>
      <c r="Q8" s="108"/>
    </row>
    <row r="9" spans="1:17" ht="15.75" thickBot="1" x14ac:dyDescent="0.3">
      <c r="A9" s="748"/>
      <c r="B9" s="749"/>
      <c r="C9" s="749"/>
      <c r="D9" s="749"/>
      <c r="E9" s="749"/>
      <c r="F9" s="749"/>
      <c r="G9" s="749"/>
      <c r="H9" s="749"/>
      <c r="I9" s="749"/>
      <c r="J9" s="749"/>
      <c r="K9" s="750"/>
      <c r="L9" s="76">
        <v>5828667</v>
      </c>
      <c r="M9" s="107"/>
      <c r="N9" s="108"/>
      <c r="O9" s="76">
        <v>5828667</v>
      </c>
      <c r="P9" s="107"/>
      <c r="Q9" s="108"/>
    </row>
    <row r="10" spans="1:17" ht="15.75" thickBot="1" x14ac:dyDescent="0.3">
      <c r="A10" s="748"/>
      <c r="B10" s="749"/>
      <c r="C10" s="749"/>
      <c r="D10" s="749"/>
      <c r="E10" s="749"/>
      <c r="F10" s="749"/>
      <c r="G10" s="749"/>
      <c r="H10" s="749"/>
      <c r="I10" s="749"/>
      <c r="J10" s="749"/>
      <c r="K10" s="750"/>
      <c r="L10" s="76">
        <v>1470000</v>
      </c>
      <c r="M10" s="107"/>
      <c r="N10" s="108"/>
      <c r="O10" s="76">
        <v>1470000</v>
      </c>
      <c r="P10" s="107"/>
      <c r="Q10" s="108"/>
    </row>
    <row r="11" spans="1:17" ht="15.75" thickBot="1" x14ac:dyDescent="0.3">
      <c r="A11" s="748"/>
      <c r="B11" s="749"/>
      <c r="C11" s="749"/>
      <c r="D11" s="749"/>
      <c r="E11" s="749"/>
      <c r="F11" s="749"/>
      <c r="G11" s="749"/>
      <c r="H11" s="749"/>
      <c r="I11" s="749"/>
      <c r="J11" s="749"/>
      <c r="K11" s="750"/>
      <c r="L11" s="76">
        <v>2986933</v>
      </c>
      <c r="M11" s="107"/>
      <c r="N11" s="108"/>
      <c r="O11" s="76">
        <v>2986933</v>
      </c>
      <c r="P11" s="107"/>
      <c r="Q11" s="108"/>
    </row>
    <row r="12" spans="1:17" ht="15.75" thickBot="1" x14ac:dyDescent="0.3">
      <c r="A12" s="748"/>
      <c r="B12" s="749"/>
      <c r="C12" s="749"/>
      <c r="D12" s="749"/>
      <c r="E12" s="749"/>
      <c r="F12" s="749"/>
      <c r="G12" s="749"/>
      <c r="H12" s="749"/>
      <c r="I12" s="749"/>
      <c r="J12" s="749"/>
      <c r="K12" s="750"/>
      <c r="L12" s="76">
        <v>1298667</v>
      </c>
      <c r="M12" s="107"/>
      <c r="N12" s="108"/>
      <c r="O12" s="76">
        <v>1298667</v>
      </c>
      <c r="P12" s="107"/>
      <c r="Q12" s="108"/>
    </row>
    <row r="13" spans="1:17" ht="15.75" thickBot="1" x14ac:dyDescent="0.3">
      <c r="A13" s="748"/>
      <c r="B13" s="749"/>
      <c r="C13" s="749"/>
      <c r="D13" s="749"/>
      <c r="E13" s="749"/>
      <c r="F13" s="749"/>
      <c r="G13" s="749"/>
      <c r="H13" s="749"/>
      <c r="I13" s="749"/>
      <c r="J13" s="749"/>
      <c r="K13" s="750"/>
      <c r="L13" s="76">
        <v>1190100</v>
      </c>
      <c r="M13" s="107"/>
      <c r="N13" s="108"/>
      <c r="O13" s="76">
        <v>1190100</v>
      </c>
      <c r="P13" s="107"/>
      <c r="Q13" s="108"/>
    </row>
    <row r="14" spans="1:17" s="73" customFormat="1" ht="19.5" thickBot="1" x14ac:dyDescent="0.35">
      <c r="A14" s="742" t="s">
        <v>356</v>
      </c>
      <c r="B14" s="743"/>
      <c r="C14" s="743"/>
      <c r="D14" s="743"/>
      <c r="E14" s="743"/>
      <c r="F14" s="743"/>
      <c r="G14" s="743"/>
      <c r="H14" s="743"/>
      <c r="I14" s="743"/>
      <c r="J14" s="743"/>
      <c r="K14" s="744"/>
      <c r="L14" s="79">
        <f>L7+L8+L9+L10+L11+L12+L13</f>
        <v>29120300</v>
      </c>
      <c r="M14" s="109">
        <f>[1]óvoda!H63</f>
        <v>26621592</v>
      </c>
      <c r="N14" s="79">
        <f>L14-M14</f>
        <v>2498708</v>
      </c>
      <c r="O14" s="79">
        <f>O7+O8+O9+O10+O11+O12+O13</f>
        <v>29120300</v>
      </c>
      <c r="P14" s="109">
        <f>[1]óvoda!K63</f>
        <v>28313228</v>
      </c>
      <c r="Q14" s="79">
        <f>O14-P14</f>
        <v>807072</v>
      </c>
    </row>
    <row r="15" spans="1:17" ht="15.75" thickBot="1" x14ac:dyDescent="0.3">
      <c r="A15" s="748"/>
      <c r="B15" s="749"/>
      <c r="C15" s="749"/>
      <c r="D15" s="749"/>
      <c r="E15" s="749"/>
      <c r="F15" s="749"/>
      <c r="G15" s="749"/>
      <c r="H15" s="749"/>
      <c r="I15" s="749"/>
      <c r="J15" s="749"/>
      <c r="K15" s="750"/>
      <c r="L15" s="76"/>
      <c r="M15" s="110"/>
      <c r="N15" s="75"/>
      <c r="O15" s="76"/>
      <c r="P15" s="110"/>
      <c r="Q15" s="75"/>
    </row>
    <row r="16" spans="1:17" ht="16.5" thickBot="1" x14ac:dyDescent="0.3">
      <c r="A16" s="751" t="s">
        <v>159</v>
      </c>
      <c r="B16" s="752"/>
      <c r="C16" s="752"/>
      <c r="D16" s="752"/>
      <c r="E16" s="752"/>
      <c r="F16" s="752"/>
      <c r="G16" s="752"/>
      <c r="H16" s="752"/>
      <c r="I16" s="752"/>
      <c r="J16" s="752"/>
      <c r="K16" s="753"/>
      <c r="L16" s="76"/>
      <c r="M16" s="110"/>
      <c r="N16" s="75"/>
      <c r="O16" s="76"/>
      <c r="P16" s="110"/>
      <c r="Q16" s="75"/>
    </row>
    <row r="17" spans="1:17" ht="15.75" thickBot="1" x14ac:dyDescent="0.3">
      <c r="A17" s="748"/>
      <c r="B17" s="749"/>
      <c r="C17" s="749"/>
      <c r="D17" s="749"/>
      <c r="E17" s="749"/>
      <c r="F17" s="749"/>
      <c r="G17" s="749"/>
      <c r="H17" s="749"/>
      <c r="I17" s="749"/>
      <c r="J17" s="749"/>
      <c r="K17" s="750"/>
      <c r="L17" s="76">
        <v>8979000</v>
      </c>
      <c r="M17" s="110"/>
      <c r="N17" s="75"/>
      <c r="O17" s="76">
        <v>8979000</v>
      </c>
      <c r="P17" s="110"/>
      <c r="Q17" s="75"/>
    </row>
    <row r="18" spans="1:17" ht="15.75" thickBot="1" x14ac:dyDescent="0.3">
      <c r="A18" s="748"/>
      <c r="B18" s="749"/>
      <c r="C18" s="749"/>
      <c r="D18" s="749"/>
      <c r="E18" s="749"/>
      <c r="F18" s="749"/>
      <c r="G18" s="749"/>
      <c r="H18" s="749"/>
      <c r="I18" s="749"/>
      <c r="J18" s="749"/>
      <c r="K18" s="750"/>
      <c r="L18" s="76">
        <v>3629000</v>
      </c>
      <c r="M18" s="110"/>
      <c r="N18" s="75"/>
      <c r="O18" s="76">
        <v>3629000</v>
      </c>
      <c r="P18" s="110"/>
      <c r="Q18" s="75"/>
    </row>
    <row r="19" spans="1:17" s="73" customFormat="1" ht="19.5" thickBot="1" x14ac:dyDescent="0.35">
      <c r="A19" s="742" t="s">
        <v>357</v>
      </c>
      <c r="B19" s="743"/>
      <c r="C19" s="743"/>
      <c r="D19" s="743"/>
      <c r="E19" s="743"/>
      <c r="F19" s="743"/>
      <c r="G19" s="743"/>
      <c r="H19" s="743"/>
      <c r="I19" s="743"/>
      <c r="J19" s="743"/>
      <c r="K19" s="744"/>
      <c r="L19" s="79">
        <f>L17+L18</f>
        <v>12608000</v>
      </c>
      <c r="M19" s="109">
        <f>[1]bölcsőde!H49</f>
        <v>13566945</v>
      </c>
      <c r="N19" s="79">
        <f>L19-M19</f>
        <v>-958945</v>
      </c>
      <c r="O19" s="79">
        <f>O17+O18</f>
        <v>12608000</v>
      </c>
      <c r="P19" s="109">
        <f>[1]bölcsőde!K49</f>
        <v>13781173</v>
      </c>
      <c r="Q19" s="79">
        <f>O19-P19</f>
        <v>-1173173</v>
      </c>
    </row>
    <row r="20" spans="1:17" s="73" customFormat="1" ht="21.75" thickBot="1" x14ac:dyDescent="0.4">
      <c r="A20" s="751" t="s">
        <v>358</v>
      </c>
      <c r="B20" s="752"/>
      <c r="C20" s="752"/>
      <c r="D20" s="752"/>
      <c r="E20" s="752"/>
      <c r="F20" s="752"/>
      <c r="G20" s="752"/>
      <c r="H20" s="752"/>
      <c r="I20" s="752"/>
      <c r="J20" s="752"/>
      <c r="K20" s="753"/>
      <c r="L20" s="111">
        <f>L14+L19</f>
        <v>41728300</v>
      </c>
      <c r="M20" s="111">
        <f>M19+M14</f>
        <v>40188537</v>
      </c>
      <c r="N20" s="111">
        <f>L20-M20</f>
        <v>1539763</v>
      </c>
      <c r="O20" s="111">
        <f>O14+O19</f>
        <v>41728300</v>
      </c>
      <c r="P20" s="111">
        <f>P19+P14</f>
        <v>42094401</v>
      </c>
      <c r="Q20" s="111">
        <f>O20-P20</f>
        <v>-366101</v>
      </c>
    </row>
    <row r="21" spans="1:17" s="112" customFormat="1" ht="21.75" thickBot="1" x14ac:dyDescent="0.4">
      <c r="A21" s="798"/>
      <c r="B21" s="799"/>
      <c r="C21" s="799"/>
      <c r="D21" s="799"/>
      <c r="E21" s="799"/>
      <c r="F21" s="799"/>
      <c r="G21" s="799"/>
      <c r="H21" s="799"/>
      <c r="I21" s="799"/>
      <c r="J21" s="799"/>
      <c r="K21" s="800"/>
      <c r="L21" s="111"/>
      <c r="M21" s="147"/>
      <c r="N21" s="147"/>
      <c r="O21" s="111"/>
      <c r="P21" s="147"/>
      <c r="Q21" s="147"/>
    </row>
    <row r="22" spans="1:17" ht="15.75" thickBot="1" x14ac:dyDescent="0.3">
      <c r="A22" s="748" t="s">
        <v>339</v>
      </c>
      <c r="B22" s="749"/>
      <c r="C22" s="749"/>
      <c r="D22" s="749"/>
      <c r="E22" s="749"/>
      <c r="F22" s="749"/>
      <c r="G22" s="749"/>
      <c r="H22" s="749"/>
      <c r="I22" s="749"/>
      <c r="J22" s="749"/>
      <c r="K22" s="750"/>
      <c r="L22" s="213">
        <v>2228820</v>
      </c>
      <c r="M22" s="113" t="s">
        <v>359</v>
      </c>
      <c r="N22" s="113" t="s">
        <v>354</v>
      </c>
      <c r="O22" s="213">
        <v>2228820</v>
      </c>
      <c r="P22" s="113" t="s">
        <v>359</v>
      </c>
      <c r="Q22" s="113" t="s">
        <v>354</v>
      </c>
    </row>
    <row r="23" spans="1:17" ht="15.75" thickBot="1" x14ac:dyDescent="0.3">
      <c r="A23" s="803" t="s">
        <v>360</v>
      </c>
      <c r="B23" s="804"/>
      <c r="C23" s="804"/>
      <c r="D23" s="804"/>
      <c r="E23" s="804"/>
      <c r="F23" s="804"/>
      <c r="G23" s="804"/>
      <c r="H23" s="804"/>
      <c r="I23" s="804"/>
      <c r="J23" s="804"/>
      <c r="K23" s="805"/>
      <c r="L23" s="114">
        <v>136400</v>
      </c>
      <c r="M23" s="115"/>
      <c r="N23" s="115"/>
      <c r="O23" s="114">
        <v>136400</v>
      </c>
      <c r="P23" s="115"/>
      <c r="Q23" s="115"/>
    </row>
    <row r="24" spans="1:17" ht="19.5" customHeight="1" thickBot="1" x14ac:dyDescent="0.35">
      <c r="A24" s="801" t="s">
        <v>556</v>
      </c>
      <c r="B24" s="802"/>
      <c r="C24" s="802"/>
      <c r="D24" s="802"/>
      <c r="E24" s="802"/>
      <c r="F24" s="802"/>
      <c r="G24" s="802"/>
      <c r="H24" s="214"/>
      <c r="I24" s="214"/>
      <c r="J24" s="204"/>
      <c r="K24" s="205"/>
      <c r="L24" s="79"/>
      <c r="M24" s="215"/>
      <c r="N24" s="215"/>
      <c r="O24" s="79"/>
      <c r="P24" s="115"/>
      <c r="Q24" s="115"/>
    </row>
    <row r="25" spans="1:17" ht="21.75" customHeight="1" thickBot="1" x14ac:dyDescent="0.4">
      <c r="A25" s="801" t="s">
        <v>557</v>
      </c>
      <c r="B25" s="802"/>
      <c r="C25" s="802"/>
      <c r="D25" s="802"/>
      <c r="E25" s="802"/>
      <c r="F25" s="802"/>
      <c r="G25" s="802"/>
      <c r="H25" s="802"/>
      <c r="I25" s="802"/>
      <c r="J25" s="206"/>
      <c r="K25" s="207"/>
      <c r="L25" s="79"/>
      <c r="M25" s="73"/>
      <c r="N25" s="73"/>
      <c r="O25" s="79">
        <v>932100</v>
      </c>
      <c r="P25" s="115"/>
      <c r="Q25" s="115"/>
    </row>
    <row r="26" spans="1:17" s="73" customFormat="1" ht="19.5" thickBot="1" x14ac:dyDescent="0.35">
      <c r="A26" s="751" t="s">
        <v>361</v>
      </c>
      <c r="B26" s="752"/>
      <c r="C26" s="752"/>
      <c r="D26" s="752"/>
      <c r="E26" s="752"/>
      <c r="F26" s="752"/>
      <c r="G26" s="752"/>
      <c r="H26" s="752"/>
      <c r="I26" s="752"/>
      <c r="J26" s="752"/>
      <c r="K26" s="753"/>
      <c r="L26" s="79">
        <f>L22+L23</f>
        <v>2365220</v>
      </c>
      <c r="M26" s="79">
        <f>[1]közművelődés!H83</f>
        <v>13403366</v>
      </c>
      <c r="N26" s="79">
        <f>L26-M26</f>
        <v>-11038146</v>
      </c>
      <c r="O26" s="79">
        <f>O22+O23+O25</f>
        <v>3297320</v>
      </c>
      <c r="P26" s="79">
        <f>[1]közművelődés!K83</f>
        <v>13276898.120000001</v>
      </c>
      <c r="Q26" s="79">
        <f>O26-P26</f>
        <v>-9979578.120000001</v>
      </c>
    </row>
    <row r="27" spans="1:17" s="73" customFormat="1" ht="21.75" thickBot="1" x14ac:dyDescent="0.4">
      <c r="A27" s="751" t="s">
        <v>448</v>
      </c>
      <c r="B27" s="752"/>
      <c r="C27" s="752"/>
      <c r="D27" s="752"/>
      <c r="E27" s="752"/>
      <c r="F27" s="752"/>
      <c r="G27" s="752"/>
      <c r="H27" s="752"/>
      <c r="I27" s="752"/>
      <c r="J27" s="206"/>
      <c r="K27" s="207"/>
      <c r="L27" s="79">
        <f>L28+L29</f>
        <v>1361500</v>
      </c>
      <c r="O27" s="79">
        <f>O28+O29+O30</f>
        <v>2337764</v>
      </c>
    </row>
    <row r="28" spans="1:17" ht="15.75" thickBot="1" x14ac:dyDescent="0.3">
      <c r="A28" s="748" t="s">
        <v>362</v>
      </c>
      <c r="B28" s="749"/>
      <c r="C28" s="749"/>
      <c r="D28" s="749"/>
      <c r="E28" s="749"/>
      <c r="F28" s="749"/>
      <c r="G28" s="749"/>
      <c r="H28" s="749"/>
      <c r="I28" s="749"/>
      <c r="J28" s="749"/>
      <c r="K28" s="750"/>
      <c r="L28" s="76">
        <v>1200000</v>
      </c>
      <c r="O28" s="76">
        <v>1200000</v>
      </c>
    </row>
    <row r="29" spans="1:17" ht="15.75" thickBot="1" x14ac:dyDescent="0.3">
      <c r="A29" s="774" t="s">
        <v>363</v>
      </c>
      <c r="B29" s="775"/>
      <c r="C29" s="775"/>
      <c r="D29" s="775"/>
      <c r="E29" s="775"/>
      <c r="F29" s="775"/>
      <c r="G29" s="775"/>
      <c r="H29" s="775"/>
      <c r="I29" s="775"/>
      <c r="J29" s="775"/>
      <c r="K29" s="776"/>
      <c r="L29" s="148">
        <v>161500</v>
      </c>
      <c r="O29" s="148">
        <v>161500</v>
      </c>
    </row>
    <row r="30" spans="1:17" ht="15.75" thickBot="1" x14ac:dyDescent="0.3">
      <c r="A30" s="748" t="s">
        <v>616</v>
      </c>
      <c r="B30" s="749"/>
      <c r="C30" s="749"/>
      <c r="D30" s="749"/>
      <c r="E30" s="749"/>
      <c r="F30" s="749"/>
      <c r="G30" s="749"/>
      <c r="H30" s="266"/>
      <c r="I30" s="266"/>
      <c r="J30" s="266"/>
      <c r="K30" s="266"/>
      <c r="L30" s="148"/>
      <c r="O30" s="148">
        <v>976264</v>
      </c>
    </row>
    <row r="31" spans="1:17" s="179" customFormat="1" ht="16.5" thickBot="1" x14ac:dyDescent="0.3">
      <c r="A31" s="810" t="s">
        <v>449</v>
      </c>
      <c r="B31" s="811"/>
      <c r="C31" s="811"/>
      <c r="D31" s="811"/>
      <c r="E31" s="811"/>
      <c r="F31" s="811"/>
      <c r="G31" s="811"/>
      <c r="H31" s="811"/>
      <c r="I31" s="811"/>
      <c r="J31" s="208"/>
      <c r="K31" s="208"/>
      <c r="L31" s="149">
        <f>L33+L32</f>
        <v>1449948</v>
      </c>
      <c r="O31" s="149"/>
    </row>
    <row r="32" spans="1:17" ht="15.75" thickBot="1" x14ac:dyDescent="0.3">
      <c r="A32" s="812" t="s">
        <v>450</v>
      </c>
      <c r="B32" s="813"/>
      <c r="C32" s="813"/>
      <c r="D32" s="813"/>
      <c r="E32" s="813"/>
      <c r="F32" s="813"/>
      <c r="G32" s="813"/>
      <c r="H32" s="813"/>
      <c r="I32" s="813"/>
      <c r="J32" s="813"/>
      <c r="K32" s="814"/>
      <c r="L32" s="117">
        <v>67720</v>
      </c>
      <c r="O32" s="117"/>
    </row>
    <row r="33" spans="1:15" ht="15.75" thickBot="1" x14ac:dyDescent="0.3">
      <c r="A33" s="748" t="s">
        <v>451</v>
      </c>
      <c r="B33" s="749"/>
      <c r="C33" s="749"/>
      <c r="D33" s="749"/>
      <c r="E33" s="749"/>
      <c r="F33" s="749"/>
      <c r="G33" s="749"/>
      <c r="H33" s="749"/>
      <c r="I33" s="749"/>
      <c r="J33" s="749"/>
      <c r="K33" s="750"/>
      <c r="L33" s="76">
        <v>1382228</v>
      </c>
      <c r="O33" s="76"/>
    </row>
    <row r="34" spans="1:15" ht="16.5" thickBot="1" x14ac:dyDescent="0.3">
      <c r="A34" s="810" t="s">
        <v>558</v>
      </c>
      <c r="B34" s="811"/>
      <c r="C34" s="811"/>
      <c r="D34" s="811"/>
      <c r="E34" s="811"/>
      <c r="F34" s="811"/>
      <c r="G34" s="811"/>
      <c r="H34" s="811"/>
      <c r="I34" s="811"/>
      <c r="J34" s="202"/>
      <c r="K34" s="203"/>
      <c r="L34" s="76"/>
      <c r="O34" s="76">
        <v>1276585</v>
      </c>
    </row>
    <row r="35" spans="1:15" s="80" customFormat="1" ht="19.5" thickBot="1" x14ac:dyDescent="0.35">
      <c r="A35" s="745" t="s">
        <v>364</v>
      </c>
      <c r="B35" s="746"/>
      <c r="C35" s="746"/>
      <c r="D35" s="746"/>
      <c r="E35" s="746"/>
      <c r="F35" s="746"/>
      <c r="G35" s="746"/>
      <c r="H35" s="746"/>
      <c r="I35" s="746"/>
      <c r="J35" s="746"/>
      <c r="K35" s="747"/>
      <c r="L35" s="79">
        <f>L20+L26+L27+L31</f>
        <v>46904968</v>
      </c>
      <c r="O35" s="79">
        <f>O20+O26+O27+O34</f>
        <v>48639969</v>
      </c>
    </row>
    <row r="36" spans="1:15" s="80" customFormat="1" ht="19.5" thickBot="1" x14ac:dyDescent="0.35">
      <c r="A36" s="745" t="s">
        <v>365</v>
      </c>
      <c r="B36" s="746"/>
      <c r="C36" s="746"/>
      <c r="D36" s="746"/>
      <c r="E36" s="746"/>
      <c r="F36" s="746"/>
      <c r="G36" s="746"/>
      <c r="H36" s="746"/>
      <c r="I36" s="746"/>
      <c r="J36" s="746"/>
      <c r="K36" s="747"/>
      <c r="L36" s="79">
        <v>54474553</v>
      </c>
      <c r="O36" s="79">
        <v>59247168</v>
      </c>
    </row>
    <row r="37" spans="1:15" ht="19.5" thickBot="1" x14ac:dyDescent="0.35">
      <c r="A37" s="745" t="s">
        <v>366</v>
      </c>
      <c r="B37" s="746"/>
      <c r="C37" s="746"/>
      <c r="D37" s="746"/>
      <c r="E37" s="746"/>
      <c r="F37" s="746"/>
      <c r="G37" s="746"/>
      <c r="H37" s="746"/>
      <c r="I37" s="746"/>
      <c r="J37" s="746"/>
      <c r="K37" s="747"/>
      <c r="L37" s="79">
        <f>L35-L36</f>
        <v>-7569585</v>
      </c>
      <c r="O37" s="79">
        <f>O35-O36</f>
        <v>-10607199</v>
      </c>
    </row>
  </sheetData>
  <mergeCells count="38">
    <mergeCell ref="A36:K36"/>
    <mergeCell ref="A37:K37"/>
    <mergeCell ref="A27:I27"/>
    <mergeCell ref="A28:K28"/>
    <mergeCell ref="A31:I31"/>
    <mergeCell ref="A34:I34"/>
    <mergeCell ref="A35:K35"/>
    <mergeCell ref="A33:K33"/>
    <mergeCell ref="A32:K32"/>
    <mergeCell ref="A30:G30"/>
    <mergeCell ref="B1:P1"/>
    <mergeCell ref="O3:Q3"/>
    <mergeCell ref="L4:N4"/>
    <mergeCell ref="O4:Q4"/>
    <mergeCell ref="A24:G24"/>
    <mergeCell ref="A9:K9"/>
    <mergeCell ref="A5:K5"/>
    <mergeCell ref="A6:K6"/>
    <mergeCell ref="A7:K7"/>
    <mergeCell ref="A8:K8"/>
    <mergeCell ref="A16:K16"/>
    <mergeCell ref="A17:K17"/>
    <mergeCell ref="A18:K18"/>
    <mergeCell ref="A19:K19"/>
    <mergeCell ref="A20:K20"/>
    <mergeCell ref="L3:N3"/>
    <mergeCell ref="A22:K22"/>
    <mergeCell ref="A25:I25"/>
    <mergeCell ref="A29:K29"/>
    <mergeCell ref="A23:K23"/>
    <mergeCell ref="A26:K26"/>
    <mergeCell ref="A21:K21"/>
    <mergeCell ref="A10:K10"/>
    <mergeCell ref="A12:K12"/>
    <mergeCell ref="A13:K13"/>
    <mergeCell ref="A14:K14"/>
    <mergeCell ref="A15:K15"/>
    <mergeCell ref="A11:K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K104"/>
  <sheetViews>
    <sheetView topLeftCell="B73" workbookViewId="0">
      <selection activeCell="I63" sqref="I63"/>
    </sheetView>
  </sheetViews>
  <sheetFormatPr defaultRowHeight="15.75" x14ac:dyDescent="0.25"/>
  <cols>
    <col min="1" max="1" width="6" style="2" customWidth="1"/>
    <col min="2" max="2" width="5.140625" style="1" customWidth="1"/>
    <col min="3" max="3" width="76.285156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723" t="s">
        <v>577</v>
      </c>
      <c r="B1" s="724"/>
      <c r="C1" s="724"/>
      <c r="D1" s="724"/>
      <c r="E1" s="724"/>
      <c r="F1" s="724"/>
    </row>
    <row r="2" spans="1:11" ht="20.100000000000001" customHeight="1" x14ac:dyDescent="0.25">
      <c r="A2" s="725"/>
      <c r="B2" s="725"/>
      <c r="C2" s="725"/>
      <c r="D2" s="725"/>
      <c r="E2" s="725"/>
      <c r="F2" s="725"/>
    </row>
    <row r="3" spans="1:11" ht="20.100000000000001" customHeight="1" x14ac:dyDescent="0.25">
      <c r="A3" s="726" t="s">
        <v>157</v>
      </c>
      <c r="B3" s="726"/>
      <c r="C3" s="726"/>
      <c r="D3" s="726"/>
      <c r="E3" s="726"/>
      <c r="F3" s="726"/>
    </row>
    <row r="4" spans="1:11" ht="20.100000000000001" customHeight="1" x14ac:dyDescent="0.25">
      <c r="A4" s="725" t="s">
        <v>2</v>
      </c>
      <c r="B4" s="725"/>
      <c r="C4" s="725"/>
      <c r="D4" s="725"/>
      <c r="E4" s="725"/>
      <c r="F4" s="725"/>
    </row>
    <row r="5" spans="1:11" ht="39" customHeight="1" thickBot="1" x14ac:dyDescent="0.3">
      <c r="A5" s="727" t="s">
        <v>506</v>
      </c>
      <c r="B5" s="727"/>
      <c r="C5" s="727"/>
      <c r="D5" s="727"/>
      <c r="E5" s="727"/>
      <c r="F5" s="727"/>
    </row>
    <row r="6" spans="1:11" ht="20.100000000000001" customHeight="1" x14ac:dyDescent="0.25">
      <c r="A6" s="737" t="s">
        <v>3</v>
      </c>
      <c r="B6" s="736" t="s">
        <v>4</v>
      </c>
      <c r="C6" s="736"/>
      <c r="D6" s="735" t="s">
        <v>213</v>
      </c>
      <c r="E6" s="729" t="s">
        <v>6</v>
      </c>
      <c r="F6" s="729" t="s">
        <v>7</v>
      </c>
      <c r="G6" s="731" t="s">
        <v>8</v>
      </c>
      <c r="H6" s="735" t="s">
        <v>213</v>
      </c>
      <c r="I6" s="729" t="s">
        <v>6</v>
      </c>
      <c r="J6" s="729" t="s">
        <v>7</v>
      </c>
      <c r="K6" s="731" t="s">
        <v>8</v>
      </c>
    </row>
    <row r="7" spans="1:11" ht="38.25" customHeight="1" x14ac:dyDescent="0.25">
      <c r="A7" s="738"/>
      <c r="B7" s="740"/>
      <c r="C7" s="740"/>
      <c r="D7" s="734"/>
      <c r="E7" s="730"/>
      <c r="F7" s="730"/>
      <c r="G7" s="732"/>
      <c r="H7" s="734"/>
      <c r="I7" s="730"/>
      <c r="J7" s="730"/>
      <c r="K7" s="732"/>
    </row>
    <row r="8" spans="1:11" ht="22.5" customHeight="1" thickBot="1" x14ac:dyDescent="0.3">
      <c r="A8" s="739"/>
      <c r="B8" s="741"/>
      <c r="C8" s="741"/>
      <c r="D8" s="733" t="s">
        <v>408</v>
      </c>
      <c r="E8" s="734"/>
      <c r="F8" s="734"/>
      <c r="G8" s="50"/>
      <c r="H8" s="733" t="s">
        <v>576</v>
      </c>
      <c r="I8" s="734"/>
      <c r="J8" s="734"/>
      <c r="K8" s="50"/>
    </row>
    <row r="9" spans="1:11" ht="15.95" customHeight="1" x14ac:dyDescent="0.25">
      <c r="A9" s="142"/>
      <c r="B9" s="736" t="s">
        <v>9</v>
      </c>
      <c r="C9" s="736"/>
      <c r="D9" s="51"/>
      <c r="E9" s="52"/>
      <c r="F9" s="53"/>
      <c r="G9" s="53"/>
      <c r="H9" s="51"/>
      <c r="I9" s="52"/>
      <c r="J9" s="53"/>
      <c r="K9" s="53"/>
    </row>
    <row r="10" spans="1:11" ht="15.95" customHeight="1" x14ac:dyDescent="0.25">
      <c r="A10" s="3">
        <v>1</v>
      </c>
      <c r="B10" s="717" t="s">
        <v>10</v>
      </c>
      <c r="C10" s="717"/>
      <c r="D10" s="5">
        <v>34590</v>
      </c>
      <c r="E10" s="5">
        <v>34590</v>
      </c>
      <c r="F10" s="6"/>
      <c r="G10" s="7"/>
      <c r="H10" s="5">
        <v>36993</v>
      </c>
      <c r="I10" s="5">
        <v>36993</v>
      </c>
      <c r="J10" s="6"/>
      <c r="K10" s="7"/>
    </row>
    <row r="11" spans="1:11" ht="15.95" customHeight="1" x14ac:dyDescent="0.25">
      <c r="A11" s="3">
        <v>2</v>
      </c>
      <c r="B11" s="717" t="s">
        <v>11</v>
      </c>
      <c r="C11" s="717"/>
      <c r="D11" s="5">
        <v>6971</v>
      </c>
      <c r="E11" s="5">
        <v>6971</v>
      </c>
      <c r="F11" s="6"/>
      <c r="G11" s="7"/>
      <c r="H11" s="5">
        <v>7368</v>
      </c>
      <c r="I11" s="5">
        <v>7368</v>
      </c>
      <c r="J11" s="6"/>
      <c r="K11" s="7"/>
    </row>
    <row r="12" spans="1:11" ht="15.95" customHeight="1" x14ac:dyDescent="0.25">
      <c r="A12" s="3">
        <v>3</v>
      </c>
      <c r="B12" s="717" t="s">
        <v>12</v>
      </c>
      <c r="C12" s="717"/>
      <c r="D12" s="5">
        <v>3524</v>
      </c>
      <c r="E12" s="5">
        <v>3524</v>
      </c>
      <c r="F12" s="6"/>
      <c r="G12" s="8"/>
      <c r="H12" s="5">
        <v>4389</v>
      </c>
      <c r="I12" s="5">
        <v>4389</v>
      </c>
      <c r="J12" s="6"/>
      <c r="K12" s="8"/>
    </row>
    <row r="13" spans="1:11" ht="15.95" customHeight="1" x14ac:dyDescent="0.25">
      <c r="A13" s="3" t="s">
        <v>13</v>
      </c>
      <c r="B13" s="717" t="s">
        <v>14</v>
      </c>
      <c r="C13" s="717"/>
      <c r="D13" s="54"/>
      <c r="E13" s="5"/>
      <c r="F13" s="6"/>
      <c r="G13" s="7"/>
      <c r="H13" s="54"/>
      <c r="I13" s="54"/>
      <c r="J13" s="6"/>
      <c r="K13" s="7"/>
    </row>
    <row r="14" spans="1:11" ht="15.95" customHeight="1" x14ac:dyDescent="0.25">
      <c r="A14" s="3" t="s">
        <v>15</v>
      </c>
      <c r="B14" s="728" t="s">
        <v>16</v>
      </c>
      <c r="C14" s="728"/>
      <c r="D14" s="54">
        <f>+D15+D16+D17+D18+D19</f>
        <v>0</v>
      </c>
      <c r="E14" s="5">
        <v>0</v>
      </c>
      <c r="F14" s="10"/>
      <c r="G14" s="10"/>
      <c r="H14" s="54">
        <f>+H15+H16+H17+H18+H19</f>
        <v>19</v>
      </c>
      <c r="I14" s="54">
        <f>+I15+I16+I17+I18+I19</f>
        <v>19</v>
      </c>
      <c r="J14" s="10"/>
      <c r="K14" s="10"/>
    </row>
    <row r="15" spans="1:11" ht="15.95" customHeight="1" x14ac:dyDescent="0.25">
      <c r="A15" s="3" t="s">
        <v>17</v>
      </c>
      <c r="B15" s="719" t="s">
        <v>117</v>
      </c>
      <c r="C15" s="719"/>
      <c r="D15" s="54"/>
      <c r="E15" s="5"/>
      <c r="F15" s="6"/>
      <c r="G15" s="7"/>
      <c r="H15" s="54"/>
      <c r="I15" s="54"/>
      <c r="J15" s="6"/>
      <c r="K15" s="7"/>
    </row>
    <row r="16" spans="1:11" ht="15.95" customHeight="1" x14ac:dyDescent="0.25">
      <c r="A16" s="3" t="s">
        <v>18</v>
      </c>
      <c r="B16" s="719" t="s">
        <v>19</v>
      </c>
      <c r="C16" s="719"/>
      <c r="D16" s="54"/>
      <c r="E16" s="5"/>
      <c r="F16" s="6"/>
      <c r="G16" s="7"/>
      <c r="H16" s="54">
        <v>19</v>
      </c>
      <c r="I16" s="54">
        <v>19</v>
      </c>
      <c r="J16" s="6"/>
      <c r="K16" s="7"/>
    </row>
    <row r="17" spans="1:11" ht="15.95" customHeight="1" x14ac:dyDescent="0.25">
      <c r="A17" s="3"/>
      <c r="B17" s="720" t="s">
        <v>119</v>
      </c>
      <c r="C17" s="720"/>
      <c r="D17" s="54"/>
      <c r="E17" s="5"/>
      <c r="F17" s="6"/>
      <c r="G17" s="7"/>
      <c r="H17" s="54"/>
      <c r="I17" s="54"/>
      <c r="J17" s="6"/>
      <c r="K17" s="7"/>
    </row>
    <row r="18" spans="1:11" ht="15.95" customHeight="1" x14ac:dyDescent="0.25">
      <c r="A18" s="3" t="s">
        <v>20</v>
      </c>
      <c r="B18" s="721" t="s">
        <v>21</v>
      </c>
      <c r="C18" s="721"/>
      <c r="D18" s="54"/>
      <c r="E18" s="5"/>
      <c r="F18" s="6"/>
      <c r="G18" s="7"/>
      <c r="H18" s="54"/>
      <c r="I18" s="54"/>
      <c r="J18" s="6"/>
      <c r="K18" s="7"/>
    </row>
    <row r="19" spans="1:11" ht="15.95" customHeight="1" x14ac:dyDescent="0.25">
      <c r="A19" s="3" t="s">
        <v>22</v>
      </c>
      <c r="B19" s="721" t="s">
        <v>161</v>
      </c>
      <c r="C19" s="722"/>
      <c r="D19" s="54"/>
      <c r="E19" s="5"/>
      <c r="F19" s="6"/>
      <c r="G19" s="7"/>
      <c r="H19" s="54"/>
      <c r="I19" s="54"/>
      <c r="J19" s="6"/>
      <c r="K19" s="7"/>
    </row>
    <row r="20" spans="1:11" ht="15.95" customHeight="1" x14ac:dyDescent="0.25">
      <c r="A20" s="3"/>
      <c r="B20" s="717" t="s">
        <v>23</v>
      </c>
      <c r="C20" s="717"/>
      <c r="D20" s="55"/>
      <c r="E20" s="14"/>
      <c r="F20" s="81"/>
      <c r="G20" s="57"/>
      <c r="H20" s="55"/>
      <c r="I20" s="55"/>
      <c r="J20" s="81"/>
      <c r="K20" s="57"/>
    </row>
    <row r="21" spans="1:11" ht="15.95" customHeight="1" x14ac:dyDescent="0.25">
      <c r="A21" s="3" t="s">
        <v>0</v>
      </c>
      <c r="B21" s="141" t="s">
        <v>24</v>
      </c>
      <c r="C21" s="58"/>
      <c r="D21" s="54">
        <f>+D10+D11+D12+D13+D14+D20</f>
        <v>45085</v>
      </c>
      <c r="E21" s="54">
        <f>+E10+E11+E12+E13+E14+E20</f>
        <v>45085</v>
      </c>
      <c r="F21" s="5"/>
      <c r="G21" s="5"/>
      <c r="H21" s="54">
        <f>+H10+H11+H12+H13+H14+H20</f>
        <v>48769</v>
      </c>
      <c r="I21" s="54">
        <f>+I10+I11+I12+I13+I14+I20</f>
        <v>48769</v>
      </c>
      <c r="J21" s="5"/>
      <c r="K21" s="5"/>
    </row>
    <row r="22" spans="1:11" ht="15.95" customHeight="1" x14ac:dyDescent="0.25">
      <c r="A22" s="3" t="s">
        <v>25</v>
      </c>
      <c r="B22" s="717" t="s">
        <v>26</v>
      </c>
      <c r="C22" s="717"/>
      <c r="D22" s="55">
        <v>377</v>
      </c>
      <c r="E22" s="14">
        <v>377</v>
      </c>
      <c r="F22" s="6"/>
      <c r="G22" s="7"/>
      <c r="H22" s="55">
        <v>720</v>
      </c>
      <c r="I22" s="55">
        <v>720</v>
      </c>
      <c r="J22" s="6"/>
      <c r="K22" s="7"/>
    </row>
    <row r="23" spans="1:11" ht="15.95" customHeight="1" x14ac:dyDescent="0.25">
      <c r="A23" s="3" t="s">
        <v>27</v>
      </c>
      <c r="B23" s="717" t="s">
        <v>28</v>
      </c>
      <c r="C23" s="717"/>
      <c r="D23" s="55"/>
      <c r="E23" s="14"/>
      <c r="F23" s="6"/>
      <c r="G23" s="7"/>
      <c r="H23" s="55"/>
      <c r="I23" s="55"/>
      <c r="J23" s="6"/>
      <c r="K23" s="7"/>
    </row>
    <row r="24" spans="1:11" ht="15.95" customHeight="1" x14ac:dyDescent="0.25">
      <c r="A24" s="3" t="s">
        <v>29</v>
      </c>
      <c r="B24" s="717" t="s">
        <v>120</v>
      </c>
      <c r="C24" s="717"/>
      <c r="D24" s="55"/>
      <c r="E24" s="14"/>
      <c r="F24" s="6"/>
      <c r="G24" s="7"/>
      <c r="H24" s="55"/>
      <c r="I24" s="55"/>
      <c r="J24" s="6"/>
      <c r="K24" s="7"/>
    </row>
    <row r="25" spans="1:11" ht="15.95" customHeight="1" x14ac:dyDescent="0.25">
      <c r="A25" s="3" t="s">
        <v>31</v>
      </c>
      <c r="B25" s="717" t="s">
        <v>32</v>
      </c>
      <c r="C25" s="717"/>
      <c r="D25" s="55">
        <f>+D22+D23+D24</f>
        <v>377</v>
      </c>
      <c r="E25" s="55">
        <f>+E22+E23+E24</f>
        <v>377</v>
      </c>
      <c r="F25" s="6"/>
      <c r="G25" s="7"/>
      <c r="H25" s="55">
        <f>+H22+H23+H24</f>
        <v>720</v>
      </c>
      <c r="I25" s="55">
        <f>+I22+I23+I24</f>
        <v>720</v>
      </c>
      <c r="J25" s="6"/>
      <c r="K25" s="7"/>
    </row>
    <row r="26" spans="1:11" ht="15.95" customHeight="1" x14ac:dyDescent="0.25">
      <c r="A26" s="3" t="s">
        <v>33</v>
      </c>
      <c r="B26" s="717"/>
      <c r="C26" s="717"/>
      <c r="D26" s="55"/>
      <c r="E26" s="14"/>
      <c r="F26" s="6"/>
      <c r="G26" s="7"/>
      <c r="H26" s="55"/>
      <c r="I26" s="55"/>
      <c r="J26" s="6"/>
      <c r="K26" s="7"/>
    </row>
    <row r="27" spans="1:11" ht="15.95" customHeight="1" x14ac:dyDescent="0.25">
      <c r="A27" s="3" t="s">
        <v>34</v>
      </c>
      <c r="B27" s="718"/>
      <c r="C27" s="718"/>
      <c r="D27" s="59"/>
      <c r="E27" s="16"/>
      <c r="F27" s="6">
        <f>+D27+E27</f>
        <v>0</v>
      </c>
      <c r="G27" s="7"/>
      <c r="H27" s="59"/>
      <c r="I27" s="59"/>
      <c r="J27" s="6">
        <f>+H27+I27</f>
        <v>0</v>
      </c>
      <c r="K27" s="7"/>
    </row>
    <row r="28" spans="1:11" ht="15.95" customHeight="1" x14ac:dyDescent="0.25">
      <c r="A28" s="3" t="s">
        <v>35</v>
      </c>
      <c r="B28" s="718"/>
      <c r="C28" s="718"/>
      <c r="D28" s="59"/>
      <c r="E28" s="60"/>
      <c r="F28" s="6">
        <f>+D28+E28</f>
        <v>0</v>
      </c>
      <c r="G28" s="7"/>
      <c r="H28" s="59"/>
      <c r="I28" s="59"/>
      <c r="J28" s="6">
        <f>+H28+I28</f>
        <v>0</v>
      </c>
      <c r="K28" s="7"/>
    </row>
    <row r="29" spans="1:11" ht="15.95" customHeight="1" x14ac:dyDescent="0.3">
      <c r="A29" s="18" t="s">
        <v>36</v>
      </c>
      <c r="B29" s="712" t="s">
        <v>162</v>
      </c>
      <c r="C29" s="712"/>
      <c r="D29" s="61">
        <f t="shared" ref="D29:K29" si="0">+D21+D25+D26+D27+D28</f>
        <v>45462</v>
      </c>
      <c r="E29" s="61">
        <f t="shared" si="0"/>
        <v>45462</v>
      </c>
      <c r="F29" s="61">
        <f t="shared" si="0"/>
        <v>0</v>
      </c>
      <c r="G29" s="61">
        <f t="shared" si="0"/>
        <v>0</v>
      </c>
      <c r="H29" s="61">
        <f t="shared" si="0"/>
        <v>49489</v>
      </c>
      <c r="I29" s="61">
        <f t="shared" si="0"/>
        <v>49489</v>
      </c>
      <c r="J29" s="61">
        <f t="shared" si="0"/>
        <v>0</v>
      </c>
      <c r="K29" s="61">
        <f t="shared" si="0"/>
        <v>0</v>
      </c>
    </row>
    <row r="30" spans="1:11" ht="15.95" customHeight="1" x14ac:dyDescent="0.25">
      <c r="A30" s="19"/>
      <c r="B30" s="715"/>
      <c r="C30" s="715"/>
      <c r="D30" s="44"/>
      <c r="E30" s="63"/>
      <c r="F30" s="42"/>
      <c r="G30" s="42"/>
      <c r="H30" s="44"/>
      <c r="I30" s="63"/>
      <c r="J30" s="42"/>
      <c r="K30" s="42"/>
    </row>
    <row r="31" spans="1:11" ht="15.95" customHeight="1" x14ac:dyDescent="0.25">
      <c r="A31" s="3"/>
      <c r="B31" s="716" t="s">
        <v>37</v>
      </c>
      <c r="C31" s="716"/>
      <c r="D31" s="55"/>
      <c r="E31" s="14"/>
      <c r="F31" s="6"/>
      <c r="G31" s="7"/>
      <c r="H31" s="55"/>
      <c r="I31" s="14"/>
      <c r="J31" s="6"/>
      <c r="K31" s="7"/>
    </row>
    <row r="32" spans="1:11" ht="15.95" customHeight="1" x14ac:dyDescent="0.25">
      <c r="A32" s="3" t="s">
        <v>38</v>
      </c>
      <c r="B32" s="713" t="s">
        <v>39</v>
      </c>
      <c r="C32" s="713"/>
      <c r="D32" s="55"/>
      <c r="E32" s="14"/>
      <c r="F32" s="6"/>
      <c r="G32" s="7">
        <v>0</v>
      </c>
      <c r="H32" s="55">
        <v>5</v>
      </c>
      <c r="I32" s="14">
        <v>5</v>
      </c>
      <c r="J32" s="6"/>
      <c r="K32" s="7">
        <v>0</v>
      </c>
    </row>
    <row r="33" spans="1:11" ht="15.95" customHeight="1" x14ac:dyDescent="0.25">
      <c r="A33" s="3" t="s">
        <v>40</v>
      </c>
      <c r="B33" s="713" t="s">
        <v>41</v>
      </c>
      <c r="C33" s="713"/>
      <c r="D33" s="55">
        <f>SUM(D34:D36)</f>
        <v>0</v>
      </c>
      <c r="E33" s="14">
        <f>SUM(E34:E36)</f>
        <v>0</v>
      </c>
      <c r="F33" s="14">
        <f>SUM(F34:F36)</f>
        <v>0</v>
      </c>
      <c r="G33" s="7"/>
      <c r="H33" s="55">
        <f>SUM(H34:H36)</f>
        <v>0</v>
      </c>
      <c r="I33" s="14">
        <f>SUM(I34:I36)</f>
        <v>0</v>
      </c>
      <c r="J33" s="14">
        <f>SUM(J34:J36)</f>
        <v>0</v>
      </c>
      <c r="K33" s="7"/>
    </row>
    <row r="34" spans="1:11" ht="15.95" customHeight="1" x14ac:dyDescent="0.25">
      <c r="A34" s="3"/>
      <c r="B34" s="22" t="s">
        <v>42</v>
      </c>
      <c r="C34" s="23" t="s">
        <v>43</v>
      </c>
      <c r="D34" s="55"/>
      <c r="E34" s="14"/>
      <c r="F34" s="6"/>
      <c r="G34" s="7"/>
      <c r="H34" s="55"/>
      <c r="I34" s="14"/>
      <c r="J34" s="6"/>
      <c r="K34" s="7"/>
    </row>
    <row r="35" spans="1:11" ht="15.95" customHeight="1" x14ac:dyDescent="0.25">
      <c r="A35" s="3"/>
      <c r="B35" s="22" t="s">
        <v>44</v>
      </c>
      <c r="C35" s="23" t="s">
        <v>45</v>
      </c>
      <c r="D35" s="55"/>
      <c r="E35" s="14"/>
      <c r="F35" s="6"/>
      <c r="G35" s="7"/>
      <c r="H35" s="55"/>
      <c r="I35" s="14"/>
      <c r="J35" s="6"/>
      <c r="K35" s="7"/>
    </row>
    <row r="36" spans="1:11" ht="15.95" customHeight="1" x14ac:dyDescent="0.25">
      <c r="A36" s="3"/>
      <c r="B36" s="22" t="s">
        <v>46</v>
      </c>
      <c r="C36" s="23" t="s">
        <v>47</v>
      </c>
      <c r="D36" s="55"/>
      <c r="E36" s="14"/>
      <c r="F36" s="6"/>
      <c r="G36" s="7"/>
      <c r="H36" s="55"/>
      <c r="I36" s="14"/>
      <c r="J36" s="6"/>
      <c r="K36" s="7"/>
    </row>
    <row r="37" spans="1:11" ht="15.95" customHeight="1" x14ac:dyDescent="0.25">
      <c r="A37" s="3" t="s">
        <v>48</v>
      </c>
      <c r="B37" s="713" t="s">
        <v>49</v>
      </c>
      <c r="C37" s="713"/>
      <c r="D37" s="55">
        <f>SUM(D38:D40)</f>
        <v>0</v>
      </c>
      <c r="E37" s="55">
        <f>SUM(E38:E40)</f>
        <v>0</v>
      </c>
      <c r="F37" s="6">
        <f>SUM(F38:F40)</f>
        <v>0</v>
      </c>
      <c r="G37" s="7"/>
      <c r="H37" s="55">
        <f>SUM(H38:H40)</f>
        <v>0</v>
      </c>
      <c r="I37" s="55">
        <f>SUM(I38:I40)</f>
        <v>0</v>
      </c>
      <c r="J37" s="6">
        <f>SUM(J38:J40)</f>
        <v>0</v>
      </c>
      <c r="K37" s="7"/>
    </row>
    <row r="38" spans="1:11" ht="15.95" customHeight="1" x14ac:dyDescent="0.25">
      <c r="A38" s="3"/>
      <c r="B38" s="25" t="s">
        <v>50</v>
      </c>
      <c r="C38" s="140" t="s">
        <v>51</v>
      </c>
      <c r="D38" s="55">
        <v>0</v>
      </c>
      <c r="E38" s="14">
        <v>0</v>
      </c>
      <c r="F38" s="6"/>
      <c r="G38" s="7"/>
      <c r="H38" s="55">
        <v>0</v>
      </c>
      <c r="I38" s="14">
        <v>0</v>
      </c>
      <c r="J38" s="6"/>
      <c r="K38" s="7"/>
    </row>
    <row r="39" spans="1:11" ht="15.95" customHeight="1" x14ac:dyDescent="0.25">
      <c r="A39" s="3"/>
      <c r="B39" s="25" t="s">
        <v>52</v>
      </c>
      <c r="C39" s="140" t="s">
        <v>53</v>
      </c>
      <c r="D39" s="55"/>
      <c r="E39" s="14"/>
      <c r="F39" s="6">
        <f t="shared" ref="F39:F45" si="1">SUM(D39:D39)</f>
        <v>0</v>
      </c>
      <c r="G39" s="7"/>
      <c r="H39" s="55"/>
      <c r="I39" s="14"/>
      <c r="J39" s="6">
        <f t="shared" ref="J39" si="2">SUM(H39:H39)</f>
        <v>0</v>
      </c>
      <c r="K39" s="7"/>
    </row>
    <row r="40" spans="1:11" ht="15.95" customHeight="1" x14ac:dyDescent="0.25">
      <c r="A40" s="3"/>
      <c r="B40" s="25" t="s">
        <v>54</v>
      </c>
      <c r="C40" s="140" t="s">
        <v>55</v>
      </c>
      <c r="D40" s="55"/>
      <c r="E40" s="14"/>
      <c r="F40" s="6"/>
      <c r="G40" s="7"/>
      <c r="H40" s="55"/>
      <c r="I40" s="14"/>
      <c r="J40" s="6"/>
      <c r="K40" s="7"/>
    </row>
    <row r="41" spans="1:11" ht="15.95" customHeight="1" x14ac:dyDescent="0.25">
      <c r="A41" s="3" t="s">
        <v>13</v>
      </c>
      <c r="B41" s="713" t="s">
        <v>56</v>
      </c>
      <c r="C41" s="713"/>
      <c r="D41" s="55">
        <f>SUM(D42:D45)</f>
        <v>0</v>
      </c>
      <c r="E41" s="14">
        <f>SUM(E42:E45)</f>
        <v>0</v>
      </c>
      <c r="F41" s="14">
        <f>SUM(F42:F45)</f>
        <v>0</v>
      </c>
      <c r="G41" s="7"/>
      <c r="H41" s="55">
        <f>SUM(H42:H45)</f>
        <v>2703</v>
      </c>
      <c r="I41" s="14">
        <f>SUM(I42:I45)</f>
        <v>2703</v>
      </c>
      <c r="J41" s="14">
        <f>SUM(J42:J45)</f>
        <v>0</v>
      </c>
      <c r="K41" s="7"/>
    </row>
    <row r="42" spans="1:11" ht="15.95" customHeight="1" x14ac:dyDescent="0.25">
      <c r="A42" s="3"/>
      <c r="B42" s="25" t="s">
        <v>57</v>
      </c>
      <c r="C42" s="140" t="s">
        <v>511</v>
      </c>
      <c r="D42" s="55"/>
      <c r="E42" s="14"/>
      <c r="F42" s="6"/>
      <c r="G42" s="7"/>
      <c r="H42" s="55">
        <v>2703</v>
      </c>
      <c r="I42" s="14">
        <v>2703</v>
      </c>
      <c r="J42" s="6"/>
      <c r="K42" s="7"/>
    </row>
    <row r="43" spans="1:11" ht="15.95" customHeight="1" x14ac:dyDescent="0.25">
      <c r="A43" s="3"/>
      <c r="B43" s="25" t="s">
        <v>59</v>
      </c>
      <c r="C43" s="140" t="s">
        <v>60</v>
      </c>
      <c r="D43" s="55"/>
      <c r="E43" s="14"/>
      <c r="F43" s="6">
        <f t="shared" si="1"/>
        <v>0</v>
      </c>
      <c r="G43" s="7"/>
      <c r="H43" s="55"/>
      <c r="I43" s="14"/>
      <c r="J43" s="6">
        <f t="shared" ref="J43:J45" si="3">SUM(H43:H43)</f>
        <v>0</v>
      </c>
      <c r="K43" s="7"/>
    </row>
    <row r="44" spans="1:11" ht="15.95" customHeight="1" x14ac:dyDescent="0.25">
      <c r="A44" s="3"/>
      <c r="B44" s="25" t="s">
        <v>61</v>
      </c>
      <c r="C44" s="140" t="s">
        <v>163</v>
      </c>
      <c r="D44" s="55"/>
      <c r="E44" s="14"/>
      <c r="F44" s="6">
        <f t="shared" si="1"/>
        <v>0</v>
      </c>
      <c r="G44" s="7"/>
      <c r="H44" s="55"/>
      <c r="I44" s="14"/>
      <c r="J44" s="6">
        <f t="shared" si="3"/>
        <v>0</v>
      </c>
      <c r="K44" s="7"/>
    </row>
    <row r="45" spans="1:11" ht="15.95" customHeight="1" x14ac:dyDescent="0.25">
      <c r="A45" s="3"/>
      <c r="B45" s="25" t="s">
        <v>63</v>
      </c>
      <c r="C45" s="140" t="s">
        <v>64</v>
      </c>
      <c r="D45" s="55"/>
      <c r="E45" s="14"/>
      <c r="F45" s="6">
        <f t="shared" si="1"/>
        <v>0</v>
      </c>
      <c r="G45" s="7"/>
      <c r="H45" s="55"/>
      <c r="I45" s="14"/>
      <c r="J45" s="6">
        <f t="shared" si="3"/>
        <v>0</v>
      </c>
      <c r="K45" s="7"/>
    </row>
    <row r="46" spans="1:11" s="83" customFormat="1" ht="15.95" customHeight="1" x14ac:dyDescent="0.25">
      <c r="A46" s="12" t="s">
        <v>0</v>
      </c>
      <c r="B46" s="711" t="s">
        <v>65</v>
      </c>
      <c r="C46" s="711"/>
      <c r="D46" s="55">
        <f t="shared" ref="D46:K46" si="4">+D32+D33+D37+D41</f>
        <v>0</v>
      </c>
      <c r="E46" s="14">
        <f t="shared" si="4"/>
        <v>0</v>
      </c>
      <c r="F46" s="55">
        <f t="shared" si="4"/>
        <v>0</v>
      </c>
      <c r="G46" s="55">
        <f t="shared" si="4"/>
        <v>0</v>
      </c>
      <c r="H46" s="55">
        <f t="shared" si="4"/>
        <v>2708</v>
      </c>
      <c r="I46" s="14">
        <f t="shared" si="4"/>
        <v>2708</v>
      </c>
      <c r="J46" s="55">
        <f t="shared" si="4"/>
        <v>0</v>
      </c>
      <c r="K46" s="55">
        <f t="shared" si="4"/>
        <v>0</v>
      </c>
    </row>
    <row r="47" spans="1:11" ht="15.95" customHeight="1" x14ac:dyDescent="0.25">
      <c r="A47" s="3" t="s">
        <v>15</v>
      </c>
      <c r="B47" s="713" t="s">
        <v>66</v>
      </c>
      <c r="C47" s="713"/>
      <c r="D47" s="55">
        <f>SUM(D48:D49)</f>
        <v>0</v>
      </c>
      <c r="E47" s="14">
        <f>SUM(E48:E49)</f>
        <v>0</v>
      </c>
      <c r="F47" s="14">
        <f>SUM(F48:F49)</f>
        <v>0</v>
      </c>
      <c r="G47" s="7"/>
      <c r="H47" s="55">
        <f>SUM(H48:H49)</f>
        <v>0</v>
      </c>
      <c r="I47" s="14">
        <f>SUM(I48:I49)</f>
        <v>0</v>
      </c>
      <c r="J47" s="14">
        <f>SUM(J48:J49)</f>
        <v>0</v>
      </c>
      <c r="K47" s="7"/>
    </row>
    <row r="48" spans="1:11" ht="15.95" customHeight="1" x14ac:dyDescent="0.25">
      <c r="A48" s="3"/>
      <c r="B48" s="25" t="s">
        <v>67</v>
      </c>
      <c r="C48" s="140" t="s">
        <v>68</v>
      </c>
      <c r="D48" s="55"/>
      <c r="E48" s="14"/>
      <c r="F48" s="6">
        <f t="shared" ref="F48:F56" si="5">SUM(D48:D48)</f>
        <v>0</v>
      </c>
      <c r="G48" s="7"/>
      <c r="H48" s="55"/>
      <c r="I48" s="14"/>
      <c r="J48" s="6">
        <f t="shared" ref="J48" si="6">SUM(H48:H48)</f>
        <v>0</v>
      </c>
      <c r="K48" s="7"/>
    </row>
    <row r="49" spans="1:11" ht="15.95" customHeight="1" x14ac:dyDescent="0.25">
      <c r="A49" s="3"/>
      <c r="B49" s="25" t="s">
        <v>69</v>
      </c>
      <c r="C49" s="140" t="s">
        <v>70</v>
      </c>
      <c r="D49" s="55"/>
      <c r="E49" s="14"/>
      <c r="F49" s="6"/>
      <c r="G49" s="7"/>
      <c r="H49" s="55"/>
      <c r="I49" s="14"/>
      <c r="J49" s="6"/>
      <c r="K49" s="7"/>
    </row>
    <row r="50" spans="1:11" ht="15.95" customHeight="1" x14ac:dyDescent="0.25">
      <c r="A50" s="3" t="s">
        <v>25</v>
      </c>
      <c r="B50" s="713" t="s">
        <v>71</v>
      </c>
      <c r="C50" s="713"/>
      <c r="D50" s="55">
        <f>SUM(D51:D52)</f>
        <v>0</v>
      </c>
      <c r="E50" s="14">
        <f>SUM(E51:E52)</f>
        <v>0</v>
      </c>
      <c r="F50" s="6">
        <f t="shared" si="5"/>
        <v>0</v>
      </c>
      <c r="G50" s="7"/>
      <c r="H50" s="55">
        <f>SUM(H51:H52)</f>
        <v>0</v>
      </c>
      <c r="I50" s="14">
        <f>SUM(I51:I52)</f>
        <v>0</v>
      </c>
      <c r="J50" s="6">
        <f t="shared" ref="J50:J52" si="7">SUM(H50:H50)</f>
        <v>0</v>
      </c>
      <c r="K50" s="7"/>
    </row>
    <row r="51" spans="1:11" ht="15.95" customHeight="1" x14ac:dyDescent="0.25">
      <c r="A51" s="3"/>
      <c r="B51" s="25" t="s">
        <v>72</v>
      </c>
      <c r="C51" s="140" t="s">
        <v>73</v>
      </c>
      <c r="D51" s="55"/>
      <c r="E51" s="14"/>
      <c r="F51" s="6">
        <f t="shared" si="5"/>
        <v>0</v>
      </c>
      <c r="G51" s="7"/>
      <c r="H51" s="55"/>
      <c r="I51" s="14"/>
      <c r="J51" s="6">
        <f t="shared" si="7"/>
        <v>0</v>
      </c>
      <c r="K51" s="7"/>
    </row>
    <row r="52" spans="1:11" ht="15.95" customHeight="1" x14ac:dyDescent="0.25">
      <c r="A52" s="3"/>
      <c r="B52" s="25" t="s">
        <v>74</v>
      </c>
      <c r="C52" s="140" t="s">
        <v>75</v>
      </c>
      <c r="D52" s="55">
        <v>0</v>
      </c>
      <c r="E52" s="14"/>
      <c r="F52" s="6">
        <f t="shared" si="5"/>
        <v>0</v>
      </c>
      <c r="G52" s="7"/>
      <c r="H52" s="55">
        <v>0</v>
      </c>
      <c r="I52" s="14"/>
      <c r="J52" s="6">
        <f t="shared" si="7"/>
        <v>0</v>
      </c>
      <c r="K52" s="7"/>
    </row>
    <row r="53" spans="1:11" ht="15.95" customHeight="1" x14ac:dyDescent="0.25">
      <c r="A53" s="3" t="s">
        <v>27</v>
      </c>
      <c r="B53" s="713" t="s">
        <v>76</v>
      </c>
      <c r="C53" s="713"/>
      <c r="D53" s="55">
        <f>SUM(D54:D56)</f>
        <v>0</v>
      </c>
      <c r="E53" s="14">
        <f>SUM(E54:E56)</f>
        <v>0</v>
      </c>
      <c r="F53" s="6">
        <f>SUM(F54:F56)</f>
        <v>0</v>
      </c>
      <c r="G53" s="7"/>
      <c r="H53" s="55">
        <f>SUM(H54:H56)</f>
        <v>0</v>
      </c>
      <c r="I53" s="14">
        <f>SUM(I54:I56)</f>
        <v>0</v>
      </c>
      <c r="J53" s="6">
        <f>SUM(J54:J56)</f>
        <v>0</v>
      </c>
      <c r="K53" s="7"/>
    </row>
    <row r="54" spans="1:11" ht="15.95" customHeight="1" x14ac:dyDescent="0.25">
      <c r="A54" s="3"/>
      <c r="B54" s="25" t="s">
        <v>77</v>
      </c>
      <c r="C54" s="140" t="s">
        <v>78</v>
      </c>
      <c r="D54" s="55"/>
      <c r="E54" s="14"/>
      <c r="F54" s="6"/>
      <c r="G54" s="7"/>
      <c r="H54" s="55"/>
      <c r="I54" s="14"/>
      <c r="J54" s="6"/>
      <c r="K54" s="7"/>
    </row>
    <row r="55" spans="1:11" ht="15.95" customHeight="1" x14ac:dyDescent="0.25">
      <c r="A55" s="3"/>
      <c r="B55" s="25" t="s">
        <v>79</v>
      </c>
      <c r="C55" s="140" t="s">
        <v>80</v>
      </c>
      <c r="D55" s="55"/>
      <c r="E55" s="14"/>
      <c r="F55" s="6">
        <f t="shared" si="5"/>
        <v>0</v>
      </c>
      <c r="G55" s="7"/>
      <c r="H55" s="55"/>
      <c r="I55" s="14"/>
      <c r="J55" s="6">
        <f t="shared" ref="J55:J56" si="8">SUM(H55:H55)</f>
        <v>0</v>
      </c>
      <c r="K55" s="7"/>
    </row>
    <row r="56" spans="1:11" ht="15.95" customHeight="1" x14ac:dyDescent="0.25">
      <c r="A56" s="3"/>
      <c r="B56" s="25" t="s">
        <v>81</v>
      </c>
      <c r="C56" s="140" t="s">
        <v>82</v>
      </c>
      <c r="D56" s="55"/>
      <c r="E56" s="14"/>
      <c r="F56" s="6">
        <f t="shared" si="5"/>
        <v>0</v>
      </c>
      <c r="G56" s="7"/>
      <c r="H56" s="55"/>
      <c r="I56" s="14"/>
      <c r="J56" s="6">
        <f t="shared" si="8"/>
        <v>0</v>
      </c>
      <c r="K56" s="7"/>
    </row>
    <row r="57" spans="1:11" s="83" customFormat="1" ht="15.95" customHeight="1" x14ac:dyDescent="0.25">
      <c r="A57" s="12" t="s">
        <v>31</v>
      </c>
      <c r="B57" s="711" t="s">
        <v>83</v>
      </c>
      <c r="C57" s="711"/>
      <c r="D57" s="59">
        <f t="shared" ref="D57:K57" si="9">+D47+D50+D53</f>
        <v>0</v>
      </c>
      <c r="E57" s="59">
        <f t="shared" si="9"/>
        <v>0</v>
      </c>
      <c r="F57" s="59">
        <f t="shared" si="9"/>
        <v>0</v>
      </c>
      <c r="G57" s="59">
        <f t="shared" si="9"/>
        <v>0</v>
      </c>
      <c r="H57" s="59">
        <f t="shared" si="9"/>
        <v>0</v>
      </c>
      <c r="I57" s="59">
        <f t="shared" si="9"/>
        <v>0</v>
      </c>
      <c r="J57" s="59">
        <f t="shared" si="9"/>
        <v>0</v>
      </c>
      <c r="K57" s="59">
        <f t="shared" si="9"/>
        <v>0</v>
      </c>
    </row>
    <row r="58" spans="1:11" s="83" customFormat="1" ht="15.95" customHeight="1" x14ac:dyDescent="0.25">
      <c r="A58" s="12" t="s">
        <v>33</v>
      </c>
      <c r="B58" s="711" t="s">
        <v>84</v>
      </c>
      <c r="C58" s="711"/>
      <c r="D58" s="59"/>
      <c r="E58" s="16"/>
      <c r="F58" s="65"/>
      <c r="G58" s="66"/>
      <c r="H58" s="59"/>
      <c r="I58" s="16"/>
      <c r="J58" s="65"/>
      <c r="K58" s="66"/>
    </row>
    <row r="59" spans="1:11" s="83" customFormat="1" ht="15.95" customHeight="1" x14ac:dyDescent="0.25">
      <c r="A59" s="12" t="s">
        <v>34</v>
      </c>
      <c r="B59" s="711" t="s">
        <v>85</v>
      </c>
      <c r="C59" s="711"/>
      <c r="D59" s="59"/>
      <c r="E59" s="16"/>
      <c r="F59" s="65"/>
      <c r="G59" s="66"/>
      <c r="H59" s="59"/>
      <c r="I59" s="16"/>
      <c r="J59" s="65"/>
      <c r="K59" s="66"/>
    </row>
    <row r="60" spans="1:11" s="85" customFormat="1" ht="15.95" customHeight="1" x14ac:dyDescent="0.3">
      <c r="A60" s="18" t="s">
        <v>86</v>
      </c>
      <c r="B60" s="710" t="s">
        <v>87</v>
      </c>
      <c r="C60" s="710"/>
      <c r="D60" s="61">
        <f t="shared" ref="D60:K60" si="10">+D46+D57+D58+D59</f>
        <v>0</v>
      </c>
      <c r="E60" s="61">
        <f t="shared" si="10"/>
        <v>0</v>
      </c>
      <c r="F60" s="61">
        <f t="shared" si="10"/>
        <v>0</v>
      </c>
      <c r="G60" s="61">
        <f t="shared" si="10"/>
        <v>0</v>
      </c>
      <c r="H60" s="61">
        <f t="shared" si="10"/>
        <v>2708</v>
      </c>
      <c r="I60" s="61">
        <f t="shared" si="10"/>
        <v>2708</v>
      </c>
      <c r="J60" s="61">
        <f t="shared" si="10"/>
        <v>0</v>
      </c>
      <c r="K60" s="61">
        <f t="shared" si="10"/>
        <v>0</v>
      </c>
    </row>
    <row r="61" spans="1:11" s="85" customFormat="1" ht="15.95" customHeight="1" x14ac:dyDescent="0.3">
      <c r="A61" s="18"/>
      <c r="B61" s="710" t="s">
        <v>88</v>
      </c>
      <c r="C61" s="710"/>
      <c r="D61" s="61">
        <f t="shared" ref="D61:K61" si="11">+D29-D60</f>
        <v>45462</v>
      </c>
      <c r="E61" s="61">
        <f t="shared" si="11"/>
        <v>45462</v>
      </c>
      <c r="F61" s="61">
        <f t="shared" si="11"/>
        <v>0</v>
      </c>
      <c r="G61" s="61">
        <f t="shared" si="11"/>
        <v>0</v>
      </c>
      <c r="H61" s="61">
        <f t="shared" si="11"/>
        <v>46781</v>
      </c>
      <c r="I61" s="61">
        <f t="shared" si="11"/>
        <v>46781</v>
      </c>
      <c r="J61" s="61">
        <f t="shared" si="11"/>
        <v>0</v>
      </c>
      <c r="K61" s="61">
        <f t="shared" si="11"/>
        <v>0</v>
      </c>
    </row>
    <row r="62" spans="1:11" s="85" customFormat="1" ht="15.95" customHeight="1" x14ac:dyDescent="0.3">
      <c r="A62" s="18"/>
      <c r="B62" s="711" t="s">
        <v>89</v>
      </c>
      <c r="C62" s="711"/>
      <c r="D62" s="61">
        <v>45193</v>
      </c>
      <c r="E62" s="61">
        <v>45193</v>
      </c>
      <c r="F62" s="62"/>
      <c r="G62" s="61"/>
      <c r="H62" s="61">
        <v>46512</v>
      </c>
      <c r="I62" s="61">
        <v>46512</v>
      </c>
      <c r="J62" s="62"/>
      <c r="K62" s="61"/>
    </row>
    <row r="63" spans="1:11" ht="15.95" customHeight="1" x14ac:dyDescent="0.25">
      <c r="A63" s="12" t="s">
        <v>35</v>
      </c>
      <c r="B63" s="711" t="s">
        <v>90</v>
      </c>
      <c r="C63" s="711"/>
      <c r="D63" s="55">
        <f>D64+D65</f>
        <v>269</v>
      </c>
      <c r="E63" s="55">
        <f>E64+E65</f>
        <v>269</v>
      </c>
      <c r="F63" s="6"/>
      <c r="G63" s="7"/>
      <c r="H63" s="55">
        <f>H64+H65</f>
        <v>269</v>
      </c>
      <c r="I63" s="55">
        <f>I64+I65</f>
        <v>269</v>
      </c>
      <c r="J63" s="6"/>
      <c r="K63" s="7"/>
    </row>
    <row r="64" spans="1:11" s="85" customFormat="1" ht="15.95" customHeight="1" x14ac:dyDescent="0.3">
      <c r="A64" s="18"/>
      <c r="B64" s="29" t="s">
        <v>38</v>
      </c>
      <c r="C64" s="140" t="s">
        <v>91</v>
      </c>
      <c r="D64" s="55">
        <v>269</v>
      </c>
      <c r="E64" s="14">
        <v>269</v>
      </c>
      <c r="F64" s="36"/>
      <c r="G64" s="33"/>
      <c r="H64" s="55">
        <v>269</v>
      </c>
      <c r="I64" s="14">
        <v>269</v>
      </c>
      <c r="J64" s="36"/>
      <c r="K64" s="33"/>
    </row>
    <row r="65" spans="1:11" s="85" customFormat="1" ht="15.95" customHeight="1" x14ac:dyDescent="0.3">
      <c r="A65" s="18"/>
      <c r="B65" s="29" t="s">
        <v>40</v>
      </c>
      <c r="C65" s="140" t="s">
        <v>92</v>
      </c>
      <c r="D65" s="67"/>
      <c r="E65" s="31"/>
      <c r="F65" s="6"/>
      <c r="G65" s="33"/>
      <c r="H65" s="67"/>
      <c r="I65" s="31"/>
      <c r="J65" s="6"/>
      <c r="K65" s="33"/>
    </row>
    <row r="66" spans="1:11" s="85" customFormat="1" ht="39.75" customHeight="1" x14ac:dyDescent="0.3">
      <c r="A66" s="18" t="s">
        <v>93</v>
      </c>
      <c r="B66" s="712" t="s">
        <v>94</v>
      </c>
      <c r="C66" s="712"/>
      <c r="D66" s="61">
        <f>D63</f>
        <v>269</v>
      </c>
      <c r="E66" s="61">
        <f>E63</f>
        <v>269</v>
      </c>
      <c r="F66" s="61">
        <f>+F63</f>
        <v>0</v>
      </c>
      <c r="G66" s="33"/>
      <c r="H66" s="61">
        <f>H63</f>
        <v>269</v>
      </c>
      <c r="I66" s="61">
        <f>I63</f>
        <v>269</v>
      </c>
      <c r="J66" s="61">
        <f>+J63</f>
        <v>0</v>
      </c>
      <c r="K66" s="33"/>
    </row>
    <row r="67" spans="1:11" s="85" customFormat="1" ht="15.95" customHeight="1" x14ac:dyDescent="0.3">
      <c r="A67" s="3" t="s">
        <v>95</v>
      </c>
      <c r="B67" s="713" t="s">
        <v>96</v>
      </c>
      <c r="C67" s="713"/>
      <c r="D67" s="61"/>
      <c r="E67" s="31"/>
      <c r="F67" s="32">
        <f t="shared" ref="F67:F80" si="12">SUM(D67:E67)</f>
        <v>0</v>
      </c>
      <c r="G67" s="33"/>
      <c r="H67" s="61"/>
      <c r="I67" s="31"/>
      <c r="J67" s="32">
        <f t="shared" ref="J67:J70" si="13">SUM(H67:I67)</f>
        <v>0</v>
      </c>
      <c r="K67" s="33"/>
    </row>
    <row r="68" spans="1:11" s="85" customFormat="1" ht="15.95" customHeight="1" x14ac:dyDescent="0.3">
      <c r="A68" s="3" t="s">
        <v>97</v>
      </c>
      <c r="B68" s="713" t="s">
        <v>98</v>
      </c>
      <c r="C68" s="713"/>
      <c r="D68" s="61">
        <f>SUM(D69:D72)</f>
        <v>0</v>
      </c>
      <c r="E68" s="31"/>
      <c r="F68" s="32">
        <f t="shared" si="12"/>
        <v>0</v>
      </c>
      <c r="G68" s="33"/>
      <c r="H68" s="61">
        <f>SUM(H69:H72)</f>
        <v>0</v>
      </c>
      <c r="I68" s="31"/>
      <c r="J68" s="32">
        <f t="shared" si="13"/>
        <v>0</v>
      </c>
      <c r="K68" s="33"/>
    </row>
    <row r="69" spans="1:11" s="85" customFormat="1" ht="15.95" customHeight="1" x14ac:dyDescent="0.3">
      <c r="A69" s="3"/>
      <c r="B69" s="25" t="s">
        <v>38</v>
      </c>
      <c r="C69" s="140" t="s">
        <v>164</v>
      </c>
      <c r="D69" s="67"/>
      <c r="E69" s="35"/>
      <c r="F69" s="36">
        <f t="shared" si="12"/>
        <v>0</v>
      </c>
      <c r="G69" s="33"/>
      <c r="H69" s="67"/>
      <c r="I69" s="35"/>
      <c r="J69" s="36">
        <f t="shared" si="13"/>
        <v>0</v>
      </c>
      <c r="K69" s="33"/>
    </row>
    <row r="70" spans="1:11" s="85" customFormat="1" ht="15.95" customHeight="1" x14ac:dyDescent="0.3">
      <c r="A70" s="3"/>
      <c r="B70" s="25" t="s">
        <v>40</v>
      </c>
      <c r="C70" s="140" t="s">
        <v>99</v>
      </c>
      <c r="D70" s="61"/>
      <c r="E70" s="31"/>
      <c r="F70" s="32">
        <f t="shared" si="12"/>
        <v>0</v>
      </c>
      <c r="G70" s="33"/>
      <c r="H70" s="61"/>
      <c r="I70" s="31"/>
      <c r="J70" s="32">
        <f t="shared" si="13"/>
        <v>0</v>
      </c>
      <c r="K70" s="33"/>
    </row>
    <row r="71" spans="1:11" s="85" customFormat="1" ht="15.95" customHeight="1" x14ac:dyDescent="0.3">
      <c r="A71" s="3"/>
      <c r="B71" s="25" t="s">
        <v>48</v>
      </c>
      <c r="C71" s="140" t="s">
        <v>100</v>
      </c>
      <c r="D71" s="67"/>
      <c r="E71" s="31"/>
      <c r="F71" s="32"/>
      <c r="G71" s="33"/>
      <c r="H71" s="67"/>
      <c r="I71" s="31"/>
      <c r="J71" s="32"/>
      <c r="K71" s="33"/>
    </row>
    <row r="72" spans="1:11" s="85" customFormat="1" ht="15.95" customHeight="1" x14ac:dyDescent="0.3">
      <c r="A72" s="3"/>
      <c r="B72" s="25" t="s">
        <v>13</v>
      </c>
      <c r="C72" s="140" t="s">
        <v>101</v>
      </c>
      <c r="D72" s="67"/>
      <c r="E72" s="31"/>
      <c r="F72" s="32"/>
      <c r="G72" s="33"/>
      <c r="H72" s="67"/>
      <c r="I72" s="31"/>
      <c r="J72" s="32"/>
      <c r="K72" s="33"/>
    </row>
    <row r="73" spans="1:11" s="85" customFormat="1" ht="33" customHeight="1" x14ac:dyDescent="0.3">
      <c r="A73" s="18" t="s">
        <v>102</v>
      </c>
      <c r="B73" s="714" t="s">
        <v>103</v>
      </c>
      <c r="C73" s="714"/>
      <c r="D73" s="61">
        <f>+D67+D68</f>
        <v>0</v>
      </c>
      <c r="E73" s="31"/>
      <c r="F73" s="32">
        <f t="shared" si="12"/>
        <v>0</v>
      </c>
      <c r="G73" s="33"/>
      <c r="H73" s="61">
        <f>+H67+H68</f>
        <v>0</v>
      </c>
      <c r="I73" s="31"/>
      <c r="J73" s="32">
        <f t="shared" ref="J73" si="14">SUM(H73:I73)</f>
        <v>0</v>
      </c>
      <c r="K73" s="33"/>
    </row>
    <row r="74" spans="1:11" s="85" customFormat="1" ht="15.95" customHeight="1" x14ac:dyDescent="0.3">
      <c r="A74" s="18" t="s">
        <v>104</v>
      </c>
      <c r="B74" s="710" t="s">
        <v>105</v>
      </c>
      <c r="C74" s="710"/>
      <c r="D74" s="61">
        <f>+D66+D73</f>
        <v>269</v>
      </c>
      <c r="E74" s="31">
        <f>+E66+E73</f>
        <v>269</v>
      </c>
      <c r="F74" s="31">
        <f>+F66+F73</f>
        <v>0</v>
      </c>
      <c r="G74" s="33"/>
      <c r="H74" s="61">
        <f>+H66+H73</f>
        <v>269</v>
      </c>
      <c r="I74" s="31">
        <f>+I66+I73</f>
        <v>269</v>
      </c>
      <c r="J74" s="31">
        <f>+J66+J73</f>
        <v>0</v>
      </c>
      <c r="K74" s="33"/>
    </row>
    <row r="75" spans="1:11" s="85" customFormat="1" ht="15.95" customHeight="1" x14ac:dyDescent="0.3">
      <c r="A75" s="3" t="s">
        <v>106</v>
      </c>
      <c r="B75" s="713" t="s">
        <v>165</v>
      </c>
      <c r="C75" s="713"/>
      <c r="D75" s="61"/>
      <c r="E75" s="31"/>
      <c r="F75" s="32">
        <f t="shared" si="12"/>
        <v>0</v>
      </c>
      <c r="G75" s="33"/>
      <c r="H75" s="61"/>
      <c r="I75" s="31"/>
      <c r="J75" s="32">
        <f t="shared" ref="J75:J80" si="15">SUM(H75:I75)</f>
        <v>0</v>
      </c>
      <c r="K75" s="33"/>
    </row>
    <row r="76" spans="1:11" s="85" customFormat="1" ht="15.95" customHeight="1" x14ac:dyDescent="0.3">
      <c r="A76" s="3" t="s">
        <v>108</v>
      </c>
      <c r="B76" s="713" t="s">
        <v>109</v>
      </c>
      <c r="C76" s="713"/>
      <c r="D76" s="67">
        <f>SUM(D77:D79)</f>
        <v>0</v>
      </c>
      <c r="E76" s="35">
        <v>0</v>
      </c>
      <c r="F76" s="36">
        <f t="shared" si="12"/>
        <v>0</v>
      </c>
      <c r="G76" s="33"/>
      <c r="H76" s="67">
        <f>SUM(H77:H79)</f>
        <v>0</v>
      </c>
      <c r="I76" s="35">
        <v>0</v>
      </c>
      <c r="J76" s="36">
        <f t="shared" si="15"/>
        <v>0</v>
      </c>
      <c r="K76" s="33"/>
    </row>
    <row r="77" spans="1:11" s="85" customFormat="1" ht="15.95" customHeight="1" x14ac:dyDescent="0.3">
      <c r="A77" s="3"/>
      <c r="B77" s="25" t="s">
        <v>38</v>
      </c>
      <c r="C77" s="140" t="s">
        <v>166</v>
      </c>
      <c r="D77" s="67"/>
      <c r="E77" s="35"/>
      <c r="F77" s="36">
        <f t="shared" si="12"/>
        <v>0</v>
      </c>
      <c r="G77" s="33"/>
      <c r="H77" s="67"/>
      <c r="I77" s="35"/>
      <c r="J77" s="36">
        <f t="shared" si="15"/>
        <v>0</v>
      </c>
      <c r="K77" s="33"/>
    </row>
    <row r="78" spans="1:11" s="85" customFormat="1" ht="15.95" customHeight="1" x14ac:dyDescent="0.3">
      <c r="A78" s="3"/>
      <c r="B78" s="25" t="s">
        <v>40</v>
      </c>
      <c r="C78" s="140" t="s">
        <v>167</v>
      </c>
      <c r="D78" s="67"/>
      <c r="E78" s="35"/>
      <c r="F78" s="36">
        <f t="shared" si="12"/>
        <v>0</v>
      </c>
      <c r="G78" s="33"/>
      <c r="H78" s="67"/>
      <c r="I78" s="35"/>
      <c r="J78" s="36">
        <f t="shared" si="15"/>
        <v>0</v>
      </c>
      <c r="K78" s="33"/>
    </row>
    <row r="79" spans="1:11" s="85" customFormat="1" ht="15.95" customHeight="1" x14ac:dyDescent="0.3">
      <c r="A79" s="3"/>
      <c r="B79" s="25" t="s">
        <v>48</v>
      </c>
      <c r="C79" s="140" t="s">
        <v>110</v>
      </c>
      <c r="D79" s="67"/>
      <c r="E79" s="35"/>
      <c r="F79" s="36">
        <f t="shared" si="12"/>
        <v>0</v>
      </c>
      <c r="G79" s="33"/>
      <c r="H79" s="67"/>
      <c r="I79" s="35"/>
      <c r="J79" s="36">
        <f t="shared" si="15"/>
        <v>0</v>
      </c>
      <c r="K79" s="33"/>
    </row>
    <row r="80" spans="1:11" s="85" customFormat="1" ht="15.95" customHeight="1" x14ac:dyDescent="0.3">
      <c r="A80" s="18" t="s">
        <v>112</v>
      </c>
      <c r="B80" s="710" t="s">
        <v>168</v>
      </c>
      <c r="C80" s="710"/>
      <c r="D80" s="61">
        <f>+D75+D76</f>
        <v>0</v>
      </c>
      <c r="E80" s="31">
        <f>+E75+E76</f>
        <v>0</v>
      </c>
      <c r="F80" s="32">
        <f t="shared" si="12"/>
        <v>0</v>
      </c>
      <c r="G80" s="33"/>
      <c r="H80" s="61">
        <f>+H75+H76</f>
        <v>0</v>
      </c>
      <c r="I80" s="31">
        <f>+I75+I76</f>
        <v>0</v>
      </c>
      <c r="J80" s="32">
        <f t="shared" si="15"/>
        <v>0</v>
      </c>
      <c r="K80" s="33"/>
    </row>
    <row r="81" spans="1:11" s="85" customFormat="1" ht="15.95" customHeight="1" x14ac:dyDescent="0.3">
      <c r="A81" s="18" t="s">
        <v>113</v>
      </c>
      <c r="B81" s="710" t="s">
        <v>114</v>
      </c>
      <c r="C81" s="710"/>
      <c r="D81" s="68">
        <f t="shared" ref="D81:K81" si="16">+D29+D80</f>
        <v>45462</v>
      </c>
      <c r="E81" s="68">
        <f t="shared" si="16"/>
        <v>45462</v>
      </c>
      <c r="F81" s="68">
        <f t="shared" si="16"/>
        <v>0</v>
      </c>
      <c r="G81" s="68">
        <f t="shared" si="16"/>
        <v>0</v>
      </c>
      <c r="H81" s="68">
        <f t="shared" si="16"/>
        <v>49489</v>
      </c>
      <c r="I81" s="68">
        <f t="shared" si="16"/>
        <v>49489</v>
      </c>
      <c r="J81" s="68">
        <f t="shared" si="16"/>
        <v>0</v>
      </c>
      <c r="K81" s="68">
        <f t="shared" si="16"/>
        <v>0</v>
      </c>
    </row>
    <row r="82" spans="1:11" s="85" customFormat="1" ht="15.95" customHeight="1" thickBot="1" x14ac:dyDescent="0.35">
      <c r="A82" s="69" t="s">
        <v>115</v>
      </c>
      <c r="B82" s="70" t="s">
        <v>116</v>
      </c>
      <c r="C82" s="70"/>
      <c r="D82" s="68">
        <f>+D30+D81</f>
        <v>45462</v>
      </c>
      <c r="E82" s="68">
        <f>+E30+E81</f>
        <v>45462</v>
      </c>
      <c r="F82" s="71">
        <f>+F60+F74</f>
        <v>0</v>
      </c>
      <c r="G82" s="71">
        <f>+G60+G74</f>
        <v>0</v>
      </c>
      <c r="H82" s="68">
        <f>+H30+H81</f>
        <v>49489</v>
      </c>
      <c r="I82" s="68">
        <f>+I30+I81</f>
        <v>49489</v>
      </c>
      <c r="J82" s="71">
        <f>+J60+J74</f>
        <v>0</v>
      </c>
      <c r="K82" s="71">
        <f>+K60+K74</f>
        <v>0</v>
      </c>
    </row>
    <row r="83" spans="1:11" ht="20.100000000000001" customHeight="1" x14ac:dyDescent="0.25">
      <c r="B83" s="37"/>
      <c r="C83" s="37"/>
      <c r="D83" s="38"/>
      <c r="E83" s="38"/>
      <c r="F83" s="38"/>
    </row>
    <row r="84" spans="1:11" ht="20.100000000000001" customHeight="1" x14ac:dyDescent="0.25">
      <c r="B84" s="37"/>
      <c r="C84" s="37"/>
      <c r="D84" s="39">
        <f>+D82-D81</f>
        <v>0</v>
      </c>
      <c r="E84" s="39">
        <f>+E82-E81</f>
        <v>0</v>
      </c>
      <c r="F84" s="39">
        <f>+F81-F82</f>
        <v>0</v>
      </c>
      <c r="G84" s="39">
        <f>+G82-G81</f>
        <v>0</v>
      </c>
      <c r="H84" s="143">
        <f>SUM(E84:G84)</f>
        <v>0</v>
      </c>
    </row>
    <row r="85" spans="1:11" ht="20.100000000000001" customHeight="1" x14ac:dyDescent="0.25">
      <c r="B85" s="37"/>
      <c r="C85" s="37"/>
      <c r="D85" s="38"/>
      <c r="E85" s="38"/>
      <c r="F85" s="38"/>
    </row>
    <row r="86" spans="1:11" ht="20.100000000000001" customHeight="1" x14ac:dyDescent="0.25">
      <c r="B86" s="37"/>
      <c r="C86" s="37"/>
      <c r="D86" s="38"/>
      <c r="E86" s="38"/>
      <c r="F86" s="38"/>
    </row>
    <row r="87" spans="1:11" ht="20.100000000000001" customHeight="1" x14ac:dyDescent="0.25">
      <c r="B87" s="37"/>
      <c r="C87" s="37"/>
      <c r="D87" s="38"/>
      <c r="E87" s="38"/>
      <c r="F87" s="38"/>
    </row>
    <row r="88" spans="1:11" ht="20.100000000000001" customHeight="1" x14ac:dyDescent="0.25">
      <c r="B88" s="37"/>
      <c r="C88" s="37"/>
      <c r="D88" s="38"/>
      <c r="E88" s="38"/>
      <c r="F88" s="38"/>
    </row>
    <row r="89" spans="1:11" ht="20.100000000000001" customHeight="1" x14ac:dyDescent="0.25">
      <c r="B89" s="37"/>
      <c r="C89" s="37"/>
      <c r="D89" s="38"/>
      <c r="E89" s="38"/>
      <c r="F89" s="38"/>
    </row>
    <row r="90" spans="1:11" ht="20.100000000000001" customHeight="1" x14ac:dyDescent="0.25">
      <c r="B90" s="37"/>
      <c r="C90" s="37"/>
      <c r="D90" s="38"/>
      <c r="E90" s="38"/>
      <c r="F90" s="38"/>
    </row>
    <row r="91" spans="1:11" ht="20.100000000000001" customHeight="1" x14ac:dyDescent="0.25">
      <c r="B91" s="37"/>
      <c r="C91" s="37"/>
      <c r="D91" s="38"/>
      <c r="E91" s="38"/>
      <c r="F91" s="38"/>
    </row>
    <row r="92" spans="1:11" ht="20.100000000000001" customHeight="1" x14ac:dyDescent="0.25">
      <c r="B92" s="37"/>
      <c r="C92" s="37"/>
      <c r="D92" s="38"/>
      <c r="E92" s="38"/>
      <c r="F92" s="38"/>
    </row>
    <row r="93" spans="1:11" ht="20.100000000000001" customHeight="1" x14ac:dyDescent="0.25">
      <c r="B93" s="37"/>
      <c r="C93" s="37"/>
      <c r="D93" s="38"/>
      <c r="E93" s="38"/>
      <c r="F93" s="38"/>
    </row>
    <row r="94" spans="1:11" ht="20.100000000000001" customHeight="1" x14ac:dyDescent="0.25">
      <c r="B94" s="37"/>
      <c r="C94" s="37"/>
      <c r="D94" s="38"/>
      <c r="E94" s="38"/>
      <c r="F94" s="38"/>
    </row>
    <row r="95" spans="1:11" ht="20.100000000000001" customHeight="1" x14ac:dyDescent="0.25">
      <c r="B95" s="37"/>
      <c r="C95" s="37"/>
      <c r="D95" s="38"/>
      <c r="E95" s="38"/>
      <c r="F95" s="38"/>
    </row>
    <row r="96" spans="1:11" ht="20.100000000000001" customHeight="1" x14ac:dyDescent="0.25">
      <c r="B96" s="37"/>
      <c r="C96" s="37"/>
      <c r="D96" s="38"/>
      <c r="E96" s="38"/>
      <c r="F96" s="38"/>
    </row>
    <row r="97" spans="2:6" x14ac:dyDescent="0.25">
      <c r="B97" s="37"/>
      <c r="C97" s="37"/>
      <c r="D97" s="38"/>
      <c r="E97" s="38"/>
      <c r="F97" s="38"/>
    </row>
    <row r="98" spans="2:6" x14ac:dyDescent="0.25">
      <c r="B98" s="37"/>
      <c r="C98" s="37"/>
      <c r="D98" s="38"/>
      <c r="E98" s="38"/>
      <c r="F98" s="38"/>
    </row>
    <row r="99" spans="2:6" x14ac:dyDescent="0.25">
      <c r="B99" s="37"/>
      <c r="C99" s="37"/>
      <c r="D99" s="38"/>
      <c r="E99" s="38"/>
      <c r="F99" s="38"/>
    </row>
    <row r="100" spans="2:6" x14ac:dyDescent="0.25">
      <c r="B100" s="37"/>
      <c r="C100" s="37"/>
      <c r="D100" s="38"/>
      <c r="E100" s="38"/>
      <c r="F100" s="38"/>
    </row>
    <row r="101" spans="2:6" x14ac:dyDescent="0.25">
      <c r="B101" s="37"/>
      <c r="C101" s="37"/>
      <c r="D101" s="38"/>
      <c r="E101" s="38"/>
      <c r="F101" s="38"/>
    </row>
    <row r="102" spans="2:6" x14ac:dyDescent="0.25">
      <c r="B102" s="37"/>
      <c r="C102" s="37"/>
      <c r="D102" s="38"/>
      <c r="E102" s="38"/>
      <c r="F102" s="38"/>
    </row>
    <row r="103" spans="2:6" x14ac:dyDescent="0.25">
      <c r="B103" s="37"/>
      <c r="C103" s="37"/>
      <c r="D103" s="38"/>
      <c r="E103" s="38"/>
      <c r="F103" s="38"/>
    </row>
    <row r="104" spans="2:6" x14ac:dyDescent="0.25">
      <c r="B104" s="37"/>
      <c r="C104" s="37"/>
      <c r="D104" s="38"/>
      <c r="E104" s="38"/>
      <c r="F104" s="38"/>
    </row>
  </sheetData>
  <mergeCells count="63">
    <mergeCell ref="A6:A8"/>
    <mergeCell ref="B6:C8"/>
    <mergeCell ref="D6:D7"/>
    <mergeCell ref="E6:E7"/>
    <mergeCell ref="F6:F7"/>
    <mergeCell ref="B13:C13"/>
    <mergeCell ref="B14:C14"/>
    <mergeCell ref="B15:C15"/>
    <mergeCell ref="J6:J7"/>
    <mergeCell ref="K6:K7"/>
    <mergeCell ref="H8:J8"/>
    <mergeCell ref="H6:H7"/>
    <mergeCell ref="I6:I7"/>
    <mergeCell ref="G6:G7"/>
    <mergeCell ref="D8:F8"/>
    <mergeCell ref="B9:C9"/>
    <mergeCell ref="B10:C10"/>
    <mergeCell ref="B11:C11"/>
    <mergeCell ref="B12:C12"/>
    <mergeCell ref="A1:F1"/>
    <mergeCell ref="A2:F2"/>
    <mergeCell ref="A3:F3"/>
    <mergeCell ref="A4:F4"/>
    <mergeCell ref="A5:F5"/>
    <mergeCell ref="B16:C16"/>
    <mergeCell ref="B17:C17"/>
    <mergeCell ref="B22:C22"/>
    <mergeCell ref="B23:C23"/>
    <mergeCell ref="B24:C24"/>
    <mergeCell ref="B19:C19"/>
    <mergeCell ref="B20:C20"/>
    <mergeCell ref="B18:C18"/>
    <mergeCell ref="B25:C25"/>
    <mergeCell ref="B26:C26"/>
    <mergeCell ref="B27:C27"/>
    <mergeCell ref="B28:C28"/>
    <mergeCell ref="B29:C29"/>
    <mergeCell ref="B30:C30"/>
    <mergeCell ref="B47:C47"/>
    <mergeCell ref="B32:C32"/>
    <mergeCell ref="B33:C33"/>
    <mergeCell ref="B37:C37"/>
    <mergeCell ref="B46:C46"/>
    <mergeCell ref="B41:C41"/>
    <mergeCell ref="B31:C31"/>
    <mergeCell ref="B50:C50"/>
    <mergeCell ref="B53:C53"/>
    <mergeCell ref="B60:C60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K67"/>
  <sheetViews>
    <sheetView topLeftCell="A49" workbookViewId="0">
      <selection activeCell="K14" sqref="K14"/>
    </sheetView>
  </sheetViews>
  <sheetFormatPr defaultRowHeight="15" x14ac:dyDescent="0.25"/>
  <cols>
    <col min="5" max="5" width="21.28515625" customWidth="1"/>
    <col min="6" max="6" width="14.42578125" style="72" customWidth="1"/>
    <col min="7" max="7" width="10.42578125" style="72" bestFit="1" customWidth="1"/>
    <col min="8" max="8" width="14" customWidth="1"/>
    <col min="9" max="9" width="14" bestFit="1" customWidth="1"/>
    <col min="10" max="10" width="10.42578125" bestFit="1" customWidth="1"/>
    <col min="11" max="11" width="16.140625" bestFit="1" customWidth="1"/>
    <col min="257" max="257" width="13" customWidth="1"/>
    <col min="258" max="258" width="14.42578125" customWidth="1"/>
    <col min="259" max="259" width="10.42578125" bestFit="1" customWidth="1"/>
    <col min="260" max="260" width="15.85546875" bestFit="1" customWidth="1"/>
    <col min="261" max="261" width="13.7109375" bestFit="1" customWidth="1"/>
    <col min="513" max="513" width="13" customWidth="1"/>
    <col min="514" max="514" width="14.42578125" customWidth="1"/>
    <col min="515" max="515" width="10.42578125" bestFit="1" customWidth="1"/>
    <col min="516" max="516" width="15.85546875" bestFit="1" customWidth="1"/>
    <col min="517" max="517" width="13.7109375" bestFit="1" customWidth="1"/>
    <col min="769" max="769" width="13" customWidth="1"/>
    <col min="770" max="770" width="14.42578125" customWidth="1"/>
    <col min="771" max="771" width="10.42578125" bestFit="1" customWidth="1"/>
    <col min="772" max="772" width="15.85546875" bestFit="1" customWidth="1"/>
    <col min="773" max="773" width="13.7109375" bestFit="1" customWidth="1"/>
    <col min="1025" max="1025" width="13" customWidth="1"/>
    <col min="1026" max="1026" width="14.42578125" customWidth="1"/>
    <col min="1027" max="1027" width="10.42578125" bestFit="1" customWidth="1"/>
    <col min="1028" max="1028" width="15.85546875" bestFit="1" customWidth="1"/>
    <col min="1029" max="1029" width="13.7109375" bestFit="1" customWidth="1"/>
    <col min="1281" max="1281" width="13" customWidth="1"/>
    <col min="1282" max="1282" width="14.42578125" customWidth="1"/>
    <col min="1283" max="1283" width="10.42578125" bestFit="1" customWidth="1"/>
    <col min="1284" max="1284" width="15.85546875" bestFit="1" customWidth="1"/>
    <col min="1285" max="1285" width="13.7109375" bestFit="1" customWidth="1"/>
    <col min="1537" max="1537" width="13" customWidth="1"/>
    <col min="1538" max="1538" width="14.42578125" customWidth="1"/>
    <col min="1539" max="1539" width="10.42578125" bestFit="1" customWidth="1"/>
    <col min="1540" max="1540" width="15.85546875" bestFit="1" customWidth="1"/>
    <col min="1541" max="1541" width="13.7109375" bestFit="1" customWidth="1"/>
    <col min="1793" max="1793" width="13" customWidth="1"/>
    <col min="1794" max="1794" width="14.42578125" customWidth="1"/>
    <col min="1795" max="1795" width="10.42578125" bestFit="1" customWidth="1"/>
    <col min="1796" max="1796" width="15.85546875" bestFit="1" customWidth="1"/>
    <col min="1797" max="1797" width="13.7109375" bestFit="1" customWidth="1"/>
    <col min="2049" max="2049" width="13" customWidth="1"/>
    <col min="2050" max="2050" width="14.42578125" customWidth="1"/>
    <col min="2051" max="2051" width="10.42578125" bestFit="1" customWidth="1"/>
    <col min="2052" max="2052" width="15.85546875" bestFit="1" customWidth="1"/>
    <col min="2053" max="2053" width="13.7109375" bestFit="1" customWidth="1"/>
    <col min="2305" max="2305" width="13" customWidth="1"/>
    <col min="2306" max="2306" width="14.42578125" customWidth="1"/>
    <col min="2307" max="2307" width="10.42578125" bestFit="1" customWidth="1"/>
    <col min="2308" max="2308" width="15.85546875" bestFit="1" customWidth="1"/>
    <col min="2309" max="2309" width="13.7109375" bestFit="1" customWidth="1"/>
    <col min="2561" max="2561" width="13" customWidth="1"/>
    <col min="2562" max="2562" width="14.42578125" customWidth="1"/>
    <col min="2563" max="2563" width="10.42578125" bestFit="1" customWidth="1"/>
    <col min="2564" max="2564" width="15.85546875" bestFit="1" customWidth="1"/>
    <col min="2565" max="2565" width="13.7109375" bestFit="1" customWidth="1"/>
    <col min="2817" max="2817" width="13" customWidth="1"/>
    <col min="2818" max="2818" width="14.42578125" customWidth="1"/>
    <col min="2819" max="2819" width="10.42578125" bestFit="1" customWidth="1"/>
    <col min="2820" max="2820" width="15.85546875" bestFit="1" customWidth="1"/>
    <col min="2821" max="2821" width="13.7109375" bestFit="1" customWidth="1"/>
    <col min="3073" max="3073" width="13" customWidth="1"/>
    <col min="3074" max="3074" width="14.42578125" customWidth="1"/>
    <col min="3075" max="3075" width="10.42578125" bestFit="1" customWidth="1"/>
    <col min="3076" max="3076" width="15.85546875" bestFit="1" customWidth="1"/>
    <col min="3077" max="3077" width="13.7109375" bestFit="1" customWidth="1"/>
    <col min="3329" max="3329" width="13" customWidth="1"/>
    <col min="3330" max="3330" width="14.42578125" customWidth="1"/>
    <col min="3331" max="3331" width="10.42578125" bestFit="1" customWidth="1"/>
    <col min="3332" max="3332" width="15.85546875" bestFit="1" customWidth="1"/>
    <col min="3333" max="3333" width="13.7109375" bestFit="1" customWidth="1"/>
    <col min="3585" max="3585" width="13" customWidth="1"/>
    <col min="3586" max="3586" width="14.42578125" customWidth="1"/>
    <col min="3587" max="3587" width="10.42578125" bestFit="1" customWidth="1"/>
    <col min="3588" max="3588" width="15.85546875" bestFit="1" customWidth="1"/>
    <col min="3589" max="3589" width="13.7109375" bestFit="1" customWidth="1"/>
    <col min="3841" max="3841" width="13" customWidth="1"/>
    <col min="3842" max="3842" width="14.42578125" customWidth="1"/>
    <col min="3843" max="3843" width="10.42578125" bestFit="1" customWidth="1"/>
    <col min="3844" max="3844" width="15.85546875" bestFit="1" customWidth="1"/>
    <col min="3845" max="3845" width="13.7109375" bestFit="1" customWidth="1"/>
    <col min="4097" max="4097" width="13" customWidth="1"/>
    <col min="4098" max="4098" width="14.42578125" customWidth="1"/>
    <col min="4099" max="4099" width="10.42578125" bestFit="1" customWidth="1"/>
    <col min="4100" max="4100" width="15.85546875" bestFit="1" customWidth="1"/>
    <col min="4101" max="4101" width="13.7109375" bestFit="1" customWidth="1"/>
    <col min="4353" max="4353" width="13" customWidth="1"/>
    <col min="4354" max="4354" width="14.42578125" customWidth="1"/>
    <col min="4355" max="4355" width="10.42578125" bestFit="1" customWidth="1"/>
    <col min="4356" max="4356" width="15.85546875" bestFit="1" customWidth="1"/>
    <col min="4357" max="4357" width="13.7109375" bestFit="1" customWidth="1"/>
    <col min="4609" max="4609" width="13" customWidth="1"/>
    <col min="4610" max="4610" width="14.42578125" customWidth="1"/>
    <col min="4611" max="4611" width="10.42578125" bestFit="1" customWidth="1"/>
    <col min="4612" max="4612" width="15.85546875" bestFit="1" customWidth="1"/>
    <col min="4613" max="4613" width="13.7109375" bestFit="1" customWidth="1"/>
    <col min="4865" max="4865" width="13" customWidth="1"/>
    <col min="4866" max="4866" width="14.42578125" customWidth="1"/>
    <col min="4867" max="4867" width="10.42578125" bestFit="1" customWidth="1"/>
    <col min="4868" max="4868" width="15.85546875" bestFit="1" customWidth="1"/>
    <col min="4869" max="4869" width="13.7109375" bestFit="1" customWidth="1"/>
    <col min="5121" max="5121" width="13" customWidth="1"/>
    <col min="5122" max="5122" width="14.42578125" customWidth="1"/>
    <col min="5123" max="5123" width="10.42578125" bestFit="1" customWidth="1"/>
    <col min="5124" max="5124" width="15.85546875" bestFit="1" customWidth="1"/>
    <col min="5125" max="5125" width="13.7109375" bestFit="1" customWidth="1"/>
    <col min="5377" max="5377" width="13" customWidth="1"/>
    <col min="5378" max="5378" width="14.42578125" customWidth="1"/>
    <col min="5379" max="5379" width="10.42578125" bestFit="1" customWidth="1"/>
    <col min="5380" max="5380" width="15.85546875" bestFit="1" customWidth="1"/>
    <col min="5381" max="5381" width="13.7109375" bestFit="1" customWidth="1"/>
    <col min="5633" max="5633" width="13" customWidth="1"/>
    <col min="5634" max="5634" width="14.42578125" customWidth="1"/>
    <col min="5635" max="5635" width="10.42578125" bestFit="1" customWidth="1"/>
    <col min="5636" max="5636" width="15.85546875" bestFit="1" customWidth="1"/>
    <col min="5637" max="5637" width="13.7109375" bestFit="1" customWidth="1"/>
    <col min="5889" max="5889" width="13" customWidth="1"/>
    <col min="5890" max="5890" width="14.42578125" customWidth="1"/>
    <col min="5891" max="5891" width="10.42578125" bestFit="1" customWidth="1"/>
    <col min="5892" max="5892" width="15.85546875" bestFit="1" customWidth="1"/>
    <col min="5893" max="5893" width="13.7109375" bestFit="1" customWidth="1"/>
    <col min="6145" max="6145" width="13" customWidth="1"/>
    <col min="6146" max="6146" width="14.42578125" customWidth="1"/>
    <col min="6147" max="6147" width="10.42578125" bestFit="1" customWidth="1"/>
    <col min="6148" max="6148" width="15.85546875" bestFit="1" customWidth="1"/>
    <col min="6149" max="6149" width="13.7109375" bestFit="1" customWidth="1"/>
    <col min="6401" max="6401" width="13" customWidth="1"/>
    <col min="6402" max="6402" width="14.42578125" customWidth="1"/>
    <col min="6403" max="6403" width="10.42578125" bestFit="1" customWidth="1"/>
    <col min="6404" max="6404" width="15.85546875" bestFit="1" customWidth="1"/>
    <col min="6405" max="6405" width="13.7109375" bestFit="1" customWidth="1"/>
    <col min="6657" max="6657" width="13" customWidth="1"/>
    <col min="6658" max="6658" width="14.42578125" customWidth="1"/>
    <col min="6659" max="6659" width="10.42578125" bestFit="1" customWidth="1"/>
    <col min="6660" max="6660" width="15.85546875" bestFit="1" customWidth="1"/>
    <col min="6661" max="6661" width="13.7109375" bestFit="1" customWidth="1"/>
    <col min="6913" max="6913" width="13" customWidth="1"/>
    <col min="6914" max="6914" width="14.42578125" customWidth="1"/>
    <col min="6915" max="6915" width="10.42578125" bestFit="1" customWidth="1"/>
    <col min="6916" max="6916" width="15.85546875" bestFit="1" customWidth="1"/>
    <col min="6917" max="6917" width="13.7109375" bestFit="1" customWidth="1"/>
    <col min="7169" max="7169" width="13" customWidth="1"/>
    <col min="7170" max="7170" width="14.42578125" customWidth="1"/>
    <col min="7171" max="7171" width="10.42578125" bestFit="1" customWidth="1"/>
    <col min="7172" max="7172" width="15.85546875" bestFit="1" customWidth="1"/>
    <col min="7173" max="7173" width="13.7109375" bestFit="1" customWidth="1"/>
    <col min="7425" max="7425" width="13" customWidth="1"/>
    <col min="7426" max="7426" width="14.42578125" customWidth="1"/>
    <col min="7427" max="7427" width="10.42578125" bestFit="1" customWidth="1"/>
    <col min="7428" max="7428" width="15.85546875" bestFit="1" customWidth="1"/>
    <col min="7429" max="7429" width="13.7109375" bestFit="1" customWidth="1"/>
    <col min="7681" max="7681" width="13" customWidth="1"/>
    <col min="7682" max="7682" width="14.42578125" customWidth="1"/>
    <col min="7683" max="7683" width="10.42578125" bestFit="1" customWidth="1"/>
    <col min="7684" max="7684" width="15.85546875" bestFit="1" customWidth="1"/>
    <col min="7685" max="7685" width="13.7109375" bestFit="1" customWidth="1"/>
    <col min="7937" max="7937" width="13" customWidth="1"/>
    <col min="7938" max="7938" width="14.42578125" customWidth="1"/>
    <col min="7939" max="7939" width="10.42578125" bestFit="1" customWidth="1"/>
    <col min="7940" max="7940" width="15.85546875" bestFit="1" customWidth="1"/>
    <col min="7941" max="7941" width="13.7109375" bestFit="1" customWidth="1"/>
    <col min="8193" max="8193" width="13" customWidth="1"/>
    <col min="8194" max="8194" width="14.42578125" customWidth="1"/>
    <col min="8195" max="8195" width="10.42578125" bestFit="1" customWidth="1"/>
    <col min="8196" max="8196" width="15.85546875" bestFit="1" customWidth="1"/>
    <col min="8197" max="8197" width="13.7109375" bestFit="1" customWidth="1"/>
    <col min="8449" max="8449" width="13" customWidth="1"/>
    <col min="8450" max="8450" width="14.42578125" customWidth="1"/>
    <col min="8451" max="8451" width="10.42578125" bestFit="1" customWidth="1"/>
    <col min="8452" max="8452" width="15.85546875" bestFit="1" customWidth="1"/>
    <col min="8453" max="8453" width="13.7109375" bestFit="1" customWidth="1"/>
    <col min="8705" max="8705" width="13" customWidth="1"/>
    <col min="8706" max="8706" width="14.42578125" customWidth="1"/>
    <col min="8707" max="8707" width="10.42578125" bestFit="1" customWidth="1"/>
    <col min="8708" max="8708" width="15.85546875" bestFit="1" customWidth="1"/>
    <col min="8709" max="8709" width="13.7109375" bestFit="1" customWidth="1"/>
    <col min="8961" max="8961" width="13" customWidth="1"/>
    <col min="8962" max="8962" width="14.42578125" customWidth="1"/>
    <col min="8963" max="8963" width="10.42578125" bestFit="1" customWidth="1"/>
    <col min="8964" max="8964" width="15.85546875" bestFit="1" customWidth="1"/>
    <col min="8965" max="8965" width="13.7109375" bestFit="1" customWidth="1"/>
    <col min="9217" max="9217" width="13" customWidth="1"/>
    <col min="9218" max="9218" width="14.42578125" customWidth="1"/>
    <col min="9219" max="9219" width="10.42578125" bestFit="1" customWidth="1"/>
    <col min="9220" max="9220" width="15.85546875" bestFit="1" customWidth="1"/>
    <col min="9221" max="9221" width="13.7109375" bestFit="1" customWidth="1"/>
    <col min="9473" max="9473" width="13" customWidth="1"/>
    <col min="9474" max="9474" width="14.42578125" customWidth="1"/>
    <col min="9475" max="9475" width="10.42578125" bestFit="1" customWidth="1"/>
    <col min="9476" max="9476" width="15.85546875" bestFit="1" customWidth="1"/>
    <col min="9477" max="9477" width="13.7109375" bestFit="1" customWidth="1"/>
    <col min="9729" max="9729" width="13" customWidth="1"/>
    <col min="9730" max="9730" width="14.42578125" customWidth="1"/>
    <col min="9731" max="9731" width="10.42578125" bestFit="1" customWidth="1"/>
    <col min="9732" max="9732" width="15.85546875" bestFit="1" customWidth="1"/>
    <col min="9733" max="9733" width="13.7109375" bestFit="1" customWidth="1"/>
    <col min="9985" max="9985" width="13" customWidth="1"/>
    <col min="9986" max="9986" width="14.42578125" customWidth="1"/>
    <col min="9987" max="9987" width="10.42578125" bestFit="1" customWidth="1"/>
    <col min="9988" max="9988" width="15.85546875" bestFit="1" customWidth="1"/>
    <col min="9989" max="9989" width="13.7109375" bestFit="1" customWidth="1"/>
    <col min="10241" max="10241" width="13" customWidth="1"/>
    <col min="10242" max="10242" width="14.42578125" customWidth="1"/>
    <col min="10243" max="10243" width="10.42578125" bestFit="1" customWidth="1"/>
    <col min="10244" max="10244" width="15.85546875" bestFit="1" customWidth="1"/>
    <col min="10245" max="10245" width="13.7109375" bestFit="1" customWidth="1"/>
    <col min="10497" max="10497" width="13" customWidth="1"/>
    <col min="10498" max="10498" width="14.42578125" customWidth="1"/>
    <col min="10499" max="10499" width="10.42578125" bestFit="1" customWidth="1"/>
    <col min="10500" max="10500" width="15.85546875" bestFit="1" customWidth="1"/>
    <col min="10501" max="10501" width="13.7109375" bestFit="1" customWidth="1"/>
    <col min="10753" max="10753" width="13" customWidth="1"/>
    <col min="10754" max="10754" width="14.42578125" customWidth="1"/>
    <col min="10755" max="10755" width="10.42578125" bestFit="1" customWidth="1"/>
    <col min="10756" max="10756" width="15.85546875" bestFit="1" customWidth="1"/>
    <col min="10757" max="10757" width="13.7109375" bestFit="1" customWidth="1"/>
    <col min="11009" max="11009" width="13" customWidth="1"/>
    <col min="11010" max="11010" width="14.42578125" customWidth="1"/>
    <col min="11011" max="11011" width="10.42578125" bestFit="1" customWidth="1"/>
    <col min="11012" max="11012" width="15.85546875" bestFit="1" customWidth="1"/>
    <col min="11013" max="11013" width="13.7109375" bestFit="1" customWidth="1"/>
    <col min="11265" max="11265" width="13" customWidth="1"/>
    <col min="11266" max="11266" width="14.42578125" customWidth="1"/>
    <col min="11267" max="11267" width="10.42578125" bestFit="1" customWidth="1"/>
    <col min="11268" max="11268" width="15.85546875" bestFit="1" customWidth="1"/>
    <col min="11269" max="11269" width="13.7109375" bestFit="1" customWidth="1"/>
    <col min="11521" max="11521" width="13" customWidth="1"/>
    <col min="11522" max="11522" width="14.42578125" customWidth="1"/>
    <col min="11523" max="11523" width="10.42578125" bestFit="1" customWidth="1"/>
    <col min="11524" max="11524" width="15.85546875" bestFit="1" customWidth="1"/>
    <col min="11525" max="11525" width="13.7109375" bestFit="1" customWidth="1"/>
    <col min="11777" max="11777" width="13" customWidth="1"/>
    <col min="11778" max="11778" width="14.42578125" customWidth="1"/>
    <col min="11779" max="11779" width="10.42578125" bestFit="1" customWidth="1"/>
    <col min="11780" max="11780" width="15.85546875" bestFit="1" customWidth="1"/>
    <col min="11781" max="11781" width="13.7109375" bestFit="1" customWidth="1"/>
    <col min="12033" max="12033" width="13" customWidth="1"/>
    <col min="12034" max="12034" width="14.42578125" customWidth="1"/>
    <col min="12035" max="12035" width="10.42578125" bestFit="1" customWidth="1"/>
    <col min="12036" max="12036" width="15.85546875" bestFit="1" customWidth="1"/>
    <col min="12037" max="12037" width="13.7109375" bestFit="1" customWidth="1"/>
    <col min="12289" max="12289" width="13" customWidth="1"/>
    <col min="12290" max="12290" width="14.42578125" customWidth="1"/>
    <col min="12291" max="12291" width="10.42578125" bestFit="1" customWidth="1"/>
    <col min="12292" max="12292" width="15.85546875" bestFit="1" customWidth="1"/>
    <col min="12293" max="12293" width="13.7109375" bestFit="1" customWidth="1"/>
    <col min="12545" max="12545" width="13" customWidth="1"/>
    <col min="12546" max="12546" width="14.42578125" customWidth="1"/>
    <col min="12547" max="12547" width="10.42578125" bestFit="1" customWidth="1"/>
    <col min="12548" max="12548" width="15.85546875" bestFit="1" customWidth="1"/>
    <col min="12549" max="12549" width="13.7109375" bestFit="1" customWidth="1"/>
    <col min="12801" max="12801" width="13" customWidth="1"/>
    <col min="12802" max="12802" width="14.42578125" customWidth="1"/>
    <col min="12803" max="12803" width="10.42578125" bestFit="1" customWidth="1"/>
    <col min="12804" max="12804" width="15.85546875" bestFit="1" customWidth="1"/>
    <col min="12805" max="12805" width="13.7109375" bestFit="1" customWidth="1"/>
    <col min="13057" max="13057" width="13" customWidth="1"/>
    <col min="13058" max="13058" width="14.42578125" customWidth="1"/>
    <col min="13059" max="13059" width="10.42578125" bestFit="1" customWidth="1"/>
    <col min="13060" max="13060" width="15.85546875" bestFit="1" customWidth="1"/>
    <col min="13061" max="13061" width="13.7109375" bestFit="1" customWidth="1"/>
    <col min="13313" max="13313" width="13" customWidth="1"/>
    <col min="13314" max="13314" width="14.42578125" customWidth="1"/>
    <col min="13315" max="13315" width="10.42578125" bestFit="1" customWidth="1"/>
    <col min="13316" max="13316" width="15.85546875" bestFit="1" customWidth="1"/>
    <col min="13317" max="13317" width="13.7109375" bestFit="1" customWidth="1"/>
    <col min="13569" max="13569" width="13" customWidth="1"/>
    <col min="13570" max="13570" width="14.42578125" customWidth="1"/>
    <col min="13571" max="13571" width="10.42578125" bestFit="1" customWidth="1"/>
    <col min="13572" max="13572" width="15.85546875" bestFit="1" customWidth="1"/>
    <col min="13573" max="13573" width="13.7109375" bestFit="1" customWidth="1"/>
    <col min="13825" max="13825" width="13" customWidth="1"/>
    <col min="13826" max="13826" width="14.42578125" customWidth="1"/>
    <col min="13827" max="13827" width="10.42578125" bestFit="1" customWidth="1"/>
    <col min="13828" max="13828" width="15.85546875" bestFit="1" customWidth="1"/>
    <col min="13829" max="13829" width="13.7109375" bestFit="1" customWidth="1"/>
    <col min="14081" max="14081" width="13" customWidth="1"/>
    <col min="14082" max="14082" width="14.42578125" customWidth="1"/>
    <col min="14083" max="14083" width="10.42578125" bestFit="1" customWidth="1"/>
    <col min="14084" max="14084" width="15.85546875" bestFit="1" customWidth="1"/>
    <col min="14085" max="14085" width="13.7109375" bestFit="1" customWidth="1"/>
    <col min="14337" max="14337" width="13" customWidth="1"/>
    <col min="14338" max="14338" width="14.42578125" customWidth="1"/>
    <col min="14339" max="14339" width="10.42578125" bestFit="1" customWidth="1"/>
    <col min="14340" max="14340" width="15.85546875" bestFit="1" customWidth="1"/>
    <col min="14341" max="14341" width="13.7109375" bestFit="1" customWidth="1"/>
    <col min="14593" max="14593" width="13" customWidth="1"/>
    <col min="14594" max="14594" width="14.42578125" customWidth="1"/>
    <col min="14595" max="14595" width="10.42578125" bestFit="1" customWidth="1"/>
    <col min="14596" max="14596" width="15.85546875" bestFit="1" customWidth="1"/>
    <col min="14597" max="14597" width="13.7109375" bestFit="1" customWidth="1"/>
    <col min="14849" max="14849" width="13" customWidth="1"/>
    <col min="14850" max="14850" width="14.42578125" customWidth="1"/>
    <col min="14851" max="14851" width="10.42578125" bestFit="1" customWidth="1"/>
    <col min="14852" max="14852" width="15.85546875" bestFit="1" customWidth="1"/>
    <col min="14853" max="14853" width="13.7109375" bestFit="1" customWidth="1"/>
    <col min="15105" max="15105" width="13" customWidth="1"/>
    <col min="15106" max="15106" width="14.42578125" customWidth="1"/>
    <col min="15107" max="15107" width="10.42578125" bestFit="1" customWidth="1"/>
    <col min="15108" max="15108" width="15.85546875" bestFit="1" customWidth="1"/>
    <col min="15109" max="15109" width="13.7109375" bestFit="1" customWidth="1"/>
    <col min="15361" max="15361" width="13" customWidth="1"/>
    <col min="15362" max="15362" width="14.42578125" customWidth="1"/>
    <col min="15363" max="15363" width="10.42578125" bestFit="1" customWidth="1"/>
    <col min="15364" max="15364" width="15.85546875" bestFit="1" customWidth="1"/>
    <col min="15365" max="15365" width="13.7109375" bestFit="1" customWidth="1"/>
    <col min="15617" max="15617" width="13" customWidth="1"/>
    <col min="15618" max="15618" width="14.42578125" customWidth="1"/>
    <col min="15619" max="15619" width="10.42578125" bestFit="1" customWidth="1"/>
    <col min="15620" max="15620" width="15.85546875" bestFit="1" customWidth="1"/>
    <col min="15621" max="15621" width="13.7109375" bestFit="1" customWidth="1"/>
    <col min="15873" max="15873" width="13" customWidth="1"/>
    <col min="15874" max="15874" width="14.42578125" customWidth="1"/>
    <col min="15875" max="15875" width="10.42578125" bestFit="1" customWidth="1"/>
    <col min="15876" max="15876" width="15.85546875" bestFit="1" customWidth="1"/>
    <col min="15877" max="15877" width="13.7109375" bestFit="1" customWidth="1"/>
    <col min="16129" max="16129" width="13" customWidth="1"/>
    <col min="16130" max="16130" width="14.42578125" customWidth="1"/>
    <col min="16131" max="16131" width="10.42578125" bestFit="1" customWidth="1"/>
    <col min="16132" max="16132" width="15.85546875" bestFit="1" customWidth="1"/>
    <col min="16133" max="16133" width="13.7109375" bestFit="1" customWidth="1"/>
  </cols>
  <sheetData>
    <row r="1" spans="1:11" ht="15.75" thickBot="1" x14ac:dyDescent="0.3">
      <c r="B1" s="825" t="s">
        <v>455</v>
      </c>
      <c r="C1" s="826"/>
      <c r="D1" s="826"/>
      <c r="E1" s="826"/>
      <c r="F1" s="826"/>
      <c r="G1" s="827"/>
      <c r="K1" s="216" t="s">
        <v>564</v>
      </c>
    </row>
    <row r="2" spans="1:11" ht="15.75" thickBot="1" x14ac:dyDescent="0.3"/>
    <row r="3" spans="1:11" ht="15.75" thickBot="1" x14ac:dyDescent="0.3">
      <c r="F3" s="828" t="s">
        <v>513</v>
      </c>
      <c r="G3" s="829"/>
      <c r="H3" s="830"/>
      <c r="I3" s="831" t="s">
        <v>514</v>
      </c>
      <c r="J3" s="832"/>
      <c r="K3" s="833"/>
    </row>
    <row r="4" spans="1:11" ht="15.75" thickBot="1" x14ac:dyDescent="0.3">
      <c r="A4" s="742" t="s">
        <v>4</v>
      </c>
      <c r="B4" s="743"/>
      <c r="C4" s="743"/>
      <c r="D4" s="743"/>
      <c r="E4" s="744"/>
      <c r="F4" s="74" t="s">
        <v>169</v>
      </c>
      <c r="G4" s="74" t="s">
        <v>170</v>
      </c>
      <c r="H4" s="75" t="s">
        <v>145</v>
      </c>
      <c r="I4" s="74" t="s">
        <v>169</v>
      </c>
      <c r="J4" s="74" t="s">
        <v>170</v>
      </c>
      <c r="K4" s="75" t="s">
        <v>145</v>
      </c>
    </row>
    <row r="5" spans="1:11" ht="15.75" thickBot="1" x14ac:dyDescent="0.3">
      <c r="A5" s="774" t="s">
        <v>171</v>
      </c>
      <c r="B5" s="775"/>
      <c r="C5" s="775"/>
      <c r="D5" s="775"/>
      <c r="E5" s="776"/>
      <c r="F5" s="76">
        <f>'[2]bértábla+dologi'!$C$9</f>
        <v>31121100</v>
      </c>
      <c r="G5" s="76">
        <v>0</v>
      </c>
      <c r="H5" s="76">
        <f t="shared" ref="H5:H12" si="0">F5+G5</f>
        <v>31121100</v>
      </c>
      <c r="I5" s="76">
        <v>30926100</v>
      </c>
      <c r="J5" s="76">
        <v>0</v>
      </c>
      <c r="K5" s="76">
        <f t="shared" ref="K5:K12" si="1">I5+J5</f>
        <v>30926100</v>
      </c>
    </row>
    <row r="6" spans="1:11" ht="15.75" thickBot="1" x14ac:dyDescent="0.3">
      <c r="A6" s="774" t="s">
        <v>172</v>
      </c>
      <c r="B6" s="775"/>
      <c r="C6" s="775"/>
      <c r="D6" s="775"/>
      <c r="E6" s="776"/>
      <c r="F6" s="76">
        <f>'[2]bértábla+dologi'!$C$10</f>
        <v>800000</v>
      </c>
      <c r="G6" s="76">
        <v>0</v>
      </c>
      <c r="H6" s="76">
        <f t="shared" si="0"/>
        <v>800000</v>
      </c>
      <c r="I6" s="76">
        <f>'[2]bértábla+dologi'!$C$10</f>
        <v>800000</v>
      </c>
      <c r="J6" s="76">
        <v>0</v>
      </c>
      <c r="K6" s="76">
        <f t="shared" si="1"/>
        <v>800000</v>
      </c>
    </row>
    <row r="7" spans="1:11" ht="15.75" thickBot="1" x14ac:dyDescent="0.3">
      <c r="A7" s="774" t="s">
        <v>173</v>
      </c>
      <c r="B7" s="775"/>
      <c r="C7" s="775"/>
      <c r="D7" s="775"/>
      <c r="E7" s="776"/>
      <c r="F7" s="76">
        <f>'[2]bértábla+dologi'!$C$11</f>
        <v>1509592</v>
      </c>
      <c r="G7" s="76">
        <v>0</v>
      </c>
      <c r="H7" s="76">
        <f t="shared" si="0"/>
        <v>1509592</v>
      </c>
      <c r="I7" s="76">
        <v>1829592</v>
      </c>
      <c r="J7" s="76">
        <v>0</v>
      </c>
      <c r="K7" s="76">
        <f t="shared" si="1"/>
        <v>1829592</v>
      </c>
    </row>
    <row r="8" spans="1:11" ht="15.75" thickBot="1" x14ac:dyDescent="0.3">
      <c r="A8" s="774" t="s">
        <v>174</v>
      </c>
      <c r="B8" s="775"/>
      <c r="C8" s="775"/>
      <c r="D8" s="775"/>
      <c r="E8" s="776"/>
      <c r="F8" s="76">
        <f>'[2]bértábla+dologi'!$C$12</f>
        <v>288960</v>
      </c>
      <c r="G8" s="76">
        <v>0</v>
      </c>
      <c r="H8" s="76">
        <f t="shared" si="0"/>
        <v>288960</v>
      </c>
      <c r="I8" s="76">
        <f>'[2]bértábla+dologi'!$C$12</f>
        <v>288960</v>
      </c>
      <c r="J8" s="76">
        <v>0</v>
      </c>
      <c r="K8" s="76">
        <f t="shared" si="1"/>
        <v>288960</v>
      </c>
    </row>
    <row r="9" spans="1:11" ht="15.75" thickBot="1" x14ac:dyDescent="0.3">
      <c r="A9" s="774" t="s">
        <v>214</v>
      </c>
      <c r="B9" s="775"/>
      <c r="C9" s="775"/>
      <c r="D9" s="775"/>
      <c r="E9" s="776"/>
      <c r="F9" s="76">
        <f>'[2]bértábla+dologi'!$C$13</f>
        <v>150000</v>
      </c>
      <c r="G9" s="76">
        <v>0</v>
      </c>
      <c r="H9" s="76">
        <f t="shared" si="0"/>
        <v>150000</v>
      </c>
      <c r="I9" s="76">
        <v>995000</v>
      </c>
      <c r="J9" s="76">
        <v>0</v>
      </c>
      <c r="K9" s="76">
        <f t="shared" si="1"/>
        <v>995000</v>
      </c>
    </row>
    <row r="10" spans="1:11" s="73" customFormat="1" ht="15.75" thickBot="1" x14ac:dyDescent="0.3">
      <c r="A10" s="767" t="s">
        <v>175</v>
      </c>
      <c r="B10" s="768"/>
      <c r="C10" s="768"/>
      <c r="D10" s="768"/>
      <c r="E10" s="769"/>
      <c r="F10" s="75">
        <f>F5+F6+F7+F8+F9</f>
        <v>33869652</v>
      </c>
      <c r="G10" s="75">
        <v>0</v>
      </c>
      <c r="H10" s="75">
        <f t="shared" si="0"/>
        <v>33869652</v>
      </c>
      <c r="I10" s="75">
        <f>I5+I6+I7+I8+I9</f>
        <v>34839652</v>
      </c>
      <c r="J10" s="75">
        <v>0</v>
      </c>
      <c r="K10" s="75">
        <f t="shared" si="1"/>
        <v>34839652</v>
      </c>
    </row>
    <row r="11" spans="1:11" s="73" customFormat="1" ht="15.75" thickBot="1" x14ac:dyDescent="0.3">
      <c r="A11" s="774" t="s">
        <v>456</v>
      </c>
      <c r="B11" s="775"/>
      <c r="C11" s="775"/>
      <c r="D11" s="775"/>
      <c r="E11" s="776"/>
      <c r="F11" s="75">
        <f>'[2]bértábla+dologi'!$C$14</f>
        <v>700000</v>
      </c>
      <c r="G11" s="75">
        <v>0</v>
      </c>
      <c r="H11" s="76">
        <f t="shared" si="0"/>
        <v>700000</v>
      </c>
      <c r="I11" s="75">
        <v>895000</v>
      </c>
      <c r="J11" s="75">
        <v>0</v>
      </c>
      <c r="K11" s="76">
        <f t="shared" si="1"/>
        <v>895000</v>
      </c>
    </row>
    <row r="12" spans="1:11" s="73" customFormat="1" ht="15.75" thickBot="1" x14ac:dyDescent="0.3">
      <c r="A12" s="821" t="s">
        <v>560</v>
      </c>
      <c r="B12" s="775"/>
      <c r="C12" s="775"/>
      <c r="D12" s="775"/>
      <c r="E12" s="776"/>
      <c r="F12" s="75">
        <f>'[2]bértábla+dologi'!$C$15</f>
        <v>20000</v>
      </c>
      <c r="G12" s="75">
        <v>0</v>
      </c>
      <c r="H12" s="76">
        <f t="shared" si="0"/>
        <v>20000</v>
      </c>
      <c r="I12" s="75">
        <v>1258198</v>
      </c>
      <c r="J12" s="75">
        <v>0</v>
      </c>
      <c r="K12" s="76">
        <f t="shared" si="1"/>
        <v>1258198</v>
      </c>
    </row>
    <row r="13" spans="1:11" s="78" customFormat="1" ht="16.5" thickBot="1" x14ac:dyDescent="0.3">
      <c r="A13" s="771" t="s">
        <v>180</v>
      </c>
      <c r="B13" s="772"/>
      <c r="C13" s="772"/>
      <c r="D13" s="772"/>
      <c r="E13" s="773"/>
      <c r="F13" s="77">
        <f>F10+F11+F12</f>
        <v>34589652</v>
      </c>
      <c r="G13" s="77">
        <f>G10</f>
        <v>0</v>
      </c>
      <c r="H13" s="77">
        <f>F13</f>
        <v>34589652</v>
      </c>
      <c r="I13" s="77">
        <f>I10+I11+I12</f>
        <v>36992850</v>
      </c>
      <c r="J13" s="77">
        <f>J10</f>
        <v>0</v>
      </c>
      <c r="K13" s="77">
        <f>I13</f>
        <v>36992850</v>
      </c>
    </row>
    <row r="14" spans="1:11" s="78" customFormat="1" ht="16.5" thickBot="1" x14ac:dyDescent="0.3">
      <c r="A14" s="777" t="s">
        <v>181</v>
      </c>
      <c r="B14" s="778"/>
      <c r="C14" s="778"/>
      <c r="D14" s="778"/>
      <c r="E14" s="779"/>
      <c r="F14" s="77">
        <f>'[2]bértábla+dologi'!$C$16</f>
        <v>6971421</v>
      </c>
      <c r="G14" s="77">
        <f>G11</f>
        <v>0</v>
      </c>
      <c r="H14" s="77">
        <f>F14+G14</f>
        <v>6971421</v>
      </c>
      <c r="I14" s="77">
        <v>7367785</v>
      </c>
      <c r="J14" s="77">
        <f>J11</f>
        <v>0</v>
      </c>
      <c r="K14" s="77">
        <f>I14+J14</f>
        <v>7367785</v>
      </c>
    </row>
    <row r="15" spans="1:11" ht="15.75" thickBot="1" x14ac:dyDescent="0.3">
      <c r="A15" s="774" t="s">
        <v>215</v>
      </c>
      <c r="B15" s="775"/>
      <c r="C15" s="775"/>
      <c r="D15" s="775"/>
      <c r="E15" s="776"/>
      <c r="F15" s="76">
        <v>60686</v>
      </c>
      <c r="G15" s="76">
        <f>F15*5%</f>
        <v>3034.3</v>
      </c>
      <c r="H15" s="76">
        <f>F15+G15</f>
        <v>63720.3</v>
      </c>
      <c r="I15" s="76">
        <v>60686</v>
      </c>
      <c r="J15" s="76">
        <f>I15*5%</f>
        <v>3034.3</v>
      </c>
      <c r="K15" s="76">
        <f>I15+J15</f>
        <v>63720.3</v>
      </c>
    </row>
    <row r="16" spans="1:11" ht="15.75" thickBot="1" x14ac:dyDescent="0.3">
      <c r="A16" s="767" t="s">
        <v>182</v>
      </c>
      <c r="B16" s="768"/>
      <c r="C16" s="768"/>
      <c r="D16" s="768"/>
      <c r="E16" s="769"/>
      <c r="F16" s="75">
        <f t="shared" ref="F16:K16" si="2">F15</f>
        <v>60686</v>
      </c>
      <c r="G16" s="75">
        <f t="shared" si="2"/>
        <v>3034.3</v>
      </c>
      <c r="H16" s="75">
        <f t="shared" si="2"/>
        <v>63720.3</v>
      </c>
      <c r="I16" s="75">
        <f t="shared" si="2"/>
        <v>60686</v>
      </c>
      <c r="J16" s="75">
        <f t="shared" si="2"/>
        <v>3034.3</v>
      </c>
      <c r="K16" s="75">
        <f t="shared" si="2"/>
        <v>63720.3</v>
      </c>
    </row>
    <row r="17" spans="1:11" s="135" customFormat="1" ht="13.5" thickBot="1" x14ac:dyDescent="0.25">
      <c r="A17" s="821" t="s">
        <v>183</v>
      </c>
      <c r="B17" s="822"/>
      <c r="C17" s="822"/>
      <c r="D17" s="822"/>
      <c r="E17" s="823"/>
      <c r="F17" s="219">
        <v>455000</v>
      </c>
      <c r="G17" s="219">
        <v>0</v>
      </c>
      <c r="H17" s="219">
        <f>F17+G17</f>
        <v>455000</v>
      </c>
      <c r="I17" s="219">
        <f>405000-32268</f>
        <v>372732</v>
      </c>
      <c r="J17" s="219">
        <v>0</v>
      </c>
      <c r="K17" s="219">
        <f>I17+J17</f>
        <v>372732</v>
      </c>
    </row>
    <row r="18" spans="1:11" s="135" customFormat="1" ht="13.5" thickBot="1" x14ac:dyDescent="0.25">
      <c r="A18" s="821" t="s">
        <v>184</v>
      </c>
      <c r="B18" s="822"/>
      <c r="C18" s="822"/>
      <c r="D18" s="822"/>
      <c r="E18" s="823"/>
      <c r="F18" s="219">
        <v>300000</v>
      </c>
      <c r="G18" s="219">
        <f>F18*27%</f>
        <v>81000</v>
      </c>
      <c r="H18" s="219">
        <f>F18+G18</f>
        <v>381000</v>
      </c>
      <c r="I18" s="219">
        <f>300000-15500</f>
        <v>284500</v>
      </c>
      <c r="J18" s="219">
        <v>81000</v>
      </c>
      <c r="K18" s="219">
        <f>I18+J18</f>
        <v>365500</v>
      </c>
    </row>
    <row r="19" spans="1:11" s="135" customFormat="1" ht="15.75" thickBot="1" x14ac:dyDescent="0.3">
      <c r="A19" s="824" t="s">
        <v>699</v>
      </c>
      <c r="B19" s="796"/>
      <c r="C19" s="796"/>
      <c r="D19" s="796"/>
      <c r="E19" s="797"/>
      <c r="F19" s="219"/>
      <c r="G19" s="219"/>
      <c r="H19" s="219"/>
      <c r="I19" s="219">
        <v>47768</v>
      </c>
      <c r="J19" s="219">
        <v>2329</v>
      </c>
      <c r="K19" s="219">
        <f>I19+J19</f>
        <v>50097</v>
      </c>
    </row>
    <row r="20" spans="1:11" s="218" customFormat="1" ht="15.75" thickBot="1" x14ac:dyDescent="0.3">
      <c r="A20" s="824" t="s">
        <v>700</v>
      </c>
      <c r="B20" s="796"/>
      <c r="C20" s="796"/>
      <c r="D20" s="796"/>
      <c r="E20" s="797"/>
      <c r="F20" s="217"/>
      <c r="G20" s="217"/>
      <c r="H20" s="217"/>
      <c r="I20" s="219">
        <v>116733</v>
      </c>
      <c r="J20" s="219">
        <f>I20*27%</f>
        <v>31517.910000000003</v>
      </c>
      <c r="K20" s="219">
        <f>I20+J20</f>
        <v>148250.91</v>
      </c>
    </row>
    <row r="21" spans="1:11" s="73" customFormat="1" ht="15.75" thickBot="1" x14ac:dyDescent="0.3">
      <c r="A21" s="767" t="s">
        <v>187</v>
      </c>
      <c r="B21" s="768"/>
      <c r="C21" s="768"/>
      <c r="D21" s="768"/>
      <c r="E21" s="769"/>
      <c r="F21" s="75">
        <f>F17+F18</f>
        <v>755000</v>
      </c>
      <c r="G21" s="75">
        <f>G17+G18</f>
        <v>81000</v>
      </c>
      <c r="H21" s="75">
        <f>H17+H18</f>
        <v>836000</v>
      </c>
      <c r="I21" s="75">
        <f>I17+I18+I19+I20</f>
        <v>821733</v>
      </c>
      <c r="J21" s="75">
        <f t="shared" ref="J21:K21" si="3">J17+J18+J19+J20</f>
        <v>114846.91</v>
      </c>
      <c r="K21" s="75">
        <f t="shared" si="3"/>
        <v>936579.91</v>
      </c>
    </row>
    <row r="22" spans="1:11" s="73" customFormat="1" ht="15.75" thickBot="1" x14ac:dyDescent="0.3">
      <c r="A22" s="767" t="s">
        <v>188</v>
      </c>
      <c r="B22" s="768"/>
      <c r="C22" s="768"/>
      <c r="D22" s="768"/>
      <c r="E22" s="769"/>
      <c r="F22" s="75">
        <f t="shared" ref="F22:K22" si="4">F16+F21</f>
        <v>815686</v>
      </c>
      <c r="G22" s="75">
        <f t="shared" si="4"/>
        <v>84034.3</v>
      </c>
      <c r="H22" s="75">
        <f t="shared" si="4"/>
        <v>899720.3</v>
      </c>
      <c r="I22" s="75">
        <f t="shared" si="4"/>
        <v>882419</v>
      </c>
      <c r="J22" s="75">
        <f t="shared" si="4"/>
        <v>117881.21</v>
      </c>
      <c r="K22" s="75">
        <f t="shared" si="4"/>
        <v>1000300.2100000001</v>
      </c>
    </row>
    <row r="23" spans="1:11" ht="15.75" thickBot="1" x14ac:dyDescent="0.3">
      <c r="A23" s="774" t="s">
        <v>216</v>
      </c>
      <c r="B23" s="775"/>
      <c r="C23" s="775"/>
      <c r="D23" s="775"/>
      <c r="E23" s="776"/>
      <c r="F23" s="76">
        <v>84000</v>
      </c>
      <c r="G23" s="76">
        <f t="shared" ref="G23:G28" si="5">F23*27%</f>
        <v>22680</v>
      </c>
      <c r="H23" s="76">
        <f t="shared" ref="H23:H29" si="6">F23+G23</f>
        <v>106680</v>
      </c>
      <c r="I23" s="76">
        <v>84000</v>
      </c>
      <c r="J23" s="76">
        <f t="shared" ref="J23:J26" si="7">I23*27%</f>
        <v>22680</v>
      </c>
      <c r="K23" s="76">
        <f t="shared" ref="K23:K27" si="8">I23+J23</f>
        <v>106680</v>
      </c>
    </row>
    <row r="24" spans="1:11" ht="15.75" thickBot="1" x14ac:dyDescent="0.3">
      <c r="A24" s="774" t="s">
        <v>217</v>
      </c>
      <c r="B24" s="775"/>
      <c r="C24" s="775"/>
      <c r="D24" s="775"/>
      <c r="E24" s="776"/>
      <c r="F24" s="76">
        <f>28000*12</f>
        <v>336000</v>
      </c>
      <c r="G24" s="76">
        <f t="shared" si="5"/>
        <v>90720</v>
      </c>
      <c r="H24" s="76">
        <f t="shared" si="6"/>
        <v>426720</v>
      </c>
      <c r="I24" s="76">
        <f>28000*12+12740</f>
        <v>348740</v>
      </c>
      <c r="J24" s="76">
        <f>I24*27%-3440</f>
        <v>90719.8</v>
      </c>
      <c r="K24" s="76">
        <f t="shared" si="8"/>
        <v>439459.8</v>
      </c>
    </row>
    <row r="25" spans="1:11" ht="15.75" thickBot="1" x14ac:dyDescent="0.3">
      <c r="A25" s="774" t="s">
        <v>609</v>
      </c>
      <c r="B25" s="775"/>
      <c r="C25" s="775"/>
      <c r="D25" s="775"/>
      <c r="E25" s="776"/>
      <c r="F25" s="76"/>
      <c r="G25" s="76"/>
      <c r="H25" s="76"/>
      <c r="I25" s="76">
        <v>74787</v>
      </c>
      <c r="J25" s="76">
        <f>I25*27%+1</f>
        <v>20193.490000000002</v>
      </c>
      <c r="K25" s="76">
        <f t="shared" si="8"/>
        <v>94980.49</v>
      </c>
    </row>
    <row r="26" spans="1:11" ht="15.75" thickBot="1" x14ac:dyDescent="0.3">
      <c r="A26" s="774" t="s">
        <v>218</v>
      </c>
      <c r="B26" s="775"/>
      <c r="C26" s="775"/>
      <c r="D26" s="775"/>
      <c r="E26" s="776"/>
      <c r="F26" s="76">
        <f>15000*12</f>
        <v>180000</v>
      </c>
      <c r="G26" s="76">
        <f t="shared" si="5"/>
        <v>48600</v>
      </c>
      <c r="H26" s="76">
        <f t="shared" si="6"/>
        <v>228600</v>
      </c>
      <c r="I26" s="76">
        <f>15000*12</f>
        <v>180000</v>
      </c>
      <c r="J26" s="76">
        <f t="shared" si="7"/>
        <v>48600</v>
      </c>
      <c r="K26" s="76">
        <f t="shared" si="8"/>
        <v>228600</v>
      </c>
    </row>
    <row r="27" spans="1:11" ht="15.75" thickBot="1" x14ac:dyDescent="0.3">
      <c r="A27" s="774" t="s">
        <v>457</v>
      </c>
      <c r="B27" s="775"/>
      <c r="C27" s="775"/>
      <c r="D27" s="775"/>
      <c r="E27" s="776"/>
      <c r="F27" s="76">
        <f>28000*12</f>
        <v>336000</v>
      </c>
      <c r="G27" s="76">
        <v>0</v>
      </c>
      <c r="H27" s="76">
        <f t="shared" si="6"/>
        <v>336000</v>
      </c>
      <c r="I27" s="76">
        <f>28000*12</f>
        <v>336000</v>
      </c>
      <c r="J27" s="76">
        <v>0</v>
      </c>
      <c r="K27" s="76">
        <f t="shared" si="8"/>
        <v>336000</v>
      </c>
    </row>
    <row r="28" spans="1:11" ht="15.75" thickBot="1" x14ac:dyDescent="0.3">
      <c r="A28" s="774" t="s">
        <v>458</v>
      </c>
      <c r="B28" s="775"/>
      <c r="C28" s="775"/>
      <c r="D28" s="775"/>
      <c r="E28" s="776"/>
      <c r="F28" s="76">
        <f>9449*12</f>
        <v>113388</v>
      </c>
      <c r="G28" s="76">
        <f t="shared" si="5"/>
        <v>30614.760000000002</v>
      </c>
      <c r="H28" s="76">
        <f>F28+G28</f>
        <v>144002.76</v>
      </c>
      <c r="I28" s="76">
        <f>9449*12</f>
        <v>113388</v>
      </c>
      <c r="J28" s="76">
        <f t="shared" ref="J28" si="9">I28*27%</f>
        <v>30614.760000000002</v>
      </c>
      <c r="K28" s="76">
        <f>I28+J28</f>
        <v>144002.76</v>
      </c>
    </row>
    <row r="29" spans="1:11" s="73" customFormat="1" ht="15.75" thickBot="1" x14ac:dyDescent="0.3">
      <c r="A29" s="774" t="s">
        <v>189</v>
      </c>
      <c r="B29" s="775"/>
      <c r="C29" s="775"/>
      <c r="D29" s="775"/>
      <c r="E29" s="776"/>
      <c r="F29" s="76">
        <f>4087*12+6500*12</f>
        <v>127044</v>
      </c>
      <c r="G29" s="76">
        <f>F29*5%</f>
        <v>6352.2000000000007</v>
      </c>
      <c r="H29" s="76">
        <f t="shared" si="6"/>
        <v>133396.20000000001</v>
      </c>
      <c r="I29" s="76">
        <f>4087*12+6500*12</f>
        <v>127044</v>
      </c>
      <c r="J29" s="76">
        <f>I29*5%</f>
        <v>6352.2000000000007</v>
      </c>
      <c r="K29" s="76">
        <f t="shared" ref="K29" si="10">I29+J29</f>
        <v>133396.20000000001</v>
      </c>
    </row>
    <row r="30" spans="1:11" ht="15.75" thickBot="1" x14ac:dyDescent="0.3">
      <c r="A30" s="767" t="s">
        <v>190</v>
      </c>
      <c r="B30" s="768"/>
      <c r="C30" s="768"/>
      <c r="D30" s="768"/>
      <c r="E30" s="769"/>
      <c r="F30" s="75">
        <f>F23+F24+F26+F27+F28+F29</f>
        <v>1176432</v>
      </c>
      <c r="G30" s="75">
        <f t="shared" ref="G30:H30" si="11">G23+G24+G26+G27+G28+G29</f>
        <v>198966.96000000002</v>
      </c>
      <c r="H30" s="75">
        <f t="shared" si="11"/>
        <v>1375398.96</v>
      </c>
      <c r="I30" s="75">
        <f>I23+I24+I26+I27+I28+I29+I25</f>
        <v>1263959</v>
      </c>
      <c r="J30" s="75">
        <f t="shared" ref="J30:K30" si="12">J23+J24+J26+J27+J28+J29+J25</f>
        <v>219160.25</v>
      </c>
      <c r="K30" s="75">
        <f t="shared" si="12"/>
        <v>1483119.25</v>
      </c>
    </row>
    <row r="31" spans="1:11" s="73" customFormat="1" ht="15.75" thickBot="1" x14ac:dyDescent="0.3">
      <c r="A31" s="774" t="s">
        <v>191</v>
      </c>
      <c r="B31" s="775"/>
      <c r="C31" s="775"/>
      <c r="D31" s="775"/>
      <c r="E31" s="776"/>
      <c r="F31" s="76">
        <f>11152*12+4497*12</f>
        <v>187788</v>
      </c>
      <c r="G31" s="76">
        <f>F31*27%</f>
        <v>50702.76</v>
      </c>
      <c r="H31" s="76">
        <f>F31+G31</f>
        <v>238490.76</v>
      </c>
      <c r="I31" s="76">
        <f>11152*12+4497*12</f>
        <v>187788</v>
      </c>
      <c r="J31" s="76">
        <f>I31*27%</f>
        <v>50702.76</v>
      </c>
      <c r="K31" s="76">
        <f>I31+J31</f>
        <v>238490.76</v>
      </c>
    </row>
    <row r="32" spans="1:11" s="73" customFormat="1" ht="15.75" thickBot="1" x14ac:dyDescent="0.3">
      <c r="A32" s="767" t="s">
        <v>192</v>
      </c>
      <c r="B32" s="768"/>
      <c r="C32" s="768"/>
      <c r="D32" s="768"/>
      <c r="E32" s="769"/>
      <c r="F32" s="75">
        <f t="shared" ref="F32:K32" si="13">F31</f>
        <v>187788</v>
      </c>
      <c r="G32" s="75">
        <f t="shared" si="13"/>
        <v>50702.76</v>
      </c>
      <c r="H32" s="75">
        <f t="shared" si="13"/>
        <v>238490.76</v>
      </c>
      <c r="I32" s="75">
        <f t="shared" si="13"/>
        <v>187788</v>
      </c>
      <c r="J32" s="75">
        <f t="shared" si="13"/>
        <v>50702.76</v>
      </c>
      <c r="K32" s="75">
        <f t="shared" si="13"/>
        <v>238490.76</v>
      </c>
    </row>
    <row r="33" spans="1:11" ht="15.75" thickBot="1" x14ac:dyDescent="0.3">
      <c r="A33" s="767" t="s">
        <v>193</v>
      </c>
      <c r="B33" s="768"/>
      <c r="C33" s="768"/>
      <c r="D33" s="768"/>
      <c r="E33" s="769"/>
      <c r="F33" s="75">
        <f t="shared" ref="F33:K33" si="14">F32+F30</f>
        <v>1364220</v>
      </c>
      <c r="G33" s="75">
        <f t="shared" si="14"/>
        <v>249669.72000000003</v>
      </c>
      <c r="H33" s="75">
        <f t="shared" si="14"/>
        <v>1613889.72</v>
      </c>
      <c r="I33" s="75">
        <f t="shared" si="14"/>
        <v>1451747</v>
      </c>
      <c r="J33" s="75">
        <f t="shared" si="14"/>
        <v>269863.01</v>
      </c>
      <c r="K33" s="75">
        <f t="shared" si="14"/>
        <v>1721610.01</v>
      </c>
    </row>
    <row r="34" spans="1:11" s="73" customFormat="1" ht="15.75" thickBot="1" x14ac:dyDescent="0.3">
      <c r="A34" s="748" t="s">
        <v>219</v>
      </c>
      <c r="B34" s="749"/>
      <c r="C34" s="749"/>
      <c r="D34" s="749"/>
      <c r="E34" s="750"/>
      <c r="F34" s="76">
        <f>1181*12</f>
        <v>14172</v>
      </c>
      <c r="G34" s="76">
        <v>3828</v>
      </c>
      <c r="H34" s="76">
        <f>F34+G34</f>
        <v>18000</v>
      </c>
      <c r="I34" s="76">
        <f>1181*12</f>
        <v>14172</v>
      </c>
      <c r="J34" s="76">
        <v>3828</v>
      </c>
      <c r="K34" s="76">
        <f>I34+J34</f>
        <v>18000</v>
      </c>
    </row>
    <row r="35" spans="1:11" s="220" customFormat="1" ht="15.75" thickBot="1" x14ac:dyDescent="0.3">
      <c r="A35" s="650" t="s">
        <v>561</v>
      </c>
      <c r="B35" s="651"/>
      <c r="C35" s="651"/>
      <c r="D35" s="651"/>
      <c r="E35" s="652"/>
      <c r="F35" s="219"/>
      <c r="G35" s="219"/>
      <c r="H35" s="219"/>
      <c r="I35" s="219">
        <v>25984</v>
      </c>
      <c r="J35" s="219">
        <v>7016</v>
      </c>
      <c r="K35" s="219">
        <v>33000</v>
      </c>
    </row>
    <row r="36" spans="1:11" s="135" customFormat="1" ht="15.75" thickBot="1" x14ac:dyDescent="0.3">
      <c r="A36" s="818" t="s">
        <v>220</v>
      </c>
      <c r="B36" s="819"/>
      <c r="C36" s="819"/>
      <c r="D36" s="819"/>
      <c r="E36" s="820"/>
      <c r="F36" s="221">
        <f>F34</f>
        <v>14172</v>
      </c>
      <c r="G36" s="221">
        <f>G34</f>
        <v>3828</v>
      </c>
      <c r="H36" s="221">
        <f>H34</f>
        <v>18000</v>
      </c>
      <c r="I36" s="221">
        <f>I34+I35</f>
        <v>40156</v>
      </c>
      <c r="J36" s="221">
        <f t="shared" ref="J36:K36" si="15">J34+J35</f>
        <v>10844</v>
      </c>
      <c r="K36" s="221">
        <f t="shared" si="15"/>
        <v>51000</v>
      </c>
    </row>
    <row r="37" spans="1:11" ht="15.75" thickBot="1" x14ac:dyDescent="0.3">
      <c r="A37" s="748" t="s">
        <v>195</v>
      </c>
      <c r="B37" s="749"/>
      <c r="C37" s="749"/>
      <c r="D37" s="749"/>
      <c r="E37" s="750"/>
      <c r="F37" s="76">
        <v>20000</v>
      </c>
      <c r="G37" s="76">
        <f>F37*27%</f>
        <v>5400</v>
      </c>
      <c r="H37" s="76">
        <f>F37+G37</f>
        <v>25400</v>
      </c>
      <c r="I37" s="76">
        <v>0</v>
      </c>
      <c r="J37" s="76">
        <f>I37*27%</f>
        <v>0</v>
      </c>
      <c r="K37" s="76">
        <f t="shared" ref="K37:K46" si="16">I37+J37</f>
        <v>0</v>
      </c>
    </row>
    <row r="38" spans="1:11" ht="15.75" thickBot="1" x14ac:dyDescent="0.3">
      <c r="A38" s="748" t="s">
        <v>221</v>
      </c>
      <c r="B38" s="749"/>
      <c r="C38" s="749"/>
      <c r="D38" s="749"/>
      <c r="E38" s="750"/>
      <c r="F38" s="76">
        <f>8*8000</f>
        <v>64000</v>
      </c>
      <c r="G38" s="76">
        <v>0</v>
      </c>
      <c r="H38" s="76">
        <f>F38+G38</f>
        <v>64000</v>
      </c>
      <c r="I38" s="76">
        <v>99900</v>
      </c>
      <c r="J38" s="76">
        <v>0</v>
      </c>
      <c r="K38" s="76">
        <f t="shared" si="16"/>
        <v>99900</v>
      </c>
    </row>
    <row r="39" spans="1:11" s="220" customFormat="1" ht="15.75" thickBot="1" x14ac:dyDescent="0.3">
      <c r="A39" s="650" t="s">
        <v>222</v>
      </c>
      <c r="B39" s="651"/>
      <c r="C39" s="651"/>
      <c r="D39" s="651"/>
      <c r="E39" s="652"/>
      <c r="F39" s="219">
        <f>250000+6496*4</f>
        <v>275984</v>
      </c>
      <c r="G39" s="219">
        <f>1754*4</f>
        <v>7016</v>
      </c>
      <c r="H39" s="219">
        <f>F39+G39</f>
        <v>283000</v>
      </c>
      <c r="I39" s="219">
        <v>253100</v>
      </c>
      <c r="J39" s="219"/>
      <c r="K39" s="219">
        <f t="shared" si="16"/>
        <v>253100</v>
      </c>
    </row>
    <row r="40" spans="1:11" s="73" customFormat="1" ht="15.75" thickBot="1" x14ac:dyDescent="0.3">
      <c r="A40" s="748" t="s">
        <v>223</v>
      </c>
      <c r="B40" s="749"/>
      <c r="C40" s="749"/>
      <c r="D40" s="749"/>
      <c r="E40" s="750"/>
      <c r="F40" s="76">
        <f>20000*12</f>
        <v>240000</v>
      </c>
      <c r="G40" s="76">
        <v>0</v>
      </c>
      <c r="H40" s="76">
        <f>F40+G40</f>
        <v>240000</v>
      </c>
      <c r="I40" s="76">
        <f>20000*12+50000+100000</f>
        <v>390000</v>
      </c>
      <c r="J40" s="76">
        <v>0</v>
      </c>
      <c r="K40" s="76">
        <f t="shared" si="16"/>
        <v>390000</v>
      </c>
    </row>
    <row r="41" spans="1:11" s="73" customFormat="1" ht="15.75" thickBot="1" x14ac:dyDescent="0.3">
      <c r="A41" s="650" t="s">
        <v>459</v>
      </c>
      <c r="B41" s="749"/>
      <c r="C41" s="749"/>
      <c r="D41" s="749"/>
      <c r="E41" s="750"/>
      <c r="F41" s="76">
        <v>228347</v>
      </c>
      <c r="G41" s="76">
        <f>F41*27%-1</f>
        <v>61652.69</v>
      </c>
      <c r="H41" s="76">
        <f>F41+G41</f>
        <v>289999.69</v>
      </c>
      <c r="I41" s="76">
        <v>228347</v>
      </c>
      <c r="J41" s="76">
        <f>I41*27%-1</f>
        <v>61652.69</v>
      </c>
      <c r="K41" s="76">
        <f t="shared" si="16"/>
        <v>289999.69</v>
      </c>
    </row>
    <row r="42" spans="1:11" s="220" customFormat="1" ht="15.75" thickBot="1" x14ac:dyDescent="0.3">
      <c r="A42" s="650" t="s">
        <v>562</v>
      </c>
      <c r="B42" s="651"/>
      <c r="C42" s="651"/>
      <c r="D42" s="651"/>
      <c r="E42" s="652"/>
      <c r="F42" s="219"/>
      <c r="G42" s="219"/>
      <c r="H42" s="219"/>
      <c r="I42" s="219">
        <v>225712</v>
      </c>
      <c r="J42" s="219">
        <v>0</v>
      </c>
      <c r="K42" s="219">
        <f t="shared" si="16"/>
        <v>225712</v>
      </c>
    </row>
    <row r="43" spans="1:11" s="220" customFormat="1" ht="15.75" thickBot="1" x14ac:dyDescent="0.3">
      <c r="A43" s="650" t="s">
        <v>563</v>
      </c>
      <c r="B43" s="651"/>
      <c r="C43" s="651"/>
      <c r="D43" s="651"/>
      <c r="E43" s="652"/>
      <c r="F43" s="219"/>
      <c r="G43" s="219"/>
      <c r="H43" s="219"/>
      <c r="I43" s="219">
        <v>34000</v>
      </c>
      <c r="J43" s="219">
        <v>0</v>
      </c>
      <c r="K43" s="219">
        <f t="shared" si="16"/>
        <v>34000</v>
      </c>
    </row>
    <row r="44" spans="1:11" s="220" customFormat="1" ht="15.75" thickBot="1" x14ac:dyDescent="0.3">
      <c r="A44" s="748" t="s">
        <v>610</v>
      </c>
      <c r="B44" s="749"/>
      <c r="C44" s="749"/>
      <c r="D44" s="749"/>
      <c r="E44" s="750"/>
      <c r="F44" s="219"/>
      <c r="G44" s="219"/>
      <c r="H44" s="219"/>
      <c r="I44" s="219">
        <v>150000</v>
      </c>
      <c r="J44" s="219">
        <v>0</v>
      </c>
      <c r="K44" s="219">
        <f t="shared" si="16"/>
        <v>150000</v>
      </c>
    </row>
    <row r="45" spans="1:11" s="220" customFormat="1" ht="15.75" thickBot="1" x14ac:dyDescent="0.3">
      <c r="A45" s="650" t="s">
        <v>701</v>
      </c>
      <c r="B45" s="651"/>
      <c r="C45" s="651"/>
      <c r="D45" s="651"/>
      <c r="E45" s="652"/>
      <c r="F45" s="219"/>
      <c r="G45" s="219"/>
      <c r="H45" s="219"/>
      <c r="I45" s="219">
        <v>31000</v>
      </c>
      <c r="J45" s="219">
        <v>0</v>
      </c>
      <c r="K45" s="219">
        <f t="shared" si="16"/>
        <v>31000</v>
      </c>
    </row>
    <row r="46" spans="1:11" s="220" customFormat="1" ht="15.75" thickBot="1" x14ac:dyDescent="0.3">
      <c r="A46" s="650" t="s">
        <v>702</v>
      </c>
      <c r="B46" s="651"/>
      <c r="C46" s="651"/>
      <c r="D46" s="651"/>
      <c r="E46" s="652"/>
      <c r="F46" s="219"/>
      <c r="G46" s="219"/>
      <c r="H46" s="219"/>
      <c r="I46" s="219">
        <v>20000</v>
      </c>
      <c r="J46" s="219">
        <v>0</v>
      </c>
      <c r="K46" s="219">
        <f t="shared" si="16"/>
        <v>20000</v>
      </c>
    </row>
    <row r="47" spans="1:11" ht="15.75" thickBot="1" x14ac:dyDescent="0.3">
      <c r="A47" s="742" t="s">
        <v>201</v>
      </c>
      <c r="B47" s="743"/>
      <c r="C47" s="743"/>
      <c r="D47" s="743"/>
      <c r="E47" s="744"/>
      <c r="F47" s="75">
        <f>F39+F40+F41</f>
        <v>744331</v>
      </c>
      <c r="G47" s="75">
        <f>G39+G40+G41</f>
        <v>68668.69</v>
      </c>
      <c r="H47" s="75">
        <f>H39+H40+H41</f>
        <v>812999.69</v>
      </c>
      <c r="I47" s="75">
        <f>SUM(I39:I46)</f>
        <v>1332159</v>
      </c>
      <c r="J47" s="75">
        <f t="shared" ref="J47:K47" si="17">SUM(J39:J46)</f>
        <v>61652.69</v>
      </c>
      <c r="K47" s="75">
        <f t="shared" si="17"/>
        <v>1393811.69</v>
      </c>
    </row>
    <row r="48" spans="1:11" s="73" customFormat="1" ht="15.75" thickBot="1" x14ac:dyDescent="0.3">
      <c r="A48" s="742" t="s">
        <v>202</v>
      </c>
      <c r="B48" s="743"/>
      <c r="C48" s="743"/>
      <c r="D48" s="743"/>
      <c r="E48" s="744"/>
      <c r="F48" s="75">
        <f>F36+F37+F38+F47</f>
        <v>842503</v>
      </c>
      <c r="G48" s="75">
        <f>G36+G37+G38+G47</f>
        <v>77896.69</v>
      </c>
      <c r="H48" s="75">
        <f>H36+H37+H38+H47</f>
        <v>920399.69</v>
      </c>
      <c r="I48" s="75">
        <f>I36+I37+I38+I47</f>
        <v>1472215</v>
      </c>
      <c r="J48" s="75">
        <f t="shared" ref="J48:K48" si="18">J36+J37+J38+J47</f>
        <v>72496.69</v>
      </c>
      <c r="K48" s="75">
        <f t="shared" si="18"/>
        <v>1544711.69</v>
      </c>
    </row>
    <row r="49" spans="1:11" ht="15.75" thickBot="1" x14ac:dyDescent="0.3">
      <c r="A49" s="748" t="s">
        <v>203</v>
      </c>
      <c r="B49" s="749"/>
      <c r="C49" s="749"/>
      <c r="D49" s="749"/>
      <c r="E49" s="750"/>
      <c r="F49" s="76">
        <v>70000</v>
      </c>
      <c r="G49" s="76">
        <v>0</v>
      </c>
      <c r="H49" s="76">
        <f>F49+G49</f>
        <v>70000</v>
      </c>
      <c r="I49" s="76">
        <v>70000</v>
      </c>
      <c r="J49" s="76">
        <v>0</v>
      </c>
      <c r="K49" s="76">
        <f>I49+J49</f>
        <v>70000</v>
      </c>
    </row>
    <row r="50" spans="1:11" ht="15.75" thickBot="1" x14ac:dyDescent="0.3">
      <c r="A50" s="742" t="s">
        <v>205</v>
      </c>
      <c r="B50" s="743"/>
      <c r="C50" s="743"/>
      <c r="D50" s="743"/>
      <c r="E50" s="744"/>
      <c r="F50" s="75">
        <f t="shared" ref="F50:K50" si="19">F49</f>
        <v>70000</v>
      </c>
      <c r="G50" s="75">
        <f t="shared" si="19"/>
        <v>0</v>
      </c>
      <c r="H50" s="75">
        <f t="shared" si="19"/>
        <v>70000</v>
      </c>
      <c r="I50" s="75">
        <f t="shared" si="19"/>
        <v>70000</v>
      </c>
      <c r="J50" s="75">
        <f t="shared" si="19"/>
        <v>0</v>
      </c>
      <c r="K50" s="75">
        <f t="shared" si="19"/>
        <v>70000</v>
      </c>
    </row>
    <row r="51" spans="1:11" s="220" customFormat="1" ht="15.75" thickBot="1" x14ac:dyDescent="0.3">
      <c r="A51" s="650" t="s">
        <v>206</v>
      </c>
      <c r="B51" s="651"/>
      <c r="C51" s="651"/>
      <c r="D51" s="651"/>
      <c r="E51" s="652"/>
      <c r="F51" s="219">
        <v>0</v>
      </c>
      <c r="G51" s="219">
        <f>G50+G48+G33+G22</f>
        <v>411600.71</v>
      </c>
      <c r="H51" s="219">
        <f>G51</f>
        <v>411600.71</v>
      </c>
      <c r="I51" s="219">
        <v>0</v>
      </c>
      <c r="J51" s="219">
        <f>J22+J33+J48</f>
        <v>460240.91000000003</v>
      </c>
      <c r="K51" s="219">
        <f t="shared" ref="K51" si="20">J51</f>
        <v>460240.91000000003</v>
      </c>
    </row>
    <row r="52" spans="1:11" s="73" customFormat="1" ht="15.75" thickBot="1" x14ac:dyDescent="0.3">
      <c r="A52" s="748" t="s">
        <v>209</v>
      </c>
      <c r="B52" s="749"/>
      <c r="C52" s="749"/>
      <c r="D52" s="749"/>
      <c r="E52" s="750"/>
      <c r="F52" s="76">
        <v>20000</v>
      </c>
      <c r="G52" s="76">
        <v>0</v>
      </c>
      <c r="H52" s="76">
        <f>F52+G52</f>
        <v>20000</v>
      </c>
      <c r="I52" s="76">
        <v>52190</v>
      </c>
      <c r="J52" s="76">
        <v>0</v>
      </c>
      <c r="K52" s="76">
        <f>I52+J52</f>
        <v>52190</v>
      </c>
    </row>
    <row r="53" spans="1:11" s="80" customFormat="1" ht="19.5" thickBot="1" x14ac:dyDescent="0.35">
      <c r="A53" s="742" t="s">
        <v>207</v>
      </c>
      <c r="B53" s="743"/>
      <c r="C53" s="743"/>
      <c r="D53" s="743"/>
      <c r="E53" s="744"/>
      <c r="F53" s="75">
        <f>F51+F52</f>
        <v>20000</v>
      </c>
      <c r="G53" s="75">
        <f>G51</f>
        <v>411600.71</v>
      </c>
      <c r="H53" s="75">
        <f>H51+H52</f>
        <v>431600.71</v>
      </c>
      <c r="I53" s="75">
        <f>I51+I52</f>
        <v>52190</v>
      </c>
      <c r="J53" s="75">
        <f>J51</f>
        <v>460240.91000000003</v>
      </c>
      <c r="K53" s="75">
        <f>K51+K52</f>
        <v>512430.91000000003</v>
      </c>
    </row>
    <row r="54" spans="1:11" ht="15.75" thickBot="1" x14ac:dyDescent="0.3">
      <c r="A54" s="742" t="s">
        <v>208</v>
      </c>
      <c r="B54" s="743"/>
      <c r="C54" s="743"/>
      <c r="D54" s="743"/>
      <c r="E54" s="744"/>
      <c r="F54" s="75">
        <f>F22+F33+F48+F50+F53</f>
        <v>3112409</v>
      </c>
      <c r="G54" s="75">
        <f>G53</f>
        <v>411600.71</v>
      </c>
      <c r="H54" s="75">
        <f>H22+H33+H48+H50+H51+H52-H51</f>
        <v>3524009.71</v>
      </c>
      <c r="I54" s="75">
        <f>I22+I33+I48+I50+I53</f>
        <v>3928571</v>
      </c>
      <c r="J54" s="75">
        <f>J53</f>
        <v>460240.91000000003</v>
      </c>
      <c r="K54" s="75">
        <f>I54+J54</f>
        <v>4388811.91</v>
      </c>
    </row>
    <row r="55" spans="1:11" ht="15.75" thickBot="1" x14ac:dyDescent="0.3">
      <c r="A55" s="748" t="s">
        <v>388</v>
      </c>
      <c r="B55" s="749"/>
      <c r="C55" s="749"/>
      <c r="D55" s="749"/>
      <c r="E55" s="750"/>
      <c r="F55" s="76">
        <f>8425*8</f>
        <v>67400</v>
      </c>
      <c r="G55" s="76">
        <f>2275*8</f>
        <v>18200</v>
      </c>
      <c r="H55" s="76">
        <f>F55+G55</f>
        <v>85600</v>
      </c>
      <c r="I55" s="76">
        <f>8425*8</f>
        <v>67400</v>
      </c>
      <c r="J55" s="76">
        <f>2275*8</f>
        <v>18200</v>
      </c>
      <c r="K55" s="76">
        <f>I55+J55</f>
        <v>85600</v>
      </c>
    </row>
    <row r="56" spans="1:11" ht="15.75" thickBot="1" x14ac:dyDescent="0.3">
      <c r="A56" s="748" t="s">
        <v>460</v>
      </c>
      <c r="B56" s="749"/>
      <c r="C56" s="749"/>
      <c r="D56" s="749"/>
      <c r="E56" s="750"/>
      <c r="F56" s="76">
        <v>229134</v>
      </c>
      <c r="G56" s="76">
        <v>61866</v>
      </c>
      <c r="H56" s="76">
        <f>F56+G56</f>
        <v>291000</v>
      </c>
      <c r="I56" s="76">
        <v>229134</v>
      </c>
      <c r="J56" s="76">
        <v>61866</v>
      </c>
      <c r="K56" s="76">
        <f>I56+J56</f>
        <v>291000</v>
      </c>
    </row>
    <row r="57" spans="1:11" ht="15.75" thickBot="1" x14ac:dyDescent="0.3">
      <c r="A57" s="748" t="s">
        <v>526</v>
      </c>
      <c r="B57" s="749"/>
      <c r="C57" s="749"/>
      <c r="D57" s="749"/>
      <c r="E57" s="750"/>
      <c r="F57" s="76"/>
      <c r="G57" s="76"/>
      <c r="H57" s="76"/>
      <c r="I57" s="76">
        <v>153544</v>
      </c>
      <c r="J57" s="76">
        <v>41456</v>
      </c>
      <c r="K57" s="76">
        <f>I57+J57</f>
        <v>195000</v>
      </c>
    </row>
    <row r="58" spans="1:11" ht="15.75" thickBot="1" x14ac:dyDescent="0.3">
      <c r="A58" s="748" t="s">
        <v>527</v>
      </c>
      <c r="B58" s="749"/>
      <c r="C58" s="749"/>
      <c r="D58" s="749"/>
      <c r="E58" s="750"/>
      <c r="G58" s="76"/>
      <c r="I58" s="76">
        <v>69527</v>
      </c>
      <c r="J58" s="76">
        <v>18773</v>
      </c>
      <c r="K58" s="76">
        <f t="shared" ref="K58:K59" si="21">I58+J58</f>
        <v>88300</v>
      </c>
    </row>
    <row r="59" spans="1:11" ht="15.75" thickBot="1" x14ac:dyDescent="0.3">
      <c r="A59" s="748" t="s">
        <v>528</v>
      </c>
      <c r="B59" s="749"/>
      <c r="C59" s="749"/>
      <c r="D59" s="749"/>
      <c r="E59" s="750"/>
      <c r="F59" s="76"/>
      <c r="G59" s="76"/>
      <c r="H59" s="76"/>
      <c r="I59" s="76">
        <v>40944</v>
      </c>
      <c r="J59" s="76">
        <v>11056</v>
      </c>
      <c r="K59" s="76">
        <f t="shared" si="21"/>
        <v>52000</v>
      </c>
    </row>
    <row r="60" spans="1:11" ht="15.75" thickBot="1" x14ac:dyDescent="0.3">
      <c r="A60" s="742" t="s">
        <v>703</v>
      </c>
      <c r="B60" s="743"/>
      <c r="C60" s="743"/>
      <c r="D60" s="743"/>
      <c r="E60" s="744"/>
      <c r="F60" s="76"/>
      <c r="G60" s="76"/>
      <c r="H60" s="76"/>
      <c r="I60" s="76">
        <f>I55+I56+I57+I58+I59</f>
        <v>560549</v>
      </c>
      <c r="J60" s="76">
        <f t="shared" ref="J60:K60" si="22">J55+J56+J57+J58+J59</f>
        <v>151351</v>
      </c>
      <c r="K60" s="76">
        <f t="shared" si="22"/>
        <v>711900</v>
      </c>
    </row>
    <row r="61" spans="1:11" ht="15.75" thickBot="1" x14ac:dyDescent="0.3">
      <c r="A61" s="748" t="s">
        <v>704</v>
      </c>
      <c r="B61" s="749"/>
      <c r="C61" s="749"/>
      <c r="D61" s="749"/>
      <c r="E61" s="750"/>
      <c r="F61" s="76"/>
      <c r="G61" s="76"/>
      <c r="H61" s="76"/>
      <c r="I61" s="76">
        <v>7990</v>
      </c>
      <c r="J61" s="76">
        <v>0</v>
      </c>
      <c r="K61" s="76">
        <f>I61+J61</f>
        <v>7990</v>
      </c>
    </row>
    <row r="62" spans="1:11" ht="15.75" thickBot="1" x14ac:dyDescent="0.3">
      <c r="A62" s="742" t="s">
        <v>705</v>
      </c>
      <c r="B62" s="743"/>
      <c r="C62" s="743"/>
      <c r="D62" s="743"/>
      <c r="E62" s="744"/>
      <c r="F62" s="76"/>
      <c r="G62" s="76"/>
      <c r="H62" s="76"/>
      <c r="I62" s="75">
        <f>I61</f>
        <v>7990</v>
      </c>
      <c r="J62" s="75">
        <f t="shared" ref="J62:K62" si="23">J61</f>
        <v>0</v>
      </c>
      <c r="K62" s="75">
        <f t="shared" si="23"/>
        <v>7990</v>
      </c>
    </row>
    <row r="63" spans="1:11" s="73" customFormat="1" ht="15.75" thickBot="1" x14ac:dyDescent="0.3">
      <c r="A63" s="742" t="s">
        <v>461</v>
      </c>
      <c r="B63" s="743"/>
      <c r="C63" s="743"/>
      <c r="D63" s="743"/>
      <c r="E63" s="744"/>
      <c r="F63" s="75">
        <f>F55+F56</f>
        <v>296534</v>
      </c>
      <c r="G63" s="75">
        <f>G55+G56</f>
        <v>80066</v>
      </c>
      <c r="H63" s="75">
        <f>H55+H56</f>
        <v>376600</v>
      </c>
      <c r="I63" s="75">
        <f>I60+I62</f>
        <v>568539</v>
      </c>
      <c r="J63" s="75">
        <f t="shared" ref="J63:K63" si="24">J60+J62</f>
        <v>151351</v>
      </c>
      <c r="K63" s="75">
        <f t="shared" si="24"/>
        <v>719890</v>
      </c>
    </row>
    <row r="64" spans="1:11" s="73" customFormat="1" ht="46.5" customHeight="1" thickBot="1" x14ac:dyDescent="0.3">
      <c r="A64" s="815" t="s">
        <v>706</v>
      </c>
      <c r="B64" s="816"/>
      <c r="C64" s="816"/>
      <c r="D64" s="816"/>
      <c r="E64" s="817"/>
      <c r="F64" s="75"/>
      <c r="G64" s="75"/>
      <c r="H64" s="75"/>
      <c r="I64" s="47">
        <v>19230</v>
      </c>
      <c r="J64" s="75">
        <v>0</v>
      </c>
      <c r="K64" s="75">
        <f>I64+J64</f>
        <v>19230</v>
      </c>
    </row>
    <row r="65" spans="1:11" s="73" customFormat="1" ht="15.75" thickBot="1" x14ac:dyDescent="0.3">
      <c r="A65" s="742" t="s">
        <v>707</v>
      </c>
      <c r="B65" s="743"/>
      <c r="C65" s="743"/>
      <c r="D65" s="743"/>
      <c r="E65" s="744"/>
      <c r="F65" s="75"/>
      <c r="G65" s="75"/>
      <c r="H65" s="75"/>
      <c r="I65" s="75">
        <f>I64</f>
        <v>19230</v>
      </c>
      <c r="J65" s="75">
        <v>0</v>
      </c>
      <c r="K65" s="75">
        <f>I65+J65</f>
        <v>19230</v>
      </c>
    </row>
    <row r="66" spans="1:11" s="46" customFormat="1" ht="19.5" thickBot="1" x14ac:dyDescent="0.35">
      <c r="A66" s="745" t="s">
        <v>224</v>
      </c>
      <c r="B66" s="746"/>
      <c r="C66" s="746"/>
      <c r="D66" s="746"/>
      <c r="E66" s="747"/>
      <c r="F66" s="79">
        <f>F54+F14+F13+F63</f>
        <v>44970016</v>
      </c>
      <c r="G66" s="79">
        <f>G54+G14+G13+G63</f>
        <v>491666.71</v>
      </c>
      <c r="H66" s="79">
        <f>H13+H14+H54+H63</f>
        <v>45461682.710000001</v>
      </c>
      <c r="I66" s="79">
        <f>I65+I63+I54+I14+I13</f>
        <v>48876975</v>
      </c>
      <c r="J66" s="79">
        <f t="shared" ref="J66:K66" si="25">J65+J63+J54+J14+J13</f>
        <v>611591.91</v>
      </c>
      <c r="K66" s="79">
        <f t="shared" si="25"/>
        <v>49488566.909999996</v>
      </c>
    </row>
    <row r="67" spans="1:11" x14ac:dyDescent="0.25">
      <c r="H67" s="72"/>
    </row>
  </sheetData>
  <mergeCells count="66">
    <mergeCell ref="A56:E56"/>
    <mergeCell ref="A57:E57"/>
    <mergeCell ref="A58:E58"/>
    <mergeCell ref="A59:E59"/>
    <mergeCell ref="A60:E60"/>
    <mergeCell ref="I3:K3"/>
    <mergeCell ref="A52:E52"/>
    <mergeCell ref="A53:E53"/>
    <mergeCell ref="A54:E54"/>
    <mergeCell ref="A55:E55"/>
    <mergeCell ref="A14:E14"/>
    <mergeCell ref="A8:E8"/>
    <mergeCell ref="A9:E9"/>
    <mergeCell ref="A10:E10"/>
    <mergeCell ref="A11:E11"/>
    <mergeCell ref="A12:E12"/>
    <mergeCell ref="A13:E13"/>
    <mergeCell ref="A28:E28"/>
    <mergeCell ref="A15:E15"/>
    <mergeCell ref="A16:E16"/>
    <mergeCell ref="A17:E17"/>
    <mergeCell ref="B1:G1"/>
    <mergeCell ref="A4:E4"/>
    <mergeCell ref="A5:E5"/>
    <mergeCell ref="A6:E6"/>
    <mergeCell ref="A7:E7"/>
    <mergeCell ref="F3:H3"/>
    <mergeCell ref="A18:E18"/>
    <mergeCell ref="A19:E19"/>
    <mergeCell ref="A20:E20"/>
    <mergeCell ref="A21:E21"/>
    <mergeCell ref="A22:E22"/>
    <mergeCell ref="A23:E23"/>
    <mergeCell ref="A26:E26"/>
    <mergeCell ref="A27:E27"/>
    <mergeCell ref="A25:E25"/>
    <mergeCell ref="A40:E40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50:E50"/>
    <mergeCell ref="A51:E51"/>
    <mergeCell ref="A41:E41"/>
    <mergeCell ref="A42:E42"/>
    <mergeCell ref="A44:E44"/>
    <mergeCell ref="A45:E45"/>
    <mergeCell ref="A46:E46"/>
    <mergeCell ref="A24:E24"/>
    <mergeCell ref="A43:E43"/>
    <mergeCell ref="A47:E47"/>
    <mergeCell ref="A48:E48"/>
    <mergeCell ref="A49:E49"/>
    <mergeCell ref="A66:E66"/>
    <mergeCell ref="A61:E61"/>
    <mergeCell ref="A62:E62"/>
    <mergeCell ref="A63:E63"/>
    <mergeCell ref="A64:E64"/>
    <mergeCell ref="A65:E65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K22"/>
  <sheetViews>
    <sheetView topLeftCell="A4" workbookViewId="0">
      <selection activeCell="G25" sqref="G25"/>
    </sheetView>
  </sheetViews>
  <sheetFormatPr defaultRowHeight="15" x14ac:dyDescent="0.25"/>
  <cols>
    <col min="4" max="4" width="16.7109375" customWidth="1"/>
    <col min="5" max="5" width="19.7109375" customWidth="1"/>
    <col min="10" max="10" width="16" customWidth="1"/>
    <col min="11" max="11" width="15.7109375" bestFit="1" customWidth="1"/>
  </cols>
  <sheetData>
    <row r="1" spans="1:11" x14ac:dyDescent="0.25">
      <c r="K1" s="216" t="s">
        <v>569</v>
      </c>
    </row>
    <row r="2" spans="1:11" x14ac:dyDescent="0.25">
      <c r="B2" s="834" t="s">
        <v>452</v>
      </c>
      <c r="C2" s="835"/>
      <c r="D2" s="835"/>
      <c r="E2" s="835"/>
    </row>
    <row r="4" spans="1:11" ht="15.75" thickBot="1" x14ac:dyDescent="0.3"/>
    <row r="5" spans="1:11" ht="15.75" thickBot="1" x14ac:dyDescent="0.3">
      <c r="A5" s="831" t="s">
        <v>565</v>
      </c>
      <c r="B5" s="832"/>
      <c r="C5" s="832"/>
      <c r="D5" s="832"/>
      <c r="E5" s="833"/>
      <c r="G5" s="836" t="s">
        <v>566</v>
      </c>
      <c r="H5" s="836"/>
      <c r="I5" s="836"/>
      <c r="J5" s="836"/>
      <c r="K5" s="836"/>
    </row>
    <row r="6" spans="1:11" ht="15.75" thickBot="1" x14ac:dyDescent="0.3">
      <c r="A6" s="748" t="s">
        <v>367</v>
      </c>
      <c r="B6" s="749"/>
      <c r="C6" s="749"/>
      <c r="D6" s="750"/>
      <c r="E6" s="116" t="s">
        <v>169</v>
      </c>
      <c r="G6" s="748" t="s">
        <v>367</v>
      </c>
      <c r="H6" s="749"/>
      <c r="I6" s="749"/>
      <c r="J6" s="750"/>
      <c r="K6" s="116" t="s">
        <v>169</v>
      </c>
    </row>
    <row r="7" spans="1:11" ht="15.75" thickBot="1" x14ac:dyDescent="0.3">
      <c r="A7" s="748" t="s">
        <v>368</v>
      </c>
      <c r="B7" s="749"/>
      <c r="C7" s="749"/>
      <c r="D7" s="750"/>
      <c r="E7" s="76">
        <v>32884400</v>
      </c>
      <c r="G7" s="748" t="s">
        <v>368</v>
      </c>
      <c r="H7" s="749"/>
      <c r="I7" s="749"/>
      <c r="J7" s="750"/>
      <c r="K7" s="76">
        <v>32884400</v>
      </c>
    </row>
    <row r="8" spans="1:11" ht="15.75" thickBot="1" x14ac:dyDescent="0.3">
      <c r="A8" s="650" t="s">
        <v>453</v>
      </c>
      <c r="B8" s="749"/>
      <c r="C8" s="749"/>
      <c r="D8" s="750"/>
      <c r="E8" s="76">
        <v>5744000</v>
      </c>
      <c r="G8" s="650" t="s">
        <v>453</v>
      </c>
      <c r="H8" s="749"/>
      <c r="I8" s="749"/>
      <c r="J8" s="750"/>
      <c r="K8" s="76">
        <v>5744000</v>
      </c>
    </row>
    <row r="9" spans="1:11" ht="15.75" thickBot="1" x14ac:dyDescent="0.3">
      <c r="A9" s="650" t="s">
        <v>567</v>
      </c>
      <c r="B9" s="749"/>
      <c r="C9" s="749"/>
      <c r="D9" s="750"/>
      <c r="E9" s="76">
        <v>268608</v>
      </c>
      <c r="G9" s="748" t="s">
        <v>454</v>
      </c>
      <c r="H9" s="749"/>
      <c r="I9" s="749"/>
      <c r="J9" s="750"/>
      <c r="K9" s="76">
        <v>269381</v>
      </c>
    </row>
    <row r="10" spans="1:11" ht="15.75" thickBot="1" x14ac:dyDescent="0.3">
      <c r="A10" s="764" t="s">
        <v>568</v>
      </c>
      <c r="B10" s="765"/>
      <c r="C10" s="765"/>
      <c r="D10" s="766"/>
      <c r="E10" s="117">
        <v>2702532</v>
      </c>
      <c r="G10" s="748" t="s">
        <v>369</v>
      </c>
      <c r="H10" s="749"/>
      <c r="I10" s="749"/>
      <c r="J10" s="750"/>
      <c r="K10" s="117">
        <v>915</v>
      </c>
    </row>
    <row r="11" spans="1:11" ht="15.75" thickBot="1" x14ac:dyDescent="0.3">
      <c r="A11" s="764" t="s">
        <v>708</v>
      </c>
      <c r="B11" s="765"/>
      <c r="C11" s="765"/>
      <c r="D11" s="766"/>
      <c r="E11" s="117">
        <v>180</v>
      </c>
      <c r="G11" s="309"/>
      <c r="H11" s="310"/>
      <c r="I11" s="310"/>
      <c r="J11" s="311"/>
      <c r="K11" s="117"/>
    </row>
    <row r="12" spans="1:11" ht="15.75" thickBot="1" x14ac:dyDescent="0.3">
      <c r="A12" s="764" t="s">
        <v>709</v>
      </c>
      <c r="B12" s="765"/>
      <c r="C12" s="765"/>
      <c r="D12" s="766"/>
      <c r="E12" s="117">
        <v>5000</v>
      </c>
      <c r="G12" s="309"/>
      <c r="H12" s="310"/>
      <c r="I12" s="310"/>
      <c r="J12" s="311"/>
      <c r="K12" s="117"/>
    </row>
    <row r="13" spans="1:11" ht="19.5" thickBot="1" x14ac:dyDescent="0.35">
      <c r="A13" s="745" t="s">
        <v>371</v>
      </c>
      <c r="B13" s="746"/>
      <c r="C13" s="746"/>
      <c r="D13" s="747"/>
      <c r="E13" s="79">
        <f>E7+E8+E9+E10+E11+E12</f>
        <v>41604720</v>
      </c>
      <c r="G13" s="748" t="s">
        <v>370</v>
      </c>
      <c r="H13" s="749"/>
      <c r="I13" s="749"/>
      <c r="J13" s="750"/>
      <c r="K13" s="117">
        <v>268466</v>
      </c>
    </row>
    <row r="14" spans="1:11" ht="19.5" thickBot="1" x14ac:dyDescent="0.35">
      <c r="E14" s="72"/>
      <c r="G14" s="745" t="s">
        <v>371</v>
      </c>
      <c r="H14" s="746"/>
      <c r="I14" s="746"/>
      <c r="J14" s="747"/>
      <c r="K14" s="79">
        <v>38897781</v>
      </c>
    </row>
    <row r="15" spans="1:11" ht="15.75" thickBot="1" x14ac:dyDescent="0.3">
      <c r="E15" s="72"/>
      <c r="K15" s="72"/>
    </row>
    <row r="16" spans="1:11" ht="16.5" thickBot="1" x14ac:dyDescent="0.3">
      <c r="D16" s="108" t="s">
        <v>372</v>
      </c>
      <c r="E16" s="77">
        <v>49488567</v>
      </c>
      <c r="K16" s="72"/>
    </row>
    <row r="17" spans="1:11" ht="16.5" thickBot="1" x14ac:dyDescent="0.3">
      <c r="E17" s="72"/>
      <c r="J17" s="108" t="s">
        <v>372</v>
      </c>
      <c r="K17" s="77">
        <v>45461683</v>
      </c>
    </row>
    <row r="18" spans="1:11" ht="15.75" thickBot="1" x14ac:dyDescent="0.3">
      <c r="E18" s="72"/>
      <c r="K18" s="72"/>
    </row>
    <row r="19" spans="1:11" ht="16.5" thickBot="1" x14ac:dyDescent="0.3">
      <c r="D19" s="108" t="s">
        <v>373</v>
      </c>
      <c r="E19" s="77">
        <f>E13-E16</f>
        <v>-7883847</v>
      </c>
      <c r="K19" s="72"/>
    </row>
    <row r="20" spans="1:11" ht="16.5" thickBot="1" x14ac:dyDescent="0.3">
      <c r="E20" s="72"/>
      <c r="J20" s="108" t="s">
        <v>373</v>
      </c>
      <c r="K20" s="77">
        <v>-6563902</v>
      </c>
    </row>
    <row r="21" spans="1:11" ht="15.75" thickBot="1" x14ac:dyDescent="0.3"/>
    <row r="22" spans="1:11" s="73" customFormat="1" ht="15.75" thickBot="1" x14ac:dyDescent="0.3">
      <c r="A22" s="742" t="s">
        <v>710</v>
      </c>
      <c r="B22" s="743"/>
      <c r="C22" s="743"/>
      <c r="D22" s="744"/>
      <c r="E22" s="75">
        <v>46512247</v>
      </c>
      <c r="K22" s="75">
        <v>45192302</v>
      </c>
    </row>
  </sheetData>
  <mergeCells count="19">
    <mergeCell ref="A11:D11"/>
    <mergeCell ref="G8:J8"/>
    <mergeCell ref="A9:D9"/>
    <mergeCell ref="G9:J9"/>
    <mergeCell ref="A10:D10"/>
    <mergeCell ref="G10:J10"/>
    <mergeCell ref="A8:D8"/>
    <mergeCell ref="B2:E2"/>
    <mergeCell ref="G6:J6"/>
    <mergeCell ref="G7:J7"/>
    <mergeCell ref="A6:D6"/>
    <mergeCell ref="A7:D7"/>
    <mergeCell ref="A5:E5"/>
    <mergeCell ref="G5:K5"/>
    <mergeCell ref="A12:D12"/>
    <mergeCell ref="A13:D13"/>
    <mergeCell ref="G13:J13"/>
    <mergeCell ref="G14:J14"/>
    <mergeCell ref="A22:D2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H87"/>
  <sheetViews>
    <sheetView topLeftCell="A31" workbookViewId="0">
      <selection activeCell="E36" sqref="E36"/>
    </sheetView>
  </sheetViews>
  <sheetFormatPr defaultRowHeight="15" x14ac:dyDescent="0.25"/>
  <cols>
    <col min="3" max="3" width="60.7109375" bestFit="1" customWidth="1"/>
    <col min="4" max="5" width="20" bestFit="1" customWidth="1"/>
    <col min="7" max="7" width="10" bestFit="1" customWidth="1"/>
    <col min="8" max="8" width="10.85546875" style="263" bestFit="1" customWidth="1"/>
  </cols>
  <sheetData>
    <row r="1" spans="1:5" ht="18.75" x14ac:dyDescent="0.3">
      <c r="A1" s="723" t="s">
        <v>570</v>
      </c>
      <c r="B1" s="724"/>
      <c r="C1" s="724"/>
      <c r="D1" s="724"/>
    </row>
    <row r="2" spans="1:5" ht="15.75" x14ac:dyDescent="0.25">
      <c r="A2" s="725"/>
      <c r="B2" s="725"/>
      <c r="C2" s="725"/>
      <c r="D2" s="725"/>
    </row>
    <row r="3" spans="1:5" ht="15.75" x14ac:dyDescent="0.25">
      <c r="A3" s="726" t="s">
        <v>1</v>
      </c>
      <c r="B3" s="726"/>
      <c r="C3" s="726"/>
      <c r="D3" s="726"/>
    </row>
    <row r="4" spans="1:5" ht="15.75" x14ac:dyDescent="0.25">
      <c r="A4" s="725" t="s">
        <v>504</v>
      </c>
      <c r="B4" s="725"/>
      <c r="C4" s="725"/>
      <c r="D4" s="725"/>
    </row>
    <row r="5" spans="1:5" ht="16.5" thickBot="1" x14ac:dyDescent="0.3">
      <c r="A5" s="727" t="s">
        <v>507</v>
      </c>
      <c r="B5" s="727"/>
      <c r="C5" s="727"/>
      <c r="D5" s="727"/>
    </row>
    <row r="6" spans="1:5" ht="12.75" customHeight="1" x14ac:dyDescent="0.25">
      <c r="A6" s="737" t="s">
        <v>3</v>
      </c>
      <c r="B6" s="736" t="s">
        <v>4</v>
      </c>
      <c r="C6" s="736"/>
      <c r="D6" s="842" t="s">
        <v>508</v>
      </c>
      <c r="E6" s="842" t="s">
        <v>508</v>
      </c>
    </row>
    <row r="7" spans="1:5" ht="35.25" customHeight="1" x14ac:dyDescent="0.25">
      <c r="A7" s="738"/>
      <c r="B7" s="740"/>
      <c r="C7" s="740"/>
      <c r="D7" s="843"/>
      <c r="E7" s="843"/>
    </row>
    <row r="8" spans="1:5" ht="21" customHeight="1" thickBot="1" x14ac:dyDescent="0.3">
      <c r="A8" s="739"/>
      <c r="B8" s="741"/>
      <c r="C8" s="741"/>
      <c r="D8" s="201" t="s">
        <v>326</v>
      </c>
      <c r="E8" s="201" t="s">
        <v>326</v>
      </c>
    </row>
    <row r="9" spans="1:5" ht="15.75" x14ac:dyDescent="0.25">
      <c r="A9" s="186"/>
      <c r="B9" s="736" t="s">
        <v>9</v>
      </c>
      <c r="C9" s="736"/>
      <c r="D9" s="53" t="s">
        <v>533</v>
      </c>
      <c r="E9" s="53" t="s">
        <v>534</v>
      </c>
    </row>
    <row r="10" spans="1:5" ht="15.75" x14ac:dyDescent="0.25">
      <c r="A10" s="3">
        <v>1</v>
      </c>
      <c r="B10" s="717" t="s">
        <v>10</v>
      </c>
      <c r="C10" s="717"/>
      <c r="D10" s="10">
        <f>[3]bér_jár_Cofogszerint!Y15</f>
        <v>71038925</v>
      </c>
      <c r="E10" s="10">
        <v>74855524</v>
      </c>
    </row>
    <row r="11" spans="1:5" ht="15.75" x14ac:dyDescent="0.25">
      <c r="A11" s="3">
        <v>2</v>
      </c>
      <c r="B11" s="717" t="s">
        <v>11</v>
      </c>
      <c r="C11" s="717"/>
      <c r="D11" s="10">
        <f>[3]bér_jár_Cofogszerint!Y18</f>
        <v>14121345.225</v>
      </c>
      <c r="E11" s="10">
        <v>15094329</v>
      </c>
    </row>
    <row r="12" spans="1:5" ht="15.75" x14ac:dyDescent="0.25">
      <c r="A12" s="3">
        <v>3</v>
      </c>
      <c r="B12" s="717" t="s">
        <v>12</v>
      </c>
      <c r="C12" s="717"/>
      <c r="D12" s="10">
        <v>133766236</v>
      </c>
      <c r="E12" s="10">
        <v>196607938</v>
      </c>
    </row>
    <row r="13" spans="1:5" ht="15.75" x14ac:dyDescent="0.25">
      <c r="A13" s="3" t="s">
        <v>13</v>
      </c>
      <c r="B13" s="717" t="s">
        <v>14</v>
      </c>
      <c r="C13" s="717"/>
      <c r="D13" s="10"/>
      <c r="E13" s="10"/>
    </row>
    <row r="14" spans="1:5" ht="15.75" x14ac:dyDescent="0.25">
      <c r="A14" s="3" t="s">
        <v>15</v>
      </c>
      <c r="B14" s="728" t="s">
        <v>16</v>
      </c>
      <c r="C14" s="728"/>
      <c r="D14" s="10">
        <f>D15+D16+D17+D18</f>
        <v>18280262</v>
      </c>
      <c r="E14" s="10">
        <f>E15+E16+E17+E18</f>
        <v>30091211</v>
      </c>
    </row>
    <row r="15" spans="1:5" ht="15.75" x14ac:dyDescent="0.25">
      <c r="A15" s="3" t="s">
        <v>17</v>
      </c>
      <c r="B15" s="719" t="s">
        <v>117</v>
      </c>
      <c r="C15" s="719"/>
      <c r="D15" s="10"/>
      <c r="E15" s="10"/>
    </row>
    <row r="16" spans="1:5" ht="15.75" x14ac:dyDescent="0.25">
      <c r="A16" s="3" t="s">
        <v>18</v>
      </c>
      <c r="B16" s="719" t="s">
        <v>19</v>
      </c>
      <c r="C16" s="719"/>
      <c r="D16" s="10">
        <v>8161962</v>
      </c>
      <c r="E16" s="10">
        <v>17146116</v>
      </c>
    </row>
    <row r="17" spans="1:5" ht="15.75" x14ac:dyDescent="0.25">
      <c r="A17" s="3"/>
      <c r="B17" s="840" t="s">
        <v>607</v>
      </c>
      <c r="C17" s="841"/>
      <c r="D17" s="10"/>
      <c r="E17" s="10">
        <v>2826795</v>
      </c>
    </row>
    <row r="18" spans="1:5" ht="15.75" x14ac:dyDescent="0.25">
      <c r="A18" s="3" t="s">
        <v>20</v>
      </c>
      <c r="B18" s="721" t="s">
        <v>21</v>
      </c>
      <c r="C18" s="721"/>
      <c r="D18" s="10">
        <v>10118300</v>
      </c>
      <c r="E18" s="10">
        <v>10118300</v>
      </c>
    </row>
    <row r="19" spans="1:5" ht="15.75" x14ac:dyDescent="0.25">
      <c r="A19" s="3" t="s">
        <v>22</v>
      </c>
      <c r="B19" s="721" t="s">
        <v>118</v>
      </c>
      <c r="C19" s="722"/>
      <c r="D19" s="181">
        <v>1136830</v>
      </c>
      <c r="E19" s="181">
        <v>3685034</v>
      </c>
    </row>
    <row r="20" spans="1:5" ht="15.75" x14ac:dyDescent="0.25">
      <c r="A20" s="3"/>
      <c r="B20" s="717" t="s">
        <v>327</v>
      </c>
      <c r="C20" s="717"/>
      <c r="D20" s="10">
        <v>0</v>
      </c>
      <c r="E20" s="10">
        <v>0</v>
      </c>
    </row>
    <row r="21" spans="1:5" ht="15.75" x14ac:dyDescent="0.25">
      <c r="A21" s="3"/>
      <c r="B21" s="717" t="s">
        <v>328</v>
      </c>
      <c r="C21" s="717"/>
      <c r="D21" s="11">
        <v>28456625</v>
      </c>
      <c r="E21" s="11">
        <v>3868303</v>
      </c>
    </row>
    <row r="22" spans="1:5" ht="15.75" x14ac:dyDescent="0.25">
      <c r="A22" s="3" t="s">
        <v>0</v>
      </c>
      <c r="B22" s="185" t="s">
        <v>24</v>
      </c>
      <c r="C22" s="58"/>
      <c r="D22" s="10">
        <f>D10+D11+D12+D14+D19+D21</f>
        <v>266800223.22499999</v>
      </c>
      <c r="E22" s="10">
        <f>E10+E11+E12+E14+E19+E21</f>
        <v>324202339</v>
      </c>
    </row>
    <row r="23" spans="1:5" ht="15.75" x14ac:dyDescent="0.25">
      <c r="A23" s="3" t="s">
        <v>25</v>
      </c>
      <c r="B23" s="717" t="s">
        <v>26</v>
      </c>
      <c r="C23" s="717"/>
      <c r="D23" s="14">
        <f>[3]beruházások!B14+[3]beruházások!B21</f>
        <v>396996930</v>
      </c>
      <c r="E23" s="14">
        <v>476565950</v>
      </c>
    </row>
    <row r="24" spans="1:5" ht="15.75" x14ac:dyDescent="0.25">
      <c r="A24" s="3" t="s">
        <v>27</v>
      </c>
      <c r="B24" s="717" t="s">
        <v>28</v>
      </c>
      <c r="C24" s="717"/>
      <c r="D24" s="14">
        <f>[3]beruházások!B25</f>
        <v>850000</v>
      </c>
      <c r="E24" s="14">
        <v>9833510</v>
      </c>
    </row>
    <row r="25" spans="1:5" ht="15.75" x14ac:dyDescent="0.25">
      <c r="A25" s="3" t="s">
        <v>29</v>
      </c>
      <c r="B25" s="717" t="s">
        <v>30</v>
      </c>
      <c r="C25" s="717"/>
      <c r="D25" s="14"/>
      <c r="E25" s="14"/>
    </row>
    <row r="26" spans="1:5" ht="15.75" x14ac:dyDescent="0.25">
      <c r="A26" s="3" t="s">
        <v>31</v>
      </c>
      <c r="B26" s="717" t="s">
        <v>32</v>
      </c>
      <c r="C26" s="717"/>
      <c r="D26" s="14">
        <f>SUM(D23:D25)</f>
        <v>397846930</v>
      </c>
      <c r="E26" s="14">
        <f>SUM(E23:E25)</f>
        <v>486399460</v>
      </c>
    </row>
    <row r="27" spans="1:5" ht="15.75" x14ac:dyDescent="0.25">
      <c r="A27" s="3" t="s">
        <v>33</v>
      </c>
      <c r="B27" s="717"/>
      <c r="C27" s="717"/>
      <c r="D27" s="14"/>
      <c r="E27" s="14"/>
    </row>
    <row r="28" spans="1:5" ht="15.75" x14ac:dyDescent="0.25">
      <c r="A28" s="3" t="s">
        <v>34</v>
      </c>
      <c r="B28" s="718"/>
      <c r="C28" s="718"/>
      <c r="D28" s="16"/>
      <c r="E28" s="16"/>
    </row>
    <row r="29" spans="1:5" ht="15.75" x14ac:dyDescent="0.25">
      <c r="A29" s="3" t="s">
        <v>35</v>
      </c>
      <c r="B29" s="718"/>
      <c r="C29" s="718"/>
      <c r="D29" s="17"/>
      <c r="E29" s="17"/>
    </row>
    <row r="30" spans="1:5" ht="19.5" x14ac:dyDescent="0.3">
      <c r="A30" s="18" t="s">
        <v>36</v>
      </c>
      <c r="B30" s="712" t="s">
        <v>162</v>
      </c>
      <c r="C30" s="712"/>
      <c r="D30" s="27">
        <f>+D22+D26+D27+D28+D29</f>
        <v>664647153.22500002</v>
      </c>
      <c r="E30" s="27">
        <f>+E22+E26+E27+E28+E29</f>
        <v>810601799</v>
      </c>
    </row>
    <row r="31" spans="1:5" ht="15.75" x14ac:dyDescent="0.25">
      <c r="A31" s="19"/>
      <c r="B31" s="715"/>
      <c r="C31" s="715"/>
      <c r="D31" s="82"/>
      <c r="E31" s="82"/>
    </row>
    <row r="32" spans="1:5" ht="15.75" x14ac:dyDescent="0.25">
      <c r="A32" s="3"/>
      <c r="B32" s="716" t="s">
        <v>37</v>
      </c>
      <c r="C32" s="716"/>
      <c r="D32" s="11"/>
      <c r="E32" s="11"/>
    </row>
    <row r="33" spans="1:8" ht="15.75" x14ac:dyDescent="0.25">
      <c r="A33" s="3" t="s">
        <v>38</v>
      </c>
      <c r="B33" s="713" t="s">
        <v>39</v>
      </c>
      <c r="C33" s="713"/>
      <c r="D33" s="20">
        <v>14451020</v>
      </c>
      <c r="E33" s="20">
        <v>19060932</v>
      </c>
    </row>
    <row r="34" spans="1:8" ht="15.75" x14ac:dyDescent="0.25">
      <c r="A34" s="3" t="s">
        <v>40</v>
      </c>
      <c r="B34" s="713" t="s">
        <v>41</v>
      </c>
      <c r="C34" s="713"/>
      <c r="D34" s="20">
        <f>SUM(D35:D37)</f>
        <v>40830000</v>
      </c>
      <c r="E34" s="20">
        <f>SUM(E35:E37)</f>
        <v>47080950</v>
      </c>
    </row>
    <row r="35" spans="1:8" ht="15.75" x14ac:dyDescent="0.25">
      <c r="A35" s="3"/>
      <c r="B35" s="22" t="s">
        <v>42</v>
      </c>
      <c r="C35" s="23" t="s">
        <v>43</v>
      </c>
      <c r="D35" s="20">
        <v>35825000</v>
      </c>
      <c r="E35" s="20">
        <v>41096191</v>
      </c>
    </row>
    <row r="36" spans="1:8" ht="15.75" x14ac:dyDescent="0.25">
      <c r="A36" s="3"/>
      <c r="B36" s="22" t="s">
        <v>44</v>
      </c>
      <c r="C36" s="23" t="s">
        <v>45</v>
      </c>
      <c r="D36" s="20">
        <v>4500000</v>
      </c>
      <c r="E36" s="20">
        <v>5479759</v>
      </c>
    </row>
    <row r="37" spans="1:8" ht="15.75" x14ac:dyDescent="0.25">
      <c r="A37" s="3"/>
      <c r="B37" s="22" t="s">
        <v>46</v>
      </c>
      <c r="C37" s="23" t="s">
        <v>47</v>
      </c>
      <c r="D37" s="20">
        <v>505000</v>
      </c>
      <c r="E37" s="20">
        <v>505000</v>
      </c>
    </row>
    <row r="38" spans="1:8" ht="15.75" x14ac:dyDescent="0.25">
      <c r="A38" s="3" t="s">
        <v>48</v>
      </c>
      <c r="B38" s="713" t="s">
        <v>49</v>
      </c>
      <c r="C38" s="713"/>
      <c r="D38" s="24">
        <v>152161604</v>
      </c>
      <c r="E38" s="24">
        <f>E39+E40+E41</f>
        <v>168080269</v>
      </c>
    </row>
    <row r="39" spans="1:8" ht="15.75" x14ac:dyDescent="0.25">
      <c r="A39" s="3"/>
      <c r="B39" s="25" t="s">
        <v>50</v>
      </c>
      <c r="C39" s="184" t="s">
        <v>51</v>
      </c>
      <c r="D39" s="24">
        <v>145525259</v>
      </c>
      <c r="E39" s="24">
        <v>150286259</v>
      </c>
    </row>
    <row r="40" spans="1:8" ht="15.75" x14ac:dyDescent="0.25">
      <c r="A40" s="3"/>
      <c r="B40" s="25" t="s">
        <v>52</v>
      </c>
      <c r="C40" s="184" t="s">
        <v>53</v>
      </c>
      <c r="D40" s="24">
        <v>0</v>
      </c>
      <c r="E40" s="24">
        <v>0</v>
      </c>
    </row>
    <row r="41" spans="1:8" ht="15.75" x14ac:dyDescent="0.25">
      <c r="A41" s="3"/>
      <c r="B41" s="25" t="s">
        <v>54</v>
      </c>
      <c r="C41" s="184" t="s">
        <v>55</v>
      </c>
      <c r="D41" s="24">
        <v>6636345</v>
      </c>
      <c r="E41" s="24">
        <v>17794010</v>
      </c>
    </row>
    <row r="42" spans="1:8" ht="15.75" x14ac:dyDescent="0.25">
      <c r="A42" s="3" t="s">
        <v>13</v>
      </c>
      <c r="B42" s="713" t="s">
        <v>56</v>
      </c>
      <c r="C42" s="713"/>
      <c r="D42" s="21">
        <f>D44+D43+D45</f>
        <v>14483373</v>
      </c>
      <c r="E42" s="21">
        <f>E44+E43+E45</f>
        <v>133094718</v>
      </c>
    </row>
    <row r="43" spans="1:8" ht="15.75" x14ac:dyDescent="0.25">
      <c r="A43" s="3"/>
      <c r="B43" s="25" t="s">
        <v>57</v>
      </c>
      <c r="C43" s="184" t="s">
        <v>58</v>
      </c>
      <c r="D43" s="24">
        <v>13483373</v>
      </c>
      <c r="E43" s="24">
        <v>131340353</v>
      </c>
    </row>
    <row r="44" spans="1:8" ht="15.75" x14ac:dyDescent="0.25">
      <c r="A44" s="3"/>
      <c r="B44" s="25" t="s">
        <v>59</v>
      </c>
      <c r="C44" s="184" t="s">
        <v>60</v>
      </c>
      <c r="D44" s="24"/>
      <c r="E44" s="24">
        <v>462365</v>
      </c>
    </row>
    <row r="45" spans="1:8" ht="15.75" x14ac:dyDescent="0.25">
      <c r="A45" s="3"/>
      <c r="B45" s="25" t="s">
        <v>61</v>
      </c>
      <c r="C45" s="184" t="s">
        <v>62</v>
      </c>
      <c r="D45" s="24">
        <v>1000000</v>
      </c>
      <c r="E45" s="24">
        <v>1292000</v>
      </c>
    </row>
    <row r="46" spans="1:8" ht="15.75" x14ac:dyDescent="0.25">
      <c r="A46" s="3"/>
      <c r="B46" s="25" t="s">
        <v>63</v>
      </c>
      <c r="C46" s="184" t="s">
        <v>64</v>
      </c>
      <c r="D46" s="24"/>
      <c r="E46" s="24"/>
    </row>
    <row r="47" spans="1:8" s="13" customFormat="1" ht="15.75" x14ac:dyDescent="0.25">
      <c r="A47" s="12" t="s">
        <v>0</v>
      </c>
      <c r="B47" s="711" t="s">
        <v>65</v>
      </c>
      <c r="C47" s="711"/>
      <c r="D47" s="26">
        <f>D33+D34+D38+D42</f>
        <v>221925997</v>
      </c>
      <c r="E47" s="26">
        <f>E33+E34+E38+E42</f>
        <v>367316869</v>
      </c>
      <c r="H47" s="264"/>
    </row>
    <row r="48" spans="1:8" ht="15.75" x14ac:dyDescent="0.25">
      <c r="A48" s="3" t="s">
        <v>15</v>
      </c>
      <c r="B48" s="713" t="s">
        <v>66</v>
      </c>
      <c r="C48" s="713"/>
      <c r="D48" s="21">
        <f>D49+D50</f>
        <v>7867898</v>
      </c>
      <c r="E48" s="21">
        <f>E49+E50</f>
        <v>9380270</v>
      </c>
    </row>
    <row r="49" spans="1:5" ht="15.75" x14ac:dyDescent="0.25">
      <c r="A49" s="3"/>
      <c r="B49" s="25" t="s">
        <v>67</v>
      </c>
      <c r="C49" s="184" t="s">
        <v>68</v>
      </c>
      <c r="D49" s="24">
        <v>3518600</v>
      </c>
      <c r="E49" s="24">
        <v>5030972</v>
      </c>
    </row>
    <row r="50" spans="1:5" ht="15.75" x14ac:dyDescent="0.25">
      <c r="A50" s="3"/>
      <c r="B50" s="25" t="s">
        <v>69</v>
      </c>
      <c r="C50" s="184" t="s">
        <v>70</v>
      </c>
      <c r="D50" s="24">
        <v>4349298</v>
      </c>
      <c r="E50" s="24">
        <v>4349298</v>
      </c>
    </row>
    <row r="51" spans="1:5" ht="15.75" x14ac:dyDescent="0.25">
      <c r="A51" s="3" t="s">
        <v>25</v>
      </c>
      <c r="B51" s="713" t="s">
        <v>71</v>
      </c>
      <c r="C51" s="713"/>
      <c r="D51" s="24">
        <f>SUM(D52:D53)</f>
        <v>0</v>
      </c>
      <c r="E51" s="24">
        <f>SUM(E52:E53)</f>
        <v>240909096</v>
      </c>
    </row>
    <row r="52" spans="1:5" ht="15.75" x14ac:dyDescent="0.25">
      <c r="A52" s="3"/>
      <c r="B52" s="25" t="s">
        <v>72</v>
      </c>
      <c r="C52" s="184" t="s">
        <v>73</v>
      </c>
      <c r="D52" s="24"/>
      <c r="E52" s="24"/>
    </row>
    <row r="53" spans="1:5" ht="15.75" x14ac:dyDescent="0.25">
      <c r="A53" s="3"/>
      <c r="B53" s="25" t="s">
        <v>74</v>
      </c>
      <c r="C53" s="184" t="s">
        <v>75</v>
      </c>
      <c r="D53" s="24">
        <v>0</v>
      </c>
      <c r="E53" s="24">
        <v>240909096</v>
      </c>
    </row>
    <row r="54" spans="1:5" ht="15.75" x14ac:dyDescent="0.25">
      <c r="A54" s="3" t="s">
        <v>27</v>
      </c>
      <c r="B54" s="713" t="s">
        <v>76</v>
      </c>
      <c r="C54" s="713"/>
      <c r="D54" s="24">
        <f>SUM(D55:D58)</f>
        <v>269478267</v>
      </c>
      <c r="E54" s="24">
        <f>SUM(E55:E58)</f>
        <v>22074571</v>
      </c>
    </row>
    <row r="55" spans="1:5" ht="15.75" x14ac:dyDescent="0.25">
      <c r="A55" s="3"/>
      <c r="B55" s="25" t="s">
        <v>77</v>
      </c>
      <c r="C55" s="184" t="s">
        <v>78</v>
      </c>
      <c r="D55" s="24">
        <v>0</v>
      </c>
      <c r="E55" s="24">
        <v>0</v>
      </c>
    </row>
    <row r="56" spans="1:5" ht="15.75" x14ac:dyDescent="0.25">
      <c r="A56" s="3"/>
      <c r="B56" s="25" t="s">
        <v>79</v>
      </c>
      <c r="C56" s="184" t="s">
        <v>80</v>
      </c>
      <c r="D56" s="24">
        <v>269478267</v>
      </c>
      <c r="E56" s="24">
        <v>22074571</v>
      </c>
    </row>
    <row r="57" spans="1:5" ht="15.75" x14ac:dyDescent="0.25">
      <c r="A57" s="3"/>
      <c r="B57" s="25"/>
      <c r="C57" s="245" t="s">
        <v>608</v>
      </c>
      <c r="D57" s="24"/>
      <c r="E57" s="24"/>
    </row>
    <row r="58" spans="1:5" ht="15.75" x14ac:dyDescent="0.25">
      <c r="A58" s="3"/>
      <c r="B58" s="25" t="s">
        <v>81</v>
      </c>
      <c r="C58" s="184" t="s">
        <v>82</v>
      </c>
      <c r="D58" s="24"/>
      <c r="E58" s="24"/>
    </row>
    <row r="59" spans="1:5" ht="15.75" x14ac:dyDescent="0.25">
      <c r="A59" s="12" t="s">
        <v>31</v>
      </c>
      <c r="B59" s="711" t="s">
        <v>83</v>
      </c>
      <c r="C59" s="711"/>
      <c r="D59" s="24">
        <f>+D48+D51+D54</f>
        <v>277346165</v>
      </c>
      <c r="E59" s="24">
        <f>+E48+E51+E54</f>
        <v>272363937</v>
      </c>
    </row>
    <row r="60" spans="1:5" ht="15.75" x14ac:dyDescent="0.25">
      <c r="A60" s="12" t="s">
        <v>33</v>
      </c>
      <c r="B60" s="711" t="s">
        <v>84</v>
      </c>
      <c r="C60" s="711"/>
      <c r="D60" s="26"/>
      <c r="E60" s="26"/>
    </row>
    <row r="61" spans="1:5" ht="15.75" x14ac:dyDescent="0.25">
      <c r="A61" s="12" t="s">
        <v>34</v>
      </c>
      <c r="B61" s="711" t="s">
        <v>85</v>
      </c>
      <c r="C61" s="711"/>
      <c r="D61" s="26"/>
      <c r="E61" s="26"/>
    </row>
    <row r="62" spans="1:5" ht="18.75" x14ac:dyDescent="0.3">
      <c r="A62" s="18" t="s">
        <v>86</v>
      </c>
      <c r="B62" s="710" t="s">
        <v>87</v>
      </c>
      <c r="C62" s="710"/>
      <c r="D62" s="84">
        <f>D47+D59</f>
        <v>499272162</v>
      </c>
      <c r="E62" s="84">
        <f>E47+E59</f>
        <v>639680806</v>
      </c>
    </row>
    <row r="63" spans="1:5" ht="18.75" x14ac:dyDescent="0.3">
      <c r="A63" s="18"/>
      <c r="B63" s="710" t="s">
        <v>88</v>
      </c>
      <c r="C63" s="710"/>
      <c r="D63" s="27">
        <f>+D30-D62</f>
        <v>165374991.22500002</v>
      </c>
      <c r="E63" s="27">
        <f>+E30-E62</f>
        <v>170920993</v>
      </c>
    </row>
    <row r="64" spans="1:5" ht="18.75" x14ac:dyDescent="0.3">
      <c r="A64" s="18"/>
      <c r="B64" s="713" t="s">
        <v>89</v>
      </c>
      <c r="C64" s="713"/>
      <c r="D64" s="27"/>
      <c r="E64" s="27"/>
    </row>
    <row r="65" spans="1:5" ht="15.75" x14ac:dyDescent="0.25">
      <c r="A65" s="12" t="s">
        <v>35</v>
      </c>
      <c r="B65" s="713" t="s">
        <v>90</v>
      </c>
      <c r="C65" s="713"/>
      <c r="D65" s="15">
        <f>SUM(D66:D67)</f>
        <v>265311227</v>
      </c>
      <c r="E65" s="15">
        <f>SUM(E66:E67)</f>
        <v>272156575</v>
      </c>
    </row>
    <row r="66" spans="1:5" ht="18.75" x14ac:dyDescent="0.25">
      <c r="A66" s="18"/>
      <c r="B66" s="29" t="s">
        <v>38</v>
      </c>
      <c r="C66" s="184" t="s">
        <v>91</v>
      </c>
      <c r="D66" s="11">
        <v>29532605</v>
      </c>
      <c r="E66" s="11">
        <v>36634104</v>
      </c>
    </row>
    <row r="67" spans="1:5" ht="18.75" x14ac:dyDescent="0.3">
      <c r="A67" s="18"/>
      <c r="B67" s="29" t="s">
        <v>40</v>
      </c>
      <c r="C67" s="184" t="s">
        <v>92</v>
      </c>
      <c r="D67" s="182">
        <v>235778622</v>
      </c>
      <c r="E67" s="182">
        <v>235522471</v>
      </c>
    </row>
    <row r="68" spans="1:5" ht="40.5" customHeight="1" x14ac:dyDescent="0.3">
      <c r="A68" s="18" t="s">
        <v>93</v>
      </c>
      <c r="B68" s="712" t="s">
        <v>94</v>
      </c>
      <c r="C68" s="837"/>
      <c r="D68" s="27">
        <f>D65</f>
        <v>265311227</v>
      </c>
      <c r="E68" s="27">
        <f>E65</f>
        <v>272156575</v>
      </c>
    </row>
    <row r="69" spans="1:5" ht="18.75" x14ac:dyDescent="0.3">
      <c r="A69" s="3" t="s">
        <v>95</v>
      </c>
      <c r="B69" s="713" t="s">
        <v>96</v>
      </c>
      <c r="C69" s="713"/>
      <c r="D69" s="183"/>
      <c r="E69" s="183"/>
    </row>
    <row r="70" spans="1:5" ht="18.75" x14ac:dyDescent="0.3">
      <c r="A70" s="3" t="s">
        <v>97</v>
      </c>
      <c r="B70" s="713" t="s">
        <v>98</v>
      </c>
      <c r="C70" s="713"/>
      <c r="D70" s="27">
        <f>SUM(D71:D74)</f>
        <v>0</v>
      </c>
      <c r="E70" s="27">
        <f>SUM(E71:E74)</f>
        <v>0</v>
      </c>
    </row>
    <row r="71" spans="1:5" ht="18.75" x14ac:dyDescent="0.3">
      <c r="A71" s="3"/>
      <c r="B71" s="25" t="s">
        <v>38</v>
      </c>
      <c r="C71" s="184" t="s">
        <v>164</v>
      </c>
      <c r="D71" s="34"/>
      <c r="E71" s="34"/>
    </row>
    <row r="72" spans="1:5" ht="18.75" x14ac:dyDescent="0.3">
      <c r="A72" s="3"/>
      <c r="B72" s="25" t="s">
        <v>40</v>
      </c>
      <c r="C72" s="184" t="s">
        <v>99</v>
      </c>
      <c r="D72" s="27"/>
      <c r="E72" s="27"/>
    </row>
    <row r="73" spans="1:5" ht="18.75" x14ac:dyDescent="0.3">
      <c r="A73" s="3"/>
      <c r="B73" s="25" t="s">
        <v>48</v>
      </c>
      <c r="C73" s="184" t="s">
        <v>100</v>
      </c>
      <c r="D73" s="34"/>
      <c r="E73" s="34"/>
    </row>
    <row r="74" spans="1:5" ht="18.75" x14ac:dyDescent="0.3">
      <c r="A74" s="3"/>
      <c r="B74" s="25" t="s">
        <v>13</v>
      </c>
      <c r="C74" s="184" t="s">
        <v>101</v>
      </c>
      <c r="D74" s="34"/>
      <c r="E74" s="34"/>
    </row>
    <row r="75" spans="1:5" ht="18.75" x14ac:dyDescent="0.3">
      <c r="A75" s="3"/>
      <c r="B75" s="25"/>
      <c r="C75" s="265" t="s">
        <v>617</v>
      </c>
      <c r="D75" s="34"/>
      <c r="E75" s="34">
        <v>5685665</v>
      </c>
    </row>
    <row r="76" spans="1:5" ht="42" customHeight="1" x14ac:dyDescent="0.3">
      <c r="A76" s="18" t="s">
        <v>102</v>
      </c>
      <c r="B76" s="714" t="s">
        <v>103</v>
      </c>
      <c r="C76" s="714"/>
      <c r="D76" s="27">
        <f>+D69+D70</f>
        <v>0</v>
      </c>
      <c r="E76" s="27">
        <f>+E69+E70</f>
        <v>0</v>
      </c>
    </row>
    <row r="77" spans="1:5" ht="18.75" x14ac:dyDescent="0.3">
      <c r="A77" s="18" t="s">
        <v>104</v>
      </c>
      <c r="B77" s="710" t="s">
        <v>105</v>
      </c>
      <c r="C77" s="710"/>
      <c r="D77" s="27">
        <f>+D68+D76</f>
        <v>265311227</v>
      </c>
      <c r="E77" s="27">
        <f>+E68+E76+E75</f>
        <v>277842240</v>
      </c>
    </row>
    <row r="78" spans="1:5" ht="18.75" x14ac:dyDescent="0.3">
      <c r="A78" s="3" t="s">
        <v>106</v>
      </c>
      <c r="B78" s="713" t="s">
        <v>107</v>
      </c>
      <c r="C78" s="713"/>
      <c r="D78" s="27">
        <v>99936236</v>
      </c>
      <c r="E78" s="27">
        <v>101235582</v>
      </c>
    </row>
    <row r="79" spans="1:5" ht="18.75" x14ac:dyDescent="0.3">
      <c r="A79" s="3" t="s">
        <v>108</v>
      </c>
      <c r="B79" s="713" t="s">
        <v>109</v>
      </c>
      <c r="C79" s="713"/>
      <c r="D79" s="34">
        <v>0</v>
      </c>
      <c r="E79" s="34">
        <v>0</v>
      </c>
    </row>
    <row r="80" spans="1:5" ht="18.75" x14ac:dyDescent="0.3">
      <c r="A80" s="3"/>
      <c r="B80" s="25" t="s">
        <v>38</v>
      </c>
      <c r="C80" s="184" t="s">
        <v>166</v>
      </c>
      <c r="D80" s="34"/>
      <c r="E80" s="34"/>
    </row>
    <row r="81" spans="1:5" ht="18.75" x14ac:dyDescent="0.3">
      <c r="A81" s="3"/>
      <c r="B81" s="25" t="s">
        <v>40</v>
      </c>
      <c r="C81" s="184" t="s">
        <v>167</v>
      </c>
      <c r="D81" s="34"/>
      <c r="E81" s="34"/>
    </row>
    <row r="82" spans="1:5" ht="18.75" x14ac:dyDescent="0.3">
      <c r="A82" s="3" t="s">
        <v>111</v>
      </c>
      <c r="B82" s="838" t="s">
        <v>711</v>
      </c>
      <c r="C82" s="839"/>
      <c r="D82" s="34"/>
      <c r="E82" s="34">
        <v>5685665</v>
      </c>
    </row>
    <row r="83" spans="1:5" ht="18.75" x14ac:dyDescent="0.3">
      <c r="A83" s="18" t="s">
        <v>112</v>
      </c>
      <c r="B83" s="710" t="s">
        <v>168</v>
      </c>
      <c r="C83" s="710"/>
      <c r="D83" s="27">
        <f>D78+D79</f>
        <v>99936236</v>
      </c>
      <c r="E83" s="27">
        <f>E78+E82</f>
        <v>106921247</v>
      </c>
    </row>
    <row r="84" spans="1:5" ht="18.75" x14ac:dyDescent="0.3">
      <c r="A84" s="18" t="s">
        <v>113</v>
      </c>
      <c r="B84" s="710" t="s">
        <v>114</v>
      </c>
      <c r="C84" s="710"/>
      <c r="D84" s="86">
        <f>+D30+D83</f>
        <v>764583389.22500002</v>
      </c>
      <c r="E84" s="86">
        <f>+E30+E83</f>
        <v>917523046</v>
      </c>
    </row>
    <row r="85" spans="1:5" ht="19.5" thickBot="1" x14ac:dyDescent="0.35">
      <c r="A85" s="69" t="s">
        <v>115</v>
      </c>
      <c r="B85" s="70" t="s">
        <v>116</v>
      </c>
      <c r="C85" s="70"/>
      <c r="D85" s="71">
        <f>D62+D77</f>
        <v>764583389</v>
      </c>
      <c r="E85" s="71">
        <f>E62+E77</f>
        <v>917523046</v>
      </c>
    </row>
    <row r="86" spans="1:5" ht="15.75" x14ac:dyDescent="0.25">
      <c r="A86" s="2"/>
      <c r="B86" s="37"/>
      <c r="C86" s="37"/>
      <c r="D86" s="38"/>
    </row>
    <row r="87" spans="1:5" ht="15.75" x14ac:dyDescent="0.25">
      <c r="A87" s="2"/>
      <c r="B87" s="37"/>
      <c r="C87" s="37"/>
      <c r="D87" s="39">
        <f>+D85-D84</f>
        <v>-0.22500002384185791</v>
      </c>
      <c r="E87" s="338">
        <f>+E85-E84</f>
        <v>0</v>
      </c>
    </row>
  </sheetData>
  <mergeCells count="57">
    <mergeCell ref="E6:E7"/>
    <mergeCell ref="A1:D1"/>
    <mergeCell ref="A2:D2"/>
    <mergeCell ref="A3:D3"/>
    <mergeCell ref="A4:D4"/>
    <mergeCell ref="A5:D5"/>
    <mergeCell ref="B12:C12"/>
    <mergeCell ref="A6:A8"/>
    <mergeCell ref="B6:C8"/>
    <mergeCell ref="D6:D7"/>
    <mergeCell ref="B9:C9"/>
    <mergeCell ref="B10:C10"/>
    <mergeCell ref="B11:C11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4:C24"/>
    <mergeCell ref="B23:C23"/>
    <mergeCell ref="B26:C26"/>
    <mergeCell ref="B27:C27"/>
    <mergeCell ref="B28:C28"/>
    <mergeCell ref="B29:C29"/>
    <mergeCell ref="B30:C30"/>
    <mergeCell ref="B47:C47"/>
    <mergeCell ref="B51:C51"/>
    <mergeCell ref="B54:C54"/>
    <mergeCell ref="B59:C59"/>
    <mergeCell ref="B42:C42"/>
    <mergeCell ref="B31:C31"/>
    <mergeCell ref="B32:C32"/>
    <mergeCell ref="B33:C33"/>
    <mergeCell ref="B34:C34"/>
    <mergeCell ref="B38:C38"/>
    <mergeCell ref="B83:C83"/>
    <mergeCell ref="B84:C84"/>
    <mergeCell ref="B70:C70"/>
    <mergeCell ref="B77:C77"/>
    <mergeCell ref="B78:C78"/>
    <mergeCell ref="B79:C79"/>
    <mergeCell ref="B76:C76"/>
    <mergeCell ref="B82:C82"/>
    <mergeCell ref="B69:C69"/>
    <mergeCell ref="B48:C48"/>
    <mergeCell ref="B60:C60"/>
    <mergeCell ref="B61:C61"/>
    <mergeCell ref="B62:C62"/>
    <mergeCell ref="B68:C68"/>
    <mergeCell ref="B63:C63"/>
    <mergeCell ref="B64:C64"/>
    <mergeCell ref="B65:C65"/>
  </mergeCells>
  <pageMargins left="0.25" right="0.25" top="0.75" bottom="0.75" header="0.3" footer="0.3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A40"/>
  <sheetViews>
    <sheetView topLeftCell="A31" workbookViewId="0">
      <selection activeCell="AA39" sqref="AA39"/>
    </sheetView>
  </sheetViews>
  <sheetFormatPr defaultRowHeight="15" x14ac:dyDescent="0.25"/>
  <cols>
    <col min="6" max="6" width="7.42578125" customWidth="1"/>
    <col min="7" max="19" width="10.28515625" hidden="1" customWidth="1"/>
    <col min="24" max="24" width="12.42578125" bestFit="1" customWidth="1"/>
    <col min="27" max="27" width="12.42578125" bestFit="1" customWidth="1"/>
  </cols>
  <sheetData>
    <row r="1" spans="1:27" ht="18.75" customHeight="1" x14ac:dyDescent="0.25">
      <c r="A1" s="222"/>
      <c r="B1" s="223"/>
      <c r="C1" s="224" t="s">
        <v>532</v>
      </c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7" ht="15.75" customHeight="1" x14ac:dyDescent="0.25">
      <c r="A2" s="223"/>
      <c r="B2" s="223"/>
      <c r="C2" s="224" t="s">
        <v>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7" ht="15.75" customHeight="1" x14ac:dyDescent="0.25">
      <c r="A3" s="223"/>
      <c r="B3" s="223"/>
      <c r="C3" s="226" t="s">
        <v>225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</row>
    <row r="4" spans="1:27" ht="37.5" customHeight="1" thickBot="1" x14ac:dyDescent="0.3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863" t="s">
        <v>571</v>
      </c>
      <c r="W4" s="864"/>
      <c r="X4" s="864"/>
      <c r="Y4" s="864"/>
      <c r="Z4" s="864"/>
      <c r="AA4" s="864"/>
    </row>
    <row r="5" spans="1:27" ht="37.5" customHeight="1" thickBot="1" x14ac:dyDescent="0.3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865" t="s">
        <v>533</v>
      </c>
      <c r="W5" s="866"/>
      <c r="X5" s="867"/>
      <c r="Y5" s="865" t="s">
        <v>534</v>
      </c>
      <c r="Z5" s="866"/>
      <c r="AA5" s="867"/>
    </row>
    <row r="6" spans="1:27" ht="15.75" customHeight="1" x14ac:dyDescent="0.25">
      <c r="A6" s="868" t="s">
        <v>4</v>
      </c>
      <c r="B6" s="869"/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  <c r="R6" s="869"/>
      <c r="S6" s="870"/>
      <c r="T6" s="874" t="s">
        <v>3</v>
      </c>
      <c r="U6" s="875"/>
      <c r="V6" s="40" t="s">
        <v>226</v>
      </c>
      <c r="W6" s="228"/>
      <c r="X6" s="229"/>
      <c r="Y6" s="40" t="s">
        <v>226</v>
      </c>
      <c r="Z6" s="228"/>
      <c r="AA6" s="230"/>
    </row>
    <row r="7" spans="1:27" ht="15.75" customHeight="1" x14ac:dyDescent="0.25">
      <c r="A7" s="871"/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2"/>
      <c r="Q7" s="872"/>
      <c r="R7" s="872"/>
      <c r="S7" s="873"/>
      <c r="T7" s="876"/>
      <c r="U7" s="877"/>
      <c r="V7" s="41" t="s">
        <v>226</v>
      </c>
      <c r="W7" s="231" t="s">
        <v>227</v>
      </c>
      <c r="X7" s="232" t="s">
        <v>332</v>
      </c>
      <c r="Y7" s="41" t="s">
        <v>226</v>
      </c>
      <c r="Z7" s="231" t="s">
        <v>227</v>
      </c>
      <c r="AA7" s="233"/>
    </row>
    <row r="8" spans="1:27" ht="15.75" customHeight="1" x14ac:dyDescent="0.25">
      <c r="A8" s="852" t="s">
        <v>228</v>
      </c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3"/>
      <c r="O8" s="853"/>
      <c r="P8" s="853"/>
      <c r="Q8" s="853"/>
      <c r="R8" s="853"/>
      <c r="S8" s="854"/>
      <c r="T8" s="847" t="s">
        <v>229</v>
      </c>
      <c r="U8" s="848"/>
      <c r="V8" s="189" t="s">
        <v>230</v>
      </c>
      <c r="W8" s="190"/>
      <c r="X8" s="233">
        <v>75000</v>
      </c>
      <c r="Y8" s="189" t="s">
        <v>230</v>
      </c>
      <c r="Z8" s="190"/>
      <c r="AA8" s="233">
        <v>517000</v>
      </c>
    </row>
    <row r="9" spans="1:27" ht="15.75" customHeight="1" x14ac:dyDescent="0.25">
      <c r="A9" s="852" t="s">
        <v>231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4"/>
      <c r="T9" s="847" t="s">
        <v>232</v>
      </c>
      <c r="U9" s="848"/>
      <c r="V9" s="191" t="s">
        <v>233</v>
      </c>
      <c r="W9" s="190" t="s">
        <v>234</v>
      </c>
      <c r="X9" s="233">
        <v>8700000</v>
      </c>
      <c r="Y9" s="191" t="s">
        <v>233</v>
      </c>
      <c r="Z9" s="190" t="s">
        <v>234</v>
      </c>
      <c r="AA9" s="233">
        <v>17534659</v>
      </c>
    </row>
    <row r="10" spans="1:27" ht="16.5" customHeight="1" thickBot="1" x14ac:dyDescent="0.3">
      <c r="A10" s="852" t="s">
        <v>235</v>
      </c>
      <c r="B10" s="853"/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3"/>
      <c r="O10" s="853"/>
      <c r="P10" s="853"/>
      <c r="Q10" s="853"/>
      <c r="R10" s="853"/>
      <c r="S10" s="854"/>
      <c r="T10" s="847" t="s">
        <v>236</v>
      </c>
      <c r="U10" s="848"/>
      <c r="V10" s="191" t="s">
        <v>237</v>
      </c>
      <c r="W10" s="190" t="s">
        <v>238</v>
      </c>
      <c r="X10" s="233">
        <f>SUM(Y10:AY10)</f>
        <v>0</v>
      </c>
      <c r="Y10" s="191" t="s">
        <v>237</v>
      </c>
      <c r="Z10" s="190" t="s">
        <v>238</v>
      </c>
      <c r="AA10" s="233">
        <f>SUM(AB10:BB10)</f>
        <v>0</v>
      </c>
    </row>
    <row r="11" spans="1:27" ht="16.5" customHeight="1" thickBot="1" x14ac:dyDescent="0.3">
      <c r="A11" s="844" t="s">
        <v>239</v>
      </c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6"/>
      <c r="T11" s="847" t="s">
        <v>240</v>
      </c>
      <c r="U11" s="848"/>
      <c r="V11" s="191"/>
      <c r="W11" s="190" t="s">
        <v>241</v>
      </c>
      <c r="X11" s="192">
        <f>X8+X9+X10</f>
        <v>8775000</v>
      </c>
      <c r="Y11" s="191"/>
      <c r="Z11" s="190" t="s">
        <v>241</v>
      </c>
      <c r="AA11" s="192">
        <f>AA8+AA9+AA10</f>
        <v>18051659</v>
      </c>
    </row>
    <row r="12" spans="1:27" ht="15.75" customHeight="1" x14ac:dyDescent="0.25">
      <c r="A12" s="852" t="s">
        <v>242</v>
      </c>
      <c r="B12" s="853"/>
      <c r="C12" s="853"/>
      <c r="D12" s="853"/>
      <c r="E12" s="853"/>
      <c r="F12" s="853"/>
      <c r="G12" s="853"/>
      <c r="H12" s="853"/>
      <c r="I12" s="853"/>
      <c r="J12" s="853"/>
      <c r="K12" s="853"/>
      <c r="L12" s="853"/>
      <c r="M12" s="853"/>
      <c r="N12" s="853"/>
      <c r="O12" s="853"/>
      <c r="P12" s="853"/>
      <c r="Q12" s="853"/>
      <c r="R12" s="853"/>
      <c r="S12" s="854"/>
      <c r="T12" s="847" t="s">
        <v>243</v>
      </c>
      <c r="U12" s="848"/>
      <c r="V12" s="191" t="s">
        <v>244</v>
      </c>
      <c r="W12" s="190"/>
      <c r="X12" s="233">
        <v>1610000</v>
      </c>
      <c r="Y12" s="191" t="s">
        <v>244</v>
      </c>
      <c r="Z12" s="190"/>
      <c r="AA12" s="233">
        <v>1610000</v>
      </c>
    </row>
    <row r="13" spans="1:27" ht="16.5" customHeight="1" thickBot="1" x14ac:dyDescent="0.3">
      <c r="A13" s="852" t="s">
        <v>245</v>
      </c>
      <c r="B13" s="853"/>
      <c r="C13" s="853"/>
      <c r="D13" s="853"/>
      <c r="E13" s="853"/>
      <c r="F13" s="853"/>
      <c r="G13" s="853"/>
      <c r="H13" s="853"/>
      <c r="I13" s="853"/>
      <c r="J13" s="853"/>
      <c r="K13" s="853"/>
      <c r="L13" s="853"/>
      <c r="M13" s="853"/>
      <c r="N13" s="853"/>
      <c r="O13" s="853"/>
      <c r="P13" s="853"/>
      <c r="Q13" s="853"/>
      <c r="R13" s="853"/>
      <c r="S13" s="854"/>
      <c r="T13" s="847" t="s">
        <v>246</v>
      </c>
      <c r="U13" s="848"/>
      <c r="V13" s="191" t="s">
        <v>247</v>
      </c>
      <c r="W13" s="190"/>
      <c r="X13" s="233">
        <v>390000</v>
      </c>
      <c r="Y13" s="191" t="s">
        <v>247</v>
      </c>
      <c r="Z13" s="190"/>
      <c r="AA13" s="233">
        <v>460000</v>
      </c>
    </row>
    <row r="14" spans="1:27" ht="16.5" customHeight="1" thickBot="1" x14ac:dyDescent="0.3">
      <c r="A14" s="844" t="s">
        <v>248</v>
      </c>
      <c r="B14" s="845"/>
      <c r="C14" s="845"/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5"/>
      <c r="O14" s="845"/>
      <c r="P14" s="845"/>
      <c r="Q14" s="845"/>
      <c r="R14" s="845"/>
      <c r="S14" s="846"/>
      <c r="T14" s="847" t="s">
        <v>249</v>
      </c>
      <c r="U14" s="848"/>
      <c r="V14" s="191"/>
      <c r="W14" s="190"/>
      <c r="X14" s="192">
        <f>X12+X13</f>
        <v>2000000</v>
      </c>
      <c r="Y14" s="191"/>
      <c r="Z14" s="190"/>
      <c r="AA14" s="192">
        <f>AA12+AA13</f>
        <v>2070000</v>
      </c>
    </row>
    <row r="15" spans="1:27" ht="15.75" customHeight="1" x14ac:dyDescent="0.25">
      <c r="A15" s="852" t="s">
        <v>250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4"/>
      <c r="T15" s="847" t="s">
        <v>251</v>
      </c>
      <c r="U15" s="848"/>
      <c r="V15" s="191" t="s">
        <v>252</v>
      </c>
      <c r="W15" s="190"/>
      <c r="X15" s="233">
        <v>2950000</v>
      </c>
      <c r="Y15" s="191" t="s">
        <v>252</v>
      </c>
      <c r="Z15" s="190"/>
      <c r="AA15" s="233">
        <v>3350000</v>
      </c>
    </row>
    <row r="16" spans="1:27" ht="15.75" customHeight="1" x14ac:dyDescent="0.25">
      <c r="A16" s="852" t="s">
        <v>253</v>
      </c>
      <c r="B16" s="853"/>
      <c r="C16" s="853"/>
      <c r="D16" s="853"/>
      <c r="E16" s="853"/>
      <c r="F16" s="853"/>
      <c r="G16" s="853"/>
      <c r="H16" s="853"/>
      <c r="I16" s="853"/>
      <c r="J16" s="853"/>
      <c r="K16" s="853"/>
      <c r="L16" s="853"/>
      <c r="M16" s="853"/>
      <c r="N16" s="853"/>
      <c r="O16" s="853"/>
      <c r="P16" s="853"/>
      <c r="Q16" s="853"/>
      <c r="R16" s="853"/>
      <c r="S16" s="854"/>
      <c r="T16" s="847" t="s">
        <v>254</v>
      </c>
      <c r="U16" s="848"/>
      <c r="V16" s="191" t="s">
        <v>255</v>
      </c>
      <c r="W16" s="190" t="s">
        <v>256</v>
      </c>
      <c r="X16" s="233">
        <v>21300000</v>
      </c>
      <c r="Y16" s="191" t="s">
        <v>255</v>
      </c>
      <c r="Z16" s="190" t="s">
        <v>256</v>
      </c>
      <c r="AA16" s="233">
        <v>29828736</v>
      </c>
    </row>
    <row r="17" spans="1:27" ht="15.75" customHeight="1" x14ac:dyDescent="0.25">
      <c r="A17" s="852" t="s">
        <v>257</v>
      </c>
      <c r="B17" s="853"/>
      <c r="C17" s="853"/>
      <c r="D17" s="853"/>
      <c r="E17" s="853"/>
      <c r="F17" s="853"/>
      <c r="G17" s="853"/>
      <c r="H17" s="853"/>
      <c r="I17" s="853"/>
      <c r="J17" s="853"/>
      <c r="K17" s="853"/>
      <c r="L17" s="853"/>
      <c r="M17" s="853"/>
      <c r="N17" s="853"/>
      <c r="O17" s="853"/>
      <c r="P17" s="853"/>
      <c r="Q17" s="853"/>
      <c r="R17" s="853"/>
      <c r="S17" s="854"/>
      <c r="T17" s="847" t="s">
        <v>258</v>
      </c>
      <c r="U17" s="848"/>
      <c r="V17" s="191" t="s">
        <v>259</v>
      </c>
      <c r="W17" s="190"/>
      <c r="X17" s="233">
        <v>1350000</v>
      </c>
      <c r="Y17" s="191" t="s">
        <v>259</v>
      </c>
      <c r="Z17" s="190"/>
      <c r="AA17" s="233">
        <v>1350000</v>
      </c>
    </row>
    <row r="18" spans="1:27" ht="15.75" customHeight="1" x14ac:dyDescent="0.25">
      <c r="A18" s="849" t="s">
        <v>260</v>
      </c>
      <c r="B18" s="850"/>
      <c r="C18" s="850"/>
      <c r="D18" s="850"/>
      <c r="E18" s="850"/>
      <c r="F18" s="850"/>
      <c r="G18" s="850"/>
      <c r="H18" s="850"/>
      <c r="I18" s="850"/>
      <c r="J18" s="850"/>
      <c r="K18" s="850"/>
      <c r="L18" s="850"/>
      <c r="M18" s="850"/>
      <c r="N18" s="850"/>
      <c r="O18" s="850"/>
      <c r="P18" s="850"/>
      <c r="Q18" s="850"/>
      <c r="R18" s="850"/>
      <c r="S18" s="851"/>
      <c r="T18" s="847" t="s">
        <v>261</v>
      </c>
      <c r="U18" s="848"/>
      <c r="V18" s="191"/>
      <c r="W18" s="190" t="s">
        <v>262</v>
      </c>
      <c r="X18" s="233">
        <f t="shared" ref="X18:X21" si="0">SUM(Y18:AY18)</f>
        <v>0</v>
      </c>
      <c r="Y18" s="191"/>
      <c r="Z18" s="190" t="s">
        <v>262</v>
      </c>
      <c r="AA18" s="233">
        <f t="shared" ref="AA18:AA21" si="1">SUM(AB18:BB18)</f>
        <v>0</v>
      </c>
    </row>
    <row r="19" spans="1:27" ht="15.75" customHeight="1" x14ac:dyDescent="0.25">
      <c r="A19" s="852" t="s">
        <v>263</v>
      </c>
      <c r="B19" s="853"/>
      <c r="C19" s="853"/>
      <c r="D19" s="853"/>
      <c r="E19" s="853"/>
      <c r="F19" s="853"/>
      <c r="G19" s="853"/>
      <c r="H19" s="853"/>
      <c r="I19" s="853"/>
      <c r="J19" s="853"/>
      <c r="K19" s="853"/>
      <c r="L19" s="853"/>
      <c r="M19" s="853"/>
      <c r="N19" s="853"/>
      <c r="O19" s="853"/>
      <c r="P19" s="853"/>
      <c r="Q19" s="853"/>
      <c r="R19" s="853"/>
      <c r="S19" s="854"/>
      <c r="T19" s="847" t="s">
        <v>264</v>
      </c>
      <c r="U19" s="848"/>
      <c r="V19" s="191" t="s">
        <v>265</v>
      </c>
      <c r="W19" s="190"/>
      <c r="X19" s="233">
        <v>550000</v>
      </c>
      <c r="Y19" s="191" t="s">
        <v>265</v>
      </c>
      <c r="Z19" s="190"/>
      <c r="AA19" s="233">
        <v>1565339</v>
      </c>
    </row>
    <row r="20" spans="1:27" ht="15.75" customHeight="1" x14ac:dyDescent="0.25">
      <c r="A20" s="852" t="s">
        <v>266</v>
      </c>
      <c r="B20" s="853"/>
      <c r="C20" s="853"/>
      <c r="D20" s="853"/>
      <c r="E20" s="853"/>
      <c r="F20" s="853"/>
      <c r="G20" s="853"/>
      <c r="H20" s="853"/>
      <c r="I20" s="853"/>
      <c r="J20" s="853"/>
      <c r="K20" s="853"/>
      <c r="L20" s="853"/>
      <c r="M20" s="853"/>
      <c r="N20" s="853"/>
      <c r="O20" s="853"/>
      <c r="P20" s="853"/>
      <c r="Q20" s="853"/>
      <c r="R20" s="853"/>
      <c r="S20" s="854"/>
      <c r="T20" s="847" t="s">
        <v>267</v>
      </c>
      <c r="U20" s="848"/>
      <c r="V20" s="191" t="s">
        <v>268</v>
      </c>
      <c r="W20" s="190" t="s">
        <v>269</v>
      </c>
      <c r="X20" s="233">
        <f t="shared" si="0"/>
        <v>0</v>
      </c>
      <c r="Y20" s="191" t="s">
        <v>268</v>
      </c>
      <c r="Z20" s="190" t="s">
        <v>269</v>
      </c>
      <c r="AA20" s="233"/>
    </row>
    <row r="21" spans="1:27" ht="15.75" customHeight="1" x14ac:dyDescent="0.25">
      <c r="A21" s="849" t="s">
        <v>270</v>
      </c>
      <c r="B21" s="850"/>
      <c r="C21" s="850"/>
      <c r="D21" s="850"/>
      <c r="E21" s="850"/>
      <c r="F21" s="850"/>
      <c r="G21" s="850"/>
      <c r="H21" s="850"/>
      <c r="I21" s="850"/>
      <c r="J21" s="850"/>
      <c r="K21" s="850"/>
      <c r="L21" s="850"/>
      <c r="M21" s="850"/>
      <c r="N21" s="850"/>
      <c r="O21" s="850"/>
      <c r="P21" s="850"/>
      <c r="Q21" s="850"/>
      <c r="R21" s="850"/>
      <c r="S21" s="851"/>
      <c r="T21" s="847" t="s">
        <v>271</v>
      </c>
      <c r="U21" s="848"/>
      <c r="V21" s="191"/>
      <c r="W21" s="190" t="s">
        <v>238</v>
      </c>
      <c r="X21" s="233">
        <f t="shared" si="0"/>
        <v>0</v>
      </c>
      <c r="Y21" s="191"/>
      <c r="Z21" s="190" t="s">
        <v>238</v>
      </c>
      <c r="AA21" s="233">
        <f t="shared" si="1"/>
        <v>0</v>
      </c>
    </row>
    <row r="22" spans="1:27" ht="15.75" customHeight="1" x14ac:dyDescent="0.25">
      <c r="A22" s="858" t="s">
        <v>272</v>
      </c>
      <c r="B22" s="859"/>
      <c r="C22" s="859"/>
      <c r="D22" s="859"/>
      <c r="E22" s="859"/>
      <c r="F22" s="859"/>
      <c r="G22" s="859"/>
      <c r="H22" s="859"/>
      <c r="I22" s="859"/>
      <c r="J22" s="859"/>
      <c r="K22" s="859"/>
      <c r="L22" s="859"/>
      <c r="M22" s="859"/>
      <c r="N22" s="859"/>
      <c r="O22" s="859"/>
      <c r="P22" s="859"/>
      <c r="Q22" s="859"/>
      <c r="R22" s="859"/>
      <c r="S22" s="860"/>
      <c r="T22" s="861" t="s">
        <v>273</v>
      </c>
      <c r="U22" s="862"/>
      <c r="V22" s="193" t="s">
        <v>274</v>
      </c>
      <c r="W22" s="194"/>
      <c r="X22" s="234">
        <v>20000000</v>
      </c>
      <c r="Y22" s="193" t="s">
        <v>274</v>
      </c>
      <c r="Z22" s="194"/>
      <c r="AA22" s="234">
        <v>21768320</v>
      </c>
    </row>
    <row r="23" spans="1:27" ht="16.5" customHeight="1" thickBot="1" x14ac:dyDescent="0.3">
      <c r="A23" s="852" t="s">
        <v>275</v>
      </c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53"/>
      <c r="S23" s="854"/>
      <c r="T23" s="847" t="s">
        <v>276</v>
      </c>
      <c r="U23" s="848"/>
      <c r="V23" s="191" t="s">
        <v>277</v>
      </c>
      <c r="W23" s="190" t="s">
        <v>278</v>
      </c>
      <c r="X23" s="233">
        <v>51800000</v>
      </c>
      <c r="Y23" s="191" t="s">
        <v>277</v>
      </c>
      <c r="Z23" s="190" t="s">
        <v>278</v>
      </c>
      <c r="AA23" s="233">
        <v>77714351</v>
      </c>
    </row>
    <row r="24" spans="1:27" ht="16.5" customHeight="1" thickBot="1" x14ac:dyDescent="0.3">
      <c r="A24" s="844" t="s">
        <v>279</v>
      </c>
      <c r="B24" s="845"/>
      <c r="C24" s="845"/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  <c r="O24" s="845"/>
      <c r="P24" s="845"/>
      <c r="Q24" s="845"/>
      <c r="R24" s="845"/>
      <c r="S24" s="846"/>
      <c r="T24" s="847" t="s">
        <v>280</v>
      </c>
      <c r="U24" s="848"/>
      <c r="V24" s="191"/>
      <c r="W24" s="190"/>
      <c r="X24" s="192">
        <f>X15+X16+X17+X19+X20+X22+X23</f>
        <v>97950000</v>
      </c>
      <c r="Y24" s="191"/>
      <c r="Z24" s="190"/>
      <c r="AA24" s="192">
        <f>AA15+AA16+AA17+AA18+AA19+AA20+AA21+AA22+AA23</f>
        <v>135576746</v>
      </c>
    </row>
    <row r="25" spans="1:27" ht="15.75" customHeight="1" x14ac:dyDescent="0.25">
      <c r="A25" s="852" t="s">
        <v>281</v>
      </c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53"/>
      <c r="S25" s="854"/>
      <c r="T25" s="847" t="s">
        <v>282</v>
      </c>
      <c r="U25" s="848"/>
      <c r="V25" s="191" t="s">
        <v>283</v>
      </c>
      <c r="W25" s="190"/>
      <c r="X25" s="233">
        <v>190000</v>
      </c>
      <c r="Y25" s="191" t="s">
        <v>283</v>
      </c>
      <c r="Z25" s="190"/>
      <c r="AA25" s="233">
        <v>260000</v>
      </c>
    </row>
    <row r="26" spans="1:27" ht="16.5" customHeight="1" thickBot="1" x14ac:dyDescent="0.3">
      <c r="A26" s="858" t="s">
        <v>284</v>
      </c>
      <c r="B26" s="859"/>
      <c r="C26" s="859"/>
      <c r="D26" s="859"/>
      <c r="E26" s="859"/>
      <c r="F26" s="859"/>
      <c r="G26" s="859"/>
      <c r="H26" s="859"/>
      <c r="I26" s="859"/>
      <c r="J26" s="859"/>
      <c r="K26" s="859"/>
      <c r="L26" s="859"/>
      <c r="M26" s="859"/>
      <c r="N26" s="859"/>
      <c r="O26" s="859"/>
      <c r="P26" s="859"/>
      <c r="Q26" s="859"/>
      <c r="R26" s="859"/>
      <c r="S26" s="860"/>
      <c r="T26" s="847" t="s">
        <v>285</v>
      </c>
      <c r="U26" s="848"/>
      <c r="V26" s="193" t="s">
        <v>286</v>
      </c>
      <c r="W26" s="190"/>
      <c r="X26" s="233">
        <v>460000</v>
      </c>
      <c r="Y26" s="193" t="s">
        <v>286</v>
      </c>
      <c r="Z26" s="190"/>
      <c r="AA26" s="233">
        <v>1121480</v>
      </c>
    </row>
    <row r="27" spans="1:27" ht="16.5" customHeight="1" thickBot="1" x14ac:dyDescent="0.3">
      <c r="A27" s="844" t="s">
        <v>287</v>
      </c>
      <c r="B27" s="845"/>
      <c r="C27" s="845"/>
      <c r="D27" s="845"/>
      <c r="E27" s="845"/>
      <c r="F27" s="845"/>
      <c r="G27" s="845"/>
      <c r="H27" s="845"/>
      <c r="I27" s="845"/>
      <c r="J27" s="845"/>
      <c r="K27" s="845"/>
      <c r="L27" s="845"/>
      <c r="M27" s="845"/>
      <c r="N27" s="845"/>
      <c r="O27" s="845"/>
      <c r="P27" s="845"/>
      <c r="Q27" s="845"/>
      <c r="R27" s="845"/>
      <c r="S27" s="846"/>
      <c r="T27" s="847" t="s">
        <v>288</v>
      </c>
      <c r="U27" s="848"/>
      <c r="V27" s="191"/>
      <c r="W27" s="190" t="s">
        <v>289</v>
      </c>
      <c r="X27" s="192">
        <f>X25+X26</f>
        <v>650000</v>
      </c>
      <c r="Y27" s="191"/>
      <c r="Z27" s="190" t="s">
        <v>289</v>
      </c>
      <c r="AA27" s="192">
        <f>AA25+AA26</f>
        <v>1381480</v>
      </c>
    </row>
    <row r="28" spans="1:27" ht="15.75" customHeight="1" x14ac:dyDescent="0.25">
      <c r="A28" s="852" t="s">
        <v>290</v>
      </c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53"/>
      <c r="S28" s="854"/>
      <c r="T28" s="847" t="s">
        <v>291</v>
      </c>
      <c r="U28" s="848"/>
      <c r="V28" s="191" t="s">
        <v>292</v>
      </c>
      <c r="W28" s="190" t="s">
        <v>293</v>
      </c>
      <c r="X28" s="233">
        <v>23058236</v>
      </c>
      <c r="Y28" s="191" t="s">
        <v>292</v>
      </c>
      <c r="Z28" s="190" t="s">
        <v>293</v>
      </c>
      <c r="AA28" s="233">
        <v>35132133</v>
      </c>
    </row>
    <row r="29" spans="1:27" ht="15.75" customHeight="1" x14ac:dyDescent="0.25">
      <c r="A29" s="855" t="s">
        <v>294</v>
      </c>
      <c r="B29" s="856"/>
      <c r="C29" s="856"/>
      <c r="D29" s="856"/>
      <c r="E29" s="856"/>
      <c r="F29" s="856"/>
      <c r="G29" s="856"/>
      <c r="H29" s="856"/>
      <c r="I29" s="856"/>
      <c r="J29" s="856"/>
      <c r="K29" s="856"/>
      <c r="L29" s="856"/>
      <c r="M29" s="856"/>
      <c r="N29" s="856"/>
      <c r="O29" s="856"/>
      <c r="P29" s="856"/>
      <c r="Q29" s="856"/>
      <c r="R29" s="856"/>
      <c r="S29" s="857"/>
      <c r="T29" s="847" t="s">
        <v>295</v>
      </c>
      <c r="U29" s="848"/>
      <c r="V29" s="193" t="s">
        <v>296</v>
      </c>
      <c r="W29" s="190"/>
      <c r="X29" s="233">
        <v>133000</v>
      </c>
      <c r="Y29" s="193" t="s">
        <v>296</v>
      </c>
      <c r="Z29" s="190"/>
      <c r="AA29" s="233">
        <v>0</v>
      </c>
    </row>
    <row r="30" spans="1:27" ht="15.75" customHeight="1" x14ac:dyDescent="0.25">
      <c r="A30" s="844" t="s">
        <v>297</v>
      </c>
      <c r="B30" s="845"/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6"/>
      <c r="T30" s="847" t="s">
        <v>298</v>
      </c>
      <c r="U30" s="848"/>
      <c r="V30" s="191" t="s">
        <v>299</v>
      </c>
      <c r="W30" s="190"/>
      <c r="X30" s="233">
        <f>X32+X31</f>
        <v>0</v>
      </c>
      <c r="Y30" s="191" t="s">
        <v>299</v>
      </c>
      <c r="Z30" s="190"/>
      <c r="AA30" s="233">
        <f>AA32+AA31</f>
        <v>0</v>
      </c>
    </row>
    <row r="31" spans="1:27" ht="15.75" customHeight="1" x14ac:dyDescent="0.25">
      <c r="A31" s="849" t="s">
        <v>300</v>
      </c>
      <c r="B31" s="850"/>
      <c r="C31" s="850"/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1"/>
      <c r="T31" s="847" t="s">
        <v>301</v>
      </c>
      <c r="U31" s="848"/>
      <c r="V31" s="191" t="s">
        <v>299</v>
      </c>
      <c r="W31" s="190" t="s">
        <v>302</v>
      </c>
      <c r="X31" s="233">
        <f>SUM(Y31:AY31)</f>
        <v>0</v>
      </c>
      <c r="Y31" s="191" t="s">
        <v>299</v>
      </c>
      <c r="Z31" s="190" t="s">
        <v>302</v>
      </c>
      <c r="AA31" s="233">
        <f>SUM(AB31:BB31)</f>
        <v>0</v>
      </c>
    </row>
    <row r="32" spans="1:27" ht="15.75" customHeight="1" x14ac:dyDescent="0.25">
      <c r="A32" s="849" t="s">
        <v>303</v>
      </c>
      <c r="B32" s="850"/>
      <c r="C32" s="850"/>
      <c r="D32" s="850"/>
      <c r="E32" s="850"/>
      <c r="F32" s="850"/>
      <c r="G32" s="850"/>
      <c r="H32" s="850"/>
      <c r="I32" s="850"/>
      <c r="J32" s="850"/>
      <c r="K32" s="850"/>
      <c r="L32" s="850"/>
      <c r="M32" s="850"/>
      <c r="N32" s="850"/>
      <c r="O32" s="850"/>
      <c r="P32" s="850"/>
      <c r="Q32" s="850"/>
      <c r="R32" s="850"/>
      <c r="S32" s="851"/>
      <c r="T32" s="847" t="s">
        <v>304</v>
      </c>
      <c r="U32" s="848"/>
      <c r="V32" s="191" t="s">
        <v>299</v>
      </c>
      <c r="W32" s="190" t="s">
        <v>305</v>
      </c>
      <c r="X32" s="233">
        <f>SUM(Y32:AY32)</f>
        <v>0</v>
      </c>
      <c r="Y32" s="191" t="s">
        <v>299</v>
      </c>
      <c r="Z32" s="190" t="s">
        <v>305</v>
      </c>
      <c r="AA32" s="233">
        <f>SUM(AB32:BB32)</f>
        <v>0</v>
      </c>
    </row>
    <row r="33" spans="1:27" ht="15.75" customHeight="1" x14ac:dyDescent="0.25">
      <c r="A33" s="844" t="s">
        <v>306</v>
      </c>
      <c r="B33" s="845"/>
      <c r="C33" s="845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  <c r="O33" s="845"/>
      <c r="P33" s="845"/>
      <c r="Q33" s="845"/>
      <c r="R33" s="845"/>
      <c r="S33" s="846"/>
      <c r="T33" s="847" t="s">
        <v>307</v>
      </c>
      <c r="U33" s="848"/>
      <c r="V33" s="191" t="s">
        <v>308</v>
      </c>
      <c r="W33" s="190"/>
      <c r="X33" s="233">
        <f>X36+X35+X34</f>
        <v>0</v>
      </c>
      <c r="Y33" s="191" t="s">
        <v>308</v>
      </c>
      <c r="Z33" s="190"/>
      <c r="AA33" s="233">
        <f>AA36+AA35+AA34</f>
        <v>0</v>
      </c>
    </row>
    <row r="34" spans="1:27" ht="15.75" customHeight="1" x14ac:dyDescent="0.25">
      <c r="A34" s="849" t="s">
        <v>309</v>
      </c>
      <c r="B34" s="850"/>
      <c r="C34" s="850"/>
      <c r="D34" s="850"/>
      <c r="E34" s="850"/>
      <c r="F34" s="850"/>
      <c r="G34" s="850"/>
      <c r="H34" s="850"/>
      <c r="I34" s="850"/>
      <c r="J34" s="850"/>
      <c r="K34" s="850"/>
      <c r="L34" s="850"/>
      <c r="M34" s="850"/>
      <c r="N34" s="850"/>
      <c r="O34" s="850"/>
      <c r="P34" s="850"/>
      <c r="Q34" s="850"/>
      <c r="R34" s="850"/>
      <c r="S34" s="851"/>
      <c r="T34" s="847" t="s">
        <v>310</v>
      </c>
      <c r="U34" s="848"/>
      <c r="V34" s="191" t="s">
        <v>308</v>
      </c>
      <c r="W34" s="190" t="s">
        <v>311</v>
      </c>
      <c r="X34" s="233">
        <f>SUM(Y34:AY34)</f>
        <v>0</v>
      </c>
      <c r="Y34" s="191" t="s">
        <v>308</v>
      </c>
      <c r="Z34" s="190" t="s">
        <v>311</v>
      </c>
      <c r="AA34" s="233">
        <f>SUM(AB34:BB34)</f>
        <v>0</v>
      </c>
    </row>
    <row r="35" spans="1:27" ht="15.75" customHeight="1" x14ac:dyDescent="0.25">
      <c r="A35" s="849" t="s">
        <v>312</v>
      </c>
      <c r="B35" s="850"/>
      <c r="C35" s="850"/>
      <c r="D35" s="850"/>
      <c r="E35" s="850"/>
      <c r="F35" s="850"/>
      <c r="G35" s="850"/>
      <c r="H35" s="850"/>
      <c r="I35" s="850"/>
      <c r="J35" s="850"/>
      <c r="K35" s="850"/>
      <c r="L35" s="850"/>
      <c r="M35" s="850"/>
      <c r="N35" s="850"/>
      <c r="O35" s="850"/>
      <c r="P35" s="850"/>
      <c r="Q35" s="850"/>
      <c r="R35" s="850"/>
      <c r="S35" s="851"/>
      <c r="T35" s="847" t="s">
        <v>313</v>
      </c>
      <c r="U35" s="848"/>
      <c r="V35" s="191" t="s">
        <v>308</v>
      </c>
      <c r="W35" s="190" t="s">
        <v>314</v>
      </c>
      <c r="X35" s="233">
        <f>SUM(Y35:AY35)</f>
        <v>0</v>
      </c>
      <c r="Y35" s="191" t="s">
        <v>308</v>
      </c>
      <c r="Z35" s="190" t="s">
        <v>314</v>
      </c>
      <c r="AA35" s="233">
        <f>SUM(AB35:BB35)</f>
        <v>0</v>
      </c>
    </row>
    <row r="36" spans="1:27" ht="15.75" customHeight="1" x14ac:dyDescent="0.25">
      <c r="A36" s="849" t="s">
        <v>315</v>
      </c>
      <c r="B36" s="850"/>
      <c r="C36" s="850"/>
      <c r="D36" s="850"/>
      <c r="E36" s="850"/>
      <c r="F36" s="850"/>
      <c r="G36" s="850"/>
      <c r="H36" s="850"/>
      <c r="I36" s="850"/>
      <c r="J36" s="850"/>
      <c r="K36" s="850"/>
      <c r="L36" s="850"/>
      <c r="M36" s="850"/>
      <c r="N36" s="850"/>
      <c r="O36" s="850"/>
      <c r="P36" s="850"/>
      <c r="Q36" s="850"/>
      <c r="R36" s="850"/>
      <c r="S36" s="851"/>
      <c r="T36" s="847" t="s">
        <v>316</v>
      </c>
      <c r="U36" s="848"/>
      <c r="V36" s="191" t="s">
        <v>308</v>
      </c>
      <c r="W36" s="190" t="s">
        <v>317</v>
      </c>
      <c r="X36" s="233">
        <f>SUM(Y36:AY36)</f>
        <v>0</v>
      </c>
      <c r="Y36" s="191" t="s">
        <v>308</v>
      </c>
      <c r="Z36" s="190" t="s">
        <v>317</v>
      </c>
      <c r="AA36" s="233">
        <f>SUM(AB36:BB36)</f>
        <v>0</v>
      </c>
    </row>
    <row r="37" spans="1:27" ht="15.75" customHeight="1" x14ac:dyDescent="0.25">
      <c r="A37" s="852" t="s">
        <v>318</v>
      </c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53"/>
      <c r="S37" s="854"/>
      <c r="T37" s="847" t="s">
        <v>319</v>
      </c>
      <c r="U37" s="848"/>
      <c r="V37" s="191" t="s">
        <v>320</v>
      </c>
      <c r="W37" s="190"/>
      <c r="X37" s="233">
        <v>1200000</v>
      </c>
      <c r="Y37" s="191" t="s">
        <v>320</v>
      </c>
      <c r="Z37" s="190"/>
      <c r="AA37" s="233">
        <v>4395920</v>
      </c>
    </row>
    <row r="38" spans="1:27" ht="15.75" customHeight="1" x14ac:dyDescent="0.25">
      <c r="A38" s="844" t="s">
        <v>321</v>
      </c>
      <c r="B38" s="845"/>
      <c r="C38" s="845"/>
      <c r="D38" s="845"/>
      <c r="E38" s="845"/>
      <c r="F38" s="845"/>
      <c r="G38" s="845"/>
      <c r="H38" s="845"/>
      <c r="I38" s="845"/>
      <c r="J38" s="845"/>
      <c r="K38" s="845"/>
      <c r="L38" s="845"/>
      <c r="M38" s="845"/>
      <c r="N38" s="845"/>
      <c r="O38" s="845"/>
      <c r="P38" s="845"/>
      <c r="Q38" s="845"/>
      <c r="R38" s="845"/>
      <c r="S38" s="846"/>
      <c r="T38" s="847" t="s">
        <v>322</v>
      </c>
      <c r="U38" s="848"/>
      <c r="V38" s="191"/>
      <c r="W38" s="190"/>
      <c r="X38" s="233">
        <f>X28+X29+X30+X33+X37</f>
        <v>24391236</v>
      </c>
      <c r="Y38" s="191"/>
      <c r="Z38" s="190"/>
      <c r="AA38" s="233">
        <f>AA28+AA29+AA30+AA33+AA37</f>
        <v>39528053</v>
      </c>
    </row>
    <row r="39" spans="1:27" ht="15.75" customHeight="1" thickBot="1" x14ac:dyDescent="0.3">
      <c r="A39" s="844" t="s">
        <v>323</v>
      </c>
      <c r="B39" s="845"/>
      <c r="C39" s="845"/>
      <c r="D39" s="845"/>
      <c r="E39" s="845"/>
      <c r="F39" s="845"/>
      <c r="G39" s="845"/>
      <c r="H39" s="845"/>
      <c r="I39" s="845"/>
      <c r="J39" s="845"/>
      <c r="K39" s="845"/>
      <c r="L39" s="845"/>
      <c r="M39" s="845"/>
      <c r="N39" s="845"/>
      <c r="O39" s="845"/>
      <c r="P39" s="845"/>
      <c r="Q39" s="845"/>
      <c r="R39" s="845"/>
      <c r="S39" s="846"/>
      <c r="T39" s="847" t="s">
        <v>324</v>
      </c>
      <c r="U39" s="848"/>
      <c r="V39" s="235"/>
      <c r="W39" s="236"/>
      <c r="X39" s="237">
        <v>133766236</v>
      </c>
      <c r="Y39" s="235"/>
      <c r="Z39" s="236"/>
      <c r="AA39" s="237">
        <f>AA11+AA14+AA24+AA27+AA38</f>
        <v>196607938</v>
      </c>
    </row>
    <row r="40" spans="1:27" ht="15.75" customHeight="1" x14ac:dyDescent="0.25">
      <c r="X40" s="72"/>
    </row>
  </sheetData>
  <mergeCells count="69">
    <mergeCell ref="A39:S39"/>
    <mergeCell ref="T39:U39"/>
    <mergeCell ref="V4:AA4"/>
    <mergeCell ref="V5:X5"/>
    <mergeCell ref="Y5:AA5"/>
    <mergeCell ref="A6:S7"/>
    <mergeCell ref="T6:U7"/>
    <mergeCell ref="A8:S8"/>
    <mergeCell ref="T8:U8"/>
    <mergeCell ref="A9:S9"/>
    <mergeCell ref="T9:U9"/>
    <mergeCell ref="A10:S10"/>
    <mergeCell ref="T10:U10"/>
    <mergeCell ref="A11:S11"/>
    <mergeCell ref="T11:U11"/>
    <mergeCell ref="A12:S12"/>
    <mergeCell ref="T12:U12"/>
    <mergeCell ref="A13:S13"/>
    <mergeCell ref="T13:U13"/>
    <mergeCell ref="A14:S14"/>
    <mergeCell ref="T14:U14"/>
    <mergeCell ref="A15:S15"/>
    <mergeCell ref="T15:U15"/>
    <mergeCell ref="A16:S16"/>
    <mergeCell ref="T16:U16"/>
    <mergeCell ref="A17:S17"/>
    <mergeCell ref="T17:U17"/>
    <mergeCell ref="A18:S18"/>
    <mergeCell ref="T18:U18"/>
    <mergeCell ref="A19:S19"/>
    <mergeCell ref="T19:U19"/>
    <mergeCell ref="A20:S20"/>
    <mergeCell ref="T20:U20"/>
    <mergeCell ref="A21:S21"/>
    <mergeCell ref="T21:U21"/>
    <mergeCell ref="A22:S22"/>
    <mergeCell ref="T22:U22"/>
    <mergeCell ref="A23:S23"/>
    <mergeCell ref="T23:U23"/>
    <mergeCell ref="A24:S24"/>
    <mergeCell ref="T24:U24"/>
    <mergeCell ref="A25:S25"/>
    <mergeCell ref="T25:U25"/>
    <mergeCell ref="A26:S26"/>
    <mergeCell ref="T26:U26"/>
    <mergeCell ref="A27:S27"/>
    <mergeCell ref="T27:U27"/>
    <mergeCell ref="A28:S28"/>
    <mergeCell ref="T28:U28"/>
    <mergeCell ref="A29:S29"/>
    <mergeCell ref="T29:U29"/>
    <mergeCell ref="A30:S30"/>
    <mergeCell ref="T30:U30"/>
    <mergeCell ref="A31:S31"/>
    <mergeCell ref="T31:U31"/>
    <mergeCell ref="A32:S32"/>
    <mergeCell ref="T32:U32"/>
    <mergeCell ref="A33:S33"/>
    <mergeCell ref="T33:U33"/>
    <mergeCell ref="A34:S34"/>
    <mergeCell ref="T34:U34"/>
    <mergeCell ref="A38:S38"/>
    <mergeCell ref="T38:U38"/>
    <mergeCell ref="A35:S35"/>
    <mergeCell ref="T35:U35"/>
    <mergeCell ref="A36:S36"/>
    <mergeCell ref="T36:U36"/>
    <mergeCell ref="A37:S37"/>
    <mergeCell ref="T37:U37"/>
  </mergeCells>
  <pageMargins left="0.25" right="0.25" top="0.75" bottom="0.75" header="0.3" footer="0.3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I36"/>
  <sheetViews>
    <sheetView workbookViewId="0">
      <selection activeCell="Y15" sqref="Y15:Y17"/>
    </sheetView>
  </sheetViews>
  <sheetFormatPr defaultRowHeight="12.75" x14ac:dyDescent="0.2"/>
  <cols>
    <col min="1" max="17" width="3.28515625" style="135" customWidth="1"/>
    <col min="18" max="18" width="2.85546875" style="135" customWidth="1"/>
    <col min="19" max="19" width="0.7109375" style="135" customWidth="1"/>
    <col min="20" max="20" width="2" style="135" customWidth="1"/>
    <col min="21" max="21" width="3.28515625" style="135" customWidth="1"/>
    <col min="22" max="22" width="0.85546875" style="135" customWidth="1"/>
    <col min="23" max="23" width="7.85546875" style="135" customWidth="1"/>
    <col min="24" max="24" width="4" style="135" customWidth="1"/>
    <col min="25" max="25" width="17" style="135" bestFit="1" customWidth="1"/>
    <col min="26" max="26" width="17.28515625" style="135" customWidth="1"/>
    <col min="27" max="27" width="17.85546875" style="135" customWidth="1"/>
    <col min="28" max="28" width="16.140625" style="135" customWidth="1"/>
    <col min="29" max="29" width="16" style="135" customWidth="1"/>
    <col min="30" max="30" width="15.7109375" style="135" customWidth="1"/>
    <col min="31" max="32" width="15.85546875" style="135" customWidth="1"/>
    <col min="33" max="33" width="17.28515625" style="135" customWidth="1"/>
    <col min="34" max="34" width="18.42578125" style="135" customWidth="1"/>
    <col min="35" max="35" width="19.5703125" style="135" customWidth="1"/>
    <col min="36" max="16384" width="9.140625" style="135"/>
  </cols>
  <sheetData>
    <row r="1" spans="1:35" ht="18.75" x14ac:dyDescent="0.2">
      <c r="A1" s="880" t="s">
        <v>1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</row>
    <row r="2" spans="1:35" ht="15.75" x14ac:dyDescent="0.2">
      <c r="A2" s="881" t="s">
        <v>462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881"/>
      <c r="AI2" s="216" t="s">
        <v>572</v>
      </c>
    </row>
    <row r="3" spans="1:35" ht="16.5" thickBot="1" x14ac:dyDescent="0.3">
      <c r="A3" s="647" t="s">
        <v>578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648"/>
      <c r="Q3" s="648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648"/>
      <c r="AC3" s="648"/>
    </row>
    <row r="4" spans="1:35" ht="19.5" thickBot="1" x14ac:dyDescent="0.3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/>
      <c r="X4"/>
      <c r="Y4" s="745" t="s">
        <v>529</v>
      </c>
      <c r="Z4" s="746"/>
      <c r="AA4" s="746"/>
      <c r="AB4" s="746"/>
      <c r="AC4" s="746"/>
      <c r="AD4" s="746"/>
      <c r="AE4" s="746"/>
      <c r="AF4" s="746"/>
      <c r="AG4" s="746"/>
      <c r="AH4" s="747"/>
    </row>
    <row r="5" spans="1:35" ht="15.75" x14ac:dyDescent="0.25">
      <c r="A5" s="882" t="s">
        <v>4</v>
      </c>
      <c r="B5" s="883"/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3"/>
      <c r="Q5" s="883"/>
      <c r="R5" s="883"/>
      <c r="S5" s="884"/>
      <c r="T5" s="891" t="s">
        <v>3</v>
      </c>
      <c r="U5" s="891"/>
      <c r="V5" s="892"/>
      <c r="W5" s="150" t="s">
        <v>226</v>
      </c>
      <c r="X5" s="151"/>
      <c r="Y5" s="895" t="s">
        <v>5</v>
      </c>
      <c r="Z5" s="152" t="s">
        <v>158</v>
      </c>
      <c r="AA5" s="897" t="s">
        <v>463</v>
      </c>
      <c r="AB5" s="153"/>
      <c r="AC5" s="899" t="s">
        <v>464</v>
      </c>
      <c r="AD5" s="913" t="s">
        <v>465</v>
      </c>
      <c r="AE5" s="878" t="s">
        <v>466</v>
      </c>
      <c r="AF5" s="267"/>
      <c r="AG5" s="878" t="s">
        <v>467</v>
      </c>
      <c r="AH5" s="878" t="s">
        <v>468</v>
      </c>
      <c r="AI5" s="878" t="s">
        <v>469</v>
      </c>
    </row>
    <row r="6" spans="1:35" ht="28.5" customHeight="1" thickBot="1" x14ac:dyDescent="0.3">
      <c r="A6" s="885"/>
      <c r="B6" s="886"/>
      <c r="C6" s="886"/>
      <c r="D6" s="886"/>
      <c r="E6" s="886"/>
      <c r="F6" s="886"/>
      <c r="G6" s="886"/>
      <c r="H6" s="886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7"/>
      <c r="T6" s="893"/>
      <c r="U6" s="893"/>
      <c r="V6" s="894"/>
      <c r="W6" s="901" t="s">
        <v>227</v>
      </c>
      <c r="X6" s="902"/>
      <c r="Y6" s="896"/>
      <c r="Z6" s="154" t="s">
        <v>470</v>
      </c>
      <c r="AA6" s="898"/>
      <c r="AB6" s="155" t="s">
        <v>471</v>
      </c>
      <c r="AC6" s="900"/>
      <c r="AD6" s="914"/>
      <c r="AE6" s="879"/>
      <c r="AF6" s="268" t="s">
        <v>618</v>
      </c>
      <c r="AG6" s="879"/>
      <c r="AH6" s="879"/>
      <c r="AI6" s="879"/>
    </row>
    <row r="7" spans="1:35" ht="15.75" thickBot="1" x14ac:dyDescent="0.3">
      <c r="A7" s="903" t="s">
        <v>472</v>
      </c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5"/>
      <c r="T7" s="906" t="s">
        <v>229</v>
      </c>
      <c r="U7" s="906"/>
      <c r="V7" s="907"/>
      <c r="W7" s="908" t="s">
        <v>473</v>
      </c>
      <c r="X7" s="909"/>
      <c r="Y7" s="156">
        <f>++AB7+AC7+AD7+AE7+AF7+AG7+AH7+AI7+AA7+Z7</f>
        <v>43333186</v>
      </c>
      <c r="Z7" s="157"/>
      <c r="AA7" s="158">
        <f>[4]éves_bér_és_jár!K11+670500</f>
        <v>16397100</v>
      </c>
      <c r="AB7" s="159">
        <f>[4]éves_bér_és_jár!K37+[4]éves_bér_és_jár!L37+[4]éves_bér_és_jár!M37</f>
        <v>4223400</v>
      </c>
      <c r="AC7" s="160">
        <f>4175306+489180</f>
        <v>4664486</v>
      </c>
      <c r="AD7" s="157">
        <f>[4]éves_bér_és_jár!K25</f>
        <v>3110300</v>
      </c>
      <c r="AE7" s="161">
        <f>[4]éves_bér_és_jár!K40</f>
        <v>1755000</v>
      </c>
      <c r="AF7" s="161">
        <v>670500</v>
      </c>
      <c r="AG7" s="161">
        <f>[4]éves_bér_és_jár!K54</f>
        <v>8484000</v>
      </c>
      <c r="AH7" s="161"/>
      <c r="AI7" s="161">
        <f>[4]éves_bér_és_jár!K72</f>
        <v>4028400</v>
      </c>
    </row>
    <row r="8" spans="1:35" ht="15" x14ac:dyDescent="0.25">
      <c r="A8" s="910" t="s">
        <v>474</v>
      </c>
      <c r="B8" s="911"/>
      <c r="C8" s="911"/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  <c r="P8" s="911"/>
      <c r="Q8" s="911"/>
      <c r="R8" s="911"/>
      <c r="S8" s="912"/>
      <c r="T8" s="906" t="s">
        <v>232</v>
      </c>
      <c r="U8" s="906"/>
      <c r="V8" s="907"/>
      <c r="W8" s="908" t="s">
        <v>475</v>
      </c>
      <c r="X8" s="909"/>
      <c r="Y8" s="156">
        <f t="shared" ref="Y8:Y14" si="0">Z8+AA8+AB8+AC8+AD8+AG8+AH8+AI8+AE8</f>
        <v>1075000</v>
      </c>
      <c r="Z8" s="160"/>
      <c r="AA8" s="162">
        <f>[4]éves_bér_és_jár!P11</f>
        <v>775000</v>
      </c>
      <c r="AB8" s="159">
        <f>[4]éves_bér_és_jár!P37</f>
        <v>100000</v>
      </c>
      <c r="AC8" s="157"/>
      <c r="AD8" s="157">
        <f>[4]éves_bér_és_jár!P25</f>
        <v>200000</v>
      </c>
      <c r="AE8" s="163"/>
      <c r="AF8" s="163"/>
      <c r="AG8" s="163"/>
      <c r="AH8" s="163"/>
      <c r="AI8" s="163"/>
    </row>
    <row r="9" spans="1:35" ht="15" x14ac:dyDescent="0.25">
      <c r="A9" s="910" t="s">
        <v>476</v>
      </c>
      <c r="B9" s="911"/>
      <c r="C9" s="911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2"/>
      <c r="T9" s="906" t="s">
        <v>236</v>
      </c>
      <c r="U9" s="906"/>
      <c r="V9" s="907"/>
      <c r="W9" s="908" t="s">
        <v>477</v>
      </c>
      <c r="X9" s="909"/>
      <c r="Y9" s="156">
        <f t="shared" si="0"/>
        <v>1084699</v>
      </c>
      <c r="Z9" s="160">
        <f>[4]éves_bér_és_jár!Q27</f>
        <v>148699</v>
      </c>
      <c r="AA9" s="160">
        <f>[4]éves_bér_és_jár!N11</f>
        <v>648000</v>
      </c>
      <c r="AB9" s="159">
        <f>[4]éves_bér_és_jár!N37</f>
        <v>96000</v>
      </c>
      <c r="AC9" s="157"/>
      <c r="AD9" s="157">
        <f>[4]éves_bér_és_jár!N25</f>
        <v>192000</v>
      </c>
      <c r="AE9" s="163"/>
      <c r="AF9" s="163"/>
      <c r="AG9" s="163"/>
      <c r="AH9" s="163"/>
      <c r="AI9" s="163"/>
    </row>
    <row r="10" spans="1:35" ht="15" x14ac:dyDescent="0.25">
      <c r="A10" s="910" t="s">
        <v>478</v>
      </c>
      <c r="B10" s="911"/>
      <c r="C10" s="911"/>
      <c r="D10" s="911"/>
      <c r="E10" s="911"/>
      <c r="F10" s="911"/>
      <c r="G10" s="911"/>
      <c r="H10" s="911"/>
      <c r="I10" s="911"/>
      <c r="J10" s="911"/>
      <c r="K10" s="911"/>
      <c r="L10" s="911"/>
      <c r="M10" s="911"/>
      <c r="N10" s="911"/>
      <c r="O10" s="911"/>
      <c r="P10" s="911"/>
      <c r="Q10" s="911"/>
      <c r="R10" s="911"/>
      <c r="S10" s="912"/>
      <c r="T10" s="906" t="s">
        <v>240</v>
      </c>
      <c r="U10" s="906"/>
      <c r="V10" s="907"/>
      <c r="W10" s="908" t="s">
        <v>479</v>
      </c>
      <c r="X10" s="909"/>
      <c r="Y10" s="156">
        <f t="shared" si="0"/>
        <v>1000000</v>
      </c>
      <c r="Z10" s="160">
        <f>[4]éves_bér_és_jár!O35-212000</f>
        <v>688000</v>
      </c>
      <c r="AA10" s="160">
        <f>[4]éves_bér_és_jár!O11</f>
        <v>312000</v>
      </c>
      <c r="AB10" s="159"/>
      <c r="AC10" s="157"/>
      <c r="AD10" s="157"/>
      <c r="AE10" s="163"/>
      <c r="AF10" s="163"/>
      <c r="AG10" s="163"/>
      <c r="AH10" s="163"/>
      <c r="AI10" s="163"/>
    </row>
    <row r="11" spans="1:35" ht="15" x14ac:dyDescent="0.25">
      <c r="A11" s="910" t="s">
        <v>480</v>
      </c>
      <c r="B11" s="911"/>
      <c r="C11" s="911"/>
      <c r="D11" s="911"/>
      <c r="E11" s="911"/>
      <c r="F11" s="911"/>
      <c r="G11" s="911"/>
      <c r="H11" s="911"/>
      <c r="I11" s="911"/>
      <c r="J11" s="911"/>
      <c r="K11" s="911"/>
      <c r="L11" s="911"/>
      <c r="M11" s="911"/>
      <c r="N11" s="911"/>
      <c r="O11" s="911"/>
      <c r="P11" s="911"/>
      <c r="Q11" s="911"/>
      <c r="R11" s="911"/>
      <c r="S11" s="239"/>
      <c r="T11" s="906" t="s">
        <v>243</v>
      </c>
      <c r="U11" s="906"/>
      <c r="V11" s="907"/>
      <c r="W11" s="908" t="s">
        <v>481</v>
      </c>
      <c r="X11" s="909"/>
      <c r="Y11" s="156">
        <f t="shared" si="0"/>
        <v>7553782</v>
      </c>
      <c r="Z11" s="160">
        <f>[4]éves_bér_és_jár!S35</f>
        <v>50000</v>
      </c>
      <c r="AA11" s="160">
        <f>160000</f>
        <v>160000</v>
      </c>
      <c r="AB11" s="159">
        <f>[4]éves_bér_és_jár!S37</f>
        <v>30000</v>
      </c>
      <c r="AC11" s="157">
        <f>96000+19576+12372</f>
        <v>127948</v>
      </c>
      <c r="AD11" s="157">
        <f>[4]éves_bér_és_jár!S25</f>
        <v>80000</v>
      </c>
      <c r="AE11" s="163">
        <f>[4]éves_bér_és_jár!S40</f>
        <v>20000</v>
      </c>
      <c r="AF11" s="163"/>
      <c r="AG11" s="163">
        <f>2350000+2700000</f>
        <v>5050000</v>
      </c>
      <c r="AH11" s="163">
        <f>40000-2722+108000</f>
        <v>145278</v>
      </c>
      <c r="AI11" s="163">
        <f>500000+800000-36760+627316</f>
        <v>1890556</v>
      </c>
    </row>
    <row r="12" spans="1:35" ht="15" x14ac:dyDescent="0.25">
      <c r="A12" s="910" t="s">
        <v>482</v>
      </c>
      <c r="B12" s="911"/>
      <c r="C12" s="911"/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2"/>
      <c r="T12" s="906" t="s">
        <v>246</v>
      </c>
      <c r="U12" s="906"/>
      <c r="V12" s="907"/>
      <c r="W12" s="908" t="s">
        <v>483</v>
      </c>
      <c r="X12" s="909"/>
      <c r="Y12" s="156">
        <f t="shared" si="0"/>
        <v>9963489</v>
      </c>
      <c r="Z12" s="160">
        <f>9138220+825269</f>
        <v>9963489</v>
      </c>
      <c r="AA12" s="160"/>
      <c r="AB12" s="159"/>
      <c r="AC12" s="157"/>
      <c r="AD12" s="157"/>
      <c r="AE12" s="163"/>
      <c r="AF12" s="163"/>
      <c r="AG12" s="163"/>
      <c r="AH12" s="163"/>
      <c r="AI12" s="163"/>
    </row>
    <row r="13" spans="1:35" ht="15" x14ac:dyDescent="0.25">
      <c r="A13" s="910" t="s">
        <v>484</v>
      </c>
      <c r="B13" s="911"/>
      <c r="C13" s="911"/>
      <c r="D13" s="911"/>
      <c r="E13" s="911"/>
      <c r="F13" s="911"/>
      <c r="G13" s="911"/>
      <c r="H13" s="911"/>
      <c r="I13" s="911"/>
      <c r="J13" s="911"/>
      <c r="K13" s="911"/>
      <c r="L13" s="911"/>
      <c r="M13" s="911"/>
      <c r="N13" s="911"/>
      <c r="O13" s="911"/>
      <c r="P13" s="911"/>
      <c r="Q13" s="911"/>
      <c r="R13" s="911"/>
      <c r="S13" s="912"/>
      <c r="T13" s="906" t="s">
        <v>249</v>
      </c>
      <c r="U13" s="906"/>
      <c r="V13" s="907"/>
      <c r="W13" s="908" t="s">
        <v>485</v>
      </c>
      <c r="X13" s="909"/>
      <c r="Y13" s="156">
        <f t="shared" si="0"/>
        <v>9152944</v>
      </c>
      <c r="Z13" s="160"/>
      <c r="AA13" s="160"/>
      <c r="AB13" s="159"/>
      <c r="AC13" s="157"/>
      <c r="AD13" s="157"/>
      <c r="AE13" s="163">
        <f>[4]éves_bér_és_jár!S54</f>
        <v>0</v>
      </c>
      <c r="AF13" s="163"/>
      <c r="AG13" s="163">
        <v>6898684</v>
      </c>
      <c r="AH13" s="163">
        <f>212000+22000</f>
        <v>234000</v>
      </c>
      <c r="AI13" s="163">
        <f>1983500+36760</f>
        <v>2020260</v>
      </c>
    </row>
    <row r="14" spans="1:35" ht="15" x14ac:dyDescent="0.25">
      <c r="A14" s="910" t="s">
        <v>486</v>
      </c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2"/>
      <c r="T14" s="906" t="s">
        <v>251</v>
      </c>
      <c r="U14" s="906"/>
      <c r="V14" s="907"/>
      <c r="W14" s="908" t="s">
        <v>487</v>
      </c>
      <c r="X14" s="909"/>
      <c r="Y14" s="156">
        <f t="shared" si="0"/>
        <v>1692424</v>
      </c>
      <c r="Z14" s="160">
        <f>1712000-19576</f>
        <v>1692424</v>
      </c>
      <c r="AA14" s="160"/>
      <c r="AB14" s="159">
        <f>[4]éves_bér_és_jár!K47</f>
        <v>0</v>
      </c>
      <c r="AC14" s="157"/>
      <c r="AD14" s="157"/>
      <c r="AE14" s="163"/>
      <c r="AF14" s="163"/>
      <c r="AG14" s="163"/>
      <c r="AH14" s="163"/>
      <c r="AI14" s="163"/>
    </row>
    <row r="15" spans="1:35" ht="15.75" x14ac:dyDescent="0.25">
      <c r="A15" s="922" t="s">
        <v>488</v>
      </c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923"/>
      <c r="T15" s="924" t="s">
        <v>254</v>
      </c>
      <c r="U15" s="924"/>
      <c r="V15" s="925"/>
      <c r="W15" s="926"/>
      <c r="X15" s="927"/>
      <c r="Y15" s="323">
        <f>SUM(Y7:Y14)</f>
        <v>74855524</v>
      </c>
      <c r="Z15" s="164">
        <f t="shared" ref="Z15:AI15" si="1">SUM(Z7:Z14)</f>
        <v>12542612</v>
      </c>
      <c r="AA15" s="164">
        <f t="shared" si="1"/>
        <v>18292100</v>
      </c>
      <c r="AB15" s="164">
        <f t="shared" si="1"/>
        <v>4449400</v>
      </c>
      <c r="AC15" s="164">
        <f t="shared" si="1"/>
        <v>4792434</v>
      </c>
      <c r="AD15" s="164">
        <f t="shared" si="1"/>
        <v>3582300</v>
      </c>
      <c r="AE15" s="164">
        <f t="shared" si="1"/>
        <v>1775000</v>
      </c>
      <c r="AF15" s="164">
        <f t="shared" si="1"/>
        <v>670500</v>
      </c>
      <c r="AG15" s="164">
        <f t="shared" si="1"/>
        <v>20432684</v>
      </c>
      <c r="AH15" s="164">
        <f t="shared" si="1"/>
        <v>379278</v>
      </c>
      <c r="AI15" s="164">
        <f t="shared" si="1"/>
        <v>7939216</v>
      </c>
    </row>
    <row r="16" spans="1:35" ht="15.75" x14ac:dyDescent="0.25">
      <c r="A16" s="910" t="s">
        <v>489</v>
      </c>
      <c r="B16" s="911"/>
      <c r="C16" s="911"/>
      <c r="D16" s="911"/>
      <c r="E16" s="911"/>
      <c r="F16" s="911"/>
      <c r="G16" s="911"/>
      <c r="H16" s="911"/>
      <c r="I16" s="911"/>
      <c r="J16" s="911"/>
      <c r="K16" s="911"/>
      <c r="L16" s="911"/>
      <c r="M16" s="911"/>
      <c r="N16" s="911"/>
      <c r="O16" s="911"/>
      <c r="P16" s="911"/>
      <c r="Q16" s="911"/>
      <c r="R16" s="911"/>
      <c r="S16" s="912"/>
      <c r="T16" s="906" t="s">
        <v>258</v>
      </c>
      <c r="U16" s="906"/>
      <c r="V16" s="907"/>
      <c r="W16" s="928" t="s">
        <v>490</v>
      </c>
      <c r="X16" s="929"/>
      <c r="Y16" s="156">
        <f>SUM(Z16:AI16)</f>
        <v>14339174</v>
      </c>
      <c r="Z16" s="160">
        <v>2238121</v>
      </c>
      <c r="AA16" s="160">
        <f>[4]éves_bér_és_jár!W11+117342</f>
        <v>3553554</v>
      </c>
      <c r="AB16" s="160">
        <f>[4]éves_bér_és_jár!W38</f>
        <v>867633</v>
      </c>
      <c r="AC16" s="157">
        <f>963652+85608</f>
        <v>1049260</v>
      </c>
      <c r="AD16" s="157">
        <f>[4]éves_bér_és_jár!W25</f>
        <v>698548.5</v>
      </c>
      <c r="AE16" s="240">
        <f>[4]éves_bér_és_jár!Y41</f>
        <v>346125</v>
      </c>
      <c r="AF16" s="273">
        <v>117342</v>
      </c>
      <c r="AG16" s="163">
        <v>4010418</v>
      </c>
      <c r="AH16" s="163">
        <f>[4]éves_bér_és_jár!W58-788</f>
        <v>48352</v>
      </c>
      <c r="AI16" s="163">
        <f>[4]éves_bér_és_jár!W72+140000</f>
        <v>1409820.5</v>
      </c>
    </row>
    <row r="17" spans="1:35" ht="15.75" thickBot="1" x14ac:dyDescent="0.3">
      <c r="A17" s="888" t="s">
        <v>491</v>
      </c>
      <c r="B17" s="889"/>
      <c r="C17" s="889"/>
      <c r="D17" s="889"/>
      <c r="E17" s="889"/>
      <c r="F17" s="889"/>
      <c r="G17" s="889"/>
      <c r="H17" s="889"/>
      <c r="I17" s="889"/>
      <c r="J17" s="889"/>
      <c r="K17" s="889"/>
      <c r="L17" s="889"/>
      <c r="M17" s="889"/>
      <c r="N17" s="889"/>
      <c r="O17" s="889"/>
      <c r="P17" s="889"/>
      <c r="Q17" s="889"/>
      <c r="R17" s="889"/>
      <c r="S17" s="890"/>
      <c r="T17" s="940" t="s">
        <v>261</v>
      </c>
      <c r="U17" s="940"/>
      <c r="V17" s="941"/>
      <c r="W17" s="942" t="s">
        <v>490</v>
      </c>
      <c r="X17" s="943"/>
      <c r="Y17" s="156">
        <f>SUM(Z17:AI17)</f>
        <v>755154.85</v>
      </c>
      <c r="Z17" s="167">
        <f>[4]éves_bér_és_jár!X35+486400</f>
        <v>614754.85</v>
      </c>
      <c r="AA17" s="167">
        <f>[4]éves_bér_és_jár!X11</f>
        <v>97200</v>
      </c>
      <c r="AB17" s="167">
        <f>[4]éves_bér_és_jár!X38</f>
        <v>14400</v>
      </c>
      <c r="AC17" s="168"/>
      <c r="AD17" s="168">
        <f>[4]éves_bér_és_jár!X25</f>
        <v>28800</v>
      </c>
      <c r="AE17" s="169"/>
      <c r="AF17" s="169"/>
      <c r="AG17" s="169"/>
      <c r="AH17" s="169"/>
      <c r="AI17" s="169"/>
    </row>
    <row r="18" spans="1:35" ht="16.5" thickBot="1" x14ac:dyDescent="0.3">
      <c r="A18" s="944" t="s">
        <v>492</v>
      </c>
      <c r="B18" s="945"/>
      <c r="C18" s="945"/>
      <c r="D18" s="945"/>
      <c r="E18" s="945"/>
      <c r="F18" s="945"/>
      <c r="G18" s="945"/>
      <c r="H18" s="945"/>
      <c r="I18" s="945"/>
      <c r="J18" s="945"/>
      <c r="K18" s="945"/>
      <c r="L18" s="945"/>
      <c r="M18" s="945"/>
      <c r="N18" s="945"/>
      <c r="O18" s="945"/>
      <c r="P18" s="945"/>
      <c r="Q18" s="945"/>
      <c r="R18" s="945"/>
      <c r="S18" s="946"/>
      <c r="T18" s="915" t="s">
        <v>264</v>
      </c>
      <c r="U18" s="915"/>
      <c r="V18" s="916"/>
      <c r="W18" s="917"/>
      <c r="X18" s="918"/>
      <c r="Y18" s="323">
        <f>Y16+Y17</f>
        <v>15094328.85</v>
      </c>
      <c r="Z18" s="170">
        <f>Z16+Z17</f>
        <v>2852875.85</v>
      </c>
      <c r="AA18" s="171">
        <f>AA16+AA17</f>
        <v>3650754</v>
      </c>
      <c r="AB18" s="171">
        <f t="shared" ref="AB18:AI18" si="2">AB16+AB17</f>
        <v>882033</v>
      </c>
      <c r="AC18" s="171">
        <f t="shared" si="2"/>
        <v>1049260</v>
      </c>
      <c r="AD18" s="171">
        <f t="shared" si="2"/>
        <v>727348.5</v>
      </c>
      <c r="AE18" s="171">
        <f t="shared" si="2"/>
        <v>346125</v>
      </c>
      <c r="AF18" s="171">
        <f t="shared" si="2"/>
        <v>117342</v>
      </c>
      <c r="AG18" s="171">
        <f t="shared" si="2"/>
        <v>4010418</v>
      </c>
      <c r="AH18" s="171">
        <f t="shared" si="2"/>
        <v>48352</v>
      </c>
      <c r="AI18" s="172">
        <f t="shared" si="2"/>
        <v>1409820.5</v>
      </c>
    </row>
    <row r="19" spans="1:35" s="175" customFormat="1" ht="16.5" thickBot="1" x14ac:dyDescent="0.3">
      <c r="A19" s="919" t="s">
        <v>493</v>
      </c>
      <c r="B19" s="920"/>
      <c r="C19" s="920"/>
      <c r="D19" s="920"/>
      <c r="E19" s="920"/>
      <c r="F19" s="920"/>
      <c r="G19" s="920"/>
      <c r="H19" s="920"/>
      <c r="I19" s="920"/>
      <c r="J19" s="920"/>
      <c r="K19" s="920"/>
      <c r="L19" s="920"/>
      <c r="M19" s="920"/>
      <c r="N19" s="920"/>
      <c r="O19" s="920"/>
      <c r="P19" s="920"/>
      <c r="Q19" s="920"/>
      <c r="R19" s="920"/>
      <c r="S19" s="921"/>
      <c r="T19" s="936" t="s">
        <v>267</v>
      </c>
      <c r="U19" s="936"/>
      <c r="V19" s="937"/>
      <c r="W19" s="938"/>
      <c r="X19" s="939"/>
      <c r="Y19" s="323">
        <f>Y15+Y16+Y17</f>
        <v>89949852.849999994</v>
      </c>
      <c r="Z19" s="173">
        <f>Z15+Z18</f>
        <v>15395487.85</v>
      </c>
      <c r="AA19" s="173">
        <f>AA18+AA15</f>
        <v>21942854</v>
      </c>
      <c r="AB19" s="173">
        <f t="shared" ref="AB19:AI19" si="3">AB18+AB15</f>
        <v>5331433</v>
      </c>
      <c r="AC19" s="173">
        <f t="shared" si="3"/>
        <v>5841694</v>
      </c>
      <c r="AD19" s="173">
        <f t="shared" si="3"/>
        <v>4309648.5</v>
      </c>
      <c r="AE19" s="173">
        <f t="shared" si="3"/>
        <v>2121125</v>
      </c>
      <c r="AF19" s="173">
        <f t="shared" si="3"/>
        <v>787842</v>
      </c>
      <c r="AG19" s="173">
        <f t="shared" si="3"/>
        <v>24443102</v>
      </c>
      <c r="AH19" s="173">
        <f t="shared" si="3"/>
        <v>427630</v>
      </c>
      <c r="AI19" s="174">
        <f t="shared" si="3"/>
        <v>9349036.5</v>
      </c>
    </row>
    <row r="20" spans="1:35" ht="13.5" thickBot="1" x14ac:dyDescent="0.25">
      <c r="Y20" s="176"/>
      <c r="Z20" s="176"/>
      <c r="AA20" s="176"/>
      <c r="AB20" s="176"/>
      <c r="AC20" s="176"/>
      <c r="AD20" s="176"/>
      <c r="AE20" s="176"/>
      <c r="AF20" s="176"/>
      <c r="AG20" s="176"/>
    </row>
    <row r="21" spans="1:35" ht="16.5" thickBot="1" x14ac:dyDescent="0.3">
      <c r="Y21" s="931" t="s">
        <v>148</v>
      </c>
      <c r="Z21" s="932"/>
      <c r="AA21" s="932"/>
      <c r="AB21" s="932"/>
      <c r="AC21" s="932"/>
      <c r="AD21" s="932"/>
      <c r="AE21" s="932"/>
      <c r="AF21" s="932"/>
      <c r="AG21" s="932"/>
      <c r="AH21" s="932"/>
      <c r="AI21" s="933"/>
    </row>
    <row r="22" spans="1:35" ht="15.75" x14ac:dyDescent="0.25">
      <c r="A22" s="882" t="s">
        <v>4</v>
      </c>
      <c r="B22" s="883"/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4"/>
      <c r="T22" s="934" t="s">
        <v>3</v>
      </c>
      <c r="U22" s="891"/>
      <c r="V22" s="892"/>
      <c r="W22" s="150" t="s">
        <v>226</v>
      </c>
      <c r="X22" s="151"/>
      <c r="Y22" s="895" t="s">
        <v>5</v>
      </c>
      <c r="Z22" s="152" t="s">
        <v>158</v>
      </c>
      <c r="AA22" s="897" t="s">
        <v>463</v>
      </c>
      <c r="AB22" s="153"/>
      <c r="AC22" s="899" t="s">
        <v>464</v>
      </c>
      <c r="AD22" s="913" t="s">
        <v>465</v>
      </c>
      <c r="AE22" s="878" t="s">
        <v>466</v>
      </c>
      <c r="AF22" s="267"/>
      <c r="AG22" s="878" t="s">
        <v>467</v>
      </c>
      <c r="AH22" s="878" t="s">
        <v>468</v>
      </c>
      <c r="AI22" s="878" t="s">
        <v>469</v>
      </c>
    </row>
    <row r="23" spans="1:35" ht="48.75" customHeight="1" thickBot="1" x14ac:dyDescent="0.3">
      <c r="A23" s="885"/>
      <c r="B23" s="886"/>
      <c r="C23" s="886"/>
      <c r="D23" s="886"/>
      <c r="E23" s="886"/>
      <c r="F23" s="886"/>
      <c r="G23" s="886"/>
      <c r="H23" s="886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7"/>
      <c r="T23" s="935"/>
      <c r="U23" s="893"/>
      <c r="V23" s="894"/>
      <c r="W23" s="901" t="s">
        <v>227</v>
      </c>
      <c r="X23" s="902"/>
      <c r="Y23" s="896"/>
      <c r="Z23" s="154" t="s">
        <v>470</v>
      </c>
      <c r="AA23" s="898"/>
      <c r="AB23" s="155" t="s">
        <v>471</v>
      </c>
      <c r="AC23" s="900"/>
      <c r="AD23" s="914"/>
      <c r="AE23" s="879"/>
      <c r="AF23" s="268"/>
      <c r="AG23" s="879"/>
      <c r="AH23" s="879"/>
      <c r="AI23" s="879"/>
    </row>
    <row r="24" spans="1:35" ht="15.75" thickBot="1" x14ac:dyDescent="0.3">
      <c r="A24" s="903" t="s">
        <v>472</v>
      </c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5"/>
      <c r="T24" s="930" t="s">
        <v>229</v>
      </c>
      <c r="U24" s="906"/>
      <c r="V24" s="907"/>
      <c r="W24" s="908" t="s">
        <v>473</v>
      </c>
      <c r="X24" s="909"/>
      <c r="Y24" s="156">
        <f>Z24+AA24+AB24+AC24+AD24+AG24+AH24+AI24+AE24</f>
        <v>42219506</v>
      </c>
      <c r="Z24" s="157"/>
      <c r="AA24" s="158">
        <v>15726600</v>
      </c>
      <c r="AB24" s="159">
        <v>4223400</v>
      </c>
      <c r="AC24" s="160">
        <v>4891806</v>
      </c>
      <c r="AD24" s="157">
        <v>3110300</v>
      </c>
      <c r="AE24" s="161">
        <v>1755000</v>
      </c>
      <c r="AF24" s="161"/>
      <c r="AG24" s="161">
        <v>8484000</v>
      </c>
      <c r="AH24" s="161"/>
      <c r="AI24" s="161">
        <v>4028400</v>
      </c>
    </row>
    <row r="25" spans="1:35" ht="15" x14ac:dyDescent="0.25">
      <c r="A25" s="910" t="s">
        <v>474</v>
      </c>
      <c r="B25" s="911"/>
      <c r="C25" s="911"/>
      <c r="D25" s="911"/>
      <c r="E25" s="911"/>
      <c r="F25" s="911"/>
      <c r="G25" s="911"/>
      <c r="H25" s="911"/>
      <c r="I25" s="911"/>
      <c r="J25" s="911"/>
      <c r="K25" s="911"/>
      <c r="L25" s="911"/>
      <c r="M25" s="911"/>
      <c r="N25" s="911"/>
      <c r="O25" s="911"/>
      <c r="P25" s="911"/>
      <c r="Q25" s="911"/>
      <c r="R25" s="911"/>
      <c r="S25" s="912"/>
      <c r="T25" s="930" t="s">
        <v>232</v>
      </c>
      <c r="U25" s="906"/>
      <c r="V25" s="907"/>
      <c r="W25" s="908" t="s">
        <v>475</v>
      </c>
      <c r="X25" s="909"/>
      <c r="Y25" s="156">
        <v>1075000</v>
      </c>
      <c r="Z25" s="160"/>
      <c r="AA25" s="162">
        <v>775000</v>
      </c>
      <c r="AB25" s="159">
        <v>100000</v>
      </c>
      <c r="AC25" s="157"/>
      <c r="AD25" s="157">
        <v>200000</v>
      </c>
      <c r="AE25" s="163"/>
      <c r="AF25" s="163"/>
      <c r="AG25" s="163"/>
      <c r="AH25" s="163"/>
      <c r="AI25" s="163"/>
    </row>
    <row r="26" spans="1:35" ht="15" x14ac:dyDescent="0.25">
      <c r="A26" s="910" t="s">
        <v>476</v>
      </c>
      <c r="B26" s="911"/>
      <c r="C26" s="911"/>
      <c r="D26" s="911"/>
      <c r="E26" s="911"/>
      <c r="F26" s="911"/>
      <c r="G26" s="911"/>
      <c r="H26" s="911"/>
      <c r="I26" s="911"/>
      <c r="J26" s="911"/>
      <c r="K26" s="911"/>
      <c r="L26" s="911"/>
      <c r="M26" s="911"/>
      <c r="N26" s="911"/>
      <c r="O26" s="911"/>
      <c r="P26" s="911"/>
      <c r="Q26" s="911"/>
      <c r="R26" s="911"/>
      <c r="S26" s="912"/>
      <c r="T26" s="930" t="s">
        <v>236</v>
      </c>
      <c r="U26" s="906"/>
      <c r="V26" s="907"/>
      <c r="W26" s="908" t="s">
        <v>477</v>
      </c>
      <c r="X26" s="909"/>
      <c r="Y26" s="156">
        <f t="shared" ref="Y26:Y35" si="4">Z26+AA26+AB26+AC26+AD26+AG26+AH26+AI26+AE26</f>
        <v>1084699</v>
      </c>
      <c r="Z26" s="160">
        <v>148699</v>
      </c>
      <c r="AA26" s="160">
        <v>648000</v>
      </c>
      <c r="AB26" s="159">
        <v>96000</v>
      </c>
      <c r="AC26" s="157"/>
      <c r="AD26" s="157">
        <v>192000</v>
      </c>
      <c r="AE26" s="163"/>
      <c r="AF26" s="163"/>
      <c r="AG26" s="163"/>
      <c r="AH26" s="163"/>
      <c r="AI26" s="163"/>
    </row>
    <row r="27" spans="1:35" ht="15" x14ac:dyDescent="0.25">
      <c r="A27" s="910" t="s">
        <v>478</v>
      </c>
      <c r="B27" s="911"/>
      <c r="C27" s="911"/>
      <c r="D27" s="911"/>
      <c r="E27" s="911"/>
      <c r="F27" s="911"/>
      <c r="G27" s="911"/>
      <c r="H27" s="911"/>
      <c r="I27" s="911"/>
      <c r="J27" s="911"/>
      <c r="K27" s="911"/>
      <c r="L27" s="911"/>
      <c r="M27" s="911"/>
      <c r="N27" s="911"/>
      <c r="O27" s="911"/>
      <c r="P27" s="911"/>
      <c r="Q27" s="911"/>
      <c r="R27" s="911"/>
      <c r="S27" s="912"/>
      <c r="T27" s="930" t="s">
        <v>240</v>
      </c>
      <c r="U27" s="906"/>
      <c r="V27" s="907"/>
      <c r="W27" s="908" t="s">
        <v>479</v>
      </c>
      <c r="X27" s="909"/>
      <c r="Y27" s="156">
        <v>1212000</v>
      </c>
      <c r="Z27" s="160">
        <v>900000</v>
      </c>
      <c r="AA27" s="160">
        <v>312000</v>
      </c>
      <c r="AB27" s="159"/>
      <c r="AC27" s="157"/>
      <c r="AD27" s="157"/>
      <c r="AE27" s="163"/>
      <c r="AF27" s="163"/>
      <c r="AG27" s="163"/>
      <c r="AH27" s="163"/>
      <c r="AI27" s="163"/>
    </row>
    <row r="28" spans="1:35" ht="15" x14ac:dyDescent="0.25">
      <c r="A28" s="910" t="s">
        <v>480</v>
      </c>
      <c r="B28" s="911"/>
      <c r="C28" s="911"/>
      <c r="D28" s="911"/>
      <c r="E28" s="911"/>
      <c r="F28" s="911"/>
      <c r="G28" s="911"/>
      <c r="H28" s="911"/>
      <c r="I28" s="911"/>
      <c r="J28" s="911"/>
      <c r="K28" s="911"/>
      <c r="L28" s="911"/>
      <c r="M28" s="911"/>
      <c r="N28" s="911"/>
      <c r="O28" s="911"/>
      <c r="P28" s="911"/>
      <c r="Q28" s="911"/>
      <c r="R28" s="911"/>
      <c r="S28" s="239"/>
      <c r="T28" s="930" t="s">
        <v>243</v>
      </c>
      <c r="U28" s="906"/>
      <c r="V28" s="907"/>
      <c r="W28" s="908" t="s">
        <v>481</v>
      </c>
      <c r="X28" s="909"/>
      <c r="Y28" s="156">
        <f t="shared" si="4"/>
        <v>390000</v>
      </c>
      <c r="Z28" s="160">
        <v>50000</v>
      </c>
      <c r="AA28" s="160">
        <v>160000</v>
      </c>
      <c r="AB28" s="159">
        <v>30000</v>
      </c>
      <c r="AC28" s="157">
        <v>50000</v>
      </c>
      <c r="AD28" s="157">
        <v>80000</v>
      </c>
      <c r="AE28" s="163">
        <v>20000</v>
      </c>
      <c r="AF28" s="163"/>
      <c r="AG28" s="163"/>
      <c r="AH28" s="163"/>
      <c r="AI28" s="163"/>
    </row>
    <row r="29" spans="1:35" ht="15" x14ac:dyDescent="0.25">
      <c r="A29" s="910" t="s">
        <v>482</v>
      </c>
      <c r="B29" s="911"/>
      <c r="C29" s="911"/>
      <c r="D29" s="911"/>
      <c r="E29" s="911"/>
      <c r="F29" s="911"/>
      <c r="G29" s="911"/>
      <c r="H29" s="911"/>
      <c r="I29" s="911"/>
      <c r="J29" s="911"/>
      <c r="K29" s="911"/>
      <c r="L29" s="911"/>
      <c r="M29" s="911"/>
      <c r="N29" s="911"/>
      <c r="O29" s="911"/>
      <c r="P29" s="911"/>
      <c r="Q29" s="911"/>
      <c r="R29" s="911"/>
      <c r="S29" s="912"/>
      <c r="T29" s="930" t="s">
        <v>246</v>
      </c>
      <c r="U29" s="906"/>
      <c r="V29" s="907"/>
      <c r="W29" s="908" t="s">
        <v>483</v>
      </c>
      <c r="X29" s="909"/>
      <c r="Y29" s="156">
        <f t="shared" si="4"/>
        <v>9138220</v>
      </c>
      <c r="Z29" s="160">
        <v>9138220</v>
      </c>
      <c r="AA29" s="160"/>
      <c r="AB29" s="159"/>
      <c r="AC29" s="157"/>
      <c r="AD29" s="157"/>
      <c r="AE29" s="163"/>
      <c r="AF29" s="163"/>
      <c r="AG29" s="163"/>
      <c r="AH29" s="163"/>
      <c r="AI29" s="163"/>
    </row>
    <row r="30" spans="1:35" ht="15" x14ac:dyDescent="0.25">
      <c r="A30" s="910" t="s">
        <v>484</v>
      </c>
      <c r="B30" s="911"/>
      <c r="C30" s="911"/>
      <c r="D30" s="911"/>
      <c r="E30" s="911"/>
      <c r="F30" s="911"/>
      <c r="G30" s="911"/>
      <c r="H30" s="911"/>
      <c r="I30" s="911"/>
      <c r="J30" s="911"/>
      <c r="K30" s="911"/>
      <c r="L30" s="911"/>
      <c r="M30" s="911"/>
      <c r="N30" s="911"/>
      <c r="O30" s="911"/>
      <c r="P30" s="911"/>
      <c r="Q30" s="911"/>
      <c r="R30" s="911"/>
      <c r="S30" s="912"/>
      <c r="T30" s="930" t="s">
        <v>249</v>
      </c>
      <c r="U30" s="906"/>
      <c r="V30" s="907"/>
      <c r="W30" s="908" t="s">
        <v>485</v>
      </c>
      <c r="X30" s="909"/>
      <c r="Y30" s="156">
        <f t="shared" si="4"/>
        <v>11984184</v>
      </c>
      <c r="Z30" s="160"/>
      <c r="AA30" s="160"/>
      <c r="AB30" s="159"/>
      <c r="AC30" s="157"/>
      <c r="AD30" s="157"/>
      <c r="AE30" s="163">
        <f>[5]éves_bér_és_jár!S71</f>
        <v>0</v>
      </c>
      <c r="AF30" s="163"/>
      <c r="AG30" s="163">
        <v>9248684</v>
      </c>
      <c r="AH30" s="163">
        <v>252000</v>
      </c>
      <c r="AI30" s="163">
        <v>2483500</v>
      </c>
    </row>
    <row r="31" spans="1:35" ht="15" x14ac:dyDescent="0.25">
      <c r="A31" s="910" t="s">
        <v>486</v>
      </c>
      <c r="B31" s="911"/>
      <c r="C31" s="911"/>
      <c r="D31" s="911"/>
      <c r="E31" s="911"/>
      <c r="F31" s="911"/>
      <c r="G31" s="911"/>
      <c r="H31" s="911"/>
      <c r="I31" s="911"/>
      <c r="J31" s="911"/>
      <c r="K31" s="911"/>
      <c r="L31" s="911"/>
      <c r="M31" s="911"/>
      <c r="N31" s="911"/>
      <c r="O31" s="911"/>
      <c r="P31" s="911"/>
      <c r="Q31" s="911"/>
      <c r="R31" s="911"/>
      <c r="S31" s="912"/>
      <c r="T31" s="930" t="s">
        <v>251</v>
      </c>
      <c r="U31" s="906"/>
      <c r="V31" s="907"/>
      <c r="W31" s="908" t="s">
        <v>487</v>
      </c>
      <c r="X31" s="909"/>
      <c r="Y31" s="156">
        <f t="shared" si="4"/>
        <v>500000</v>
      </c>
      <c r="Z31" s="160">
        <v>500000</v>
      </c>
      <c r="AA31" s="160"/>
      <c r="AB31" s="159">
        <f>[5]éves_bér_és_jár!K64</f>
        <v>0</v>
      </c>
      <c r="AC31" s="157"/>
      <c r="AD31" s="157"/>
      <c r="AE31" s="163"/>
      <c r="AF31" s="163"/>
      <c r="AG31" s="163"/>
      <c r="AH31" s="163"/>
      <c r="AI31" s="163"/>
    </row>
    <row r="32" spans="1:35" ht="15.75" x14ac:dyDescent="0.25">
      <c r="A32" s="922" t="s">
        <v>488</v>
      </c>
      <c r="B32" s="845"/>
      <c r="C32" s="845"/>
      <c r="D32" s="845"/>
      <c r="E32" s="845"/>
      <c r="F32" s="845"/>
      <c r="G32" s="845"/>
      <c r="H32" s="845"/>
      <c r="I32" s="845"/>
      <c r="J32" s="845"/>
      <c r="K32" s="845"/>
      <c r="L32" s="845"/>
      <c r="M32" s="845"/>
      <c r="N32" s="845"/>
      <c r="O32" s="845"/>
      <c r="P32" s="845"/>
      <c r="Q32" s="845"/>
      <c r="R32" s="845"/>
      <c r="S32" s="923"/>
      <c r="T32" s="947" t="s">
        <v>254</v>
      </c>
      <c r="U32" s="924"/>
      <c r="V32" s="925"/>
      <c r="W32" s="926"/>
      <c r="X32" s="927"/>
      <c r="Y32" s="164">
        <v>71038925</v>
      </c>
      <c r="Z32" s="165">
        <f>Z24+Z25+Z26+Z27+Z28+Z29+Z30+Z31</f>
        <v>10736919</v>
      </c>
      <c r="AA32" s="165">
        <f>AA24+AA25+AA26+AA27+AA28+AA29+AA30+AA31</f>
        <v>17621600</v>
      </c>
      <c r="AB32" s="165">
        <f t="shared" ref="AB32:AI32" si="5">AB24+AB25+AB26+AB27+AB28+AB29+AB30+AB31</f>
        <v>4449400</v>
      </c>
      <c r="AC32" s="165">
        <f t="shared" si="5"/>
        <v>4941806</v>
      </c>
      <c r="AD32" s="165">
        <f t="shared" si="5"/>
        <v>3582300</v>
      </c>
      <c r="AE32" s="165">
        <f t="shared" si="5"/>
        <v>1775000</v>
      </c>
      <c r="AF32" s="165"/>
      <c r="AG32" s="165">
        <f t="shared" si="5"/>
        <v>17732684</v>
      </c>
      <c r="AH32" s="165">
        <f t="shared" si="5"/>
        <v>252000</v>
      </c>
      <c r="AI32" s="166">
        <f t="shared" si="5"/>
        <v>6511900</v>
      </c>
    </row>
    <row r="33" spans="1:35" ht="15.75" x14ac:dyDescent="0.25">
      <c r="A33" s="910" t="s">
        <v>489</v>
      </c>
      <c r="B33" s="911"/>
      <c r="C33" s="911"/>
      <c r="D33" s="911"/>
      <c r="E33" s="911"/>
      <c r="F33" s="911"/>
      <c r="G33" s="911"/>
      <c r="H33" s="911"/>
      <c r="I33" s="911"/>
      <c r="J33" s="911"/>
      <c r="K33" s="911"/>
      <c r="L33" s="911"/>
      <c r="M33" s="911"/>
      <c r="N33" s="911"/>
      <c r="O33" s="911"/>
      <c r="P33" s="911"/>
      <c r="Q33" s="911"/>
      <c r="R33" s="911"/>
      <c r="S33" s="912"/>
      <c r="T33" s="930" t="s">
        <v>258</v>
      </c>
      <c r="U33" s="906"/>
      <c r="V33" s="907"/>
      <c r="W33" s="928" t="s">
        <v>490</v>
      </c>
      <c r="X33" s="929"/>
      <c r="Y33" s="156">
        <f t="shared" si="4"/>
        <v>13852591</v>
      </c>
      <c r="Z33" s="160">
        <v>2093699</v>
      </c>
      <c r="AA33" s="160">
        <v>3436212</v>
      </c>
      <c r="AB33" s="160">
        <v>867633</v>
      </c>
      <c r="AC33" s="157">
        <v>963652</v>
      </c>
      <c r="AD33" s="157">
        <v>698549</v>
      </c>
      <c r="AE33" s="240">
        <v>346125</v>
      </c>
      <c r="AF33" s="273"/>
      <c r="AG33" s="163">
        <v>4127760</v>
      </c>
      <c r="AH33" s="163">
        <v>49140</v>
      </c>
      <c r="AI33" s="163">
        <v>1269821</v>
      </c>
    </row>
    <row r="34" spans="1:35" ht="15.75" thickBot="1" x14ac:dyDescent="0.3">
      <c r="A34" s="952" t="s">
        <v>491</v>
      </c>
      <c r="B34" s="953"/>
      <c r="C34" s="953"/>
      <c r="D34" s="953"/>
      <c r="E34" s="953"/>
      <c r="F34" s="953"/>
      <c r="G34" s="953"/>
      <c r="H34" s="953"/>
      <c r="I34" s="953"/>
      <c r="J34" s="953"/>
      <c r="K34" s="953"/>
      <c r="L34" s="953"/>
      <c r="M34" s="953"/>
      <c r="N34" s="953"/>
      <c r="O34" s="953"/>
      <c r="P34" s="953"/>
      <c r="Q34" s="953"/>
      <c r="R34" s="953"/>
      <c r="S34" s="954"/>
      <c r="T34" s="955" t="s">
        <v>261</v>
      </c>
      <c r="U34" s="956"/>
      <c r="V34" s="957"/>
      <c r="W34" s="958" t="s">
        <v>490</v>
      </c>
      <c r="X34" s="959"/>
      <c r="Y34" s="156">
        <f t="shared" si="4"/>
        <v>268755</v>
      </c>
      <c r="Z34" s="167">
        <v>128355</v>
      </c>
      <c r="AA34" s="167">
        <v>97200</v>
      </c>
      <c r="AB34" s="167">
        <v>14400</v>
      </c>
      <c r="AC34" s="168"/>
      <c r="AD34" s="168">
        <v>28800</v>
      </c>
      <c r="AE34" s="169"/>
      <c r="AF34" s="169"/>
      <c r="AG34" s="169"/>
      <c r="AH34" s="169"/>
      <c r="AI34" s="169"/>
    </row>
    <row r="35" spans="1:35" ht="16.5" thickBot="1" x14ac:dyDescent="0.3">
      <c r="A35" s="960" t="s">
        <v>492</v>
      </c>
      <c r="B35" s="961"/>
      <c r="C35" s="961"/>
      <c r="D35" s="961"/>
      <c r="E35" s="961"/>
      <c r="F35" s="961"/>
      <c r="G35" s="961"/>
      <c r="H35" s="961"/>
      <c r="I35" s="961"/>
      <c r="J35" s="961"/>
      <c r="K35" s="961"/>
      <c r="L35" s="961"/>
      <c r="M35" s="961"/>
      <c r="N35" s="961"/>
      <c r="O35" s="961"/>
      <c r="P35" s="961"/>
      <c r="Q35" s="961"/>
      <c r="R35" s="961"/>
      <c r="S35" s="962"/>
      <c r="T35" s="951" t="s">
        <v>264</v>
      </c>
      <c r="U35" s="915"/>
      <c r="V35" s="916"/>
      <c r="W35" s="917"/>
      <c r="X35" s="918"/>
      <c r="Y35" s="164">
        <f t="shared" si="4"/>
        <v>14121346</v>
      </c>
      <c r="Z35" s="170">
        <f>Z33+Z34</f>
        <v>2222054</v>
      </c>
      <c r="AA35" s="171">
        <f>AA33+AA34</f>
        <v>3533412</v>
      </c>
      <c r="AB35" s="171">
        <f t="shared" ref="AB35:AI35" si="6">AB33+AB34</f>
        <v>882033</v>
      </c>
      <c r="AC35" s="171">
        <f t="shared" si="6"/>
        <v>963652</v>
      </c>
      <c r="AD35" s="171">
        <f t="shared" si="6"/>
        <v>727349</v>
      </c>
      <c r="AE35" s="171">
        <f t="shared" si="6"/>
        <v>346125</v>
      </c>
      <c r="AF35" s="171"/>
      <c r="AG35" s="171">
        <f t="shared" si="6"/>
        <v>4127760</v>
      </c>
      <c r="AH35" s="171">
        <f t="shared" si="6"/>
        <v>49140</v>
      </c>
      <c r="AI35" s="172">
        <f t="shared" si="6"/>
        <v>1269821</v>
      </c>
    </row>
    <row r="36" spans="1:35" ht="16.5" thickBot="1" x14ac:dyDescent="0.3">
      <c r="A36" s="948" t="s">
        <v>493</v>
      </c>
      <c r="B36" s="949"/>
      <c r="C36" s="949"/>
      <c r="D36" s="949"/>
      <c r="E36" s="949"/>
      <c r="F36" s="949"/>
      <c r="G36" s="949"/>
      <c r="H36" s="949"/>
      <c r="I36" s="949"/>
      <c r="J36" s="949"/>
      <c r="K36" s="949"/>
      <c r="L36" s="949"/>
      <c r="M36" s="949"/>
      <c r="N36" s="949"/>
      <c r="O36" s="949"/>
      <c r="P36" s="949"/>
      <c r="Q36" s="949"/>
      <c r="R36" s="949"/>
      <c r="S36" s="950"/>
      <c r="T36" s="951" t="s">
        <v>267</v>
      </c>
      <c r="U36" s="915"/>
      <c r="V36" s="916"/>
      <c r="W36" s="917"/>
      <c r="X36" s="918"/>
      <c r="Y36" s="164">
        <v>85160271</v>
      </c>
      <c r="Z36" s="173">
        <f>Z32+Z35</f>
        <v>12958973</v>
      </c>
      <c r="AA36" s="173">
        <f>AA35+AA32</f>
        <v>21155012</v>
      </c>
      <c r="AB36" s="173">
        <f t="shared" ref="AB36:AI36" si="7">AB35+AB32</f>
        <v>5331433</v>
      </c>
      <c r="AC36" s="173">
        <f t="shared" si="7"/>
        <v>5905458</v>
      </c>
      <c r="AD36" s="173">
        <f t="shared" si="7"/>
        <v>4309649</v>
      </c>
      <c r="AE36" s="173">
        <f t="shared" si="7"/>
        <v>2121125</v>
      </c>
      <c r="AF36" s="173"/>
      <c r="AG36" s="173">
        <f t="shared" si="7"/>
        <v>21860444</v>
      </c>
      <c r="AH36" s="173">
        <f t="shared" si="7"/>
        <v>301140</v>
      </c>
      <c r="AI36" s="174">
        <f t="shared" si="7"/>
        <v>7781721</v>
      </c>
    </row>
  </sheetData>
  <mergeCells count="105">
    <mergeCell ref="A36:S36"/>
    <mergeCell ref="T36:V36"/>
    <mergeCell ref="W36:X36"/>
    <mergeCell ref="A34:S34"/>
    <mergeCell ref="T34:V34"/>
    <mergeCell ref="W34:X34"/>
    <mergeCell ref="A35:S35"/>
    <mergeCell ref="T35:V35"/>
    <mergeCell ref="W35:X35"/>
    <mergeCell ref="A32:S32"/>
    <mergeCell ref="T32:V32"/>
    <mergeCell ref="W32:X32"/>
    <mergeCell ref="A33:S33"/>
    <mergeCell ref="T33:V33"/>
    <mergeCell ref="W33:X33"/>
    <mergeCell ref="A30:S30"/>
    <mergeCell ref="T30:V30"/>
    <mergeCell ref="W30:X30"/>
    <mergeCell ref="A31:S31"/>
    <mergeCell ref="T31:V31"/>
    <mergeCell ref="W31:X31"/>
    <mergeCell ref="A28:R28"/>
    <mergeCell ref="T28:V28"/>
    <mergeCell ref="W28:X28"/>
    <mergeCell ref="A29:S29"/>
    <mergeCell ref="T29:V29"/>
    <mergeCell ref="W29:X29"/>
    <mergeCell ref="A26:S26"/>
    <mergeCell ref="T26:V26"/>
    <mergeCell ref="W26:X26"/>
    <mergeCell ref="A27:S27"/>
    <mergeCell ref="T27:V27"/>
    <mergeCell ref="W27:X27"/>
    <mergeCell ref="A24:S24"/>
    <mergeCell ref="T24:V24"/>
    <mergeCell ref="W24:X24"/>
    <mergeCell ref="A25:S25"/>
    <mergeCell ref="T25:V25"/>
    <mergeCell ref="W25:X25"/>
    <mergeCell ref="Y4:AH4"/>
    <mergeCell ref="Y21:AI21"/>
    <mergeCell ref="A22:S23"/>
    <mergeCell ref="T22:V23"/>
    <mergeCell ref="Y22:Y23"/>
    <mergeCell ref="AA22:AA23"/>
    <mergeCell ref="AC22:AC23"/>
    <mergeCell ref="AD22:AD23"/>
    <mergeCell ref="AE22:AE23"/>
    <mergeCell ref="AG22:AG23"/>
    <mergeCell ref="AH22:AH23"/>
    <mergeCell ref="AI22:AI23"/>
    <mergeCell ref="W23:X23"/>
    <mergeCell ref="T19:V19"/>
    <mergeCell ref="W19:X19"/>
    <mergeCell ref="T17:V17"/>
    <mergeCell ref="W17:X17"/>
    <mergeCell ref="A18:S18"/>
    <mergeCell ref="T18:V18"/>
    <mergeCell ref="W18:X18"/>
    <mergeCell ref="A19:S19"/>
    <mergeCell ref="A15:S15"/>
    <mergeCell ref="T15:V15"/>
    <mergeCell ref="W15:X15"/>
    <mergeCell ref="A16:S16"/>
    <mergeCell ref="T16:V16"/>
    <mergeCell ref="W16:X16"/>
    <mergeCell ref="AD5:AD6"/>
    <mergeCell ref="AE5:AE6"/>
    <mergeCell ref="AG5:AG6"/>
    <mergeCell ref="A13:S13"/>
    <mergeCell ref="T13:V13"/>
    <mergeCell ref="W13:X13"/>
    <mergeCell ref="A14:S14"/>
    <mergeCell ref="T14:V14"/>
    <mergeCell ref="W14:X14"/>
    <mergeCell ref="A11:R11"/>
    <mergeCell ref="T11:V11"/>
    <mergeCell ref="W11:X11"/>
    <mergeCell ref="A12:S12"/>
    <mergeCell ref="T12:V12"/>
    <mergeCell ref="W12:X12"/>
    <mergeCell ref="AH5:AH6"/>
    <mergeCell ref="AI5:AI6"/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  <mergeCell ref="A9:S9"/>
    <mergeCell ref="T9:V9"/>
    <mergeCell ref="W9:X9"/>
    <mergeCell ref="A10:S10"/>
    <mergeCell ref="T10:V10"/>
    <mergeCell ref="W10:X10"/>
  </mergeCells>
  <pageMargins left="0.25" right="0.25" top="0.75" bottom="0.75" header="0.3" footer="0.3"/>
  <pageSetup paperSize="9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H48"/>
  <sheetViews>
    <sheetView topLeftCell="A7" workbookViewId="0">
      <selection activeCell="A37" sqref="A37:XFD38"/>
    </sheetView>
  </sheetViews>
  <sheetFormatPr defaultRowHeight="15" x14ac:dyDescent="0.25"/>
  <cols>
    <col min="1" max="1" width="95.85546875" bestFit="1" customWidth="1"/>
    <col min="2" max="2" width="22.28515625" style="45" bestFit="1" customWidth="1"/>
    <col min="3" max="3" width="22" style="307" bestFit="1" customWidth="1"/>
    <col min="5" max="5" width="18.42578125" bestFit="1" customWidth="1"/>
    <col min="7" max="7" width="18.42578125" style="118" bestFit="1" customWidth="1"/>
  </cols>
  <sheetData>
    <row r="1" spans="1:34" ht="15.75" thickBot="1" x14ac:dyDescent="0.3">
      <c r="A1" s="963" t="s">
        <v>575</v>
      </c>
      <c r="B1" s="963"/>
      <c r="C1" s="963"/>
      <c r="D1" s="963"/>
      <c r="E1" s="963"/>
      <c r="F1" s="963"/>
    </row>
    <row r="2" spans="1:34" ht="15.75" thickBot="1" x14ac:dyDescent="0.3">
      <c r="B2" s="241" t="s">
        <v>515</v>
      </c>
      <c r="C2" s="113" t="s">
        <v>534</v>
      </c>
    </row>
    <row r="3" spans="1:34" x14ac:dyDescent="0.25">
      <c r="A3" t="s">
        <v>333</v>
      </c>
      <c r="B3" s="200" t="s">
        <v>494</v>
      </c>
      <c r="C3" s="324">
        <v>65096442</v>
      </c>
      <c r="D3" t="s">
        <v>334</v>
      </c>
    </row>
    <row r="4" spans="1:34" x14ac:dyDescent="0.25">
      <c r="A4" t="s">
        <v>335</v>
      </c>
      <c r="B4" s="200" t="s">
        <v>495</v>
      </c>
      <c r="C4" s="324">
        <v>29510300</v>
      </c>
      <c r="D4" t="s">
        <v>336</v>
      </c>
    </row>
    <row r="5" spans="1:34" x14ac:dyDescent="0.25">
      <c r="A5" t="s">
        <v>337</v>
      </c>
      <c r="B5" s="200" t="s">
        <v>496</v>
      </c>
      <c r="C5" s="324">
        <v>53374697</v>
      </c>
      <c r="D5" t="s">
        <v>338</v>
      </c>
    </row>
    <row r="6" spans="1:34" x14ac:dyDescent="0.25">
      <c r="A6" t="s">
        <v>339</v>
      </c>
      <c r="B6" s="200" t="s">
        <v>497</v>
      </c>
      <c r="C6" s="324">
        <v>2304820</v>
      </c>
      <c r="D6" t="s">
        <v>340</v>
      </c>
    </row>
    <row r="7" spans="1:34" x14ac:dyDescent="0.25">
      <c r="B7" s="200"/>
    </row>
    <row r="8" spans="1:34" x14ac:dyDescent="0.25">
      <c r="B8" s="200"/>
    </row>
    <row r="9" spans="1:34" x14ac:dyDescent="0.25">
      <c r="B9" s="200"/>
    </row>
    <row r="10" spans="1:34" x14ac:dyDescent="0.25">
      <c r="A10" t="s">
        <v>341</v>
      </c>
    </row>
    <row r="11" spans="1:34" s="93" customFormat="1" x14ac:dyDescent="0.25">
      <c r="A11" s="242" t="s">
        <v>342</v>
      </c>
      <c r="B11" s="92">
        <f>(24000*1.27)+(264000*1.22)</f>
        <v>352560</v>
      </c>
      <c r="C11" s="325"/>
      <c r="D11" s="104" t="s">
        <v>343</v>
      </c>
      <c r="E11" s="104"/>
      <c r="F11" s="104"/>
      <c r="G11" s="119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</row>
    <row r="12" spans="1:34" s="93" customFormat="1" x14ac:dyDescent="0.25">
      <c r="A12" s="242" t="s">
        <v>344</v>
      </c>
      <c r="B12" s="92">
        <v>5744000</v>
      </c>
      <c r="C12" s="325">
        <v>5744000</v>
      </c>
      <c r="D12" s="104" t="s">
        <v>343</v>
      </c>
      <c r="E12" s="104"/>
      <c r="F12" s="104"/>
      <c r="G12" s="119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</row>
    <row r="13" spans="1:34" s="93" customFormat="1" x14ac:dyDescent="0.25">
      <c r="A13" s="242" t="s">
        <v>345</v>
      </c>
      <c r="B13" s="92">
        <f>39418*11*1.22+8500*1.27</f>
        <v>539784.55999999994</v>
      </c>
      <c r="C13" s="325"/>
      <c r="D13" s="104" t="s">
        <v>343</v>
      </c>
      <c r="E13" s="104"/>
      <c r="F13" s="104"/>
      <c r="G13" s="119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</row>
    <row r="14" spans="1:34" s="93" customFormat="1" x14ac:dyDescent="0.25">
      <c r="A14" s="45" t="s">
        <v>621</v>
      </c>
      <c r="B14" s="92"/>
      <c r="C14" s="325"/>
      <c r="D14" s="104"/>
      <c r="E14" s="104"/>
      <c r="F14" s="104"/>
      <c r="G14" s="119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</row>
    <row r="15" spans="1:34" s="93" customFormat="1" x14ac:dyDescent="0.25">
      <c r="A15" s="45" t="s">
        <v>622</v>
      </c>
      <c r="B15" s="92"/>
      <c r="C15" s="325">
        <v>2353310</v>
      </c>
      <c r="D15" s="104" t="s">
        <v>343</v>
      </c>
      <c r="E15" s="104"/>
      <c r="F15" s="104"/>
      <c r="G15" s="119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</row>
    <row r="16" spans="1:34" s="93" customFormat="1" x14ac:dyDescent="0.25">
      <c r="A16" s="45" t="s">
        <v>712</v>
      </c>
      <c r="B16" s="92"/>
      <c r="C16" s="325">
        <v>9696700</v>
      </c>
      <c r="D16" s="104" t="s">
        <v>343</v>
      </c>
      <c r="E16" s="104"/>
      <c r="F16" s="104"/>
      <c r="G16" s="119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</row>
    <row r="17" spans="1:7" ht="16.5" thickBot="1" x14ac:dyDescent="0.3">
      <c r="B17" s="100">
        <f>SUM(B11:B13)</f>
        <v>6636344.5599999996</v>
      </c>
      <c r="C17" s="326">
        <f>C11+C12+C13+C15+C16</f>
        <v>17794010</v>
      </c>
    </row>
    <row r="18" spans="1:7" s="179" customFormat="1" ht="18.75" thickBot="1" x14ac:dyDescent="0.3">
      <c r="A18" s="177" t="s">
        <v>498</v>
      </c>
      <c r="B18" s="178">
        <v>152161604</v>
      </c>
      <c r="C18" s="327">
        <f>C3+C4+C5+C6+C17</f>
        <v>168080269</v>
      </c>
      <c r="G18" s="180"/>
    </row>
    <row r="19" spans="1:7" x14ac:dyDescent="0.25">
      <c r="A19" t="s">
        <v>346</v>
      </c>
      <c r="B19" s="94">
        <f>270000*4</f>
        <v>1080000</v>
      </c>
      <c r="C19" s="328">
        <f>270000*4</f>
        <v>1080000</v>
      </c>
      <c r="D19" s="95" t="s">
        <v>347</v>
      </c>
    </row>
    <row r="20" spans="1:7" x14ac:dyDescent="0.25">
      <c r="A20" t="s">
        <v>499</v>
      </c>
      <c r="B20" s="94">
        <v>5043623</v>
      </c>
      <c r="C20" s="328">
        <f>5043623+574788</f>
        <v>5618411</v>
      </c>
      <c r="D20" s="95" t="s">
        <v>348</v>
      </c>
    </row>
    <row r="21" spans="1:7" x14ac:dyDescent="0.25">
      <c r="A21" t="s">
        <v>500</v>
      </c>
      <c r="B21" s="45">
        <f>8400*12+407200*12</f>
        <v>4987200</v>
      </c>
      <c r="C21" s="329">
        <f>8400*12+407200*12</f>
        <v>4987200</v>
      </c>
      <c r="D21" s="95" t="s">
        <v>349</v>
      </c>
    </row>
    <row r="22" spans="1:7" x14ac:dyDescent="0.25">
      <c r="A22" t="s">
        <v>501</v>
      </c>
      <c r="B22" s="45">
        <v>1398150</v>
      </c>
      <c r="C22" s="329">
        <v>1398150</v>
      </c>
      <c r="D22" s="95"/>
    </row>
    <row r="23" spans="1:7" x14ac:dyDescent="0.25">
      <c r="A23" t="s">
        <v>350</v>
      </c>
      <c r="B23" s="94">
        <v>974400</v>
      </c>
      <c r="C23" s="328">
        <v>974400</v>
      </c>
      <c r="D23" t="s">
        <v>351</v>
      </c>
    </row>
    <row r="24" spans="1:7" x14ac:dyDescent="0.25">
      <c r="A24" t="s">
        <v>713</v>
      </c>
      <c r="B24" s="94"/>
      <c r="C24" s="328">
        <v>9928860</v>
      </c>
    </row>
    <row r="25" spans="1:7" x14ac:dyDescent="0.25">
      <c r="A25" s="45" t="s">
        <v>718</v>
      </c>
      <c r="B25" s="94"/>
      <c r="C25" s="324">
        <v>787842</v>
      </c>
    </row>
    <row r="26" spans="1:7" x14ac:dyDescent="0.25">
      <c r="A26" s="45" t="s">
        <v>719</v>
      </c>
      <c r="B26" s="94"/>
      <c r="C26" s="324">
        <v>2844978</v>
      </c>
    </row>
    <row r="27" spans="1:7" x14ac:dyDescent="0.25">
      <c r="A27" t="s">
        <v>714</v>
      </c>
      <c r="B27" s="94"/>
      <c r="C27" s="324">
        <v>23655000</v>
      </c>
    </row>
    <row r="28" spans="1:7" x14ac:dyDescent="0.25">
      <c r="A28" t="s">
        <v>715</v>
      </c>
      <c r="B28" s="94"/>
      <c r="C28" s="324">
        <v>1834700</v>
      </c>
    </row>
    <row r="29" spans="1:7" x14ac:dyDescent="0.25">
      <c r="A29" s="98" t="s">
        <v>330</v>
      </c>
      <c r="B29" s="94"/>
      <c r="C29" s="324">
        <v>63549509</v>
      </c>
    </row>
    <row r="30" spans="1:7" x14ac:dyDescent="0.25">
      <c r="A30" s="101" t="s">
        <v>331</v>
      </c>
      <c r="B30" s="94"/>
      <c r="C30" s="324">
        <v>13521893</v>
      </c>
    </row>
    <row r="31" spans="1:7" x14ac:dyDescent="0.25">
      <c r="A31" s="332" t="s">
        <v>716</v>
      </c>
      <c r="B31" s="94"/>
      <c r="C31" s="324">
        <v>267065</v>
      </c>
    </row>
    <row r="32" spans="1:7" x14ac:dyDescent="0.25">
      <c r="A32" s="332" t="s">
        <v>717</v>
      </c>
      <c r="B32" s="94"/>
      <c r="C32" s="324">
        <v>352560</v>
      </c>
    </row>
    <row r="33" spans="1:7" ht="15.75" thickBot="1" x14ac:dyDescent="0.3">
      <c r="A33" s="333" t="s">
        <v>345</v>
      </c>
      <c r="B33" s="94"/>
      <c r="C33" s="324">
        <v>539785</v>
      </c>
    </row>
    <row r="34" spans="1:7" ht="16.5" thickBot="1" x14ac:dyDescent="0.3">
      <c r="A34" s="243" t="s">
        <v>573</v>
      </c>
      <c r="B34" s="244">
        <f>SUM(B19:B25)</f>
        <v>13483373</v>
      </c>
      <c r="C34" s="330">
        <f>SUM(C19:C33)</f>
        <v>131340353</v>
      </c>
      <c r="D34" s="96"/>
    </row>
    <row r="35" spans="1:7" ht="15.75" x14ac:dyDescent="0.25">
      <c r="A35" s="78"/>
      <c r="B35" s="100"/>
      <c r="C35" s="326"/>
      <c r="D35" s="96"/>
    </row>
    <row r="37" spans="1:7" x14ac:dyDescent="0.25">
      <c r="A37" s="97" t="s">
        <v>329</v>
      </c>
      <c r="B37" s="72">
        <f>49406217-21796860</f>
        <v>27609357</v>
      </c>
      <c r="C37" s="324">
        <v>8939663</v>
      </c>
      <c r="D37" t="s">
        <v>720</v>
      </c>
    </row>
    <row r="38" spans="1:7" x14ac:dyDescent="0.25">
      <c r="A38" s="98" t="s">
        <v>330</v>
      </c>
      <c r="B38" s="72">
        <v>70638414</v>
      </c>
      <c r="C38" s="324">
        <v>1036433</v>
      </c>
      <c r="D38" t="s">
        <v>720</v>
      </c>
    </row>
    <row r="39" spans="1:7" x14ac:dyDescent="0.25">
      <c r="A39" t="s">
        <v>502</v>
      </c>
      <c r="B39" s="72">
        <v>5000000</v>
      </c>
      <c r="C39" s="324"/>
      <c r="D39" t="s">
        <v>720</v>
      </c>
    </row>
    <row r="40" spans="1:7" x14ac:dyDescent="0.25">
      <c r="A40" s="101" t="s">
        <v>331</v>
      </c>
      <c r="B40" s="72">
        <v>13766800</v>
      </c>
      <c r="C40" s="324"/>
      <c r="D40" t="s">
        <v>720</v>
      </c>
    </row>
    <row r="41" spans="1:7" x14ac:dyDescent="0.25">
      <c r="A41" t="s">
        <v>503</v>
      </c>
      <c r="B41" s="72">
        <v>152463696</v>
      </c>
      <c r="C41" s="324"/>
      <c r="D41" t="s">
        <v>720</v>
      </c>
    </row>
    <row r="42" spans="1:7" x14ac:dyDescent="0.25">
      <c r="A42" t="s">
        <v>714</v>
      </c>
      <c r="B42" s="72"/>
      <c r="C42" s="324">
        <v>219757000</v>
      </c>
      <c r="D42" t="s">
        <v>720</v>
      </c>
    </row>
    <row r="43" spans="1:7" ht="15.75" thickBot="1" x14ac:dyDescent="0.3">
      <c r="A43" t="s">
        <v>715</v>
      </c>
      <c r="B43" s="72"/>
      <c r="C43" s="324">
        <v>11176000</v>
      </c>
      <c r="D43" t="s">
        <v>720</v>
      </c>
    </row>
    <row r="44" spans="1:7" s="99" customFormat="1" ht="16.5" thickBot="1" x14ac:dyDescent="0.3">
      <c r="A44" s="102" t="s">
        <v>721</v>
      </c>
      <c r="B44" s="103">
        <f>B37+B38+B39+B40+B41</f>
        <v>269478267</v>
      </c>
      <c r="C44" s="331">
        <f>C37+C38+C39+C40+C41+C42+C43</f>
        <v>240909096</v>
      </c>
      <c r="D44" s="103"/>
      <c r="G44" s="120"/>
    </row>
    <row r="48" spans="1:7" x14ac:dyDescent="0.25">
      <c r="C48" s="32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K79"/>
  <sheetViews>
    <sheetView topLeftCell="A46" workbookViewId="0">
      <selection activeCell="I58" sqref="I58"/>
    </sheetView>
  </sheetViews>
  <sheetFormatPr defaultRowHeight="15" x14ac:dyDescent="0.25"/>
  <cols>
    <col min="1" max="1" width="61.85546875" bestFit="1" customWidth="1"/>
    <col min="2" max="2" width="18.42578125" bestFit="1" customWidth="1"/>
    <col min="3" max="3" width="15.7109375" bestFit="1" customWidth="1"/>
    <col min="4" max="4" width="17" bestFit="1" customWidth="1"/>
    <col min="7" max="7" width="18.42578125" bestFit="1" customWidth="1"/>
    <col min="8" max="8" width="15.7109375" bestFit="1" customWidth="1"/>
    <col min="9" max="9" width="17" bestFit="1" customWidth="1"/>
  </cols>
  <sheetData>
    <row r="1" spans="1:11" x14ac:dyDescent="0.25">
      <c r="A1" s="335"/>
      <c r="B1" s="335"/>
      <c r="C1" s="335"/>
      <c r="D1" s="335"/>
      <c r="E1" s="335"/>
      <c r="F1" s="335"/>
      <c r="G1" s="335"/>
      <c r="H1" s="335"/>
      <c r="I1" s="335"/>
      <c r="J1" s="335"/>
    </row>
    <row r="2" spans="1:11" x14ac:dyDescent="0.25">
      <c r="A2" s="964" t="s">
        <v>722</v>
      </c>
      <c r="B2" s="724"/>
      <c r="C2" s="724"/>
      <c r="D2" s="724"/>
      <c r="E2" s="724"/>
      <c r="F2" s="724"/>
      <c r="G2" s="336"/>
      <c r="H2" s="336"/>
      <c r="I2" s="336"/>
      <c r="J2" s="335"/>
    </row>
    <row r="3" spans="1:11" ht="15.75" thickBot="1" x14ac:dyDescent="0.3">
      <c r="A3" s="335"/>
      <c r="B3" s="335"/>
      <c r="C3" s="335"/>
      <c r="D3" s="335"/>
      <c r="E3" s="335"/>
      <c r="F3" s="335"/>
      <c r="G3" s="335"/>
      <c r="H3" s="335"/>
      <c r="I3" s="335"/>
      <c r="J3" s="335"/>
    </row>
    <row r="4" spans="1:11" ht="15.75" thickBot="1" x14ac:dyDescent="0.3">
      <c r="A4" s="335"/>
      <c r="B4" s="742" t="s">
        <v>533</v>
      </c>
      <c r="C4" s="743"/>
      <c r="D4" s="743"/>
      <c r="E4" s="743"/>
      <c r="F4" s="744"/>
      <c r="G4" s="742" t="s">
        <v>534</v>
      </c>
      <c r="H4" s="743"/>
      <c r="I4" s="743"/>
      <c r="J4" s="743"/>
      <c r="K4" s="744"/>
    </row>
    <row r="5" spans="1:11" x14ac:dyDescent="0.25">
      <c r="A5" s="336" t="s">
        <v>829</v>
      </c>
      <c r="B5" s="341" t="s">
        <v>723</v>
      </c>
      <c r="C5" s="341" t="s">
        <v>170</v>
      </c>
      <c r="D5" s="341" t="s">
        <v>724</v>
      </c>
      <c r="E5" s="336"/>
      <c r="F5" s="336"/>
      <c r="G5" s="341" t="s">
        <v>723</v>
      </c>
      <c r="H5" s="341" t="s">
        <v>170</v>
      </c>
      <c r="I5" s="341" t="s">
        <v>724</v>
      </c>
      <c r="J5" s="336"/>
      <c r="K5" s="336"/>
    </row>
    <row r="6" spans="1:11" x14ac:dyDescent="0.25">
      <c r="A6" s="336" t="s">
        <v>725</v>
      </c>
      <c r="B6" s="341">
        <v>30000</v>
      </c>
      <c r="C6" s="336"/>
      <c r="D6" s="341">
        <v>30000</v>
      </c>
      <c r="E6" s="480" t="s">
        <v>726</v>
      </c>
      <c r="F6" s="480" t="s">
        <v>170</v>
      </c>
      <c r="G6" s="341">
        <v>30000</v>
      </c>
      <c r="H6" s="336"/>
      <c r="I6" s="341">
        <v>30000</v>
      </c>
      <c r="J6" s="480" t="s">
        <v>726</v>
      </c>
      <c r="K6" s="480" t="s">
        <v>170</v>
      </c>
    </row>
    <row r="7" spans="1:11" x14ac:dyDescent="0.25">
      <c r="A7" s="336" t="s">
        <v>727</v>
      </c>
      <c r="B7" s="457">
        <v>36000</v>
      </c>
      <c r="C7" s="458"/>
      <c r="D7" s="341">
        <v>36000</v>
      </c>
      <c r="E7" s="500" t="s">
        <v>728</v>
      </c>
      <c r="F7" s="500"/>
      <c r="G7" s="457">
        <v>36000</v>
      </c>
      <c r="H7" s="458"/>
      <c r="I7" s="341">
        <v>36000</v>
      </c>
      <c r="J7" s="500" t="s">
        <v>728</v>
      </c>
      <c r="K7" s="500"/>
    </row>
    <row r="8" spans="1:11" x14ac:dyDescent="0.25">
      <c r="A8" s="336" t="s">
        <v>729</v>
      </c>
      <c r="B8" s="459">
        <v>600000</v>
      </c>
      <c r="C8" s="458"/>
      <c r="D8" s="341">
        <v>600000</v>
      </c>
      <c r="E8" s="500" t="s">
        <v>728</v>
      </c>
      <c r="F8" s="500"/>
      <c r="G8" s="459">
        <v>600000</v>
      </c>
      <c r="H8" s="458"/>
      <c r="I8" s="341">
        <v>600000</v>
      </c>
      <c r="J8" s="500" t="s">
        <v>728</v>
      </c>
      <c r="K8" s="500"/>
    </row>
    <row r="9" spans="1:11" x14ac:dyDescent="0.25">
      <c r="A9" s="336" t="s">
        <v>730</v>
      </c>
      <c r="B9" s="454">
        <v>737008</v>
      </c>
      <c r="C9" s="454">
        <v>198992.16</v>
      </c>
      <c r="D9" s="341">
        <v>936000.16</v>
      </c>
      <c r="E9" s="500" t="s">
        <v>728</v>
      </c>
      <c r="F9" s="500" t="s">
        <v>731</v>
      </c>
      <c r="G9" s="454">
        <v>737008</v>
      </c>
      <c r="H9" s="454">
        <v>198992.16</v>
      </c>
      <c r="I9" s="341">
        <v>936000.16</v>
      </c>
      <c r="J9" s="500" t="s">
        <v>728</v>
      </c>
      <c r="K9" s="500" t="s">
        <v>731</v>
      </c>
    </row>
    <row r="10" spans="1:11" x14ac:dyDescent="0.25">
      <c r="A10" s="336" t="s">
        <v>732</v>
      </c>
      <c r="B10" s="454">
        <v>104700</v>
      </c>
      <c r="C10" s="458"/>
      <c r="D10" s="341">
        <v>104700</v>
      </c>
      <c r="E10" s="500" t="s">
        <v>728</v>
      </c>
      <c r="F10" s="500"/>
      <c r="G10" s="454">
        <v>104700</v>
      </c>
      <c r="H10" s="458"/>
      <c r="I10" s="341">
        <v>104700</v>
      </c>
      <c r="J10" s="500" t="s">
        <v>728</v>
      </c>
      <c r="K10" s="500"/>
    </row>
    <row r="11" spans="1:11" x14ac:dyDescent="0.25">
      <c r="A11" s="336" t="s">
        <v>733</v>
      </c>
      <c r="B11" s="454">
        <v>200000</v>
      </c>
      <c r="C11" s="458"/>
      <c r="D11" s="341">
        <v>200000</v>
      </c>
      <c r="E11" s="500" t="s">
        <v>728</v>
      </c>
      <c r="F11" s="500"/>
      <c r="G11" s="454">
        <v>200000</v>
      </c>
      <c r="H11" s="458"/>
      <c r="I11" s="341">
        <v>200000</v>
      </c>
      <c r="J11" s="500" t="s">
        <v>728</v>
      </c>
      <c r="K11" s="500"/>
    </row>
    <row r="12" spans="1:11" x14ac:dyDescent="0.25">
      <c r="A12" s="336" t="s">
        <v>734</v>
      </c>
      <c r="B12" s="454">
        <v>200000</v>
      </c>
      <c r="C12" s="458"/>
      <c r="D12" s="341">
        <v>200000</v>
      </c>
      <c r="E12" s="500" t="s">
        <v>728</v>
      </c>
      <c r="F12" s="500"/>
      <c r="G12" s="454">
        <v>200000</v>
      </c>
      <c r="H12" s="458"/>
      <c r="I12" s="341">
        <v>200000</v>
      </c>
      <c r="J12" s="500" t="s">
        <v>728</v>
      </c>
      <c r="K12" s="500"/>
    </row>
    <row r="13" spans="1:11" x14ac:dyDescent="0.25">
      <c r="A13" s="336" t="s">
        <v>735</v>
      </c>
      <c r="B13" s="454">
        <v>1300000</v>
      </c>
      <c r="C13" s="458"/>
      <c r="D13" s="341">
        <v>1300000</v>
      </c>
      <c r="E13" s="500"/>
      <c r="F13" s="500"/>
      <c r="G13" s="454">
        <v>1300000</v>
      </c>
      <c r="H13" s="458"/>
      <c r="I13" s="341">
        <v>1300000</v>
      </c>
      <c r="J13" s="500"/>
      <c r="K13" s="500"/>
    </row>
    <row r="14" spans="1:11" ht="15.75" x14ac:dyDescent="0.25">
      <c r="A14" s="336"/>
      <c r="B14" s="456">
        <v>3207708</v>
      </c>
      <c r="C14" s="456">
        <v>198992.16</v>
      </c>
      <c r="D14" s="456">
        <v>3406700.16</v>
      </c>
      <c r="E14" s="500"/>
      <c r="F14" s="500"/>
      <c r="G14" s="456">
        <v>3207708</v>
      </c>
      <c r="H14" s="456">
        <v>198992.16</v>
      </c>
      <c r="I14" s="456">
        <v>3406700.16</v>
      </c>
      <c r="J14" s="500"/>
      <c r="K14" s="500"/>
    </row>
    <row r="15" spans="1:11" x14ac:dyDescent="0.25">
      <c r="A15" s="336"/>
      <c r="B15" s="336"/>
      <c r="C15" s="336"/>
      <c r="D15" s="336"/>
      <c r="E15" s="500"/>
      <c r="F15" s="500"/>
      <c r="G15" s="336"/>
      <c r="H15" s="336"/>
      <c r="I15" s="336"/>
      <c r="J15" s="500"/>
      <c r="K15" s="500"/>
    </row>
    <row r="16" spans="1:11" x14ac:dyDescent="0.25">
      <c r="A16" s="336"/>
      <c r="B16" s="336"/>
      <c r="C16" s="336"/>
      <c r="D16" s="336"/>
      <c r="E16" s="480" t="s">
        <v>726</v>
      </c>
      <c r="F16" s="480" t="s">
        <v>170</v>
      </c>
      <c r="G16" s="336"/>
      <c r="H16" s="336"/>
      <c r="I16" s="336"/>
      <c r="J16" s="480" t="s">
        <v>726</v>
      </c>
      <c r="K16" s="480" t="s">
        <v>170</v>
      </c>
    </row>
    <row r="17" spans="1:11" x14ac:dyDescent="0.25">
      <c r="A17" s="336" t="s">
        <v>736</v>
      </c>
      <c r="B17" s="454">
        <v>88828</v>
      </c>
      <c r="C17" s="454">
        <v>23983.56</v>
      </c>
      <c r="D17" s="454">
        <v>112811.56</v>
      </c>
      <c r="E17" s="500" t="s">
        <v>737</v>
      </c>
      <c r="F17" s="500" t="s">
        <v>731</v>
      </c>
      <c r="G17" s="454">
        <v>88828</v>
      </c>
      <c r="H17" s="454">
        <v>23983.56</v>
      </c>
      <c r="I17" s="454">
        <v>112811.56</v>
      </c>
      <c r="J17" s="500" t="s">
        <v>737</v>
      </c>
      <c r="K17" s="500" t="s">
        <v>731</v>
      </c>
    </row>
    <row r="18" spans="1:11" x14ac:dyDescent="0.25">
      <c r="A18" s="336" t="s">
        <v>738</v>
      </c>
      <c r="B18" s="454">
        <v>2976617</v>
      </c>
      <c r="C18" s="454">
        <v>803686.59000000008</v>
      </c>
      <c r="D18" s="454">
        <v>3780303.59</v>
      </c>
      <c r="E18" s="500" t="s">
        <v>737</v>
      </c>
      <c r="F18" s="500" t="s">
        <v>731</v>
      </c>
      <c r="G18" s="454">
        <v>2976617</v>
      </c>
      <c r="H18" s="454">
        <v>803686.59000000008</v>
      </c>
      <c r="I18" s="454">
        <v>3780303.59</v>
      </c>
      <c r="J18" s="500" t="s">
        <v>737</v>
      </c>
      <c r="K18" s="500" t="s">
        <v>731</v>
      </c>
    </row>
    <row r="19" spans="1:11" x14ac:dyDescent="0.25">
      <c r="A19" s="336" t="s">
        <v>739</v>
      </c>
      <c r="B19" s="454">
        <v>5630870</v>
      </c>
      <c r="C19" s="454">
        <v>1520334.9000000001</v>
      </c>
      <c r="D19" s="341">
        <v>7151204.9000000004</v>
      </c>
      <c r="E19" s="500" t="s">
        <v>737</v>
      </c>
      <c r="F19" s="500" t="s">
        <v>731</v>
      </c>
      <c r="G19" s="454">
        <v>5630870</v>
      </c>
      <c r="H19" s="454">
        <v>1520334.9000000001</v>
      </c>
      <c r="I19" s="341">
        <v>7151204.9000000004</v>
      </c>
      <c r="J19" s="500" t="s">
        <v>737</v>
      </c>
      <c r="K19" s="500" t="s">
        <v>731</v>
      </c>
    </row>
    <row r="20" spans="1:11" ht="15.75" thickBot="1" x14ac:dyDescent="0.3">
      <c r="A20" s="336" t="s">
        <v>740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6"/>
    </row>
    <row r="21" spans="1:11" ht="16.5" thickBot="1" x14ac:dyDescent="0.3">
      <c r="A21" s="336" t="s">
        <v>741</v>
      </c>
      <c r="B21" s="477">
        <v>8696315</v>
      </c>
      <c r="C21" s="477">
        <v>2348005.0500000003</v>
      </c>
      <c r="D21" s="477">
        <v>11044320.050000001</v>
      </c>
      <c r="E21" s="336"/>
      <c r="F21" s="336"/>
      <c r="G21" s="477">
        <v>8696315</v>
      </c>
      <c r="H21" s="477">
        <v>2348005.0500000003</v>
      </c>
      <c r="I21" s="477">
        <v>11044320.050000001</v>
      </c>
      <c r="J21" s="336"/>
      <c r="K21" s="336"/>
    </row>
    <row r="22" spans="1:11" ht="15.75" x14ac:dyDescent="0.25">
      <c r="A22" s="336"/>
      <c r="B22" s="336"/>
      <c r="C22" s="336"/>
      <c r="D22" s="460">
        <v>14451020.210000001</v>
      </c>
      <c r="E22" s="336"/>
      <c r="F22" s="336"/>
      <c r="G22" s="336"/>
      <c r="H22" s="336"/>
      <c r="I22" s="460">
        <v>14451020.210000001</v>
      </c>
      <c r="J22" s="336"/>
      <c r="K22" s="336"/>
    </row>
    <row r="23" spans="1:11" ht="15.75" x14ac:dyDescent="0.25">
      <c r="A23" s="336"/>
      <c r="B23" s="336"/>
      <c r="C23" s="336"/>
      <c r="D23" s="453"/>
      <c r="E23" s="336"/>
      <c r="F23" s="336"/>
      <c r="G23" s="336"/>
      <c r="H23" s="336"/>
      <c r="I23" s="453"/>
      <c r="J23" s="336"/>
      <c r="K23" s="336"/>
    </row>
    <row r="24" spans="1:11" x14ac:dyDescent="0.25">
      <c r="A24" s="335"/>
      <c r="B24" s="335"/>
      <c r="C24" s="335"/>
      <c r="D24" s="335"/>
      <c r="E24" s="335"/>
      <c r="F24" s="335"/>
      <c r="G24" s="336"/>
      <c r="H24" s="336"/>
      <c r="I24" s="336"/>
      <c r="J24" s="336"/>
      <c r="K24" s="336"/>
    </row>
    <row r="25" spans="1:11" x14ac:dyDescent="0.25">
      <c r="A25" s="336" t="s">
        <v>294</v>
      </c>
      <c r="B25" s="336"/>
      <c r="C25" s="336"/>
      <c r="D25" s="341">
        <v>1500000</v>
      </c>
      <c r="E25" s="336" t="s">
        <v>731</v>
      </c>
      <c r="F25" s="336"/>
      <c r="G25" s="336"/>
      <c r="H25" s="336"/>
      <c r="I25" s="341">
        <v>2546997</v>
      </c>
      <c r="J25" s="336" t="s">
        <v>731</v>
      </c>
      <c r="K25" s="336"/>
    </row>
    <row r="26" spans="1:11" x14ac:dyDescent="0.25">
      <c r="A26" s="336" t="s">
        <v>742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25">
      <c r="A27" s="336" t="s">
        <v>743</v>
      </c>
      <c r="B27" s="336"/>
      <c r="C27" s="336"/>
      <c r="D27" s="341">
        <v>3200000</v>
      </c>
      <c r="E27" s="336"/>
      <c r="F27" s="336"/>
      <c r="G27" s="336"/>
      <c r="H27" s="336"/>
      <c r="I27" s="341">
        <v>3200000</v>
      </c>
      <c r="J27" s="336"/>
      <c r="K27" s="336"/>
    </row>
    <row r="28" spans="1:11" x14ac:dyDescent="0.25">
      <c r="A28" s="336" t="s">
        <v>744</v>
      </c>
      <c r="B28" s="336"/>
      <c r="C28" s="341">
        <v>0</v>
      </c>
      <c r="D28" s="461">
        <v>1000000</v>
      </c>
      <c r="E28" s="462" t="s">
        <v>745</v>
      </c>
      <c r="F28" s="336"/>
      <c r="G28" s="336"/>
      <c r="H28" s="341">
        <v>0</v>
      </c>
      <c r="I28" s="461">
        <v>1292000</v>
      </c>
      <c r="J28" s="462" t="s">
        <v>745</v>
      </c>
      <c r="K28" s="336"/>
    </row>
    <row r="29" spans="1:11" x14ac:dyDescent="0.25">
      <c r="A29" s="336" t="s">
        <v>746</v>
      </c>
      <c r="B29" s="336"/>
      <c r="C29" s="336"/>
      <c r="D29" s="454">
        <v>0</v>
      </c>
      <c r="E29" s="336"/>
      <c r="F29" s="336"/>
      <c r="G29" s="336"/>
      <c r="H29" s="336"/>
      <c r="I29" s="454">
        <v>0</v>
      </c>
      <c r="J29" s="336"/>
      <c r="K29" s="336"/>
    </row>
    <row r="30" spans="1:11" ht="15.75" x14ac:dyDescent="0.25">
      <c r="A30" s="336" t="s">
        <v>747</v>
      </c>
      <c r="B30" s="336"/>
      <c r="C30" s="336"/>
      <c r="D30" s="460">
        <v>1000000</v>
      </c>
      <c r="E30" s="336"/>
      <c r="F30" s="336"/>
      <c r="G30" s="336"/>
      <c r="H30" s="336"/>
      <c r="I30" s="460">
        <f>I28</f>
        <v>1292000</v>
      </c>
      <c r="J30" s="336"/>
      <c r="K30" s="336"/>
    </row>
    <row r="31" spans="1:11" ht="15.75" x14ac:dyDescent="0.25">
      <c r="A31" s="336"/>
      <c r="B31" s="336"/>
      <c r="C31" s="336"/>
      <c r="D31" s="453"/>
      <c r="E31" s="336"/>
      <c r="F31" s="336"/>
      <c r="G31" s="336"/>
      <c r="H31" s="336"/>
      <c r="I31" s="453"/>
      <c r="J31" s="336"/>
      <c r="K31" s="336"/>
    </row>
    <row r="32" spans="1:11" x14ac:dyDescent="0.25">
      <c r="A32" s="336" t="s">
        <v>748</v>
      </c>
      <c r="B32" s="341">
        <v>1500000</v>
      </c>
      <c r="C32" s="336"/>
      <c r="D32" s="341">
        <v>1500000</v>
      </c>
      <c r="E32" s="336" t="s">
        <v>749</v>
      </c>
      <c r="F32" s="336"/>
      <c r="G32" s="341">
        <v>1500000</v>
      </c>
      <c r="H32" s="336"/>
      <c r="I32" s="341">
        <v>1500000</v>
      </c>
      <c r="J32" s="336" t="s">
        <v>749</v>
      </c>
      <c r="K32" s="336"/>
    </row>
    <row r="33" spans="1:11" x14ac:dyDescent="0.25">
      <c r="A33" s="336" t="s">
        <v>750</v>
      </c>
      <c r="B33" s="341">
        <v>1900000</v>
      </c>
      <c r="C33" s="336"/>
      <c r="D33" s="341">
        <v>1900000</v>
      </c>
      <c r="E33" s="336" t="s">
        <v>751</v>
      </c>
      <c r="F33" s="336"/>
      <c r="G33" s="341">
        <v>1900000</v>
      </c>
      <c r="H33" s="336"/>
      <c r="I33" s="341">
        <v>1900000</v>
      </c>
      <c r="J33" s="336" t="s">
        <v>751</v>
      </c>
      <c r="K33" s="336"/>
    </row>
    <row r="34" spans="1:11" x14ac:dyDescent="0.25">
      <c r="A34" s="336" t="s">
        <v>752</v>
      </c>
      <c r="B34" s="336"/>
      <c r="C34" s="341">
        <v>0</v>
      </c>
      <c r="D34" s="341">
        <v>0</v>
      </c>
      <c r="E34" s="336" t="s">
        <v>751</v>
      </c>
      <c r="F34" s="336" t="s">
        <v>731</v>
      </c>
      <c r="G34" s="336"/>
      <c r="H34" s="341">
        <v>0</v>
      </c>
      <c r="I34" s="341">
        <v>0</v>
      </c>
      <c r="J34" s="336" t="s">
        <v>751</v>
      </c>
      <c r="K34" s="336" t="s">
        <v>731</v>
      </c>
    </row>
    <row r="35" spans="1:11" x14ac:dyDescent="0.25">
      <c r="A35" s="336" t="s">
        <v>753</v>
      </c>
      <c r="B35" s="341">
        <v>949298</v>
      </c>
      <c r="C35" s="336"/>
      <c r="D35" s="341">
        <v>949298</v>
      </c>
      <c r="E35" s="336" t="s">
        <v>751</v>
      </c>
      <c r="F35" s="336"/>
      <c r="G35" s="341">
        <v>949298</v>
      </c>
      <c r="H35" s="336"/>
      <c r="I35" s="341">
        <v>949298</v>
      </c>
      <c r="J35" s="336" t="s">
        <v>751</v>
      </c>
      <c r="K35" s="336"/>
    </row>
    <row r="36" spans="1:11" x14ac:dyDescent="0.25">
      <c r="A36" s="463" t="s">
        <v>754</v>
      </c>
      <c r="B36" s="464">
        <v>4349298</v>
      </c>
      <c r="C36" s="465">
        <v>0</v>
      </c>
      <c r="D36" s="466">
        <v>4349298</v>
      </c>
      <c r="E36" s="337"/>
      <c r="F36" s="337"/>
      <c r="G36" s="464">
        <v>4349298</v>
      </c>
      <c r="H36" s="465">
        <v>0</v>
      </c>
      <c r="I36" s="466">
        <v>4349298</v>
      </c>
      <c r="J36" s="337"/>
      <c r="K36" s="337"/>
    </row>
    <row r="37" spans="1:11" x14ac:dyDescent="0.25">
      <c r="A37" s="463"/>
      <c r="B37" s="478"/>
      <c r="C37" s="465"/>
      <c r="D37" s="466"/>
      <c r="E37" s="337"/>
      <c r="F37" s="337"/>
      <c r="G37" s="478"/>
      <c r="H37" s="465"/>
      <c r="I37" s="466"/>
      <c r="J37" s="337"/>
      <c r="K37" s="337"/>
    </row>
    <row r="38" spans="1:11" ht="15.75" x14ac:dyDescent="0.25">
      <c r="A38" s="467"/>
      <c r="B38" s="336"/>
      <c r="C38" s="336"/>
      <c r="D38" s="468"/>
      <c r="E38" s="336"/>
      <c r="F38" s="336"/>
      <c r="G38" s="336"/>
      <c r="H38" s="336"/>
      <c r="I38" s="468"/>
      <c r="J38" s="336"/>
      <c r="K38" s="336"/>
    </row>
    <row r="39" spans="1:11" ht="15.75" x14ac:dyDescent="0.25">
      <c r="A39" s="469" t="s">
        <v>755</v>
      </c>
      <c r="B39" s="460">
        <v>265311227</v>
      </c>
      <c r="C39" s="341" t="s">
        <v>756</v>
      </c>
      <c r="D39" s="336"/>
      <c r="E39" s="336"/>
      <c r="F39" s="336"/>
      <c r="G39" s="460">
        <f>G40+G41</f>
        <v>272156575</v>
      </c>
      <c r="H39" s="341" t="s">
        <v>756</v>
      </c>
      <c r="I39" s="336" t="s">
        <v>842</v>
      </c>
      <c r="J39" s="336"/>
      <c r="K39" s="336"/>
    </row>
    <row r="40" spans="1:11" ht="15.75" x14ac:dyDescent="0.25">
      <c r="A40" s="336" t="s">
        <v>757</v>
      </c>
      <c r="B40" s="453">
        <v>121700</v>
      </c>
      <c r="C40" s="336"/>
      <c r="D40" s="336"/>
      <c r="E40" s="336"/>
      <c r="F40" s="336"/>
      <c r="G40" s="453">
        <v>121700</v>
      </c>
      <c r="H40" s="336"/>
      <c r="I40" s="336"/>
      <c r="J40" s="336"/>
      <c r="K40" s="336"/>
    </row>
    <row r="41" spans="1:11" x14ac:dyDescent="0.25">
      <c r="A41" s="336" t="s">
        <v>758</v>
      </c>
      <c r="B41" s="341">
        <v>265189527</v>
      </c>
      <c r="C41" s="336"/>
      <c r="D41" s="336"/>
      <c r="E41" s="336"/>
      <c r="F41" s="336"/>
      <c r="G41" s="341">
        <v>272034875</v>
      </c>
      <c r="H41" s="336"/>
      <c r="I41" s="336"/>
      <c r="J41" s="336"/>
      <c r="K41" s="336"/>
    </row>
    <row r="42" spans="1:11" x14ac:dyDescent="0.25">
      <c r="A42" s="335"/>
      <c r="B42" s="335"/>
      <c r="C42" s="335"/>
      <c r="D42" s="335"/>
      <c r="E42" s="335"/>
      <c r="F42" s="335"/>
      <c r="G42" s="336"/>
      <c r="H42" s="336"/>
      <c r="I42" s="336"/>
      <c r="J42" s="336"/>
      <c r="K42" s="336"/>
    </row>
    <row r="43" spans="1:11" x14ac:dyDescent="0.25">
      <c r="A43" s="335"/>
      <c r="B43" s="335"/>
      <c r="C43" s="335"/>
      <c r="D43" s="335"/>
      <c r="E43" s="335"/>
      <c r="F43" s="335"/>
      <c r="G43" s="336"/>
      <c r="H43" s="336"/>
      <c r="I43" s="336"/>
      <c r="J43" s="336"/>
      <c r="K43" s="336"/>
    </row>
    <row r="44" spans="1:11" x14ac:dyDescent="0.25">
      <c r="A44" s="335"/>
      <c r="B44" s="335"/>
      <c r="C44" s="335"/>
      <c r="D44" s="335"/>
      <c r="E44" s="335"/>
      <c r="F44" s="335"/>
      <c r="G44" s="336"/>
      <c r="H44" s="336"/>
      <c r="I44" s="336"/>
      <c r="J44" s="336"/>
      <c r="K44" s="336"/>
    </row>
    <row r="45" spans="1:11" ht="15.75" thickBot="1" x14ac:dyDescent="0.3">
      <c r="A45" s="336" t="s">
        <v>759</v>
      </c>
      <c r="B45" s="336"/>
      <c r="C45" s="341" t="s">
        <v>760</v>
      </c>
      <c r="D45" s="336"/>
      <c r="E45" s="336"/>
      <c r="F45" s="336"/>
      <c r="G45" s="336"/>
      <c r="H45" s="341" t="s">
        <v>760</v>
      </c>
      <c r="I45" s="336"/>
      <c r="J45" s="336"/>
      <c r="K45" s="336"/>
    </row>
    <row r="46" spans="1:11" x14ac:dyDescent="0.25">
      <c r="A46" s="337" t="s">
        <v>843</v>
      </c>
      <c r="B46" s="470">
        <v>3518600</v>
      </c>
      <c r="C46" s="471"/>
      <c r="D46" s="336"/>
      <c r="E46" s="336"/>
      <c r="F46" s="336"/>
      <c r="G46" s="470">
        <f>G47+G48+G49+G50</f>
        <v>6258894</v>
      </c>
      <c r="H46" s="471"/>
      <c r="I46" s="336"/>
      <c r="J46" s="336"/>
      <c r="K46" s="336"/>
    </row>
    <row r="47" spans="1:11" x14ac:dyDescent="0.25">
      <c r="A47" s="336" t="s">
        <v>761</v>
      </c>
      <c r="B47" s="472">
        <v>1376000</v>
      </c>
      <c r="C47" s="336"/>
      <c r="D47" s="336"/>
      <c r="E47" s="336"/>
      <c r="F47" s="336"/>
      <c r="G47" s="472">
        <v>1845000</v>
      </c>
      <c r="H47" s="336"/>
      <c r="I47" s="336"/>
      <c r="J47" s="336"/>
      <c r="K47" s="336"/>
    </row>
    <row r="48" spans="1:11" x14ac:dyDescent="0.25">
      <c r="A48" s="336" t="s">
        <v>762</v>
      </c>
      <c r="B48" s="472">
        <v>570600</v>
      </c>
      <c r="C48" s="336"/>
      <c r="D48" s="336"/>
      <c r="E48" s="336"/>
      <c r="F48" s="336"/>
      <c r="G48" s="472">
        <v>570600</v>
      </c>
      <c r="H48" s="336"/>
      <c r="I48" s="336"/>
      <c r="J48" s="336"/>
      <c r="K48" s="336"/>
    </row>
    <row r="49" spans="1:11" x14ac:dyDescent="0.25">
      <c r="A49" s="336" t="s">
        <v>763</v>
      </c>
      <c r="B49" s="472">
        <v>1272000</v>
      </c>
      <c r="C49" s="336"/>
      <c r="D49" s="336"/>
      <c r="E49" s="335"/>
      <c r="F49" s="335"/>
      <c r="G49" s="472">
        <v>2298722</v>
      </c>
      <c r="H49" s="336"/>
      <c r="I49" s="336"/>
      <c r="J49" s="336"/>
      <c r="K49" s="336"/>
    </row>
    <row r="50" spans="1:11" x14ac:dyDescent="0.25">
      <c r="A50" s="336" t="s">
        <v>764</v>
      </c>
      <c r="B50" s="473">
        <v>300000</v>
      </c>
      <c r="C50" s="336"/>
      <c r="D50" s="336"/>
      <c r="E50" s="335"/>
      <c r="F50" s="335"/>
      <c r="G50" s="473">
        <v>1544572</v>
      </c>
      <c r="H50" s="336"/>
      <c r="I50" s="336"/>
      <c r="J50" s="336"/>
      <c r="K50" s="336"/>
    </row>
    <row r="51" spans="1:11" x14ac:dyDescent="0.25">
      <c r="A51" s="336"/>
      <c r="B51" s="459"/>
      <c r="C51" s="336"/>
      <c r="D51" s="336"/>
      <c r="E51" s="335"/>
      <c r="F51" s="335"/>
      <c r="G51" s="459"/>
      <c r="H51" s="336"/>
      <c r="I51" s="336"/>
      <c r="J51" s="336"/>
      <c r="K51" s="336"/>
    </row>
    <row r="52" spans="1:11" x14ac:dyDescent="0.25">
      <c r="A52" s="335"/>
      <c r="B52" s="335"/>
      <c r="C52" s="335"/>
      <c r="D52" s="335"/>
      <c r="E52" s="335"/>
      <c r="F52" s="335"/>
      <c r="G52" s="336"/>
      <c r="H52" s="336"/>
      <c r="I52" s="336"/>
      <c r="J52" s="336"/>
      <c r="K52" s="336"/>
    </row>
    <row r="53" spans="1:11" x14ac:dyDescent="0.25">
      <c r="A53" s="474" t="s">
        <v>841</v>
      </c>
      <c r="B53" s="475"/>
      <c r="C53" s="336"/>
      <c r="D53" s="336"/>
      <c r="E53" s="335"/>
      <c r="F53" s="335"/>
      <c r="G53" s="475">
        <v>5685665</v>
      </c>
      <c r="H53" s="336" t="s">
        <v>840</v>
      </c>
      <c r="I53" s="336"/>
      <c r="J53" s="336"/>
      <c r="K53" s="336"/>
    </row>
    <row r="54" spans="1:11" x14ac:dyDescent="0.25">
      <c r="A54" s="335"/>
      <c r="B54" s="335"/>
      <c r="C54" s="335"/>
      <c r="D54" s="335"/>
      <c r="E54" s="335"/>
      <c r="F54" s="335"/>
      <c r="G54" s="336"/>
      <c r="H54" s="336"/>
      <c r="I54" s="336"/>
      <c r="J54" s="336"/>
      <c r="K54" s="336"/>
    </row>
    <row r="55" spans="1:11" x14ac:dyDescent="0.25">
      <c r="A55" s="341" t="s">
        <v>43</v>
      </c>
      <c r="B55" s="336"/>
      <c r="C55" s="336"/>
      <c r="D55" s="336"/>
      <c r="E55" s="335"/>
      <c r="F55" s="335"/>
      <c r="G55" s="336"/>
      <c r="H55" s="336"/>
      <c r="I55" s="336"/>
      <c r="J55" s="336"/>
      <c r="K55" s="336"/>
    </row>
    <row r="56" spans="1:11" x14ac:dyDescent="0.25">
      <c r="A56" s="336" t="s">
        <v>765</v>
      </c>
      <c r="B56" s="341">
        <v>3500000</v>
      </c>
      <c r="C56" s="336" t="s">
        <v>766</v>
      </c>
      <c r="D56" s="336"/>
      <c r="E56" s="335"/>
      <c r="F56" s="335"/>
      <c r="G56" s="341">
        <v>3500000</v>
      </c>
      <c r="H56" s="336" t="s">
        <v>766</v>
      </c>
      <c r="I56" s="336"/>
      <c r="J56" s="336"/>
      <c r="K56" s="336"/>
    </row>
    <row r="57" spans="1:11" x14ac:dyDescent="0.25">
      <c r="A57" s="336" t="s">
        <v>767</v>
      </c>
      <c r="B57" s="341">
        <v>8200000</v>
      </c>
      <c r="C57" s="336" t="s">
        <v>768</v>
      </c>
      <c r="D57" s="336"/>
      <c r="E57" s="335"/>
      <c r="F57" s="335"/>
      <c r="G57" s="341">
        <v>8200000</v>
      </c>
      <c r="H57" s="336" t="s">
        <v>768</v>
      </c>
      <c r="I57" s="336"/>
      <c r="J57" s="336"/>
      <c r="K57" s="336"/>
    </row>
    <row r="58" spans="1:11" x14ac:dyDescent="0.25">
      <c r="A58" s="336" t="s">
        <v>769</v>
      </c>
      <c r="B58" s="341">
        <v>22000000</v>
      </c>
      <c r="C58" s="336" t="s">
        <v>770</v>
      </c>
      <c r="D58" s="336"/>
      <c r="E58" s="335"/>
      <c r="F58" s="335"/>
      <c r="G58" s="341">
        <v>27143123</v>
      </c>
      <c r="H58" s="336" t="s">
        <v>770</v>
      </c>
      <c r="I58" s="336"/>
      <c r="J58" s="336"/>
      <c r="K58" s="336"/>
    </row>
    <row r="59" spans="1:11" x14ac:dyDescent="0.25">
      <c r="A59" s="336" t="s">
        <v>771</v>
      </c>
      <c r="B59" s="341">
        <v>800000</v>
      </c>
      <c r="C59" s="336" t="s">
        <v>772</v>
      </c>
      <c r="D59" s="336"/>
      <c r="E59" s="335"/>
      <c r="F59" s="335"/>
      <c r="G59" s="341">
        <v>1285000</v>
      </c>
      <c r="H59" s="336" t="s">
        <v>772</v>
      </c>
      <c r="I59" s="336"/>
      <c r="J59" s="336"/>
      <c r="K59" s="336"/>
    </row>
    <row r="60" spans="1:11" x14ac:dyDescent="0.25">
      <c r="A60" s="336" t="s">
        <v>773</v>
      </c>
      <c r="B60" s="341">
        <v>5000000</v>
      </c>
      <c r="C60" s="336" t="s">
        <v>774</v>
      </c>
      <c r="D60" s="336"/>
      <c r="E60" s="335"/>
      <c r="F60" s="335"/>
      <c r="G60" s="341">
        <v>5979759</v>
      </c>
      <c r="H60" s="336" t="s">
        <v>774</v>
      </c>
      <c r="I60" s="336"/>
      <c r="J60" s="336"/>
      <c r="K60" s="336"/>
    </row>
    <row r="61" spans="1:11" x14ac:dyDescent="0.25">
      <c r="A61" s="336" t="s">
        <v>775</v>
      </c>
      <c r="B61" s="341">
        <v>0</v>
      </c>
      <c r="C61" s="336" t="s">
        <v>776</v>
      </c>
      <c r="D61" s="336"/>
      <c r="E61" s="335"/>
      <c r="F61" s="335"/>
      <c r="G61" s="341">
        <v>0</v>
      </c>
      <c r="H61" s="336" t="s">
        <v>776</v>
      </c>
      <c r="I61" s="336"/>
      <c r="J61" s="336"/>
      <c r="K61" s="336"/>
    </row>
    <row r="62" spans="1:11" x14ac:dyDescent="0.25">
      <c r="A62" s="336" t="s">
        <v>777</v>
      </c>
      <c r="B62" s="341">
        <v>0</v>
      </c>
      <c r="C62" s="336" t="s">
        <v>778</v>
      </c>
      <c r="D62" s="336"/>
      <c r="E62" s="335"/>
      <c r="F62" s="335"/>
      <c r="G62" s="341">
        <v>0</v>
      </c>
      <c r="H62" s="336" t="s">
        <v>778</v>
      </c>
      <c r="I62" s="336"/>
      <c r="J62" s="336"/>
      <c r="K62" s="336"/>
    </row>
    <row r="63" spans="1:11" x14ac:dyDescent="0.25">
      <c r="A63" s="336" t="s">
        <v>779</v>
      </c>
      <c r="B63" s="341">
        <v>500000</v>
      </c>
      <c r="C63" s="336" t="s">
        <v>778</v>
      </c>
      <c r="D63" s="336"/>
      <c r="E63" s="335"/>
      <c r="F63" s="335"/>
      <c r="G63" s="341">
        <v>143068</v>
      </c>
      <c r="H63" s="336" t="s">
        <v>778</v>
      </c>
      <c r="I63" s="336"/>
      <c r="J63" s="336"/>
      <c r="K63" s="336"/>
    </row>
    <row r="64" spans="1:11" x14ac:dyDescent="0.25">
      <c r="A64" s="336" t="s">
        <v>780</v>
      </c>
      <c r="B64" s="341">
        <v>25000</v>
      </c>
      <c r="C64" s="336" t="s">
        <v>781</v>
      </c>
      <c r="D64" s="336"/>
      <c r="E64" s="335"/>
      <c r="F64" s="335"/>
      <c r="G64" s="341">
        <v>25000</v>
      </c>
      <c r="H64" s="336" t="s">
        <v>781</v>
      </c>
      <c r="I64" s="336"/>
      <c r="J64" s="336"/>
      <c r="K64" s="336"/>
    </row>
    <row r="65" spans="1:11" x14ac:dyDescent="0.25">
      <c r="A65" s="336" t="s">
        <v>782</v>
      </c>
      <c r="B65" s="454">
        <v>5000</v>
      </c>
      <c r="C65" s="336" t="s">
        <v>778</v>
      </c>
      <c r="D65" s="336"/>
      <c r="E65" s="335"/>
      <c r="F65" s="335"/>
      <c r="G65" s="454">
        <v>5000</v>
      </c>
      <c r="H65" s="336" t="s">
        <v>778</v>
      </c>
      <c r="I65" s="336"/>
      <c r="J65" s="336"/>
      <c r="K65" s="336"/>
    </row>
    <row r="66" spans="1:11" x14ac:dyDescent="0.25">
      <c r="A66" s="336" t="s">
        <v>783</v>
      </c>
      <c r="B66" s="454">
        <v>800000</v>
      </c>
      <c r="C66" s="336" t="s">
        <v>772</v>
      </c>
      <c r="D66" s="336"/>
      <c r="E66" s="335"/>
      <c r="F66" s="335"/>
      <c r="G66" s="454">
        <v>800000</v>
      </c>
      <c r="H66" s="336" t="s">
        <v>772</v>
      </c>
      <c r="I66" s="336"/>
      <c r="J66" s="336"/>
      <c r="K66" s="336"/>
    </row>
    <row r="67" spans="1:11" ht="15.75" x14ac:dyDescent="0.25">
      <c r="A67" s="337" t="s">
        <v>784</v>
      </c>
      <c r="B67" s="456">
        <v>40830000</v>
      </c>
      <c r="C67" s="476"/>
      <c r="D67" s="465">
        <v>0</v>
      </c>
      <c r="E67" s="335"/>
      <c r="F67" s="335"/>
      <c r="G67" s="456">
        <f>SUM(G56:G66)</f>
        <v>47080950</v>
      </c>
      <c r="H67" s="476"/>
      <c r="I67" s="465">
        <v>0</v>
      </c>
      <c r="J67" s="336"/>
      <c r="K67" s="336"/>
    </row>
    <row r="68" spans="1:11" ht="15.75" x14ac:dyDescent="0.25">
      <c r="A68" s="336"/>
      <c r="B68" s="453"/>
      <c r="C68" s="336"/>
      <c r="D68" s="336"/>
      <c r="E68" s="335"/>
      <c r="F68" s="335"/>
      <c r="G68" s="453"/>
      <c r="H68" s="336"/>
      <c r="I68" s="336"/>
      <c r="J68" s="336"/>
      <c r="K68" s="336"/>
    </row>
    <row r="69" spans="1:11" x14ac:dyDescent="0.25">
      <c r="A69" s="336"/>
      <c r="B69" s="336"/>
      <c r="C69" s="336"/>
      <c r="D69" s="336"/>
      <c r="E69" s="335"/>
      <c r="F69" s="335"/>
      <c r="G69" s="335"/>
      <c r="H69" s="335"/>
      <c r="I69" s="335"/>
      <c r="J69" s="335"/>
    </row>
    <row r="70" spans="1:11" x14ac:dyDescent="0.25">
      <c r="A70" t="s">
        <v>830</v>
      </c>
      <c r="G70" s="501">
        <v>1500</v>
      </c>
      <c r="H70" t="s">
        <v>831</v>
      </c>
    </row>
    <row r="71" spans="1:11" x14ac:dyDescent="0.25">
      <c r="A71" t="s">
        <v>832</v>
      </c>
      <c r="G71" s="501">
        <v>64740</v>
      </c>
      <c r="H71" t="s">
        <v>833</v>
      </c>
    </row>
    <row r="72" spans="1:11" s="212" customFormat="1" ht="15.75" x14ac:dyDescent="0.25">
      <c r="A72" s="212" t="s">
        <v>574</v>
      </c>
      <c r="B72" s="100"/>
      <c r="C72" s="326"/>
      <c r="D72" s="455"/>
      <c r="G72" s="521">
        <v>3000000</v>
      </c>
      <c r="H72" s="212" t="s">
        <v>834</v>
      </c>
    </row>
    <row r="73" spans="1:11" x14ac:dyDescent="0.25">
      <c r="A73" t="s">
        <v>835</v>
      </c>
      <c r="G73" s="501">
        <v>100000</v>
      </c>
      <c r="H73" t="s">
        <v>834</v>
      </c>
    </row>
    <row r="74" spans="1:11" x14ac:dyDescent="0.25">
      <c r="G74" s="501"/>
    </row>
    <row r="75" spans="1:11" x14ac:dyDescent="0.25">
      <c r="A75" s="45" t="s">
        <v>619</v>
      </c>
      <c r="B75" s="45"/>
      <c r="C75" s="307"/>
      <c r="G75" s="501"/>
    </row>
    <row r="76" spans="1:11" x14ac:dyDescent="0.25">
      <c r="A76" s="45" t="s">
        <v>620</v>
      </c>
      <c r="B76" s="45"/>
      <c r="G76" s="501">
        <v>153848</v>
      </c>
      <c r="H76" t="s">
        <v>836</v>
      </c>
    </row>
    <row r="77" spans="1:11" x14ac:dyDescent="0.25">
      <c r="A77" t="s">
        <v>837</v>
      </c>
      <c r="G77" s="501">
        <v>30000</v>
      </c>
      <c r="H77" s="336" t="s">
        <v>836</v>
      </c>
    </row>
    <row r="78" spans="1:11" ht="15.75" thickBot="1" x14ac:dyDescent="0.3">
      <c r="A78" t="s">
        <v>838</v>
      </c>
      <c r="G78" s="501">
        <v>278517</v>
      </c>
      <c r="H78" t="s">
        <v>836</v>
      </c>
    </row>
    <row r="79" spans="1:11" s="447" customFormat="1" ht="15.75" thickBot="1" x14ac:dyDescent="0.3">
      <c r="A79" s="479" t="s">
        <v>839</v>
      </c>
      <c r="B79" s="522"/>
      <c r="C79" s="522"/>
      <c r="D79" s="522"/>
      <c r="E79" s="522"/>
      <c r="F79" s="522"/>
      <c r="G79" s="502">
        <f>G76+G77+G78</f>
        <v>462365</v>
      </c>
    </row>
  </sheetData>
  <mergeCells count="3">
    <mergeCell ref="A2:F2"/>
    <mergeCell ref="B4:F4"/>
    <mergeCell ref="G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51"/>
  <sheetViews>
    <sheetView topLeftCell="B26" workbookViewId="0">
      <selection activeCell="E14" sqref="E14"/>
    </sheetView>
  </sheetViews>
  <sheetFormatPr defaultColWidth="52.5703125" defaultRowHeight="15" x14ac:dyDescent="0.25"/>
  <cols>
    <col min="1" max="1" width="3.7109375" style="336" customWidth="1"/>
    <col min="2" max="2" width="45.7109375" style="336" customWidth="1"/>
    <col min="3" max="3" width="8.140625" style="336" customWidth="1"/>
    <col min="4" max="5" width="19.42578125" style="336" customWidth="1"/>
    <col min="6" max="6" width="3.85546875" style="336" bestFit="1" customWidth="1"/>
    <col min="7" max="7" width="52.5703125" style="336"/>
    <col min="8" max="8" width="16.85546875" style="336" customWidth="1"/>
    <col min="9" max="9" width="19.140625" style="336" bestFit="1" customWidth="1"/>
    <col min="10" max="10" width="20.7109375" style="336" customWidth="1"/>
    <col min="11" max="16384" width="52.5703125" style="336"/>
  </cols>
  <sheetData>
    <row r="1" spans="1:10" ht="18.75" x14ac:dyDescent="0.3">
      <c r="B1" s="723" t="s">
        <v>512</v>
      </c>
      <c r="C1" s="723"/>
      <c r="D1" s="723"/>
      <c r="E1" s="723"/>
      <c r="F1" s="723"/>
      <c r="G1" s="723"/>
      <c r="H1" s="723"/>
      <c r="I1" s="723"/>
    </row>
    <row r="2" spans="1:10" ht="15.75" x14ac:dyDescent="0.25">
      <c r="B2" s="726" t="s">
        <v>1</v>
      </c>
      <c r="C2" s="726"/>
      <c r="D2" s="726"/>
      <c r="E2" s="726"/>
      <c r="F2" s="726"/>
      <c r="G2" s="726"/>
      <c r="H2" s="726"/>
      <c r="I2" s="726"/>
    </row>
    <row r="3" spans="1:10" ht="15.75" x14ac:dyDescent="0.25">
      <c r="B3" s="726" t="s">
        <v>868</v>
      </c>
      <c r="C3" s="726"/>
      <c r="D3" s="726"/>
      <c r="E3" s="726"/>
      <c r="F3" s="726"/>
      <c r="G3" s="726"/>
      <c r="H3" s="726"/>
      <c r="I3" s="726"/>
    </row>
    <row r="4" spans="1:10" ht="15.75" x14ac:dyDescent="0.25">
      <c r="B4" s="965" t="s">
        <v>869</v>
      </c>
      <c r="C4" s="965"/>
      <c r="D4" s="965"/>
      <c r="E4" s="965"/>
      <c r="F4" s="965"/>
      <c r="G4" s="965"/>
      <c r="H4" s="965"/>
      <c r="I4" s="965"/>
    </row>
    <row r="5" spans="1:10" ht="16.5" thickBot="1" x14ac:dyDescent="0.3">
      <c r="B5" s="1017"/>
      <c r="C5" s="1017"/>
      <c r="D5" s="1017"/>
      <c r="E5" s="1017"/>
      <c r="F5" s="1017"/>
      <c r="G5" s="1017"/>
      <c r="H5" s="1017"/>
      <c r="I5" s="1017"/>
    </row>
    <row r="6" spans="1:10" ht="28.5" x14ac:dyDescent="0.25">
      <c r="A6" s="40"/>
      <c r="B6" s="1018" t="s">
        <v>3</v>
      </c>
      <c r="C6" s="1019" t="s">
        <v>4</v>
      </c>
      <c r="D6" s="1020" t="s">
        <v>870</v>
      </c>
      <c r="E6" s="1020" t="s">
        <v>870</v>
      </c>
      <c r="F6" s="1020"/>
      <c r="G6" s="736" t="s">
        <v>4</v>
      </c>
      <c r="H6" s="1021"/>
      <c r="I6" s="1022" t="s">
        <v>870</v>
      </c>
      <c r="J6" s="1022" t="s">
        <v>870</v>
      </c>
    </row>
    <row r="7" spans="1:10" x14ac:dyDescent="0.25">
      <c r="A7" s="41"/>
      <c r="B7" s="1023"/>
      <c r="C7" s="1024"/>
      <c r="D7" s="1025" t="s">
        <v>513</v>
      </c>
      <c r="E7" s="1025" t="s">
        <v>514</v>
      </c>
      <c r="F7" s="1025"/>
      <c r="G7" s="740"/>
      <c r="H7" s="1026"/>
      <c r="I7" s="1027"/>
      <c r="J7" s="1027"/>
    </row>
    <row r="8" spans="1:10" ht="12.75" customHeight="1" x14ac:dyDescent="0.25">
      <c r="A8" s="41"/>
      <c r="B8" s="1023"/>
      <c r="C8" s="1028"/>
      <c r="D8" s="1025" t="s">
        <v>871</v>
      </c>
      <c r="E8" s="1025" t="s">
        <v>871</v>
      </c>
      <c r="F8" s="1025"/>
      <c r="G8" s="740"/>
      <c r="H8" s="1026"/>
      <c r="I8" s="1029" t="s">
        <v>515</v>
      </c>
      <c r="J8" s="1029" t="s">
        <v>872</v>
      </c>
    </row>
    <row r="9" spans="1:10" ht="15.75" x14ac:dyDescent="0.25">
      <c r="A9" s="41"/>
      <c r="B9" s="716" t="s">
        <v>37</v>
      </c>
      <c r="C9" s="716"/>
      <c r="D9" s="11"/>
      <c r="E9" s="11"/>
      <c r="F9" s="1025"/>
      <c r="G9" s="740" t="s">
        <v>9</v>
      </c>
      <c r="H9" s="1026"/>
      <c r="I9" s="1030"/>
      <c r="J9" s="1030"/>
    </row>
    <row r="10" spans="1:10" ht="15.75" x14ac:dyDescent="0.25">
      <c r="A10" s="41" t="s">
        <v>38</v>
      </c>
      <c r="B10" s="713" t="s">
        <v>873</v>
      </c>
      <c r="C10" s="713"/>
      <c r="D10" s="11">
        <v>14451020</v>
      </c>
      <c r="E10" s="11">
        <v>19060932</v>
      </c>
      <c r="F10" s="1031" t="s">
        <v>38</v>
      </c>
      <c r="G10" s="717" t="s">
        <v>10</v>
      </c>
      <c r="H10" s="1032"/>
      <c r="I10" s="1033">
        <v>136778464</v>
      </c>
      <c r="J10" s="1033">
        <v>149482806</v>
      </c>
    </row>
    <row r="11" spans="1:10" ht="15.75" x14ac:dyDescent="0.25">
      <c r="A11" s="41" t="s">
        <v>40</v>
      </c>
      <c r="B11" s="713" t="s">
        <v>41</v>
      </c>
      <c r="C11" s="713"/>
      <c r="D11" s="11">
        <v>40830000</v>
      </c>
      <c r="E11" s="11">
        <v>47080950</v>
      </c>
      <c r="F11" s="1031" t="s">
        <v>40</v>
      </c>
      <c r="G11" s="717" t="s">
        <v>11</v>
      </c>
      <c r="H11" s="1032"/>
      <c r="I11" s="1033">
        <v>27499244</v>
      </c>
      <c r="J11" s="1033">
        <v>29732295</v>
      </c>
    </row>
    <row r="12" spans="1:10" ht="15.75" x14ac:dyDescent="0.25">
      <c r="A12" s="41" t="s">
        <v>48</v>
      </c>
      <c r="B12" s="713" t="s">
        <v>49</v>
      </c>
      <c r="C12" s="713"/>
      <c r="D12" s="11">
        <v>152161604</v>
      </c>
      <c r="E12" s="11">
        <v>168080269</v>
      </c>
      <c r="F12" s="1031" t="s">
        <v>48</v>
      </c>
      <c r="G12" s="717" t="s">
        <v>12</v>
      </c>
      <c r="H12" s="1032"/>
      <c r="I12" s="1033">
        <v>152267444</v>
      </c>
      <c r="J12" s="1033">
        <v>215406767</v>
      </c>
    </row>
    <row r="13" spans="1:10" ht="15.75" x14ac:dyDescent="0.25">
      <c r="A13" s="41" t="s">
        <v>13</v>
      </c>
      <c r="B13" s="713" t="s">
        <v>56</v>
      </c>
      <c r="C13" s="713"/>
      <c r="D13" s="11">
        <v>14483373</v>
      </c>
      <c r="E13" s="11">
        <v>133094718</v>
      </c>
      <c r="F13" s="1031" t="s">
        <v>13</v>
      </c>
      <c r="G13" s="728" t="s">
        <v>16</v>
      </c>
      <c r="H13" s="1034"/>
      <c r="I13" s="1035">
        <f>SUM(I14:I18)</f>
        <v>18280262</v>
      </c>
      <c r="J13" s="1035">
        <v>30091211</v>
      </c>
    </row>
    <row r="14" spans="1:10" ht="15.75" x14ac:dyDescent="0.25">
      <c r="A14" s="1036"/>
      <c r="B14" s="1037"/>
      <c r="C14" s="1037"/>
      <c r="D14" s="42"/>
      <c r="E14" s="42"/>
      <c r="F14" s="1031" t="s">
        <v>17</v>
      </c>
      <c r="G14" s="719" t="s">
        <v>117</v>
      </c>
      <c r="H14" s="1038"/>
      <c r="I14" s="1035"/>
      <c r="J14" s="1035"/>
    </row>
    <row r="15" spans="1:10" ht="15.75" x14ac:dyDescent="0.25">
      <c r="A15" s="1036"/>
      <c r="B15" s="1037"/>
      <c r="C15" s="1037"/>
      <c r="D15" s="42"/>
      <c r="E15" s="42"/>
      <c r="F15" s="1031" t="s">
        <v>18</v>
      </c>
      <c r="G15" s="719" t="s">
        <v>874</v>
      </c>
      <c r="H15" s="1038"/>
      <c r="I15" s="1033">
        <v>8161962</v>
      </c>
      <c r="J15" s="1033">
        <v>17146116</v>
      </c>
    </row>
    <row r="16" spans="1:10" ht="15.75" customHeight="1" x14ac:dyDescent="0.25">
      <c r="A16" s="1036"/>
      <c r="B16" s="1037"/>
      <c r="C16" s="1037"/>
      <c r="D16" s="42"/>
      <c r="E16" s="42"/>
      <c r="F16" s="1031" t="s">
        <v>20</v>
      </c>
      <c r="G16" s="721" t="s">
        <v>890</v>
      </c>
      <c r="H16" s="1039"/>
      <c r="I16" s="1035"/>
      <c r="J16" s="1035">
        <v>2826795</v>
      </c>
    </row>
    <row r="17" spans="1:10" ht="16.5" x14ac:dyDescent="0.25">
      <c r="A17" s="1040"/>
      <c r="B17" s="1041"/>
      <c r="C17" s="1041"/>
      <c r="D17" s="1042"/>
      <c r="E17" s="1042"/>
      <c r="F17" s="1043" t="s">
        <v>22</v>
      </c>
      <c r="G17" s="1044" t="s">
        <v>119</v>
      </c>
      <c r="H17" s="1045"/>
      <c r="I17" s="1046"/>
      <c r="J17" s="1046"/>
    </row>
    <row r="18" spans="1:10" ht="15.75" x14ac:dyDescent="0.25">
      <c r="A18" s="1047"/>
      <c r="B18" s="1048"/>
      <c r="C18" s="1048"/>
      <c r="D18" s="1049"/>
      <c r="E18" s="1049"/>
      <c r="F18" s="1050" t="s">
        <v>15</v>
      </c>
      <c r="G18" s="721" t="s">
        <v>21</v>
      </c>
      <c r="H18" s="1051"/>
      <c r="I18" s="1046">
        <v>10118300</v>
      </c>
      <c r="J18" s="1046">
        <v>10118300</v>
      </c>
    </row>
    <row r="19" spans="1:10" ht="16.5" customHeight="1" thickBot="1" x14ac:dyDescent="0.3">
      <c r="A19" s="1047"/>
      <c r="B19" s="1048"/>
      <c r="C19" s="1048"/>
      <c r="D19" s="1049"/>
      <c r="E19" s="1049"/>
      <c r="F19" s="1052"/>
      <c r="G19" s="1053" t="s">
        <v>23</v>
      </c>
      <c r="H19" s="1054"/>
      <c r="I19" s="1055">
        <v>30175954</v>
      </c>
      <c r="J19" s="1055">
        <v>3868303</v>
      </c>
    </row>
    <row r="20" spans="1:10" s="1063" customFormat="1" ht="15.75" thickBot="1" x14ac:dyDescent="0.3">
      <c r="A20" s="1056" t="s">
        <v>36</v>
      </c>
      <c r="B20" s="1057" t="s">
        <v>875</v>
      </c>
      <c r="C20" s="1057"/>
      <c r="D20" s="1058">
        <f>SUM(D10:D18)</f>
        <v>221925997</v>
      </c>
      <c r="E20" s="1058">
        <f>SUM(E10:E18)</f>
        <v>367316869</v>
      </c>
      <c r="F20" s="1059" t="s">
        <v>36</v>
      </c>
      <c r="G20" s="1060" t="s">
        <v>24</v>
      </c>
      <c r="H20" s="1061"/>
      <c r="I20" s="1062">
        <f>+I10+I11+I12+I13+I19</f>
        <v>365001368</v>
      </c>
      <c r="J20" s="1062">
        <f>+J10+J11+J12+J13+J19</f>
        <v>428581382</v>
      </c>
    </row>
    <row r="21" spans="1:10" s="1063" customFormat="1" x14ac:dyDescent="0.25">
      <c r="A21" s="1064" t="s">
        <v>0</v>
      </c>
      <c r="B21" s="1065" t="s">
        <v>876</v>
      </c>
      <c r="C21" s="1066"/>
      <c r="D21" s="1067">
        <f>D20-I20</f>
        <v>-143075371</v>
      </c>
      <c r="E21" s="1067">
        <f>E20-J20</f>
        <v>-61264513</v>
      </c>
      <c r="F21" s="1068"/>
      <c r="G21" s="1069"/>
      <c r="H21" s="1070"/>
      <c r="I21" s="1071"/>
      <c r="J21" s="1071"/>
    </row>
    <row r="22" spans="1:10" ht="15.75" x14ac:dyDescent="0.25">
      <c r="A22" s="1072" t="s">
        <v>15</v>
      </c>
      <c r="B22" s="1073" t="s">
        <v>66</v>
      </c>
      <c r="C22" s="1073"/>
      <c r="D22" s="1074">
        <v>7867898</v>
      </c>
      <c r="E22" s="1074">
        <v>9380270</v>
      </c>
      <c r="F22" s="1075" t="s">
        <v>25</v>
      </c>
      <c r="G22" s="1076" t="s">
        <v>877</v>
      </c>
      <c r="H22" s="1077"/>
      <c r="I22" s="1078">
        <v>399314520</v>
      </c>
      <c r="J22" s="1078">
        <v>475423120</v>
      </c>
    </row>
    <row r="23" spans="1:10" ht="15.75" x14ac:dyDescent="0.25">
      <c r="A23" s="41" t="s">
        <v>25</v>
      </c>
      <c r="B23" s="713" t="s">
        <v>71</v>
      </c>
      <c r="C23" s="713"/>
      <c r="D23" s="11"/>
      <c r="E23" s="11">
        <v>240909096</v>
      </c>
      <c r="F23" s="1031" t="s">
        <v>27</v>
      </c>
      <c r="G23" s="717" t="s">
        <v>28</v>
      </c>
      <c r="H23" s="1032"/>
      <c r="I23" s="1035">
        <v>850000</v>
      </c>
      <c r="J23" s="1035">
        <v>9833510</v>
      </c>
    </row>
    <row r="24" spans="1:10" ht="16.5" thickBot="1" x14ac:dyDescent="0.3">
      <c r="A24" s="1079" t="s">
        <v>27</v>
      </c>
      <c r="B24" s="1080" t="s">
        <v>76</v>
      </c>
      <c r="C24" s="1080"/>
      <c r="D24" s="1081">
        <v>269478267</v>
      </c>
      <c r="E24" s="1081">
        <v>22074571</v>
      </c>
      <c r="F24" s="1043" t="s">
        <v>29</v>
      </c>
      <c r="G24" s="1082" t="s">
        <v>120</v>
      </c>
      <c r="H24" s="1083"/>
      <c r="I24" s="1046"/>
      <c r="J24" s="1046"/>
    </row>
    <row r="25" spans="1:10" s="1063" customFormat="1" ht="15.75" thickBot="1" x14ac:dyDescent="0.3">
      <c r="A25" s="1056" t="s">
        <v>86</v>
      </c>
      <c r="B25" s="1057" t="s">
        <v>83</v>
      </c>
      <c r="C25" s="1057"/>
      <c r="D25" s="1058">
        <f>SUM(D22:D24)</f>
        <v>277346165</v>
      </c>
      <c r="E25" s="1058">
        <f>SUM(E22:E24)</f>
        <v>272363937</v>
      </c>
      <c r="F25" s="1059" t="s">
        <v>86</v>
      </c>
      <c r="G25" s="1084" t="s">
        <v>878</v>
      </c>
      <c r="H25" s="1085"/>
      <c r="I25" s="1062">
        <f>SUM(I22:I24)</f>
        <v>400164520</v>
      </c>
      <c r="J25" s="1062">
        <f>SUM(J22:J24)</f>
        <v>485256630</v>
      </c>
    </row>
    <row r="26" spans="1:10" s="1063" customFormat="1" x14ac:dyDescent="0.25">
      <c r="A26" s="1064" t="s">
        <v>31</v>
      </c>
      <c r="B26" s="1065" t="s">
        <v>879</v>
      </c>
      <c r="C26" s="1066"/>
      <c r="D26" s="1067">
        <f>+D25-I25</f>
        <v>-122818355</v>
      </c>
      <c r="E26" s="1067">
        <f>+E25-J25</f>
        <v>-212892693</v>
      </c>
      <c r="F26" s="1068"/>
      <c r="G26" s="1086" t="s">
        <v>880</v>
      </c>
      <c r="H26" s="1087"/>
      <c r="I26" s="1071">
        <v>1136830</v>
      </c>
      <c r="J26" s="1071">
        <v>3685034</v>
      </c>
    </row>
    <row r="27" spans="1:10" ht="15.75" x14ac:dyDescent="0.25">
      <c r="A27" s="1072" t="s">
        <v>29</v>
      </c>
      <c r="B27" s="1073" t="s">
        <v>84</v>
      </c>
      <c r="C27" s="1073"/>
      <c r="D27" s="1074"/>
      <c r="E27" s="1074"/>
      <c r="F27" s="1088"/>
      <c r="G27" s="1089"/>
      <c r="H27" s="1090"/>
      <c r="I27" s="1091"/>
      <c r="J27" s="1091"/>
    </row>
    <row r="28" spans="1:10" ht="15.75" x14ac:dyDescent="0.25">
      <c r="A28" s="41" t="s">
        <v>881</v>
      </c>
      <c r="B28" s="713" t="s">
        <v>90</v>
      </c>
      <c r="C28" s="713"/>
      <c r="D28" s="11">
        <v>267030556</v>
      </c>
      <c r="E28" s="11">
        <v>272156575</v>
      </c>
      <c r="F28" s="1092"/>
      <c r="G28" s="1093"/>
      <c r="H28" s="1094"/>
      <c r="I28" s="1091"/>
      <c r="J28" s="1091"/>
    </row>
    <row r="29" spans="1:10" ht="15.75" x14ac:dyDescent="0.25">
      <c r="A29" s="41" t="s">
        <v>882</v>
      </c>
      <c r="B29" s="713" t="s">
        <v>96</v>
      </c>
      <c r="C29" s="713"/>
      <c r="D29" s="11"/>
      <c r="E29" s="11"/>
      <c r="F29" s="1088"/>
      <c r="G29" s="1089"/>
      <c r="H29" s="1090"/>
      <c r="I29" s="1091"/>
      <c r="J29" s="1091"/>
    </row>
    <row r="30" spans="1:10" ht="15.75" x14ac:dyDescent="0.25">
      <c r="A30" s="41" t="s">
        <v>883</v>
      </c>
      <c r="B30" s="713" t="s">
        <v>884</v>
      </c>
      <c r="C30" s="713"/>
      <c r="D30" s="11"/>
      <c r="E30" s="11"/>
      <c r="F30" s="1088"/>
      <c r="G30" s="1090"/>
      <c r="H30" s="1095"/>
      <c r="I30" s="1091"/>
      <c r="J30" s="1091"/>
    </row>
    <row r="31" spans="1:10" ht="15.75" x14ac:dyDescent="0.25">
      <c r="A31" s="1096" t="s">
        <v>93</v>
      </c>
      <c r="B31" s="1097" t="s">
        <v>885</v>
      </c>
      <c r="C31" s="1097"/>
      <c r="D31" s="1098">
        <f>SUM(D27:D30)</f>
        <v>267030556</v>
      </c>
      <c r="E31" s="1098">
        <f>SUM(E27:E30)</f>
        <v>272156575</v>
      </c>
      <c r="F31" s="584" t="s">
        <v>102</v>
      </c>
      <c r="G31" s="1099" t="s">
        <v>886</v>
      </c>
      <c r="H31" s="1100"/>
      <c r="I31" s="1101"/>
      <c r="J31" s="1101"/>
    </row>
    <row r="32" spans="1:10" ht="18.75" x14ac:dyDescent="0.3">
      <c r="A32" s="41"/>
      <c r="B32" s="713" t="s">
        <v>107</v>
      </c>
      <c r="C32" s="713"/>
      <c r="D32" s="27"/>
      <c r="E32" s="27"/>
      <c r="F32" s="1092"/>
      <c r="G32" s="715"/>
      <c r="H32" s="1102"/>
      <c r="I32" s="1103"/>
      <c r="J32" s="1103"/>
    </row>
    <row r="33" spans="1:10" ht="18.75" x14ac:dyDescent="0.3">
      <c r="A33" s="41"/>
      <c r="B33" s="1121" t="s">
        <v>617</v>
      </c>
      <c r="C33" s="1122"/>
      <c r="D33" s="27"/>
      <c r="E33" s="27">
        <v>5685665</v>
      </c>
      <c r="F33" s="1092"/>
      <c r="G33" s="585"/>
      <c r="H33" s="1120"/>
      <c r="I33" s="1103"/>
      <c r="J33" s="1103"/>
    </row>
    <row r="34" spans="1:10" ht="18.75" x14ac:dyDescent="0.3">
      <c r="A34" s="1096" t="s">
        <v>102</v>
      </c>
      <c r="B34" s="710" t="s">
        <v>887</v>
      </c>
      <c r="C34" s="710"/>
      <c r="D34" s="27">
        <f>+D20+D25+D31+D32</f>
        <v>766302718</v>
      </c>
      <c r="E34" s="27">
        <f>+E20+E25+E31+E32+E33</f>
        <v>917523046</v>
      </c>
      <c r="F34" s="1104" t="s">
        <v>104</v>
      </c>
      <c r="G34" s="712" t="s">
        <v>888</v>
      </c>
      <c r="H34" s="837"/>
      <c r="I34" s="1105">
        <f>+I20+I25+I29+I31+I27+I26</f>
        <v>766302718</v>
      </c>
      <c r="J34" s="1105">
        <f>+J20+J25+J29+J31+J27+J26</f>
        <v>917523046</v>
      </c>
    </row>
    <row r="35" spans="1:10" ht="19.5" thickBot="1" x14ac:dyDescent="0.35">
      <c r="A35" s="1106"/>
      <c r="B35" s="1107" t="s">
        <v>889</v>
      </c>
      <c r="C35" s="1107"/>
      <c r="D35" s="1108">
        <f>I34-D34</f>
        <v>0</v>
      </c>
      <c r="E35" s="1108">
        <f>J34-E34</f>
        <v>0</v>
      </c>
      <c r="F35" s="1109"/>
      <c r="G35" s="1110"/>
      <c r="H35" s="1111"/>
      <c r="I35" s="1108"/>
      <c r="J35" s="1112"/>
    </row>
    <row r="36" spans="1:10" ht="15.75" x14ac:dyDescent="0.25">
      <c r="B36" s="2"/>
      <c r="C36" s="2"/>
      <c r="D36" s="2"/>
      <c r="E36" s="2"/>
      <c r="F36" s="2"/>
      <c r="G36" s="1113"/>
      <c r="H36" s="1113"/>
      <c r="I36" s="1114"/>
    </row>
    <row r="37" spans="1:10" ht="15.75" x14ac:dyDescent="0.25">
      <c r="B37" s="2"/>
      <c r="C37" s="2"/>
      <c r="D37" s="1115"/>
      <c r="E37" s="1115"/>
      <c r="F37" s="2"/>
      <c r="G37" s="1113"/>
      <c r="H37" s="1113"/>
      <c r="I37" s="1114"/>
    </row>
    <row r="38" spans="1:10" ht="15.75" x14ac:dyDescent="0.25">
      <c r="B38" s="2"/>
      <c r="C38" s="2"/>
      <c r="D38" s="2"/>
      <c r="E38" s="2"/>
      <c r="F38" s="2"/>
      <c r="G38" s="1113"/>
      <c r="H38" s="1113"/>
      <c r="I38" s="1114"/>
    </row>
    <row r="39" spans="1:10" ht="15.75" x14ac:dyDescent="0.25">
      <c r="B39" s="2"/>
      <c r="C39" s="2"/>
      <c r="D39" s="2"/>
      <c r="E39" s="2"/>
      <c r="F39" s="2"/>
      <c r="G39" s="1113"/>
      <c r="H39" s="1113"/>
      <c r="I39" s="1114"/>
    </row>
    <row r="40" spans="1:10" ht="15.75" x14ac:dyDescent="0.25">
      <c r="B40" s="2"/>
      <c r="C40" s="2"/>
      <c r="D40" s="2"/>
      <c r="E40" s="2"/>
      <c r="F40" s="2"/>
      <c r="G40" s="1113"/>
      <c r="H40" s="1113"/>
      <c r="I40" s="1114"/>
    </row>
    <row r="41" spans="1:10" ht="15.75" x14ac:dyDescent="0.25">
      <c r="B41" s="2"/>
      <c r="C41" s="2"/>
      <c r="D41" s="2"/>
      <c r="E41" s="2"/>
      <c r="F41" s="2"/>
      <c r="G41" s="1113"/>
      <c r="H41" s="1113"/>
      <c r="I41" s="1114"/>
    </row>
    <row r="42" spans="1:10" ht="15.75" x14ac:dyDescent="0.25">
      <c r="B42" s="2"/>
      <c r="C42" s="2"/>
      <c r="D42" s="2"/>
      <c r="E42" s="2"/>
      <c r="F42" s="2"/>
      <c r="G42" s="1113"/>
      <c r="H42" s="1113"/>
      <c r="I42" s="1114"/>
    </row>
    <row r="43" spans="1:10" ht="15.75" x14ac:dyDescent="0.25">
      <c r="B43" s="2"/>
      <c r="C43" s="2"/>
      <c r="D43" s="2"/>
      <c r="E43" s="2"/>
      <c r="F43" s="2"/>
      <c r="G43" s="1113"/>
      <c r="H43" s="1113"/>
      <c r="I43" s="1114"/>
    </row>
    <row r="44" spans="1:10" ht="15.75" x14ac:dyDescent="0.25">
      <c r="B44" s="2"/>
      <c r="C44" s="2"/>
      <c r="D44" s="2"/>
      <c r="E44" s="2"/>
      <c r="F44" s="2"/>
      <c r="G44" s="1113"/>
      <c r="H44" s="1113"/>
      <c r="I44" s="1114"/>
    </row>
    <row r="45" spans="1:10" ht="15.75" x14ac:dyDescent="0.25">
      <c r="B45" s="2"/>
      <c r="C45" s="2"/>
      <c r="D45" s="2"/>
      <c r="E45" s="2"/>
      <c r="F45" s="2"/>
      <c r="G45" s="1113"/>
      <c r="H45" s="1113"/>
      <c r="I45" s="1114"/>
    </row>
    <row r="46" spans="1:10" ht="15.75" x14ac:dyDescent="0.25">
      <c r="B46" s="2"/>
      <c r="C46" s="2"/>
      <c r="D46" s="2"/>
      <c r="E46" s="2"/>
      <c r="F46" s="2"/>
      <c r="G46" s="1113"/>
      <c r="H46" s="1113"/>
      <c r="I46" s="1114"/>
    </row>
    <row r="47" spans="1:10" ht="15.75" x14ac:dyDescent="0.25">
      <c r="B47" s="2"/>
      <c r="C47" s="2"/>
      <c r="D47" s="2"/>
      <c r="E47" s="2"/>
      <c r="F47" s="2"/>
      <c r="G47" s="1113"/>
      <c r="H47" s="1113"/>
      <c r="I47" s="1114"/>
    </row>
    <row r="48" spans="1:10" ht="15.75" x14ac:dyDescent="0.25">
      <c r="B48" s="2"/>
      <c r="C48" s="2"/>
      <c r="D48" s="2"/>
      <c r="E48" s="2"/>
      <c r="F48" s="2"/>
      <c r="G48" s="1113"/>
      <c r="H48" s="1113"/>
      <c r="I48" s="1114"/>
    </row>
    <row r="49" spans="2:9" ht="18.75" x14ac:dyDescent="0.3">
      <c r="B49" s="2"/>
      <c r="C49" s="2"/>
      <c r="D49" s="2"/>
      <c r="E49" s="2"/>
      <c r="F49" s="2"/>
      <c r="G49" s="1113"/>
      <c r="H49" s="1113"/>
      <c r="I49" s="1116"/>
    </row>
    <row r="50" spans="2:9" ht="18.75" x14ac:dyDescent="0.3">
      <c r="B50" s="1117"/>
      <c r="C50" s="1117"/>
      <c r="D50" s="1117"/>
      <c r="E50" s="1117"/>
      <c r="F50" s="1117"/>
      <c r="G50" s="1118"/>
      <c r="H50" s="1118"/>
      <c r="I50" s="1116"/>
    </row>
    <row r="51" spans="2:9" ht="18.75" x14ac:dyDescent="0.3">
      <c r="B51" s="2"/>
      <c r="C51" s="2"/>
      <c r="D51" s="2"/>
      <c r="E51" s="2"/>
      <c r="F51" s="2"/>
      <c r="G51" s="1118"/>
      <c r="H51" s="1118"/>
      <c r="I51" s="1119"/>
    </row>
  </sheetData>
  <mergeCells count="73">
    <mergeCell ref="G48:H48"/>
    <mergeCell ref="G49:H49"/>
    <mergeCell ref="G50:H50"/>
    <mergeCell ref="G51:H51"/>
    <mergeCell ref="B33:C33"/>
    <mergeCell ref="G43:H43"/>
    <mergeCell ref="G44:H44"/>
    <mergeCell ref="G45:H45"/>
    <mergeCell ref="G46:H46"/>
    <mergeCell ref="G47:H47"/>
    <mergeCell ref="G38:H38"/>
    <mergeCell ref="G39:H39"/>
    <mergeCell ref="G40:H40"/>
    <mergeCell ref="G41:H41"/>
    <mergeCell ref="G42:H42"/>
    <mergeCell ref="G32:H32"/>
    <mergeCell ref="G34:H34"/>
    <mergeCell ref="G35:H35"/>
    <mergeCell ref="G36:H36"/>
    <mergeCell ref="G37:H37"/>
    <mergeCell ref="G27:H27"/>
    <mergeCell ref="G28:H28"/>
    <mergeCell ref="G29:H29"/>
    <mergeCell ref="G30:H30"/>
    <mergeCell ref="G31:H31"/>
    <mergeCell ref="G19:H19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B1:I1"/>
    <mergeCell ref="B2:I2"/>
    <mergeCell ref="B3:I3"/>
    <mergeCell ref="B4:I4"/>
    <mergeCell ref="B6:B8"/>
    <mergeCell ref="C6:C8"/>
    <mergeCell ref="G6:H8"/>
    <mergeCell ref="G9:H9"/>
    <mergeCell ref="G10:H10"/>
    <mergeCell ref="G11:H11"/>
    <mergeCell ref="G12:H12"/>
    <mergeCell ref="G13:H13"/>
    <mergeCell ref="B35:C35"/>
    <mergeCell ref="B29:C29"/>
    <mergeCell ref="B30:C30"/>
    <mergeCell ref="B31:C31"/>
    <mergeCell ref="B32:C32"/>
    <mergeCell ref="B34:C34"/>
    <mergeCell ref="B24:C24"/>
    <mergeCell ref="B25:C25"/>
    <mergeCell ref="B26:C26"/>
    <mergeCell ref="B27:C27"/>
    <mergeCell ref="B28:C28"/>
    <mergeCell ref="B20:C20"/>
    <mergeCell ref="B21:C21"/>
    <mergeCell ref="B22:C22"/>
    <mergeCell ref="B23:C23"/>
    <mergeCell ref="B14:C14"/>
    <mergeCell ref="B15:C15"/>
    <mergeCell ref="B16:C16"/>
    <mergeCell ref="B17:C17"/>
    <mergeCell ref="B9:C9"/>
    <mergeCell ref="B10:C10"/>
    <mergeCell ref="B11:C11"/>
    <mergeCell ref="B12:C12"/>
    <mergeCell ref="B13:C13"/>
    <mergeCell ref="I6:I7"/>
    <mergeCell ref="J6:J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7A33-3AFB-4352-87AE-8CDE93199CA6}">
  <sheetPr>
    <tabColor rgb="FF00B0F0"/>
  </sheetPr>
  <dimension ref="A1:K147"/>
  <sheetViews>
    <sheetView workbookViewId="0">
      <selection sqref="A1:XFD1048576"/>
    </sheetView>
  </sheetViews>
  <sheetFormatPr defaultRowHeight="15" x14ac:dyDescent="0.25"/>
  <cols>
    <col min="1" max="1" width="74.5703125" style="578" bestFit="1" customWidth="1"/>
    <col min="2" max="2" width="19" style="368" customWidth="1"/>
    <col min="3" max="3" width="14" style="368" customWidth="1"/>
    <col min="4" max="4" width="13.140625" style="368" customWidth="1"/>
    <col min="5" max="5" width="17.85546875" style="368" customWidth="1"/>
    <col min="6" max="6" width="11.5703125" style="368" bestFit="1" customWidth="1"/>
    <col min="7" max="7" width="18.42578125" style="523" bestFit="1" customWidth="1"/>
    <col min="8" max="8" width="11.85546875" style="523" bestFit="1" customWidth="1"/>
    <col min="9" max="9" width="12.5703125" style="523" customWidth="1"/>
    <col min="10" max="10" width="18.5703125" style="212" customWidth="1"/>
    <col min="11" max="11" width="11" style="212" customWidth="1"/>
    <col min="12" max="16384" width="9.140625" style="212"/>
  </cols>
  <sheetData>
    <row r="1" spans="1:11" ht="18.75" x14ac:dyDescent="0.25">
      <c r="A1" s="589" t="s">
        <v>518</v>
      </c>
      <c r="B1" s="589"/>
      <c r="C1" s="589"/>
      <c r="D1" s="589"/>
      <c r="E1" s="589"/>
    </row>
    <row r="2" spans="1:11" ht="18.75" x14ac:dyDescent="0.25">
      <c r="A2" s="589" t="s">
        <v>1</v>
      </c>
      <c r="B2" s="590"/>
      <c r="C2" s="590"/>
      <c r="D2" s="590"/>
      <c r="E2" s="590"/>
      <c r="F2" s="368" t="s">
        <v>121</v>
      </c>
    </row>
    <row r="3" spans="1:11" ht="18.75" x14ac:dyDescent="0.25">
      <c r="A3" s="589" t="s">
        <v>122</v>
      </c>
      <c r="B3" s="590"/>
      <c r="C3" s="590"/>
      <c r="D3" s="590"/>
      <c r="E3" s="590"/>
      <c r="F3" s="342" t="s">
        <v>123</v>
      </c>
    </row>
    <row r="4" spans="1:11" ht="19.5" thickBot="1" x14ac:dyDescent="0.3">
      <c r="A4" s="582"/>
      <c r="B4" s="583"/>
      <c r="C4" s="583"/>
      <c r="D4" s="583"/>
      <c r="E4" s="583"/>
      <c r="F4" s="342"/>
    </row>
    <row r="5" spans="1:11" ht="48.75" thickBot="1" x14ac:dyDescent="0.3">
      <c r="A5" s="343" t="s">
        <v>124</v>
      </c>
      <c r="B5" s="344" t="s">
        <v>516</v>
      </c>
      <c r="C5" s="344" t="s">
        <v>126</v>
      </c>
      <c r="D5" s="344" t="s">
        <v>374</v>
      </c>
      <c r="E5" s="344" t="s">
        <v>375</v>
      </c>
      <c r="F5" s="345" t="s">
        <v>376</v>
      </c>
      <c r="G5" s="344" t="s">
        <v>521</v>
      </c>
      <c r="H5" s="344" t="s">
        <v>126</v>
      </c>
      <c r="I5" s="344" t="s">
        <v>374</v>
      </c>
      <c r="J5" s="344" t="s">
        <v>517</v>
      </c>
      <c r="K5" s="345" t="s">
        <v>376</v>
      </c>
    </row>
    <row r="6" spans="1:11" ht="15.75" thickBot="1" x14ac:dyDescent="0.3">
      <c r="A6" s="346">
        <v>1</v>
      </c>
      <c r="B6" s="347">
        <v>2</v>
      </c>
      <c r="C6" s="347">
        <v>3</v>
      </c>
      <c r="D6" s="347">
        <v>4</v>
      </c>
      <c r="E6" s="347">
        <v>5</v>
      </c>
      <c r="F6" s="348">
        <v>7</v>
      </c>
      <c r="G6" s="347">
        <v>2</v>
      </c>
      <c r="H6" s="347">
        <v>3</v>
      </c>
      <c r="I6" s="347">
        <v>4</v>
      </c>
      <c r="J6" s="347">
        <v>5</v>
      </c>
      <c r="K6" s="348">
        <v>7</v>
      </c>
    </row>
    <row r="7" spans="1:11" s="352" customFormat="1" ht="20.25" customHeight="1" thickBot="1" x14ac:dyDescent="0.3">
      <c r="A7" s="349" t="s">
        <v>127</v>
      </c>
      <c r="B7" s="295">
        <f>B8+B9+B10+B11+B12+B13</f>
        <v>9249942</v>
      </c>
      <c r="C7" s="350"/>
      <c r="D7" s="350">
        <f t="shared" ref="D7" si="0">D8+D9</f>
        <v>0</v>
      </c>
      <c r="E7" s="295">
        <f>E8+E9+E10+E11+E12+E13</f>
        <v>9249942</v>
      </c>
      <c r="F7" s="351"/>
      <c r="G7" s="350">
        <f>G14</f>
        <v>9833510</v>
      </c>
      <c r="H7" s="350"/>
      <c r="I7" s="350">
        <f t="shared" ref="I7" si="1">I8+I9</f>
        <v>0</v>
      </c>
      <c r="J7" s="350">
        <f>J14</f>
        <v>9833510</v>
      </c>
      <c r="K7" s="351"/>
    </row>
    <row r="8" spans="1:11" ht="20.25" customHeight="1" x14ac:dyDescent="0.25">
      <c r="A8" s="524" t="s">
        <v>377</v>
      </c>
      <c r="B8" s="353">
        <v>700000</v>
      </c>
      <c r="C8" s="354">
        <v>2019</v>
      </c>
      <c r="D8" s="353"/>
      <c r="E8" s="353">
        <v>700000</v>
      </c>
      <c r="F8" s="355"/>
      <c r="G8" s="353">
        <v>523832</v>
      </c>
      <c r="H8" s="354">
        <v>2019</v>
      </c>
      <c r="I8" s="353"/>
      <c r="J8" s="353">
        <v>523832</v>
      </c>
      <c r="K8" s="355"/>
    </row>
    <row r="9" spans="1:11" ht="20.25" customHeight="1" thickBot="1" x14ac:dyDescent="0.3">
      <c r="A9" s="525" t="s">
        <v>378</v>
      </c>
      <c r="B9" s="356">
        <v>150000</v>
      </c>
      <c r="C9" s="357">
        <v>2019</v>
      </c>
      <c r="D9" s="356"/>
      <c r="E9" s="356">
        <v>150000</v>
      </c>
      <c r="F9" s="358"/>
      <c r="G9" s="356">
        <v>102641</v>
      </c>
      <c r="H9" s="357">
        <v>2019</v>
      </c>
      <c r="I9" s="356"/>
      <c r="J9" s="356">
        <v>102641</v>
      </c>
      <c r="K9" s="358"/>
    </row>
    <row r="10" spans="1:11" ht="20.25" customHeight="1" thickBot="1" x14ac:dyDescent="0.3">
      <c r="A10" s="525" t="s">
        <v>519</v>
      </c>
      <c r="B10" s="195"/>
      <c r="C10" s="196"/>
      <c r="D10" s="195"/>
      <c r="E10" s="195"/>
      <c r="F10" s="197"/>
      <c r="G10" s="195">
        <v>7931259</v>
      </c>
      <c r="H10" s="196">
        <v>2019</v>
      </c>
      <c r="I10" s="195"/>
      <c r="J10" s="356">
        <v>7931259</v>
      </c>
      <c r="K10" s="197"/>
    </row>
    <row r="11" spans="1:11" ht="20.25" customHeight="1" x14ac:dyDescent="0.25">
      <c r="A11" s="526" t="s">
        <v>520</v>
      </c>
      <c r="B11" s="195"/>
      <c r="C11" s="196"/>
      <c r="D11" s="195"/>
      <c r="E11" s="195"/>
      <c r="F11" s="197"/>
      <c r="G11" s="195">
        <v>650227</v>
      </c>
      <c r="H11" s="196">
        <v>2019</v>
      </c>
      <c r="I11" s="195"/>
      <c r="J11" s="356">
        <v>650227</v>
      </c>
      <c r="K11" s="197"/>
    </row>
    <row r="12" spans="1:11" ht="20.25" customHeight="1" thickBot="1" x14ac:dyDescent="0.3">
      <c r="A12" s="448" t="s">
        <v>389</v>
      </c>
      <c r="B12" s="87">
        <v>6636471</v>
      </c>
      <c r="C12" s="364">
        <v>2019</v>
      </c>
      <c r="D12" s="353"/>
      <c r="E12" s="90">
        <v>6636471</v>
      </c>
      <c r="F12" s="489"/>
      <c r="G12" s="87">
        <v>0</v>
      </c>
      <c r="H12" s="364">
        <v>2020</v>
      </c>
      <c r="I12" s="353">
        <v>0</v>
      </c>
      <c r="J12" s="90">
        <v>0</v>
      </c>
      <c r="K12" s="489"/>
    </row>
    <row r="13" spans="1:11" ht="20.25" customHeight="1" thickBot="1" x14ac:dyDescent="0.3">
      <c r="A13" s="130" t="s">
        <v>390</v>
      </c>
      <c r="B13" s="88">
        <v>1763471</v>
      </c>
      <c r="C13" s="364">
        <v>2019</v>
      </c>
      <c r="D13" s="122"/>
      <c r="E13" s="127">
        <v>1763471</v>
      </c>
      <c r="F13" s="489"/>
      <c r="G13" s="88">
        <v>625551</v>
      </c>
      <c r="H13" s="364">
        <v>2019</v>
      </c>
      <c r="I13" s="122"/>
      <c r="J13" s="127">
        <v>625551</v>
      </c>
      <c r="K13" s="489"/>
    </row>
    <row r="14" spans="1:11" ht="33" customHeight="1" thickBot="1" x14ac:dyDescent="0.3">
      <c r="A14" s="527" t="s">
        <v>656</v>
      </c>
      <c r="B14" s="295">
        <f>B8+B9+B10+B11+B12+B13</f>
        <v>9249942</v>
      </c>
      <c r="C14" s="296"/>
      <c r="D14" s="295"/>
      <c r="E14" s="295">
        <f>E8+E9+E10+E11+E12+E13</f>
        <v>9249942</v>
      </c>
      <c r="F14" s="297"/>
      <c r="G14" s="295">
        <f>G8+G9+G10+G11+G12+G13</f>
        <v>9833510</v>
      </c>
      <c r="H14" s="296"/>
      <c r="I14" s="295"/>
      <c r="J14" s="295">
        <f>J8+J9+J10+J11+J12+J13</f>
        <v>9833510</v>
      </c>
      <c r="K14" s="297"/>
    </row>
    <row r="15" spans="1:11" ht="20.25" customHeight="1" thickBot="1" x14ac:dyDescent="0.3">
      <c r="A15" s="359" t="s">
        <v>128</v>
      </c>
      <c r="B15" s="360">
        <f>B27+B35+B57+B62+B66+B71+B77+B104+B110+B128+B131</f>
        <v>390914578</v>
      </c>
      <c r="C15" s="360">
        <f>C27+C35+C63+C104+C110+C128</f>
        <v>0</v>
      </c>
      <c r="D15" s="360">
        <f>D27+D35+D63+D104+D110+D128</f>
        <v>0</v>
      </c>
      <c r="E15" s="360">
        <f>E27+E35+E57+E62+E66+E71+E77+E104+E110+E128+E131</f>
        <v>390914578</v>
      </c>
      <c r="F15" s="361"/>
      <c r="G15" s="360">
        <f>G27+G35+G57+G62+G66+G71+G77+G104+G110+G128+G131+G29</f>
        <v>475423120</v>
      </c>
      <c r="H15" s="360"/>
      <c r="I15" s="360">
        <f t="shared" ref="I15:J15" si="2">I27+I35+I57+I62+I66+I71+I77+I104+I110+I128+I131+I29</f>
        <v>0</v>
      </c>
      <c r="J15" s="360">
        <f t="shared" si="2"/>
        <v>475423120</v>
      </c>
      <c r="K15" s="361"/>
    </row>
    <row r="16" spans="1:11" ht="20.25" customHeight="1" thickBot="1" x14ac:dyDescent="0.3">
      <c r="A16" s="528" t="s">
        <v>129</v>
      </c>
      <c r="B16" s="529">
        <v>52500</v>
      </c>
      <c r="C16" s="357">
        <v>2019</v>
      </c>
      <c r="D16" s="530"/>
      <c r="E16" s="529">
        <v>52500</v>
      </c>
      <c r="F16" s="362"/>
      <c r="G16" s="529">
        <v>0</v>
      </c>
      <c r="H16" s="357">
        <v>2019</v>
      </c>
      <c r="I16" s="530"/>
      <c r="J16" s="529">
        <v>0</v>
      </c>
      <c r="K16" s="362"/>
    </row>
    <row r="17" spans="1:11" ht="20.25" customHeight="1" thickBot="1" x14ac:dyDescent="0.3">
      <c r="A17" s="528" t="s">
        <v>379</v>
      </c>
      <c r="B17" s="531">
        <v>101600</v>
      </c>
      <c r="C17" s="357">
        <v>2019</v>
      </c>
      <c r="D17" s="532"/>
      <c r="E17" s="531">
        <v>101600</v>
      </c>
      <c r="F17" s="355"/>
      <c r="G17" s="531">
        <v>0</v>
      </c>
      <c r="H17" s="357">
        <v>2019</v>
      </c>
      <c r="I17" s="532"/>
      <c r="J17" s="531">
        <v>0</v>
      </c>
      <c r="K17" s="355"/>
    </row>
    <row r="18" spans="1:11" ht="20.25" customHeight="1" thickBot="1" x14ac:dyDescent="0.3">
      <c r="A18" s="528" t="s">
        <v>130</v>
      </c>
      <c r="B18" s="531">
        <v>25400</v>
      </c>
      <c r="C18" s="357">
        <v>2019</v>
      </c>
      <c r="D18" s="532"/>
      <c r="E18" s="531">
        <v>25400</v>
      </c>
      <c r="F18" s="355"/>
      <c r="G18" s="531">
        <v>0</v>
      </c>
      <c r="H18" s="357">
        <v>2019</v>
      </c>
      <c r="I18" s="532"/>
      <c r="J18" s="531">
        <v>0</v>
      </c>
      <c r="K18" s="355"/>
    </row>
    <row r="19" spans="1:11" ht="20.25" customHeight="1" thickBot="1" x14ac:dyDescent="0.3">
      <c r="A19" s="528" t="s">
        <v>131</v>
      </c>
      <c r="B19" s="531">
        <v>19050</v>
      </c>
      <c r="C19" s="357">
        <v>2019</v>
      </c>
      <c r="D19" s="532"/>
      <c r="E19" s="531">
        <v>19050</v>
      </c>
      <c r="F19" s="355"/>
      <c r="G19" s="531">
        <v>0</v>
      </c>
      <c r="H19" s="357">
        <v>2019</v>
      </c>
      <c r="I19" s="532"/>
      <c r="J19" s="531">
        <v>0</v>
      </c>
      <c r="K19" s="355"/>
    </row>
    <row r="20" spans="1:11" ht="20.25" customHeight="1" thickBot="1" x14ac:dyDescent="0.3">
      <c r="A20" s="528" t="s">
        <v>132</v>
      </c>
      <c r="B20" s="531">
        <v>50800</v>
      </c>
      <c r="C20" s="357">
        <v>2019</v>
      </c>
      <c r="D20" s="532"/>
      <c r="E20" s="531">
        <v>50800</v>
      </c>
      <c r="F20" s="355"/>
      <c r="G20" s="531">
        <v>0</v>
      </c>
      <c r="H20" s="357">
        <v>2019</v>
      </c>
      <c r="I20" s="532"/>
      <c r="J20" s="531">
        <v>0</v>
      </c>
      <c r="K20" s="355"/>
    </row>
    <row r="21" spans="1:11" ht="20.25" customHeight="1" thickBot="1" x14ac:dyDescent="0.3">
      <c r="A21" s="528" t="s">
        <v>380</v>
      </c>
      <c r="B21" s="531">
        <v>127000</v>
      </c>
      <c r="C21" s="357">
        <v>2019</v>
      </c>
      <c r="D21" s="532"/>
      <c r="E21" s="531">
        <v>127000</v>
      </c>
      <c r="F21" s="355"/>
      <c r="G21" s="531">
        <v>0</v>
      </c>
      <c r="H21" s="357">
        <v>2019</v>
      </c>
      <c r="I21" s="532"/>
      <c r="J21" s="531">
        <v>0</v>
      </c>
      <c r="K21" s="355"/>
    </row>
    <row r="22" spans="1:11" ht="20.25" customHeight="1" thickBot="1" x14ac:dyDescent="0.3">
      <c r="A22" s="528" t="s">
        <v>133</v>
      </c>
      <c r="B22" s="531">
        <v>31750</v>
      </c>
      <c r="C22" s="357">
        <v>2019</v>
      </c>
      <c r="D22" s="532"/>
      <c r="E22" s="531">
        <v>31750</v>
      </c>
      <c r="F22" s="355"/>
      <c r="G22" s="531">
        <v>0</v>
      </c>
      <c r="H22" s="357">
        <v>2019</v>
      </c>
      <c r="I22" s="532"/>
      <c r="J22" s="531">
        <v>0</v>
      </c>
      <c r="K22" s="355"/>
    </row>
    <row r="23" spans="1:11" ht="20.25" customHeight="1" thickBot="1" x14ac:dyDescent="0.3">
      <c r="A23" s="528" t="s">
        <v>134</v>
      </c>
      <c r="B23" s="531">
        <v>38100</v>
      </c>
      <c r="C23" s="357">
        <v>2019</v>
      </c>
      <c r="D23" s="532"/>
      <c r="E23" s="531">
        <v>38100</v>
      </c>
      <c r="F23" s="355"/>
      <c r="G23" s="531">
        <v>0</v>
      </c>
      <c r="H23" s="357">
        <v>2019</v>
      </c>
      <c r="I23" s="532"/>
      <c r="J23" s="531">
        <v>0</v>
      </c>
      <c r="K23" s="355"/>
    </row>
    <row r="24" spans="1:11" ht="20.25" customHeight="1" thickBot="1" x14ac:dyDescent="0.3">
      <c r="A24" s="528" t="s">
        <v>135</v>
      </c>
      <c r="B24" s="531">
        <v>114300</v>
      </c>
      <c r="C24" s="357">
        <v>2019</v>
      </c>
      <c r="D24" s="532"/>
      <c r="E24" s="531">
        <v>114300</v>
      </c>
      <c r="F24" s="355"/>
      <c r="G24" s="531">
        <v>92104</v>
      </c>
      <c r="H24" s="357">
        <v>2019</v>
      </c>
      <c r="I24" s="532"/>
      <c r="J24" s="531">
        <v>92104</v>
      </c>
      <c r="K24" s="355"/>
    </row>
    <row r="25" spans="1:11" ht="20.25" customHeight="1" thickBot="1" x14ac:dyDescent="0.3">
      <c r="A25" s="528" t="s">
        <v>136</v>
      </c>
      <c r="B25" s="531">
        <v>177800</v>
      </c>
      <c r="C25" s="357">
        <v>2019</v>
      </c>
      <c r="D25" s="532"/>
      <c r="E25" s="531">
        <v>177800</v>
      </c>
      <c r="F25" s="355"/>
      <c r="G25" s="531">
        <v>142240</v>
      </c>
      <c r="H25" s="357">
        <v>2019</v>
      </c>
      <c r="I25" s="532"/>
      <c r="J25" s="531">
        <v>142240</v>
      </c>
      <c r="K25" s="355"/>
    </row>
    <row r="26" spans="1:11" ht="20.25" customHeight="1" thickBot="1" x14ac:dyDescent="0.3">
      <c r="A26" s="533" t="s">
        <v>137</v>
      </c>
      <c r="B26" s="534">
        <v>152400</v>
      </c>
      <c r="C26" s="357">
        <v>2019</v>
      </c>
      <c r="D26" s="535"/>
      <c r="E26" s="534">
        <v>152400</v>
      </c>
      <c r="F26" s="358"/>
      <c r="G26" s="534">
        <v>0</v>
      </c>
      <c r="H26" s="357">
        <v>2019</v>
      </c>
      <c r="I26" s="535"/>
      <c r="J26" s="534">
        <v>0</v>
      </c>
      <c r="K26" s="358"/>
    </row>
    <row r="27" spans="1:11" ht="20.25" customHeight="1" thickBot="1" x14ac:dyDescent="0.3">
      <c r="A27" s="363" t="s">
        <v>625</v>
      </c>
      <c r="B27" s="279">
        <f>B16+B17+B18+B19+B21+B20+B22+B23+B24+B25+B26</f>
        <v>890700</v>
      </c>
      <c r="C27" s="279"/>
      <c r="D27" s="48">
        <f>D16+D17+D18+D19+D21+D20+D22+D23+D24+D25+D26</f>
        <v>0</v>
      </c>
      <c r="E27" s="48">
        <f>E16+E17+E18+E19+E21+E20+E22+E23+E24+E25+E26</f>
        <v>890700</v>
      </c>
      <c r="F27" s="281"/>
      <c r="G27" s="48">
        <f>G16+G17+G18+G19+G21+G20+G22+G23+G24+G25+G26</f>
        <v>234344</v>
      </c>
      <c r="H27" s="279"/>
      <c r="I27" s="48">
        <f>I16+I17+I18+I19+I21+I20+I22+I23+I24+I25+I26</f>
        <v>0</v>
      </c>
      <c r="J27" s="48">
        <f>J16+J17+J18+J19+J21+J20+J22+J23+J24+J25+J26</f>
        <v>234344</v>
      </c>
      <c r="K27" s="361"/>
    </row>
    <row r="28" spans="1:11" ht="20.25" customHeight="1" thickBot="1" x14ac:dyDescent="0.3">
      <c r="A28" s="275" t="s">
        <v>623</v>
      </c>
      <c r="B28" s="280"/>
      <c r="C28" s="280"/>
      <c r="D28" s="278"/>
      <c r="E28" s="276"/>
      <c r="F28" s="282"/>
      <c r="G28" s="277">
        <v>4335</v>
      </c>
      <c r="H28" s="280">
        <v>2019</v>
      </c>
      <c r="I28" s="278"/>
      <c r="J28" s="278">
        <v>4335</v>
      </c>
      <c r="K28" s="197"/>
    </row>
    <row r="29" spans="1:11" ht="33" customHeight="1" thickBot="1" x14ac:dyDescent="0.3">
      <c r="A29" s="298" t="s">
        <v>624</v>
      </c>
      <c r="B29" s="299"/>
      <c r="C29" s="121"/>
      <c r="D29" s="300"/>
      <c r="E29" s="121"/>
      <c r="F29" s="301"/>
      <c r="G29" s="299">
        <f>G28</f>
        <v>4335</v>
      </c>
      <c r="H29" s="121"/>
      <c r="I29" s="300"/>
      <c r="J29" s="302">
        <f>J28</f>
        <v>4335</v>
      </c>
      <c r="K29" s="197"/>
    </row>
    <row r="30" spans="1:11" ht="33" customHeight="1" thickBot="1" x14ac:dyDescent="0.3">
      <c r="A30" s="363" t="s">
        <v>682</v>
      </c>
      <c r="B30" s="304"/>
      <c r="C30" s="305"/>
      <c r="D30" s="48"/>
      <c r="E30" s="305"/>
      <c r="F30" s="306"/>
      <c r="G30" s="304">
        <f>G27+G29</f>
        <v>238679</v>
      </c>
      <c r="H30" s="305"/>
      <c r="I30" s="48"/>
      <c r="J30" s="304">
        <f>J27+J29</f>
        <v>238679</v>
      </c>
      <c r="K30" s="361"/>
    </row>
    <row r="31" spans="1:11" ht="20.25" customHeight="1" thickBot="1" x14ac:dyDescent="0.3">
      <c r="A31" s="536" t="s">
        <v>138</v>
      </c>
      <c r="B31" s="530">
        <v>63500</v>
      </c>
      <c r="C31" s="303">
        <v>2019</v>
      </c>
      <c r="D31" s="537"/>
      <c r="E31" s="538">
        <v>63500</v>
      </c>
      <c r="F31" s="362"/>
      <c r="G31" s="530">
        <v>0</v>
      </c>
      <c r="H31" s="303">
        <v>2019</v>
      </c>
      <c r="I31" s="537"/>
      <c r="J31" s="538">
        <v>0</v>
      </c>
      <c r="K31" s="362"/>
    </row>
    <row r="32" spans="1:11" ht="20.25" customHeight="1" thickBot="1" x14ac:dyDescent="0.3">
      <c r="A32" s="528" t="s">
        <v>139</v>
      </c>
      <c r="B32" s="532">
        <v>25400</v>
      </c>
      <c r="C32" s="357">
        <v>2019</v>
      </c>
      <c r="D32" s="539"/>
      <c r="E32" s="540">
        <v>25400</v>
      </c>
      <c r="F32" s="355"/>
      <c r="G32" s="532">
        <v>0</v>
      </c>
      <c r="H32" s="357">
        <v>2019</v>
      </c>
      <c r="I32" s="539"/>
      <c r="J32" s="540">
        <v>0</v>
      </c>
      <c r="K32" s="355"/>
    </row>
    <row r="33" spans="1:11" ht="20.25" customHeight="1" thickBot="1" x14ac:dyDescent="0.3">
      <c r="A33" s="528" t="s">
        <v>130</v>
      </c>
      <c r="B33" s="532">
        <v>15240</v>
      </c>
      <c r="C33" s="357">
        <v>2019</v>
      </c>
      <c r="D33" s="539"/>
      <c r="E33" s="540">
        <v>15240</v>
      </c>
      <c r="F33" s="355"/>
      <c r="G33" s="532">
        <v>0</v>
      </c>
      <c r="H33" s="357">
        <v>2019</v>
      </c>
      <c r="I33" s="539"/>
      <c r="J33" s="540">
        <v>0</v>
      </c>
      <c r="K33" s="355"/>
    </row>
    <row r="34" spans="1:11" ht="20.25" customHeight="1" thickBot="1" x14ac:dyDescent="0.3">
      <c r="A34" s="528" t="s">
        <v>140</v>
      </c>
      <c r="B34" s="532">
        <v>63500</v>
      </c>
      <c r="C34" s="357">
        <v>2019</v>
      </c>
      <c r="D34" s="539"/>
      <c r="E34" s="540">
        <v>63500</v>
      </c>
      <c r="F34" s="355"/>
      <c r="G34" s="532">
        <v>0</v>
      </c>
      <c r="H34" s="357">
        <v>2019</v>
      </c>
      <c r="I34" s="539"/>
      <c r="J34" s="540">
        <v>0</v>
      </c>
      <c r="K34" s="355"/>
    </row>
    <row r="35" spans="1:11" ht="20.25" customHeight="1" thickBot="1" x14ac:dyDescent="0.3">
      <c r="A35" s="363" t="s">
        <v>141</v>
      </c>
      <c r="B35" s="48">
        <f>B31+B32+B33+B34</f>
        <v>167640</v>
      </c>
      <c r="C35" s="48"/>
      <c r="D35" s="48">
        <f t="shared" ref="D35:E35" si="3">D31+D32+D33+D34</f>
        <v>0</v>
      </c>
      <c r="E35" s="48">
        <f t="shared" si="3"/>
        <v>167640</v>
      </c>
      <c r="F35" s="361"/>
      <c r="G35" s="48">
        <f>G31+G32+G33+G34</f>
        <v>0</v>
      </c>
      <c r="H35" s="48"/>
      <c r="I35" s="48">
        <f t="shared" ref="I35:J35" si="4">I31+I32+I33+I34</f>
        <v>0</v>
      </c>
      <c r="J35" s="48">
        <f t="shared" si="4"/>
        <v>0</v>
      </c>
      <c r="K35" s="361"/>
    </row>
    <row r="36" spans="1:11" ht="20.25" customHeight="1" x14ac:dyDescent="0.25">
      <c r="A36" s="481"/>
      <c r="B36" s="121"/>
      <c r="C36" s="121"/>
      <c r="D36" s="121"/>
      <c r="E36" s="121"/>
      <c r="F36" s="482"/>
      <c r="K36" s="541"/>
    </row>
    <row r="37" spans="1:11" ht="20.25" customHeight="1" x14ac:dyDescent="0.25">
      <c r="A37" s="589" t="s">
        <v>518</v>
      </c>
      <c r="B37" s="589"/>
      <c r="C37" s="589"/>
      <c r="D37" s="589"/>
      <c r="E37" s="589"/>
      <c r="K37" s="541"/>
    </row>
    <row r="38" spans="1:11" ht="20.25" customHeight="1" x14ac:dyDescent="0.25">
      <c r="A38" s="589" t="s">
        <v>1</v>
      </c>
      <c r="B38" s="590"/>
      <c r="C38" s="590"/>
      <c r="D38" s="590"/>
      <c r="E38" s="590"/>
      <c r="F38" s="368" t="s">
        <v>121</v>
      </c>
      <c r="K38" s="541"/>
    </row>
    <row r="39" spans="1:11" ht="20.25" customHeight="1" thickBot="1" x14ac:dyDescent="0.3">
      <c r="A39" s="589" t="s">
        <v>122</v>
      </c>
      <c r="B39" s="590"/>
      <c r="C39" s="590"/>
      <c r="D39" s="590"/>
      <c r="E39" s="590"/>
      <c r="F39" s="342" t="s">
        <v>123</v>
      </c>
      <c r="K39" s="541"/>
    </row>
    <row r="40" spans="1:11" ht="48.75" thickBot="1" x14ac:dyDescent="0.3">
      <c r="A40" s="343" t="s">
        <v>124</v>
      </c>
      <c r="B40" s="344" t="s">
        <v>125</v>
      </c>
      <c r="C40" s="344" t="s">
        <v>126</v>
      </c>
      <c r="D40" s="344" t="s">
        <v>374</v>
      </c>
      <c r="E40" s="483" t="s">
        <v>375</v>
      </c>
      <c r="F40" s="485" t="s">
        <v>376</v>
      </c>
      <c r="G40" s="344" t="s">
        <v>521</v>
      </c>
      <c r="H40" s="344" t="s">
        <v>126</v>
      </c>
      <c r="I40" s="344" t="s">
        <v>374</v>
      </c>
      <c r="J40" s="483" t="s">
        <v>517</v>
      </c>
      <c r="K40" s="485" t="s">
        <v>376</v>
      </c>
    </row>
    <row r="41" spans="1:11" ht="15.75" customHeight="1" thickBot="1" x14ac:dyDescent="0.3">
      <c r="A41" s="528" t="s">
        <v>142</v>
      </c>
      <c r="B41" s="532">
        <v>355600</v>
      </c>
      <c r="C41" s="542">
        <v>2019</v>
      </c>
      <c r="D41" s="539"/>
      <c r="E41" s="543">
        <v>355600</v>
      </c>
      <c r="F41" s="487">
        <v>0</v>
      </c>
      <c r="G41" s="532">
        <v>0</v>
      </c>
      <c r="H41" s="542">
        <v>2019</v>
      </c>
      <c r="I41" s="539"/>
      <c r="J41" s="543">
        <v>0</v>
      </c>
      <c r="K41" s="487">
        <v>0</v>
      </c>
    </row>
    <row r="42" spans="1:11" ht="20.25" customHeight="1" thickBot="1" x14ac:dyDescent="0.3">
      <c r="A42" s="536" t="s">
        <v>381</v>
      </c>
      <c r="B42" s="530">
        <v>19050</v>
      </c>
      <c r="C42" s="542">
        <v>2019</v>
      </c>
      <c r="D42" s="537"/>
      <c r="E42" s="544">
        <v>19050</v>
      </c>
      <c r="F42" s="488"/>
      <c r="G42" s="530">
        <v>15041</v>
      </c>
      <c r="H42" s="542">
        <v>2019</v>
      </c>
      <c r="I42" s="537"/>
      <c r="J42" s="544">
        <v>15041</v>
      </c>
      <c r="K42" s="488"/>
    </row>
    <row r="43" spans="1:11" ht="20.25" customHeight="1" thickBot="1" x14ac:dyDescent="0.3">
      <c r="A43" s="528" t="s">
        <v>382</v>
      </c>
      <c r="B43" s="532">
        <v>38100</v>
      </c>
      <c r="C43" s="542">
        <v>2019</v>
      </c>
      <c r="D43" s="539"/>
      <c r="E43" s="543">
        <v>38100</v>
      </c>
      <c r="F43" s="489"/>
      <c r="G43" s="532">
        <v>20130</v>
      </c>
      <c r="H43" s="542">
        <v>2019</v>
      </c>
      <c r="I43" s="539"/>
      <c r="J43" s="543">
        <v>20130</v>
      </c>
      <c r="K43" s="489"/>
    </row>
    <row r="44" spans="1:11" ht="20.25" customHeight="1" thickBot="1" x14ac:dyDescent="0.3">
      <c r="A44" s="528" t="s">
        <v>383</v>
      </c>
      <c r="B44" s="532">
        <v>12700</v>
      </c>
      <c r="C44" s="542">
        <v>2019</v>
      </c>
      <c r="D44" s="539"/>
      <c r="E44" s="543">
        <v>12700</v>
      </c>
      <c r="F44" s="489"/>
      <c r="G44" s="532">
        <v>2190</v>
      </c>
      <c r="H44" s="542">
        <v>2019</v>
      </c>
      <c r="I44" s="539"/>
      <c r="J44" s="543">
        <v>2190</v>
      </c>
      <c r="K44" s="489"/>
    </row>
    <row r="45" spans="1:11" ht="20.25" customHeight="1" thickBot="1" x14ac:dyDescent="0.3">
      <c r="A45" s="528" t="s">
        <v>384</v>
      </c>
      <c r="B45" s="532">
        <v>38100</v>
      </c>
      <c r="C45" s="542">
        <v>2019</v>
      </c>
      <c r="D45" s="539"/>
      <c r="E45" s="543">
        <v>38100</v>
      </c>
      <c r="F45" s="489"/>
      <c r="G45" s="532">
        <v>12660</v>
      </c>
      <c r="H45" s="542">
        <v>2019</v>
      </c>
      <c r="I45" s="539"/>
      <c r="J45" s="543">
        <v>12660</v>
      </c>
      <c r="K45" s="489"/>
    </row>
    <row r="46" spans="1:11" ht="20.25" customHeight="1" thickBot="1" x14ac:dyDescent="0.3">
      <c r="A46" s="528" t="s">
        <v>385</v>
      </c>
      <c r="B46" s="532">
        <v>254000</v>
      </c>
      <c r="C46" s="542">
        <v>2019</v>
      </c>
      <c r="D46" s="539"/>
      <c r="E46" s="543">
        <v>254000</v>
      </c>
      <c r="F46" s="489"/>
      <c r="G46" s="532">
        <v>0</v>
      </c>
      <c r="H46" s="542">
        <v>2019</v>
      </c>
      <c r="I46" s="539"/>
      <c r="J46" s="543">
        <v>0</v>
      </c>
      <c r="K46" s="489"/>
    </row>
    <row r="47" spans="1:11" ht="20.25" customHeight="1" thickBot="1" x14ac:dyDescent="0.3">
      <c r="A47" s="528" t="s">
        <v>386</v>
      </c>
      <c r="B47" s="532">
        <v>38100</v>
      </c>
      <c r="C47" s="542">
        <v>2019</v>
      </c>
      <c r="D47" s="539"/>
      <c r="E47" s="543">
        <v>38100</v>
      </c>
      <c r="F47" s="489"/>
      <c r="G47" s="532">
        <v>2990</v>
      </c>
      <c r="H47" s="542">
        <v>2019</v>
      </c>
      <c r="I47" s="539"/>
      <c r="J47" s="543">
        <v>2990</v>
      </c>
      <c r="K47" s="489"/>
    </row>
    <row r="48" spans="1:11" ht="20.25" customHeight="1" thickBot="1" x14ac:dyDescent="0.3">
      <c r="A48" s="528" t="s">
        <v>387</v>
      </c>
      <c r="B48" s="532">
        <v>127000</v>
      </c>
      <c r="C48" s="542">
        <v>2019</v>
      </c>
      <c r="D48" s="539"/>
      <c r="E48" s="543">
        <v>127000</v>
      </c>
      <c r="F48" s="490"/>
      <c r="G48" s="532">
        <v>61990</v>
      </c>
      <c r="H48" s="542">
        <v>2019</v>
      </c>
      <c r="I48" s="539"/>
      <c r="J48" s="543">
        <v>61990</v>
      </c>
      <c r="K48" s="490"/>
    </row>
    <row r="49" spans="1:11" ht="20.25" customHeight="1" thickBot="1" x14ac:dyDescent="0.3">
      <c r="A49" s="528" t="s">
        <v>627</v>
      </c>
      <c r="B49" s="532"/>
      <c r="C49" s="542"/>
      <c r="D49" s="539"/>
      <c r="E49" s="543"/>
      <c r="F49" s="490"/>
      <c r="G49" s="532">
        <v>52500</v>
      </c>
      <c r="H49" s="542">
        <v>2019</v>
      </c>
      <c r="I49" s="539"/>
      <c r="J49" s="543">
        <v>52500</v>
      </c>
      <c r="K49" s="490"/>
    </row>
    <row r="50" spans="1:11" ht="20.25" customHeight="1" thickBot="1" x14ac:dyDescent="0.3">
      <c r="A50" s="528" t="s">
        <v>628</v>
      </c>
      <c r="B50" s="535"/>
      <c r="C50" s="542"/>
      <c r="D50" s="539"/>
      <c r="E50" s="543"/>
      <c r="F50" s="490"/>
      <c r="G50" s="535">
        <v>17998</v>
      </c>
      <c r="H50" s="542">
        <v>2019</v>
      </c>
      <c r="I50" s="539"/>
      <c r="J50" s="543">
        <v>17998</v>
      </c>
      <c r="K50" s="490"/>
    </row>
    <row r="51" spans="1:11" ht="20.25" customHeight="1" thickBot="1" x14ac:dyDescent="0.3">
      <c r="A51" s="528" t="s">
        <v>629</v>
      </c>
      <c r="B51" s="545"/>
      <c r="C51" s="542"/>
      <c r="D51" s="539"/>
      <c r="E51" s="542"/>
      <c r="F51" s="285"/>
      <c r="G51" s="545">
        <v>11700</v>
      </c>
      <c r="H51" s="542">
        <v>2019</v>
      </c>
      <c r="I51" s="539"/>
      <c r="J51" s="542">
        <v>11700</v>
      </c>
      <c r="K51" s="199"/>
    </row>
    <row r="52" spans="1:11" ht="20.25" customHeight="1" thickBot="1" x14ac:dyDescent="0.3">
      <c r="A52" s="533" t="s">
        <v>630</v>
      </c>
      <c r="B52" s="546"/>
      <c r="C52" s="547"/>
      <c r="D52" s="548"/>
      <c r="E52" s="547"/>
      <c r="F52" s="490"/>
      <c r="G52" s="549">
        <v>19980</v>
      </c>
      <c r="H52" s="547">
        <v>2019</v>
      </c>
      <c r="I52" s="548"/>
      <c r="J52" s="547">
        <v>19980</v>
      </c>
      <c r="K52" s="199"/>
    </row>
    <row r="53" spans="1:11" ht="20.25" customHeight="1" thickBot="1" x14ac:dyDescent="0.3">
      <c r="A53" s="528" t="s">
        <v>662</v>
      </c>
      <c r="B53" s="532"/>
      <c r="C53" s="542"/>
      <c r="D53" s="539"/>
      <c r="E53" s="542"/>
      <c r="F53" s="487"/>
      <c r="G53" s="550">
        <v>25654</v>
      </c>
      <c r="H53" s="542">
        <v>2019</v>
      </c>
      <c r="I53" s="539"/>
      <c r="J53" s="550">
        <v>25654</v>
      </c>
      <c r="K53" s="487"/>
    </row>
    <row r="54" spans="1:11" ht="20.25" customHeight="1" thickBot="1" x14ac:dyDescent="0.3">
      <c r="A54" s="536" t="s">
        <v>851</v>
      </c>
      <c r="B54" s="587"/>
      <c r="C54" s="588"/>
      <c r="D54" s="537"/>
      <c r="E54" s="549"/>
      <c r="F54" s="199"/>
      <c r="G54" s="556">
        <v>55000</v>
      </c>
      <c r="H54" s="588">
        <v>2019</v>
      </c>
      <c r="I54" s="537"/>
      <c r="J54" s="550">
        <f>G54</f>
        <v>55000</v>
      </c>
      <c r="K54" s="199"/>
    </row>
    <row r="55" spans="1:11" ht="20.25" customHeight="1" thickBot="1" x14ac:dyDescent="0.3">
      <c r="A55" s="536" t="s">
        <v>852</v>
      </c>
      <c r="B55" s="587"/>
      <c r="C55" s="588"/>
      <c r="D55" s="537"/>
      <c r="E55" s="549"/>
      <c r="F55" s="199"/>
      <c r="G55" s="556">
        <v>55600</v>
      </c>
      <c r="H55" s="588">
        <v>2019</v>
      </c>
      <c r="I55" s="537"/>
      <c r="J55" s="550">
        <f t="shared" ref="J55:J56" si="5">G55</f>
        <v>55600</v>
      </c>
      <c r="K55" s="199"/>
    </row>
    <row r="56" spans="1:11" ht="20.25" customHeight="1" thickBot="1" x14ac:dyDescent="0.3">
      <c r="A56" s="536" t="s">
        <v>853</v>
      </c>
      <c r="B56" s="587"/>
      <c r="C56" s="588"/>
      <c r="D56" s="537"/>
      <c r="E56" s="549"/>
      <c r="F56" s="199"/>
      <c r="G56" s="556">
        <v>47900</v>
      </c>
      <c r="H56" s="549">
        <v>2019</v>
      </c>
      <c r="I56" s="549"/>
      <c r="J56" s="550">
        <f t="shared" si="5"/>
        <v>47900</v>
      </c>
      <c r="K56" s="199"/>
    </row>
    <row r="57" spans="1:11" s="554" customFormat="1" ht="36.75" customHeight="1" thickBot="1" x14ac:dyDescent="0.35">
      <c r="A57" s="274" t="s">
        <v>631</v>
      </c>
      <c r="B57" s="551">
        <f>SUM(B41:B52)</f>
        <v>882650</v>
      </c>
      <c r="C57" s="552">
        <v>2019</v>
      </c>
      <c r="D57" s="553"/>
      <c r="E57" s="551">
        <f>SUM(E41:E52)</f>
        <v>882650</v>
      </c>
      <c r="F57" s="284"/>
      <c r="G57" s="551">
        <f>SUM(G41:G56)</f>
        <v>401333</v>
      </c>
      <c r="H57" s="551"/>
      <c r="I57" s="551">
        <f t="shared" ref="I57:J57" si="6">SUM(I41:I56)</f>
        <v>0</v>
      </c>
      <c r="J57" s="551">
        <f t="shared" si="6"/>
        <v>401333</v>
      </c>
      <c r="K57" s="284"/>
    </row>
    <row r="58" spans="1:11" ht="20.25" customHeight="1" thickBot="1" x14ac:dyDescent="0.3">
      <c r="A58" s="528" t="s">
        <v>523</v>
      </c>
      <c r="B58" s="532"/>
      <c r="C58" s="542"/>
      <c r="D58" s="539"/>
      <c r="E58" s="543"/>
      <c r="F58" s="490"/>
      <c r="G58" s="532">
        <v>28900</v>
      </c>
      <c r="H58" s="542">
        <v>2019</v>
      </c>
      <c r="I58" s="539"/>
      <c r="J58" s="543">
        <v>28900</v>
      </c>
      <c r="K58" s="490"/>
    </row>
    <row r="59" spans="1:11" ht="20.25" customHeight="1" thickBot="1" x14ac:dyDescent="0.3">
      <c r="A59" s="528" t="s">
        <v>522</v>
      </c>
      <c r="B59" s="535"/>
      <c r="C59" s="542"/>
      <c r="D59" s="539"/>
      <c r="E59" s="543"/>
      <c r="F59" s="490"/>
      <c r="G59" s="535">
        <v>15980</v>
      </c>
      <c r="H59" s="542">
        <v>2019</v>
      </c>
      <c r="I59" s="539"/>
      <c r="J59" s="543">
        <v>15980</v>
      </c>
      <c r="K59" s="490"/>
    </row>
    <row r="60" spans="1:11" ht="20.25" customHeight="1" thickBot="1" x14ac:dyDescent="0.3">
      <c r="A60" s="533" t="s">
        <v>626</v>
      </c>
      <c r="B60" s="545"/>
      <c r="C60" s="542"/>
      <c r="D60" s="539"/>
      <c r="E60" s="542"/>
      <c r="F60" s="490"/>
      <c r="G60" s="545">
        <v>11043</v>
      </c>
      <c r="H60" s="542">
        <v>2019</v>
      </c>
      <c r="I60" s="539"/>
      <c r="J60" s="542">
        <v>11043</v>
      </c>
      <c r="K60" s="199"/>
    </row>
    <row r="61" spans="1:11" ht="20.25" customHeight="1" thickBot="1" x14ac:dyDescent="0.3">
      <c r="A61" s="533" t="s">
        <v>633</v>
      </c>
      <c r="B61" s="546"/>
      <c r="C61" s="547"/>
      <c r="D61" s="548"/>
      <c r="E61" s="549"/>
      <c r="F61" s="490"/>
      <c r="G61" s="555">
        <v>5806</v>
      </c>
      <c r="H61" s="547">
        <v>2019</v>
      </c>
      <c r="I61" s="548"/>
      <c r="J61" s="556">
        <v>5806</v>
      </c>
      <c r="K61" s="199"/>
    </row>
    <row r="62" spans="1:11" s="554" customFormat="1" ht="39" customHeight="1" thickBot="1" x14ac:dyDescent="0.35">
      <c r="A62" s="293" t="s">
        <v>632</v>
      </c>
      <c r="B62" s="557">
        <f>B58+B59+B60+B61</f>
        <v>0</v>
      </c>
      <c r="C62" s="558">
        <v>2019</v>
      </c>
      <c r="D62" s="559"/>
      <c r="E62" s="557">
        <f>E58+E59+E60+E61</f>
        <v>0</v>
      </c>
      <c r="F62" s="294"/>
      <c r="G62" s="557">
        <f>G58+G59+G60+G61</f>
        <v>61729</v>
      </c>
      <c r="H62" s="558">
        <v>2019</v>
      </c>
      <c r="I62" s="559"/>
      <c r="J62" s="557">
        <f>J58+J59+J60+J61</f>
        <v>61729</v>
      </c>
      <c r="K62" s="294"/>
    </row>
    <row r="63" spans="1:11" s="560" customFormat="1" ht="20.25" customHeight="1" thickBot="1" x14ac:dyDescent="0.3">
      <c r="A63" s="269" t="s">
        <v>143</v>
      </c>
      <c r="B63" s="272">
        <f>B57+B62</f>
        <v>882650</v>
      </c>
      <c r="C63" s="272"/>
      <c r="D63" s="272">
        <f>SUM(D41:D50)</f>
        <v>0</v>
      </c>
      <c r="E63" s="272">
        <f>E57+E62</f>
        <v>882650</v>
      </c>
      <c r="F63" s="292"/>
      <c r="G63" s="272">
        <f>G57+G62</f>
        <v>463062</v>
      </c>
      <c r="H63" s="272"/>
      <c r="I63" s="272">
        <f>SUM(I41:I50)</f>
        <v>0</v>
      </c>
      <c r="J63" s="272">
        <f>J57+J62</f>
        <v>463062</v>
      </c>
      <c r="K63" s="292"/>
    </row>
    <row r="64" spans="1:11" s="560" customFormat="1" ht="20.25" customHeight="1" thickBot="1" x14ac:dyDescent="0.3">
      <c r="A64" s="287" t="s">
        <v>683</v>
      </c>
      <c r="B64" s="288">
        <f>B63+B35+B27</f>
        <v>1940990</v>
      </c>
      <c r="C64" s="288"/>
      <c r="D64" s="288"/>
      <c r="E64" s="288">
        <f>E63+E35+E27</f>
        <v>1940990</v>
      </c>
      <c r="F64" s="289"/>
      <c r="G64" s="288">
        <f>G63+G30+G35</f>
        <v>701741</v>
      </c>
      <c r="H64" s="288"/>
      <c r="I64" s="288"/>
      <c r="J64" s="288">
        <f>J63+J30+J35</f>
        <v>701741</v>
      </c>
      <c r="K64" s="289"/>
    </row>
    <row r="65" spans="1:11" ht="19.5" customHeight="1" thickBot="1" x14ac:dyDescent="0.3">
      <c r="A65" s="130" t="s">
        <v>674</v>
      </c>
      <c r="B65" s="88"/>
      <c r="C65" s="198"/>
      <c r="D65" s="122"/>
      <c r="E65" s="127"/>
      <c r="F65" s="199"/>
      <c r="G65" s="88">
        <v>225000</v>
      </c>
      <c r="H65" s="198">
        <v>2019</v>
      </c>
      <c r="I65" s="122"/>
      <c r="J65" s="127">
        <v>225000</v>
      </c>
      <c r="K65" s="199"/>
    </row>
    <row r="66" spans="1:11" s="220" customFormat="1" ht="19.5" customHeight="1" thickBot="1" x14ac:dyDescent="0.3">
      <c r="A66" s="123" t="s">
        <v>675</v>
      </c>
      <c r="B66" s="124"/>
      <c r="C66" s="290"/>
      <c r="D66" s="125"/>
      <c r="E66" s="131"/>
      <c r="F66" s="291"/>
      <c r="G66" s="124">
        <f>G65</f>
        <v>225000</v>
      </c>
      <c r="H66" s="290"/>
      <c r="I66" s="125"/>
      <c r="J66" s="124">
        <f>J65</f>
        <v>225000</v>
      </c>
      <c r="K66" s="291"/>
    </row>
    <row r="67" spans="1:11" ht="57" customHeight="1" x14ac:dyDescent="0.25">
      <c r="A67" s="492" t="s">
        <v>646</v>
      </c>
      <c r="B67" s="561">
        <v>198182422</v>
      </c>
      <c r="C67" s="493">
        <v>2019</v>
      </c>
      <c r="D67" s="417"/>
      <c r="E67" s="562">
        <v>198182422</v>
      </c>
      <c r="F67" s="488"/>
      <c r="G67" s="561">
        <v>196327922</v>
      </c>
      <c r="H67" s="493">
        <v>2019</v>
      </c>
      <c r="I67" s="417"/>
      <c r="J67" s="561">
        <v>196327922</v>
      </c>
      <c r="K67" s="488"/>
    </row>
    <row r="68" spans="1:11" ht="57" customHeight="1" thickBot="1" x14ac:dyDescent="0.3">
      <c r="A68" s="492" t="s">
        <v>676</v>
      </c>
      <c r="B68" s="561"/>
      <c r="C68" s="493"/>
      <c r="D68" s="417"/>
      <c r="E68" s="562"/>
      <c r="F68" s="488"/>
      <c r="G68" s="561">
        <v>497840</v>
      </c>
      <c r="H68" s="493"/>
      <c r="I68" s="417"/>
      <c r="J68" s="562">
        <v>497840</v>
      </c>
      <c r="K68" s="488"/>
    </row>
    <row r="69" spans="1:11" ht="19.5" customHeight="1" thickBot="1" x14ac:dyDescent="0.3">
      <c r="A69" s="563" t="s">
        <v>677</v>
      </c>
      <c r="B69" s="88">
        <v>152463696</v>
      </c>
      <c r="C69" s="364">
        <v>2019</v>
      </c>
      <c r="D69" s="564"/>
      <c r="E69" s="127">
        <v>152463696</v>
      </c>
      <c r="F69" s="489"/>
      <c r="G69" s="88">
        <v>0</v>
      </c>
      <c r="H69" s="364">
        <v>2019</v>
      </c>
      <c r="I69" s="564"/>
      <c r="J69" s="127">
        <v>0</v>
      </c>
      <c r="K69" s="489"/>
    </row>
    <row r="70" spans="1:11" ht="19.5" customHeight="1" thickBot="1" x14ac:dyDescent="0.3">
      <c r="A70" s="130" t="s">
        <v>678</v>
      </c>
      <c r="B70" s="88">
        <v>37709870</v>
      </c>
      <c r="C70" s="494">
        <v>2019</v>
      </c>
      <c r="D70" s="122"/>
      <c r="E70" s="127">
        <v>37709870</v>
      </c>
      <c r="F70" s="490"/>
      <c r="G70" s="88">
        <v>37669870</v>
      </c>
      <c r="H70" s="494">
        <v>2019</v>
      </c>
      <c r="I70" s="122"/>
      <c r="J70" s="127">
        <v>37669870</v>
      </c>
      <c r="K70" s="490"/>
    </row>
    <row r="71" spans="1:11" ht="19.5" customHeight="1" thickBot="1" x14ac:dyDescent="0.3">
      <c r="A71" s="123" t="s">
        <v>679</v>
      </c>
      <c r="B71" s="124">
        <f>B67+B68+B69+B70</f>
        <v>388355988</v>
      </c>
      <c r="C71" s="124"/>
      <c r="D71" s="124">
        <f t="shared" ref="D71:K71" si="7">D67+D68+D69+D70</f>
        <v>0</v>
      </c>
      <c r="E71" s="124">
        <f t="shared" si="7"/>
        <v>388355988</v>
      </c>
      <c r="F71" s="124">
        <f t="shared" si="7"/>
        <v>0</v>
      </c>
      <c r="G71" s="124">
        <f t="shared" si="7"/>
        <v>234495632</v>
      </c>
      <c r="H71" s="124"/>
      <c r="I71" s="124">
        <f t="shared" si="7"/>
        <v>0</v>
      </c>
      <c r="J71" s="124">
        <f t="shared" si="7"/>
        <v>234495632</v>
      </c>
      <c r="K71" s="565">
        <f t="shared" si="7"/>
        <v>0</v>
      </c>
    </row>
    <row r="72" spans="1:11" ht="19.5" customHeight="1" thickBot="1" x14ac:dyDescent="0.3">
      <c r="A72" s="130" t="s">
        <v>680</v>
      </c>
      <c r="B72" s="566"/>
      <c r="C72" s="567"/>
      <c r="D72" s="566"/>
      <c r="E72" s="126"/>
      <c r="F72" s="513"/>
      <c r="G72" s="566">
        <v>2470169</v>
      </c>
      <c r="H72" s="567"/>
      <c r="I72" s="566"/>
      <c r="J72" s="566">
        <v>2470169</v>
      </c>
      <c r="K72" s="513"/>
    </row>
    <row r="73" spans="1:11" ht="19.5" customHeight="1" thickBot="1" x14ac:dyDescent="0.3">
      <c r="A73" s="130" t="s">
        <v>524</v>
      </c>
      <c r="B73" s="88"/>
      <c r="C73" s="198"/>
      <c r="D73" s="122"/>
      <c r="E73" s="127"/>
      <c r="F73" s="199"/>
      <c r="G73" s="88">
        <v>14803</v>
      </c>
      <c r="H73" s="198">
        <v>2019</v>
      </c>
      <c r="I73" s="122"/>
      <c r="J73" s="88">
        <v>14803</v>
      </c>
      <c r="K73" s="199"/>
    </row>
    <row r="74" spans="1:11" ht="19.5" customHeight="1" thickBot="1" x14ac:dyDescent="0.3">
      <c r="A74" s="130" t="s">
        <v>657</v>
      </c>
      <c r="B74" s="88"/>
      <c r="C74" s="198"/>
      <c r="D74" s="122"/>
      <c r="E74" s="127"/>
      <c r="F74" s="199"/>
      <c r="G74" s="88">
        <v>21400</v>
      </c>
      <c r="H74" s="198">
        <v>2019</v>
      </c>
      <c r="I74" s="122"/>
      <c r="J74" s="88">
        <v>21400</v>
      </c>
      <c r="K74" s="199"/>
    </row>
    <row r="75" spans="1:11" ht="19.5" customHeight="1" thickBot="1" x14ac:dyDescent="0.3">
      <c r="A75" s="130" t="s">
        <v>658</v>
      </c>
      <c r="B75" s="88"/>
      <c r="C75" s="198"/>
      <c r="D75" s="122"/>
      <c r="E75" s="127"/>
      <c r="F75" s="199"/>
      <c r="G75" s="88">
        <v>21300</v>
      </c>
      <c r="H75" s="198">
        <v>2019</v>
      </c>
      <c r="I75" s="122"/>
      <c r="J75" s="88">
        <v>21300</v>
      </c>
      <c r="K75" s="199"/>
    </row>
    <row r="76" spans="1:11" ht="19.5" customHeight="1" thickBot="1" x14ac:dyDescent="0.3">
      <c r="A76" s="130" t="s">
        <v>659</v>
      </c>
      <c r="B76" s="88"/>
      <c r="C76" s="198"/>
      <c r="D76" s="122"/>
      <c r="E76" s="127"/>
      <c r="F76" s="199"/>
      <c r="G76" s="88">
        <v>1200</v>
      </c>
      <c r="H76" s="198">
        <v>2019</v>
      </c>
      <c r="I76" s="122"/>
      <c r="J76" s="88">
        <v>1200</v>
      </c>
      <c r="K76" s="199"/>
    </row>
    <row r="77" spans="1:11" ht="19.5" customHeight="1" thickBot="1" x14ac:dyDescent="0.3">
      <c r="A77" s="123" t="s">
        <v>681</v>
      </c>
      <c r="B77" s="124"/>
      <c r="C77" s="568"/>
      <c r="D77" s="124"/>
      <c r="E77" s="131"/>
      <c r="F77" s="569"/>
      <c r="G77" s="124">
        <f>G72+G73+G74+G75+G76</f>
        <v>2528872</v>
      </c>
      <c r="H77" s="198">
        <v>2019</v>
      </c>
      <c r="I77" s="124"/>
      <c r="J77" s="124">
        <f>J72+J73+J74+J75+J76</f>
        <v>2528872</v>
      </c>
      <c r="K77" s="570"/>
    </row>
    <row r="78" spans="1:11" ht="19.5" customHeight="1" thickBot="1" x14ac:dyDescent="0.3">
      <c r="A78" s="130" t="s">
        <v>661</v>
      </c>
      <c r="B78" s="88"/>
      <c r="C78" s="198"/>
      <c r="D78" s="122"/>
      <c r="E78" s="127"/>
      <c r="F78" s="199"/>
      <c r="G78" s="88">
        <v>400000</v>
      </c>
      <c r="H78" s="198">
        <v>2019</v>
      </c>
      <c r="I78" s="122"/>
      <c r="J78" s="88">
        <v>400000</v>
      </c>
      <c r="K78" s="199"/>
    </row>
    <row r="79" spans="1:11" ht="19.5" customHeight="1" thickBot="1" x14ac:dyDescent="0.3">
      <c r="A79" s="130" t="s">
        <v>660</v>
      </c>
      <c r="B79" s="88"/>
      <c r="C79" s="198"/>
      <c r="D79" s="122"/>
      <c r="E79" s="127"/>
      <c r="F79" s="199"/>
      <c r="G79" s="88">
        <v>139700</v>
      </c>
      <c r="H79" s="198">
        <v>2019</v>
      </c>
      <c r="I79" s="122"/>
      <c r="J79" s="88">
        <v>139700</v>
      </c>
      <c r="K79" s="199"/>
    </row>
    <row r="80" spans="1:11" ht="19.5" customHeight="1" thickBot="1" x14ac:dyDescent="0.3">
      <c r="A80" s="130" t="s">
        <v>647</v>
      </c>
      <c r="B80" s="88"/>
      <c r="C80" s="198"/>
      <c r="D80" s="122"/>
      <c r="E80" s="127"/>
      <c r="F80" s="199"/>
      <c r="G80" s="88">
        <v>208930</v>
      </c>
      <c r="H80" s="198">
        <v>2019</v>
      </c>
      <c r="I80" s="122"/>
      <c r="J80" s="88">
        <v>208930</v>
      </c>
      <c r="K80" s="199"/>
    </row>
    <row r="81" spans="1:11" ht="19.5" customHeight="1" thickBot="1" x14ac:dyDescent="0.3">
      <c r="A81" s="130" t="s">
        <v>648</v>
      </c>
      <c r="B81" s="88"/>
      <c r="C81" s="198"/>
      <c r="D81" s="122"/>
      <c r="E81" s="127"/>
      <c r="F81" s="199"/>
      <c r="G81" s="88">
        <v>41529</v>
      </c>
      <c r="H81" s="198">
        <v>2019</v>
      </c>
      <c r="I81" s="122"/>
      <c r="J81" s="88">
        <v>41529</v>
      </c>
      <c r="K81" s="199"/>
    </row>
    <row r="82" spans="1:11" ht="19.5" customHeight="1" thickBot="1" x14ac:dyDescent="0.3">
      <c r="A82" s="130" t="s">
        <v>649</v>
      </c>
      <c r="B82" s="88"/>
      <c r="C82" s="198"/>
      <c r="D82" s="122"/>
      <c r="E82" s="127"/>
      <c r="F82" s="199"/>
      <c r="G82" s="88">
        <v>38910</v>
      </c>
      <c r="H82" s="198">
        <v>2019</v>
      </c>
      <c r="I82" s="122"/>
      <c r="J82" s="88">
        <v>38910</v>
      </c>
      <c r="K82" s="199"/>
    </row>
    <row r="83" spans="1:11" ht="19.5" customHeight="1" thickBot="1" x14ac:dyDescent="0.3">
      <c r="A83" s="130" t="s">
        <v>650</v>
      </c>
      <c r="B83" s="88"/>
      <c r="C83" s="198"/>
      <c r="D83" s="122"/>
      <c r="E83" s="127"/>
      <c r="F83" s="199"/>
      <c r="G83" s="88">
        <v>114200</v>
      </c>
      <c r="H83" s="198">
        <v>2019</v>
      </c>
      <c r="I83" s="122"/>
      <c r="J83" s="88">
        <v>114200</v>
      </c>
      <c r="K83" s="199"/>
    </row>
    <row r="84" spans="1:11" ht="19.5" customHeight="1" thickBot="1" x14ac:dyDescent="0.3">
      <c r="A84" s="130" t="s">
        <v>651</v>
      </c>
      <c r="B84" s="88"/>
      <c r="C84" s="198"/>
      <c r="D84" s="122"/>
      <c r="E84" s="127"/>
      <c r="F84" s="199"/>
      <c r="G84" s="88">
        <v>57150</v>
      </c>
      <c r="H84" s="198">
        <v>2019</v>
      </c>
      <c r="I84" s="122"/>
      <c r="J84" s="88">
        <v>57150</v>
      </c>
      <c r="K84" s="199"/>
    </row>
    <row r="85" spans="1:11" ht="19.5" customHeight="1" thickBot="1" x14ac:dyDescent="0.3">
      <c r="A85" s="130" t="s">
        <v>652</v>
      </c>
      <c r="B85" s="88"/>
      <c r="C85" s="198"/>
      <c r="D85" s="122"/>
      <c r="E85" s="127"/>
      <c r="F85" s="199"/>
      <c r="G85" s="88">
        <v>269900</v>
      </c>
      <c r="H85" s="198">
        <v>2019</v>
      </c>
      <c r="I85" s="122"/>
      <c r="J85" s="88">
        <v>269900</v>
      </c>
      <c r="K85" s="199"/>
    </row>
    <row r="86" spans="1:11" ht="19.5" customHeight="1" thickBot="1" x14ac:dyDescent="0.3">
      <c r="A86" s="130" t="s">
        <v>653</v>
      </c>
      <c r="B86" s="88"/>
      <c r="C86" s="198"/>
      <c r="D86" s="122"/>
      <c r="E86" s="127"/>
      <c r="F86" s="199"/>
      <c r="G86" s="88">
        <v>2086947</v>
      </c>
      <c r="H86" s="198">
        <v>2019</v>
      </c>
      <c r="I86" s="122"/>
      <c r="J86" s="88">
        <v>2086947</v>
      </c>
      <c r="K86" s="199"/>
    </row>
    <row r="87" spans="1:11" ht="19.5" customHeight="1" thickBot="1" x14ac:dyDescent="0.3">
      <c r="A87" s="130" t="s">
        <v>654</v>
      </c>
      <c r="B87" s="88"/>
      <c r="C87" s="198"/>
      <c r="D87" s="122"/>
      <c r="E87" s="127"/>
      <c r="F87" s="199"/>
      <c r="G87" s="88">
        <v>11176000</v>
      </c>
      <c r="H87" s="198">
        <v>2019</v>
      </c>
      <c r="I87" s="122"/>
      <c r="J87" s="88">
        <v>11176000</v>
      </c>
      <c r="K87" s="199"/>
    </row>
    <row r="88" spans="1:11" ht="19.5" customHeight="1" thickBot="1" x14ac:dyDescent="0.3">
      <c r="A88" s="130" t="s">
        <v>655</v>
      </c>
      <c r="B88" s="88"/>
      <c r="C88" s="198"/>
      <c r="D88" s="122"/>
      <c r="E88" s="127"/>
      <c r="F88" s="199"/>
      <c r="G88" s="88">
        <v>219757000</v>
      </c>
      <c r="H88" s="198">
        <v>2019</v>
      </c>
      <c r="I88" s="122"/>
      <c r="J88" s="88">
        <v>219757000</v>
      </c>
      <c r="K88" s="199"/>
    </row>
    <row r="89" spans="1:11" ht="19.5" customHeight="1" thickBot="1" x14ac:dyDescent="0.3">
      <c r="A89" s="130" t="s">
        <v>673</v>
      </c>
      <c r="B89" s="88"/>
      <c r="C89" s="198"/>
      <c r="D89" s="122"/>
      <c r="E89" s="127"/>
      <c r="F89" s="199"/>
      <c r="G89" s="88">
        <v>1041400</v>
      </c>
      <c r="H89" s="198">
        <v>2019</v>
      </c>
      <c r="I89" s="122"/>
      <c r="J89" s="88">
        <v>1041400</v>
      </c>
      <c r="K89" s="199"/>
    </row>
    <row r="90" spans="1:11" ht="19.5" customHeight="1" thickBot="1" x14ac:dyDescent="0.3">
      <c r="A90" s="130" t="s">
        <v>663</v>
      </c>
      <c r="B90" s="88"/>
      <c r="C90" s="198"/>
      <c r="D90" s="122"/>
      <c r="E90" s="127"/>
      <c r="F90" s="199"/>
      <c r="G90" s="88">
        <v>12600</v>
      </c>
      <c r="H90" s="198">
        <v>2019</v>
      </c>
      <c r="I90" s="122"/>
      <c r="J90" s="88">
        <v>12600</v>
      </c>
      <c r="K90" s="199"/>
    </row>
    <row r="91" spans="1:11" ht="19.5" customHeight="1" thickBot="1" x14ac:dyDescent="0.3">
      <c r="A91" s="130" t="s">
        <v>664</v>
      </c>
      <c r="B91" s="88"/>
      <c r="C91" s="198"/>
      <c r="D91" s="122"/>
      <c r="E91" s="127"/>
      <c r="F91" s="199"/>
      <c r="G91" s="88">
        <v>216630</v>
      </c>
      <c r="H91" s="198">
        <v>2019</v>
      </c>
      <c r="I91" s="122"/>
      <c r="J91" s="88">
        <v>216630</v>
      </c>
      <c r="K91" s="199"/>
    </row>
    <row r="92" spans="1:11" ht="19.5" customHeight="1" thickBot="1" x14ac:dyDescent="0.3">
      <c r="A92" s="130" t="s">
        <v>666</v>
      </c>
      <c r="B92" s="88"/>
      <c r="C92" s="198"/>
      <c r="D92" s="122"/>
      <c r="E92" s="127"/>
      <c r="F92" s="199"/>
      <c r="G92" s="88">
        <v>49450</v>
      </c>
      <c r="H92" s="198">
        <v>2019</v>
      </c>
      <c r="I92" s="122"/>
      <c r="J92" s="88">
        <v>49450</v>
      </c>
      <c r="K92" s="199"/>
    </row>
    <row r="93" spans="1:11" ht="19.5" customHeight="1" thickBot="1" x14ac:dyDescent="0.3">
      <c r="A93" s="130" t="s">
        <v>665</v>
      </c>
      <c r="B93" s="88"/>
      <c r="C93" s="198"/>
      <c r="D93" s="122"/>
      <c r="E93" s="127"/>
      <c r="F93" s="199"/>
      <c r="G93" s="88">
        <v>36570</v>
      </c>
      <c r="H93" s="198">
        <v>2019</v>
      </c>
      <c r="I93" s="122"/>
      <c r="J93" s="88">
        <v>36570</v>
      </c>
      <c r="K93" s="199"/>
    </row>
    <row r="94" spans="1:11" ht="19.5" customHeight="1" thickBot="1" x14ac:dyDescent="0.3">
      <c r="A94" s="130" t="s">
        <v>667</v>
      </c>
      <c r="B94" s="88"/>
      <c r="C94" s="198"/>
      <c r="D94" s="122"/>
      <c r="E94" s="127"/>
      <c r="F94" s="199"/>
      <c r="G94" s="88">
        <v>83000</v>
      </c>
      <c r="H94" s="198">
        <v>2019</v>
      </c>
      <c r="I94" s="122"/>
      <c r="J94" s="88">
        <v>83000</v>
      </c>
      <c r="K94" s="199"/>
    </row>
    <row r="95" spans="1:11" ht="19.5" customHeight="1" thickBot="1" x14ac:dyDescent="0.3">
      <c r="A95" s="130" t="s">
        <v>668</v>
      </c>
      <c r="B95" s="88"/>
      <c r="C95" s="198"/>
      <c r="D95" s="122"/>
      <c r="E95" s="127"/>
      <c r="F95" s="199"/>
      <c r="G95" s="88">
        <v>132690</v>
      </c>
      <c r="H95" s="198">
        <v>2019</v>
      </c>
      <c r="I95" s="122"/>
      <c r="J95" s="88">
        <v>132690</v>
      </c>
      <c r="K95" s="199"/>
    </row>
    <row r="96" spans="1:11" ht="19.5" customHeight="1" thickBot="1" x14ac:dyDescent="0.3">
      <c r="A96" s="130" t="s">
        <v>669</v>
      </c>
      <c r="B96" s="88"/>
      <c r="C96" s="198"/>
      <c r="D96" s="122"/>
      <c r="E96" s="127"/>
      <c r="F96" s="199"/>
      <c r="G96" s="88">
        <v>14790</v>
      </c>
      <c r="H96" s="198">
        <v>2019</v>
      </c>
      <c r="I96" s="122"/>
      <c r="J96" s="88">
        <v>14790</v>
      </c>
      <c r="K96" s="199"/>
    </row>
    <row r="97" spans="1:11" ht="19.5" customHeight="1" thickBot="1" x14ac:dyDescent="0.3">
      <c r="A97" s="130" t="s">
        <v>670</v>
      </c>
      <c r="B97" s="88"/>
      <c r="C97" s="198"/>
      <c r="D97" s="122"/>
      <c r="E97" s="127"/>
      <c r="F97" s="199"/>
      <c r="G97" s="88">
        <v>114760</v>
      </c>
      <c r="H97" s="198">
        <v>2019</v>
      </c>
      <c r="I97" s="122"/>
      <c r="J97" s="88">
        <v>114760</v>
      </c>
      <c r="K97" s="199"/>
    </row>
    <row r="98" spans="1:11" ht="19.5" customHeight="1" thickBot="1" x14ac:dyDescent="0.3">
      <c r="A98" s="130" t="s">
        <v>671</v>
      </c>
      <c r="B98" s="88"/>
      <c r="C98" s="198"/>
      <c r="D98" s="122"/>
      <c r="E98" s="127"/>
      <c r="F98" s="199"/>
      <c r="G98" s="88">
        <v>14799</v>
      </c>
      <c r="H98" s="198">
        <v>2019</v>
      </c>
      <c r="I98" s="122"/>
      <c r="J98" s="88">
        <v>14799</v>
      </c>
      <c r="K98" s="199"/>
    </row>
    <row r="99" spans="1:11" ht="19.5" customHeight="1" thickBot="1" x14ac:dyDescent="0.3">
      <c r="A99" s="130" t="s">
        <v>672</v>
      </c>
      <c r="B99" s="88"/>
      <c r="C99" s="198"/>
      <c r="D99" s="122"/>
      <c r="E99" s="127"/>
      <c r="F99" s="199"/>
      <c r="G99" s="88">
        <v>14900</v>
      </c>
      <c r="H99" s="198">
        <v>2019</v>
      </c>
      <c r="I99" s="122"/>
      <c r="J99" s="88">
        <v>14900</v>
      </c>
      <c r="K99" s="199"/>
    </row>
    <row r="100" spans="1:11" ht="19.5" customHeight="1" thickBot="1" x14ac:dyDescent="0.3">
      <c r="A100" s="130" t="s">
        <v>642</v>
      </c>
      <c r="B100" s="88"/>
      <c r="C100" s="198"/>
      <c r="D100" s="122"/>
      <c r="E100" s="127"/>
      <c r="F100" s="199"/>
      <c r="G100" s="88">
        <v>36990</v>
      </c>
      <c r="H100" s="198">
        <v>2019</v>
      </c>
      <c r="I100" s="122"/>
      <c r="J100" s="88">
        <v>36990</v>
      </c>
      <c r="K100" s="199"/>
    </row>
    <row r="101" spans="1:11" ht="19.5" customHeight="1" thickBot="1" x14ac:dyDescent="0.3">
      <c r="A101" s="130" t="s">
        <v>643</v>
      </c>
      <c r="B101" s="88"/>
      <c r="C101" s="198"/>
      <c r="D101" s="122"/>
      <c r="E101" s="127"/>
      <c r="F101" s="199"/>
      <c r="G101" s="88">
        <v>62865</v>
      </c>
      <c r="H101" s="198">
        <v>2019</v>
      </c>
      <c r="I101" s="122"/>
      <c r="J101" s="88">
        <v>62865</v>
      </c>
      <c r="K101" s="199"/>
    </row>
    <row r="102" spans="1:11" ht="19.5" customHeight="1" thickBot="1" x14ac:dyDescent="0.3">
      <c r="A102" s="130" t="s">
        <v>644</v>
      </c>
      <c r="B102" s="88"/>
      <c r="C102" s="198"/>
      <c r="D102" s="122"/>
      <c r="E102" s="127"/>
      <c r="F102" s="199"/>
      <c r="G102" s="88">
        <v>37217</v>
      </c>
      <c r="H102" s="198">
        <v>2019</v>
      </c>
      <c r="I102" s="122"/>
      <c r="J102" s="88">
        <v>37217</v>
      </c>
      <c r="K102" s="199"/>
    </row>
    <row r="103" spans="1:11" ht="19.5" customHeight="1" thickBot="1" x14ac:dyDescent="0.3">
      <c r="A103" s="130" t="s">
        <v>645</v>
      </c>
      <c r="B103" s="88"/>
      <c r="C103" s="198"/>
      <c r="D103" s="122"/>
      <c r="E103" s="127"/>
      <c r="F103" s="199"/>
      <c r="G103" s="88">
        <v>13998</v>
      </c>
      <c r="H103" s="198">
        <v>2019</v>
      </c>
      <c r="I103" s="122"/>
      <c r="J103" s="88">
        <v>13998</v>
      </c>
      <c r="K103" s="199"/>
    </row>
    <row r="104" spans="1:11" ht="19.5" customHeight="1" thickBot="1" x14ac:dyDescent="0.3">
      <c r="A104" s="123" t="s">
        <v>391</v>
      </c>
      <c r="B104" s="124"/>
      <c r="C104" s="124"/>
      <c r="D104" s="124"/>
      <c r="E104" s="131"/>
      <c r="F104" s="487"/>
      <c r="G104" s="124">
        <f>SUM(G78:G103)</f>
        <v>236172925</v>
      </c>
      <c r="H104" s="198">
        <v>2019</v>
      </c>
      <c r="I104" s="124"/>
      <c r="J104" s="124">
        <f>SUM(J78:J103)</f>
        <v>236172925</v>
      </c>
      <c r="K104" s="487"/>
    </row>
    <row r="105" spans="1:11" ht="19.5" customHeight="1" thickBot="1" x14ac:dyDescent="0.3">
      <c r="A105" s="130" t="s">
        <v>392</v>
      </c>
      <c r="B105" s="126">
        <v>50000</v>
      </c>
      <c r="C105" s="129">
        <v>2019</v>
      </c>
      <c r="D105" s="122"/>
      <c r="E105" s="126">
        <v>50000</v>
      </c>
      <c r="F105" s="488"/>
      <c r="G105" s="126">
        <v>0</v>
      </c>
      <c r="H105" s="198">
        <v>2019</v>
      </c>
      <c r="I105" s="122"/>
      <c r="J105" s="126">
        <v>0</v>
      </c>
      <c r="K105" s="488"/>
    </row>
    <row r="106" spans="1:11" ht="19.5" customHeight="1" thickBot="1" x14ac:dyDescent="0.3">
      <c r="A106" s="130" t="s">
        <v>393</v>
      </c>
      <c r="B106" s="127">
        <v>26000</v>
      </c>
      <c r="C106" s="128">
        <v>2019</v>
      </c>
      <c r="D106" s="122"/>
      <c r="E106" s="127">
        <v>26000</v>
      </c>
      <c r="F106" s="489"/>
      <c r="G106" s="127">
        <v>16000</v>
      </c>
      <c r="H106" s="198">
        <v>2019</v>
      </c>
      <c r="I106" s="122"/>
      <c r="J106" s="127">
        <v>16000</v>
      </c>
      <c r="K106" s="489"/>
    </row>
    <row r="107" spans="1:11" ht="19.5" customHeight="1" thickBot="1" x14ac:dyDescent="0.3">
      <c r="A107" s="130" t="s">
        <v>394</v>
      </c>
      <c r="B107" s="127">
        <v>20000</v>
      </c>
      <c r="C107" s="128">
        <v>2019</v>
      </c>
      <c r="D107" s="122"/>
      <c r="E107" s="127">
        <v>20000</v>
      </c>
      <c r="F107" s="489"/>
      <c r="G107" s="127">
        <v>63000</v>
      </c>
      <c r="H107" s="198">
        <v>2019</v>
      </c>
      <c r="I107" s="122"/>
      <c r="J107" s="127">
        <v>63000</v>
      </c>
      <c r="K107" s="489"/>
    </row>
    <row r="108" spans="1:11" ht="19.5" customHeight="1" thickBot="1" x14ac:dyDescent="0.3">
      <c r="A108" s="130" t="s">
        <v>395</v>
      </c>
      <c r="B108" s="127">
        <v>100000</v>
      </c>
      <c r="C108" s="128">
        <v>2019</v>
      </c>
      <c r="D108" s="122"/>
      <c r="E108" s="127">
        <v>100000</v>
      </c>
      <c r="F108" s="489"/>
      <c r="G108" s="127">
        <v>0</v>
      </c>
      <c r="H108" s="198">
        <v>2019</v>
      </c>
      <c r="I108" s="122"/>
      <c r="J108" s="127">
        <v>0</v>
      </c>
      <c r="K108" s="489"/>
    </row>
    <row r="109" spans="1:11" ht="19.5" customHeight="1" thickBot="1" x14ac:dyDescent="0.3">
      <c r="A109" s="130" t="s">
        <v>396</v>
      </c>
      <c r="B109" s="127">
        <v>45000</v>
      </c>
      <c r="C109" s="128">
        <v>2019</v>
      </c>
      <c r="D109" s="122"/>
      <c r="E109" s="127">
        <v>45000</v>
      </c>
      <c r="F109" s="490"/>
      <c r="G109" s="127">
        <v>0</v>
      </c>
      <c r="H109" s="198">
        <v>2019</v>
      </c>
      <c r="I109" s="122"/>
      <c r="J109" s="127">
        <v>0</v>
      </c>
      <c r="K109" s="490"/>
    </row>
    <row r="110" spans="1:11" ht="19.5" customHeight="1" thickBot="1" x14ac:dyDescent="0.3">
      <c r="A110" s="123" t="s">
        <v>397</v>
      </c>
      <c r="B110" s="124">
        <f>B105+B106+B107+B108+B109</f>
        <v>241000</v>
      </c>
      <c r="C110" s="125"/>
      <c r="D110" s="125"/>
      <c r="E110" s="131">
        <f>E105+E106+E107+E108+E109</f>
        <v>241000</v>
      </c>
      <c r="F110" s="487"/>
      <c r="G110" s="124">
        <f>G105+G106+G107+G108+G109</f>
        <v>79000</v>
      </c>
      <c r="H110" s="125"/>
      <c r="I110" s="125"/>
      <c r="J110" s="124">
        <f>J105+J106+J107+J108+J109</f>
        <v>79000</v>
      </c>
      <c r="K110" s="487"/>
    </row>
    <row r="111" spans="1:11" ht="19.5" customHeight="1" x14ac:dyDescent="0.25">
      <c r="A111" s="132"/>
      <c r="B111" s="133"/>
      <c r="C111" s="134"/>
      <c r="D111" s="134"/>
      <c r="E111" s="133"/>
      <c r="F111" s="482"/>
      <c r="K111" s="541"/>
    </row>
    <row r="112" spans="1:11" ht="19.5" customHeight="1" x14ac:dyDescent="0.25">
      <c r="A112" s="132"/>
      <c r="B112" s="133"/>
      <c r="C112" s="134"/>
      <c r="D112" s="134"/>
      <c r="E112" s="133"/>
      <c r="F112" s="482"/>
      <c r="K112" s="541"/>
    </row>
    <row r="113" spans="1:11" ht="19.5" customHeight="1" x14ac:dyDescent="0.25">
      <c r="A113" s="132"/>
      <c r="B113" s="133"/>
      <c r="C113" s="134"/>
      <c r="D113" s="134"/>
      <c r="E113" s="133"/>
      <c r="F113" s="482"/>
      <c r="K113" s="541"/>
    </row>
    <row r="114" spans="1:11" ht="18.75" x14ac:dyDescent="0.25">
      <c r="A114" s="589" t="s">
        <v>518</v>
      </c>
      <c r="B114" s="589"/>
      <c r="C114" s="589"/>
      <c r="D114" s="589"/>
      <c r="E114" s="589"/>
    </row>
    <row r="115" spans="1:11" ht="18.75" x14ac:dyDescent="0.25">
      <c r="A115" s="589" t="s">
        <v>1</v>
      </c>
      <c r="B115" s="590"/>
      <c r="C115" s="590"/>
      <c r="D115" s="590"/>
      <c r="E115" s="590"/>
      <c r="F115" s="368" t="s">
        <v>121</v>
      </c>
    </row>
    <row r="116" spans="1:11" ht="18.75" x14ac:dyDescent="0.25">
      <c r="A116" s="589" t="s">
        <v>122</v>
      </c>
      <c r="B116" s="590"/>
      <c r="C116" s="590"/>
      <c r="D116" s="590"/>
      <c r="E116" s="590"/>
      <c r="F116" s="342" t="s">
        <v>123</v>
      </c>
    </row>
    <row r="117" spans="1:11" ht="19.5" thickBot="1" x14ac:dyDescent="0.3">
      <c r="A117" s="582"/>
      <c r="B117" s="583"/>
      <c r="C117" s="583"/>
      <c r="D117" s="583"/>
      <c r="E117" s="583"/>
      <c r="F117" s="342"/>
    </row>
    <row r="118" spans="1:11" ht="48.75" thickBot="1" x14ac:dyDescent="0.3">
      <c r="A118" s="343" t="s">
        <v>124</v>
      </c>
      <c r="B118" s="344" t="s">
        <v>125</v>
      </c>
      <c r="C118" s="344" t="s">
        <v>126</v>
      </c>
      <c r="D118" s="344" t="s">
        <v>374</v>
      </c>
      <c r="E118" s="483" t="s">
        <v>375</v>
      </c>
      <c r="F118" s="485" t="s">
        <v>376</v>
      </c>
      <c r="G118" s="344" t="s">
        <v>521</v>
      </c>
      <c r="H118" s="344" t="s">
        <v>126</v>
      </c>
      <c r="I118" s="344" t="s">
        <v>374</v>
      </c>
      <c r="J118" s="483" t="s">
        <v>517</v>
      </c>
      <c r="K118" s="485" t="s">
        <v>376</v>
      </c>
    </row>
    <row r="119" spans="1:11" ht="15.75" thickBot="1" x14ac:dyDescent="0.3">
      <c r="A119" s="346">
        <v>1</v>
      </c>
      <c r="B119" s="347">
        <v>2</v>
      </c>
      <c r="C119" s="347">
        <v>3</v>
      </c>
      <c r="D119" s="347">
        <v>4</v>
      </c>
      <c r="E119" s="484">
        <v>5</v>
      </c>
      <c r="F119" s="486">
        <v>7</v>
      </c>
      <c r="G119" s="347">
        <v>2</v>
      </c>
      <c r="H119" s="347">
        <v>3</v>
      </c>
      <c r="I119" s="347">
        <v>4</v>
      </c>
      <c r="J119" s="484">
        <v>5</v>
      </c>
      <c r="K119" s="486">
        <v>7</v>
      </c>
    </row>
    <row r="120" spans="1:11" ht="20.25" customHeight="1" thickBot="1" x14ac:dyDescent="0.3">
      <c r="A120" s="528" t="s">
        <v>634</v>
      </c>
      <c r="B120" s="532">
        <v>85600</v>
      </c>
      <c r="C120" s="542">
        <v>2019</v>
      </c>
      <c r="D120" s="539"/>
      <c r="E120" s="543">
        <v>85600</v>
      </c>
      <c r="F120" s="489"/>
      <c r="G120" s="539">
        <v>85600</v>
      </c>
      <c r="H120" s="542">
        <v>2019</v>
      </c>
      <c r="I120" s="539"/>
      <c r="J120" s="543">
        <v>85600</v>
      </c>
      <c r="K120" s="489"/>
    </row>
    <row r="121" spans="1:11" ht="20.25" customHeight="1" thickBot="1" x14ac:dyDescent="0.3">
      <c r="A121" s="533" t="s">
        <v>635</v>
      </c>
      <c r="B121" s="535">
        <v>291000</v>
      </c>
      <c r="C121" s="547">
        <v>2019</v>
      </c>
      <c r="D121" s="548"/>
      <c r="E121" s="571">
        <v>291000</v>
      </c>
      <c r="F121" s="490"/>
      <c r="G121" s="539">
        <v>291000</v>
      </c>
      <c r="H121" s="547">
        <v>2019</v>
      </c>
      <c r="I121" s="548"/>
      <c r="J121" s="571">
        <v>291000</v>
      </c>
      <c r="K121" s="490"/>
    </row>
    <row r="122" spans="1:11" ht="20.25" customHeight="1" thickBot="1" x14ac:dyDescent="0.3">
      <c r="A122" s="533" t="s">
        <v>636</v>
      </c>
      <c r="B122" s="548"/>
      <c r="C122" s="547"/>
      <c r="D122" s="548"/>
      <c r="E122" s="547"/>
      <c r="F122" s="199"/>
      <c r="G122" s="531">
        <v>195000</v>
      </c>
      <c r="H122" s="547">
        <v>2019</v>
      </c>
      <c r="I122" s="548"/>
      <c r="J122" s="531">
        <v>195000</v>
      </c>
      <c r="K122" s="199"/>
    </row>
    <row r="123" spans="1:11" ht="20.25" customHeight="1" thickBot="1" x14ac:dyDescent="0.3">
      <c r="A123" s="533" t="s">
        <v>637</v>
      </c>
      <c r="B123" s="548"/>
      <c r="C123" s="547"/>
      <c r="D123" s="548"/>
      <c r="E123" s="547"/>
      <c r="F123" s="199"/>
      <c r="G123" s="531">
        <v>88300</v>
      </c>
      <c r="H123" s="547">
        <v>2019</v>
      </c>
      <c r="I123" s="548"/>
      <c r="J123" s="531">
        <v>88300</v>
      </c>
      <c r="K123" s="199"/>
    </row>
    <row r="124" spans="1:11" ht="20.25" customHeight="1" thickBot="1" x14ac:dyDescent="0.3">
      <c r="A124" s="533" t="s">
        <v>638</v>
      </c>
      <c r="B124" s="539"/>
      <c r="C124" s="547"/>
      <c r="D124" s="548"/>
      <c r="E124" s="547"/>
      <c r="F124" s="199"/>
      <c r="G124" s="531">
        <v>52000</v>
      </c>
      <c r="H124" s="547">
        <v>2019</v>
      </c>
      <c r="I124" s="548"/>
      <c r="J124" s="531">
        <v>52000</v>
      </c>
      <c r="K124" s="199"/>
    </row>
    <row r="125" spans="1:11" s="220" customFormat="1" ht="20.25" customHeight="1" thickBot="1" x14ac:dyDescent="0.3">
      <c r="A125" s="572" t="s">
        <v>639</v>
      </c>
      <c r="B125" s="573"/>
      <c r="C125" s="574"/>
      <c r="D125" s="575"/>
      <c r="E125" s="574"/>
      <c r="F125" s="283"/>
      <c r="G125" s="576">
        <f>G120+G121+G122+G123+G124</f>
        <v>711900</v>
      </c>
      <c r="H125" s="574"/>
      <c r="I125" s="572"/>
      <c r="J125" s="576">
        <f>J120+J121+J122+J123+J124</f>
        <v>711900</v>
      </c>
      <c r="K125" s="283"/>
    </row>
    <row r="126" spans="1:11" ht="20.25" customHeight="1" thickBot="1" x14ac:dyDescent="0.3">
      <c r="A126" s="533" t="s">
        <v>525</v>
      </c>
      <c r="B126" s="548"/>
      <c r="C126" s="547"/>
      <c r="D126" s="548"/>
      <c r="E126" s="547"/>
      <c r="F126" s="199"/>
      <c r="G126" s="531">
        <v>7990</v>
      </c>
      <c r="H126" s="547">
        <v>2019</v>
      </c>
      <c r="I126" s="548"/>
      <c r="J126" s="531">
        <v>7990</v>
      </c>
      <c r="K126" s="199"/>
    </row>
    <row r="127" spans="1:11" ht="20.25" customHeight="1" thickBot="1" x14ac:dyDescent="0.3">
      <c r="A127" s="572" t="s">
        <v>640</v>
      </c>
      <c r="B127" s="539"/>
      <c r="C127" s="547"/>
      <c r="D127" s="548"/>
      <c r="E127" s="547"/>
      <c r="F127" s="199"/>
      <c r="G127" s="577">
        <f>G126</f>
        <v>7990</v>
      </c>
      <c r="H127" s="547"/>
      <c r="I127" s="533"/>
      <c r="J127" s="577">
        <f>J126</f>
        <v>7990</v>
      </c>
      <c r="K127" s="199"/>
    </row>
    <row r="128" spans="1:11" ht="20.25" customHeight="1" thickBot="1" x14ac:dyDescent="0.3">
      <c r="A128" s="363" t="s">
        <v>641</v>
      </c>
      <c r="B128" s="49">
        <f>B120+B121</f>
        <v>376600</v>
      </c>
      <c r="C128" s="49"/>
      <c r="D128" s="49">
        <f>D120+D121</f>
        <v>0</v>
      </c>
      <c r="E128" s="89">
        <f>E120+E121</f>
        <v>376600</v>
      </c>
      <c r="F128" s="487"/>
      <c r="G128" s="89">
        <f>G125+G127</f>
        <v>719890</v>
      </c>
      <c r="H128" s="89"/>
      <c r="I128" s="89">
        <f>I120+I121+I126+I122+I123+I124</f>
        <v>0</v>
      </c>
      <c r="J128" s="89">
        <f>J125+J127</f>
        <v>719890</v>
      </c>
      <c r="K128" s="487"/>
    </row>
    <row r="129" spans="1:11" s="365" customFormat="1" ht="20.25" customHeight="1" thickBot="1" x14ac:dyDescent="0.3">
      <c r="A129" s="269" t="s">
        <v>611</v>
      </c>
      <c r="B129" s="270"/>
      <c r="C129" s="270"/>
      <c r="D129" s="270"/>
      <c r="E129" s="271"/>
      <c r="F129" s="272"/>
      <c r="G129" s="270">
        <v>300000</v>
      </c>
      <c r="H129" s="270"/>
      <c r="I129" s="270"/>
      <c r="J129" s="270">
        <v>300000</v>
      </c>
      <c r="K129" s="272"/>
    </row>
    <row r="130" spans="1:11" s="365" customFormat="1" ht="20.25" customHeight="1" thickBot="1" x14ac:dyDescent="0.3">
      <c r="A130" s="269" t="s">
        <v>612</v>
      </c>
      <c r="B130" s="270"/>
      <c r="C130" s="270"/>
      <c r="D130" s="270"/>
      <c r="E130" s="271"/>
      <c r="F130" s="272"/>
      <c r="G130" s="270">
        <v>200060</v>
      </c>
      <c r="H130" s="270"/>
      <c r="I130" s="270"/>
      <c r="J130" s="270">
        <v>200060</v>
      </c>
      <c r="K130" s="272"/>
    </row>
    <row r="131" spans="1:11" s="365" customFormat="1" ht="33" customHeight="1" thickBot="1" x14ac:dyDescent="0.3">
      <c r="A131" s="269" t="s">
        <v>613</v>
      </c>
      <c r="B131" s="270"/>
      <c r="C131" s="270"/>
      <c r="D131" s="270"/>
      <c r="E131" s="271"/>
      <c r="F131" s="272"/>
      <c r="G131" s="270">
        <f>G129+G130</f>
        <v>500060</v>
      </c>
      <c r="H131" s="270">
        <f t="shared" ref="H131:K131" si="8">H129+H130</f>
        <v>0</v>
      </c>
      <c r="I131" s="270">
        <f t="shared" si="8"/>
        <v>0</v>
      </c>
      <c r="J131" s="270">
        <f t="shared" si="8"/>
        <v>500060</v>
      </c>
      <c r="K131" s="270">
        <f t="shared" si="8"/>
        <v>0</v>
      </c>
    </row>
    <row r="132" spans="1:11" s="366" customFormat="1" ht="21" thickBot="1" x14ac:dyDescent="0.35">
      <c r="A132" s="495" t="s">
        <v>144</v>
      </c>
      <c r="B132" s="496">
        <f>B7+B15</f>
        <v>400164520</v>
      </c>
      <c r="C132" s="496">
        <f>C7+C15</f>
        <v>0</v>
      </c>
      <c r="D132" s="496">
        <f>D7+D15</f>
        <v>0</v>
      </c>
      <c r="E132" s="497">
        <f>E7+E15</f>
        <v>400164520</v>
      </c>
      <c r="F132" s="491">
        <f>SUM(F7:F41)</f>
        <v>0</v>
      </c>
      <c r="G132" s="496">
        <f>G131+G128+G110+G104+G77+G71+G66+G64+G14</f>
        <v>485256630</v>
      </c>
      <c r="H132" s="496">
        <f>H7+H15</f>
        <v>0</v>
      </c>
      <c r="I132" s="496">
        <f>I7+I15</f>
        <v>0</v>
      </c>
      <c r="J132" s="496">
        <f>G132</f>
        <v>485256630</v>
      </c>
      <c r="K132" s="491">
        <f>SUM(K7:K41)</f>
        <v>0</v>
      </c>
    </row>
    <row r="140" spans="1:11" ht="15.75" x14ac:dyDescent="0.25">
      <c r="A140" s="369"/>
      <c r="B140" s="370"/>
      <c r="C140" s="371"/>
      <c r="D140" s="579"/>
    </row>
    <row r="141" spans="1:11" ht="15.75" x14ac:dyDescent="0.25">
      <c r="A141" s="369"/>
      <c r="B141" s="370"/>
      <c r="C141" s="371"/>
      <c r="D141" s="579"/>
    </row>
    <row r="142" spans="1:11" ht="15.75" x14ac:dyDescent="0.25">
      <c r="A142" s="372"/>
      <c r="B142" s="370"/>
      <c r="C142" s="371"/>
      <c r="D142" s="579"/>
    </row>
    <row r="143" spans="1:11" ht="15.75" x14ac:dyDescent="0.25">
      <c r="A143" s="369"/>
      <c r="B143" s="370"/>
      <c r="C143" s="371"/>
    </row>
    <row r="144" spans="1:11" x14ac:dyDescent="0.25">
      <c r="A144" s="580"/>
      <c r="B144" s="370"/>
      <c r="C144" s="581"/>
    </row>
    <row r="145" spans="1:4" ht="15.75" x14ac:dyDescent="0.25">
      <c r="A145" s="339"/>
      <c r="B145" s="370"/>
      <c r="C145" s="371"/>
      <c r="D145" s="579"/>
    </row>
    <row r="146" spans="1:4" ht="15.75" x14ac:dyDescent="0.25">
      <c r="A146" s="339"/>
      <c r="C146" s="579"/>
      <c r="D146" s="579"/>
    </row>
    <row r="147" spans="1:4" ht="15.75" x14ac:dyDescent="0.25">
      <c r="A147" s="339"/>
      <c r="C147" s="579"/>
      <c r="D147" s="579"/>
    </row>
  </sheetData>
  <mergeCells count="9">
    <mergeCell ref="A114:E114"/>
    <mergeCell ref="A115:E115"/>
    <mergeCell ref="A116:E116"/>
    <mergeCell ref="A1:E1"/>
    <mergeCell ref="A2:E2"/>
    <mergeCell ref="A3:E3"/>
    <mergeCell ref="A37:E37"/>
    <mergeCell ref="A38:E38"/>
    <mergeCell ref="A39:E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L165"/>
  <sheetViews>
    <sheetView topLeftCell="A4" workbookViewId="0">
      <selection activeCell="W17" sqref="W17:AA17"/>
    </sheetView>
  </sheetViews>
  <sheetFormatPr defaultRowHeight="12.75" x14ac:dyDescent="0.2"/>
  <cols>
    <col min="1" max="6" width="3.28515625" style="250" customWidth="1"/>
    <col min="7" max="7" width="5.140625" style="250" customWidth="1"/>
    <col min="8" max="11" width="3.28515625" style="250" customWidth="1"/>
    <col min="12" max="12" width="4.28515625" style="250" customWidth="1"/>
    <col min="13" max="14" width="3.28515625" style="250" customWidth="1"/>
    <col min="15" max="15" width="4.42578125" style="250" customWidth="1"/>
    <col min="16" max="19" width="3.28515625" style="250" customWidth="1"/>
    <col min="20" max="20" width="2.42578125" style="250" customWidth="1"/>
    <col min="21" max="21" width="3.28515625" style="250" customWidth="1"/>
    <col min="22" max="22" width="16.5703125" style="251" customWidth="1"/>
    <col min="23" max="24" width="3.28515625" style="250" customWidth="1"/>
    <col min="25" max="25" width="10.7109375" style="250" customWidth="1"/>
    <col min="26" max="26" width="1.85546875" style="250" customWidth="1"/>
    <col min="27" max="27" width="0.42578125" style="250" customWidth="1"/>
    <col min="28" max="34" width="3.28515625" style="250" hidden="1" customWidth="1"/>
    <col min="35" max="35" width="3.85546875" style="250" hidden="1" customWidth="1"/>
    <col min="36" max="36" width="9.140625" style="250"/>
    <col min="37" max="37" width="12.5703125" style="250" bestFit="1" customWidth="1"/>
    <col min="38" max="16384" width="9.140625" style="250"/>
  </cols>
  <sheetData>
    <row r="1" spans="1:38" ht="22.5" customHeight="1" x14ac:dyDescent="0.25">
      <c r="A1" s="607" t="s">
        <v>579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</row>
    <row r="2" spans="1:38" ht="15.75" x14ac:dyDescent="0.25">
      <c r="A2" s="607" t="s">
        <v>580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</row>
    <row r="3" spans="1:38" ht="15.75" x14ac:dyDescent="0.25">
      <c r="A3" s="246"/>
      <c r="B3" s="246"/>
      <c r="C3" s="246"/>
      <c r="D3" s="246"/>
      <c r="E3" s="246"/>
      <c r="F3" s="607" t="s">
        <v>1</v>
      </c>
      <c r="G3" s="608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247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</row>
    <row r="4" spans="1:38" ht="15.75" x14ac:dyDescent="0.2">
      <c r="A4" s="609" t="s">
        <v>581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</row>
    <row r="5" spans="1:38" ht="15.75" x14ac:dyDescent="0.2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9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</row>
    <row r="6" spans="1:38" x14ac:dyDescent="0.2">
      <c r="V6" s="251" t="s">
        <v>533</v>
      </c>
      <c r="W6" s="595" t="s">
        <v>534</v>
      </c>
      <c r="X6" s="595"/>
      <c r="Y6" s="595"/>
      <c r="Z6" s="595"/>
      <c r="AH6" s="252" t="s">
        <v>582</v>
      </c>
    </row>
    <row r="7" spans="1:38" ht="24.75" customHeight="1" x14ac:dyDescent="0.2">
      <c r="A7" s="602" t="s">
        <v>583</v>
      </c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592">
        <v>1</v>
      </c>
      <c r="U7" s="592"/>
      <c r="V7" s="253">
        <v>4000000</v>
      </c>
      <c r="W7" s="604">
        <v>2900000</v>
      </c>
      <c r="X7" s="604"/>
      <c r="Y7" s="604"/>
      <c r="Z7" s="604"/>
      <c r="AA7" s="604"/>
      <c r="AB7" s="596"/>
      <c r="AC7" s="596"/>
      <c r="AD7" s="596"/>
      <c r="AE7" s="596"/>
      <c r="AF7" s="596"/>
      <c r="AG7" s="254"/>
      <c r="AH7" s="254"/>
      <c r="AI7" s="254"/>
    </row>
    <row r="8" spans="1:38" ht="22.5" customHeight="1" x14ac:dyDescent="0.2">
      <c r="A8" s="602" t="s">
        <v>584</v>
      </c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2"/>
      <c r="S8" s="602"/>
      <c r="T8" s="592">
        <v>2</v>
      </c>
      <c r="U8" s="592"/>
      <c r="V8" s="253">
        <v>288000</v>
      </c>
      <c r="W8" s="604">
        <v>68000</v>
      </c>
      <c r="X8" s="604"/>
      <c r="Y8" s="604"/>
      <c r="Z8" s="604"/>
      <c r="AA8" s="604"/>
      <c r="AB8" s="254"/>
      <c r="AC8" s="254"/>
      <c r="AD8" s="254"/>
      <c r="AE8" s="254"/>
      <c r="AF8" s="254"/>
      <c r="AG8" s="254"/>
      <c r="AH8" s="254"/>
      <c r="AI8" s="254"/>
      <c r="AL8" s="250" t="s">
        <v>592</v>
      </c>
    </row>
    <row r="9" spans="1:38" ht="19.5" customHeight="1" x14ac:dyDescent="0.2">
      <c r="A9" s="602" t="s">
        <v>585</v>
      </c>
      <c r="B9" s="602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592">
        <v>3</v>
      </c>
      <c r="U9" s="592"/>
      <c r="V9" s="253"/>
      <c r="W9" s="603"/>
      <c r="X9" s="603"/>
      <c r="Y9" s="603"/>
      <c r="Z9" s="603"/>
      <c r="AA9" s="603"/>
      <c r="AB9" s="596"/>
      <c r="AC9" s="596"/>
      <c r="AD9" s="596"/>
      <c r="AE9" s="596"/>
      <c r="AF9" s="596"/>
      <c r="AG9" s="254"/>
      <c r="AH9" s="254"/>
      <c r="AI9" s="254"/>
    </row>
    <row r="10" spans="1:38" ht="19.5" customHeight="1" x14ac:dyDescent="0.2">
      <c r="A10" s="605" t="s">
        <v>586</v>
      </c>
      <c r="B10" s="606"/>
      <c r="C10" s="606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592">
        <v>4</v>
      </c>
      <c r="U10" s="592"/>
      <c r="V10" s="255">
        <f>SUM(V7:V9)</f>
        <v>4288000</v>
      </c>
      <c r="W10" s="603">
        <f>W7+W8+W9</f>
        <v>2968000</v>
      </c>
      <c r="X10" s="603"/>
      <c r="Y10" s="603"/>
      <c r="Z10" s="603"/>
      <c r="AA10" s="603"/>
      <c r="AB10" s="596"/>
      <c r="AC10" s="596"/>
      <c r="AD10" s="596"/>
      <c r="AE10" s="596"/>
      <c r="AF10" s="596"/>
      <c r="AG10" s="254"/>
      <c r="AH10" s="254"/>
      <c r="AI10" s="254"/>
    </row>
    <row r="11" spans="1:38" ht="19.5" customHeight="1" x14ac:dyDescent="0.2">
      <c r="A11" s="602" t="s">
        <v>587</v>
      </c>
      <c r="B11" s="602"/>
      <c r="C11" s="602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592">
        <v>5</v>
      </c>
      <c r="U11" s="592"/>
      <c r="V11" s="253">
        <v>1055900</v>
      </c>
      <c r="W11" s="603">
        <v>2230300</v>
      </c>
      <c r="X11" s="603"/>
      <c r="Y11" s="603"/>
      <c r="Z11" s="603"/>
      <c r="AA11" s="603"/>
      <c r="AB11" s="596"/>
      <c r="AC11" s="596"/>
      <c r="AD11" s="596"/>
      <c r="AE11" s="596"/>
      <c r="AF11" s="596"/>
      <c r="AG11" s="254"/>
      <c r="AH11" s="254"/>
      <c r="AI11" s="254"/>
      <c r="AK11" s="260"/>
    </row>
    <row r="12" spans="1:38" ht="19.5" customHeight="1" x14ac:dyDescent="0.2">
      <c r="A12" s="602" t="s">
        <v>593</v>
      </c>
      <c r="B12" s="602"/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602"/>
      <c r="R12" s="602"/>
      <c r="S12" s="602"/>
      <c r="T12" s="592">
        <v>6</v>
      </c>
      <c r="U12" s="592"/>
      <c r="V12" s="253">
        <f>5000*360</f>
        <v>1800000</v>
      </c>
      <c r="W12" s="603">
        <v>2550000</v>
      </c>
      <c r="X12" s="603"/>
      <c r="Y12" s="603"/>
      <c r="Z12" s="603"/>
      <c r="AA12" s="603"/>
      <c r="AB12" s="596"/>
      <c r="AC12" s="596"/>
      <c r="AD12" s="596"/>
      <c r="AE12" s="596"/>
      <c r="AF12" s="596"/>
      <c r="AG12" s="254"/>
      <c r="AH12" s="254"/>
      <c r="AI12" s="254"/>
    </row>
    <row r="13" spans="1:38" ht="19.5" customHeight="1" x14ac:dyDescent="0.2">
      <c r="A13" s="602" t="s">
        <v>594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602"/>
      <c r="N13" s="602"/>
      <c r="O13" s="602"/>
      <c r="P13" s="602"/>
      <c r="Q13" s="602"/>
      <c r="R13" s="602"/>
      <c r="S13" s="602"/>
      <c r="T13" s="592">
        <v>7</v>
      </c>
      <c r="U13" s="592"/>
      <c r="V13" s="253">
        <f>5000*200</f>
        <v>1000000</v>
      </c>
      <c r="W13" s="603">
        <v>1750000</v>
      </c>
      <c r="X13" s="603"/>
      <c r="Y13" s="603"/>
      <c r="Z13" s="603"/>
      <c r="AA13" s="603"/>
      <c r="AB13" s="596"/>
      <c r="AC13" s="596"/>
      <c r="AD13" s="596"/>
      <c r="AE13" s="596"/>
      <c r="AF13" s="596"/>
      <c r="AG13" s="254"/>
      <c r="AH13" s="254"/>
      <c r="AI13" s="254"/>
    </row>
    <row r="14" spans="1:38" ht="19.5" customHeight="1" x14ac:dyDescent="0.2">
      <c r="A14" s="602" t="s">
        <v>588</v>
      </c>
      <c r="B14" s="602"/>
      <c r="C14" s="602"/>
      <c r="D14" s="602"/>
      <c r="E14" s="602"/>
      <c r="F14" s="602"/>
      <c r="G14" s="602"/>
      <c r="H14" s="602"/>
      <c r="I14" s="602"/>
      <c r="J14" s="602"/>
      <c r="K14" s="602"/>
      <c r="L14" s="602"/>
      <c r="M14" s="602"/>
      <c r="N14" s="602"/>
      <c r="O14" s="602"/>
      <c r="P14" s="602"/>
      <c r="Q14" s="602"/>
      <c r="R14" s="602"/>
      <c r="S14" s="602"/>
      <c r="T14" s="592">
        <v>8</v>
      </c>
      <c r="U14" s="592"/>
      <c r="V14" s="253">
        <v>1000000</v>
      </c>
      <c r="W14" s="603">
        <v>620000</v>
      </c>
      <c r="X14" s="603"/>
      <c r="Y14" s="603"/>
      <c r="Z14" s="603"/>
      <c r="AA14" s="603"/>
      <c r="AB14" s="254"/>
      <c r="AC14" s="254"/>
      <c r="AD14" s="254"/>
      <c r="AE14" s="254"/>
      <c r="AF14" s="254"/>
      <c r="AG14" s="254"/>
      <c r="AH14" s="254"/>
      <c r="AI14" s="254"/>
    </row>
    <row r="15" spans="1:38" ht="19.5" customHeight="1" x14ac:dyDescent="0.2">
      <c r="A15" s="600" t="s">
        <v>589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592">
        <v>9</v>
      </c>
      <c r="U15" s="592"/>
      <c r="V15" s="255">
        <f>SUM(V11:V14)</f>
        <v>4855900</v>
      </c>
      <c r="W15" s="603">
        <f>W11+W12+W13+W14</f>
        <v>7150300</v>
      </c>
      <c r="X15" s="603"/>
      <c r="Y15" s="603"/>
      <c r="Z15" s="603"/>
      <c r="AA15" s="603"/>
      <c r="AB15" s="596"/>
      <c r="AC15" s="596"/>
      <c r="AD15" s="596"/>
      <c r="AE15" s="596"/>
      <c r="AF15" s="596"/>
      <c r="AG15" s="254"/>
      <c r="AH15" s="254"/>
      <c r="AI15" s="254"/>
    </row>
    <row r="16" spans="1:38" ht="27" customHeight="1" x14ac:dyDescent="0.2">
      <c r="A16" s="597" t="s">
        <v>590</v>
      </c>
      <c r="B16" s="597"/>
      <c r="C16" s="597"/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2">
        <v>10</v>
      </c>
      <c r="U16" s="592"/>
      <c r="V16" s="256">
        <f>V15+V10</f>
        <v>9143900</v>
      </c>
      <c r="W16" s="598">
        <f>W10+W15</f>
        <v>10118300</v>
      </c>
      <c r="X16" s="598"/>
      <c r="Y16" s="598"/>
      <c r="Z16" s="598"/>
      <c r="AA16" s="598"/>
      <c r="AB16" s="599"/>
      <c r="AC16" s="599"/>
      <c r="AD16" s="599"/>
      <c r="AE16" s="599"/>
      <c r="AF16" s="599"/>
      <c r="AG16" s="257"/>
      <c r="AH16" s="257"/>
      <c r="AI16" s="257"/>
    </row>
    <row r="17" spans="1:35" ht="20.25" customHeight="1" x14ac:dyDescent="0.2">
      <c r="A17" s="600" t="s">
        <v>591</v>
      </c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592">
        <v>11</v>
      </c>
      <c r="U17" s="592"/>
      <c r="V17" s="253">
        <v>974400</v>
      </c>
      <c r="W17" s="601"/>
      <c r="X17" s="601"/>
      <c r="Y17" s="601"/>
      <c r="Z17" s="601"/>
      <c r="AA17" s="601"/>
      <c r="AB17" s="596"/>
      <c r="AC17" s="596"/>
      <c r="AD17" s="596"/>
      <c r="AE17" s="596"/>
      <c r="AF17" s="596"/>
      <c r="AG17" s="254"/>
      <c r="AH17" s="254"/>
      <c r="AI17" s="254"/>
    </row>
    <row r="18" spans="1:35" ht="21.95" customHeight="1" x14ac:dyDescent="0.2">
      <c r="A18" s="591" t="s">
        <v>145</v>
      </c>
      <c r="B18" s="591"/>
      <c r="C18" s="591"/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2">
        <v>12</v>
      </c>
      <c r="U18" s="592"/>
      <c r="V18" s="258">
        <f>V16+V17</f>
        <v>10118300</v>
      </c>
      <c r="W18" s="593">
        <f>W16+W17</f>
        <v>10118300</v>
      </c>
      <c r="X18" s="593"/>
      <c r="Y18" s="593"/>
      <c r="Z18" s="593"/>
      <c r="AA18" s="593"/>
      <c r="AB18" s="594"/>
      <c r="AC18" s="594"/>
      <c r="AD18" s="594"/>
      <c r="AE18" s="594"/>
      <c r="AF18" s="594"/>
      <c r="AG18" s="259"/>
      <c r="AH18" s="259"/>
      <c r="AI18" s="259"/>
    </row>
    <row r="19" spans="1:35" ht="21.95" customHeight="1" x14ac:dyDescent="0.2"/>
    <row r="20" spans="1:35" ht="21.95" customHeight="1" x14ac:dyDescent="0.2"/>
    <row r="21" spans="1:35" ht="21.95" customHeight="1" x14ac:dyDescent="0.2"/>
    <row r="22" spans="1:35" ht="21.95" customHeight="1" x14ac:dyDescent="0.2"/>
    <row r="23" spans="1:35" ht="21.95" customHeight="1" x14ac:dyDescent="0.2"/>
    <row r="24" spans="1:35" ht="21.95" customHeight="1" x14ac:dyDescent="0.2"/>
    <row r="25" spans="1:35" ht="21.95" customHeight="1" x14ac:dyDescent="0.2"/>
    <row r="26" spans="1:35" ht="21.95" customHeight="1" x14ac:dyDescent="0.2"/>
    <row r="27" spans="1:35" ht="21.95" customHeight="1" x14ac:dyDescent="0.2"/>
    <row r="28" spans="1:35" ht="21.95" customHeight="1" x14ac:dyDescent="0.2"/>
    <row r="29" spans="1:35" ht="21.95" customHeight="1" x14ac:dyDescent="0.2"/>
    <row r="30" spans="1:35" ht="21.95" customHeight="1" x14ac:dyDescent="0.2"/>
    <row r="31" spans="1:35" ht="21.95" customHeight="1" x14ac:dyDescent="0.2"/>
    <row r="32" spans="1:35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/>
    <row r="83" spans="1:4" ht="21.95" customHeight="1" x14ac:dyDescent="0.2">
      <c r="A83" s="261"/>
      <c r="B83" s="261"/>
      <c r="C83" s="261"/>
      <c r="D83" s="261"/>
    </row>
    <row r="84" spans="1:4" ht="21.95" customHeight="1" x14ac:dyDescent="0.2">
      <c r="A84" s="261"/>
      <c r="B84" s="261"/>
      <c r="C84" s="261"/>
      <c r="D84" s="261"/>
    </row>
    <row r="85" spans="1:4" ht="21.95" customHeight="1" x14ac:dyDescent="0.2">
      <c r="A85" s="261"/>
      <c r="B85" s="261"/>
      <c r="C85" s="261"/>
      <c r="D85" s="261"/>
    </row>
    <row r="86" spans="1:4" ht="21.95" customHeight="1" x14ac:dyDescent="0.2">
      <c r="A86" s="261"/>
      <c r="B86" s="261"/>
      <c r="C86" s="261"/>
      <c r="D86" s="261"/>
    </row>
    <row r="87" spans="1:4" ht="21.95" customHeight="1" x14ac:dyDescent="0.2">
      <c r="A87" s="261"/>
      <c r="B87" s="261"/>
      <c r="C87" s="261"/>
      <c r="D87" s="261"/>
    </row>
    <row r="88" spans="1:4" ht="21.95" customHeight="1" x14ac:dyDescent="0.2">
      <c r="A88" s="261"/>
      <c r="B88" s="261"/>
      <c r="C88" s="261"/>
      <c r="D88" s="261"/>
    </row>
    <row r="89" spans="1:4" ht="21.95" customHeight="1" x14ac:dyDescent="0.2">
      <c r="A89" s="261"/>
      <c r="B89" s="261"/>
      <c r="C89" s="261"/>
      <c r="D89" s="261"/>
    </row>
    <row r="90" spans="1:4" ht="21.95" customHeight="1" x14ac:dyDescent="0.2">
      <c r="A90" s="261"/>
      <c r="B90" s="261"/>
      <c r="C90" s="261"/>
      <c r="D90" s="261"/>
    </row>
    <row r="91" spans="1:4" ht="21.95" customHeight="1" x14ac:dyDescent="0.2">
      <c r="A91" s="261"/>
      <c r="B91" s="261"/>
      <c r="C91" s="261"/>
      <c r="D91" s="261"/>
    </row>
    <row r="92" spans="1:4" ht="21.95" customHeight="1" x14ac:dyDescent="0.2">
      <c r="A92" s="261"/>
      <c r="B92" s="261"/>
      <c r="C92" s="261"/>
      <c r="D92" s="261"/>
    </row>
    <row r="93" spans="1:4" ht="21.95" customHeight="1" x14ac:dyDescent="0.2">
      <c r="A93" s="261"/>
      <c r="B93" s="261"/>
      <c r="C93" s="261"/>
      <c r="D93" s="261"/>
    </row>
    <row r="94" spans="1:4" ht="21.95" customHeight="1" x14ac:dyDescent="0.2">
      <c r="A94" s="261"/>
      <c r="B94" s="261"/>
      <c r="C94" s="261"/>
      <c r="D94" s="261"/>
    </row>
    <row r="95" spans="1:4" ht="21.95" customHeight="1" x14ac:dyDescent="0.2">
      <c r="A95" s="261"/>
      <c r="B95" s="261"/>
      <c r="C95" s="261"/>
      <c r="D95" s="261"/>
    </row>
    <row r="96" spans="1:4" ht="21.95" customHeight="1" x14ac:dyDescent="0.2">
      <c r="A96" s="261"/>
      <c r="B96" s="261"/>
      <c r="C96" s="261"/>
      <c r="D96" s="261"/>
    </row>
    <row r="97" spans="1:4" ht="21.95" customHeight="1" x14ac:dyDescent="0.2">
      <c r="A97" s="261"/>
      <c r="B97" s="261"/>
      <c r="C97" s="261"/>
      <c r="D97" s="261"/>
    </row>
    <row r="98" spans="1:4" ht="21.95" customHeight="1" x14ac:dyDescent="0.2">
      <c r="A98" s="261"/>
      <c r="B98" s="261"/>
      <c r="C98" s="261"/>
      <c r="D98" s="261"/>
    </row>
    <row r="99" spans="1:4" ht="21.95" customHeight="1" x14ac:dyDescent="0.2">
      <c r="A99" s="261"/>
      <c r="B99" s="261"/>
      <c r="C99" s="261"/>
      <c r="D99" s="261"/>
    </row>
    <row r="100" spans="1:4" ht="21.95" customHeight="1" x14ac:dyDescent="0.2">
      <c r="A100" s="261"/>
      <c r="B100" s="261"/>
      <c r="C100" s="261"/>
      <c r="D100" s="261"/>
    </row>
    <row r="101" spans="1:4" ht="21.95" customHeight="1" x14ac:dyDescent="0.2">
      <c r="A101" s="261"/>
      <c r="B101" s="261"/>
      <c r="C101" s="261"/>
      <c r="D101" s="261"/>
    </row>
    <row r="102" spans="1:4" ht="21.95" customHeight="1" x14ac:dyDescent="0.2">
      <c r="A102" s="261"/>
      <c r="B102" s="261"/>
      <c r="C102" s="261"/>
      <c r="D102" s="261"/>
    </row>
    <row r="103" spans="1:4" ht="21.95" customHeight="1" x14ac:dyDescent="0.2">
      <c r="A103" s="261"/>
      <c r="B103" s="261"/>
      <c r="C103" s="261"/>
      <c r="D103" s="261"/>
    </row>
    <row r="104" spans="1:4" ht="21.95" customHeight="1" x14ac:dyDescent="0.2">
      <c r="A104" s="261"/>
      <c r="B104" s="261"/>
      <c r="C104" s="261"/>
      <c r="D104" s="261"/>
    </row>
    <row r="105" spans="1:4" ht="21.95" customHeight="1" x14ac:dyDescent="0.2">
      <c r="A105" s="261"/>
      <c r="B105" s="261"/>
      <c r="C105" s="261"/>
      <c r="D105" s="261"/>
    </row>
    <row r="106" spans="1:4" ht="21.95" customHeight="1" x14ac:dyDescent="0.2">
      <c r="A106" s="261"/>
      <c r="B106" s="261"/>
      <c r="C106" s="261"/>
      <c r="D106" s="261"/>
    </row>
    <row r="107" spans="1:4" ht="21.95" customHeight="1" x14ac:dyDescent="0.2">
      <c r="A107" s="261"/>
      <c r="B107" s="261"/>
      <c r="C107" s="261"/>
      <c r="D107" s="261"/>
    </row>
    <row r="108" spans="1:4" ht="21.95" customHeight="1" x14ac:dyDescent="0.2">
      <c r="A108" s="261"/>
      <c r="B108" s="261"/>
      <c r="C108" s="261"/>
      <c r="D108" s="261"/>
    </row>
    <row r="109" spans="1:4" ht="21.95" customHeight="1" x14ac:dyDescent="0.2">
      <c r="A109" s="261"/>
      <c r="B109" s="261"/>
      <c r="C109" s="261"/>
      <c r="D109" s="261"/>
    </row>
    <row r="110" spans="1:4" ht="21.95" customHeight="1" x14ac:dyDescent="0.2">
      <c r="A110" s="261"/>
      <c r="B110" s="261"/>
      <c r="C110" s="261"/>
      <c r="D110" s="261"/>
    </row>
    <row r="111" spans="1:4" ht="21.95" customHeight="1" x14ac:dyDescent="0.2">
      <c r="A111" s="261"/>
      <c r="B111" s="261"/>
      <c r="C111" s="261"/>
      <c r="D111" s="261"/>
    </row>
    <row r="112" spans="1:4" ht="21.95" customHeight="1" x14ac:dyDescent="0.2">
      <c r="A112" s="261"/>
      <c r="B112" s="261"/>
      <c r="C112" s="261"/>
      <c r="D112" s="261"/>
    </row>
    <row r="113" spans="1:4" ht="21.95" customHeight="1" x14ac:dyDescent="0.2">
      <c r="A113" s="261"/>
      <c r="B113" s="261"/>
      <c r="C113" s="261"/>
      <c r="D113" s="261"/>
    </row>
    <row r="114" spans="1:4" ht="21.95" customHeight="1" x14ac:dyDescent="0.2">
      <c r="A114" s="261"/>
      <c r="B114" s="261"/>
      <c r="C114" s="261"/>
      <c r="D114" s="261"/>
    </row>
    <row r="115" spans="1:4" ht="21.95" customHeight="1" x14ac:dyDescent="0.2">
      <c r="A115" s="261"/>
      <c r="B115" s="261"/>
      <c r="C115" s="261"/>
      <c r="D115" s="261"/>
    </row>
    <row r="116" spans="1:4" ht="21.95" customHeight="1" x14ac:dyDescent="0.2">
      <c r="A116" s="261"/>
      <c r="B116" s="261"/>
      <c r="C116" s="261"/>
      <c r="D116" s="261"/>
    </row>
    <row r="117" spans="1:4" ht="21.95" customHeight="1" x14ac:dyDescent="0.2">
      <c r="A117" s="261"/>
      <c r="B117" s="261"/>
      <c r="C117" s="261"/>
      <c r="D117" s="261"/>
    </row>
    <row r="118" spans="1:4" ht="21.95" customHeight="1" x14ac:dyDescent="0.2">
      <c r="A118" s="261"/>
      <c r="B118" s="261"/>
      <c r="C118" s="261"/>
      <c r="D118" s="261"/>
    </row>
    <row r="119" spans="1:4" ht="21.95" customHeight="1" x14ac:dyDescent="0.2">
      <c r="A119" s="261"/>
      <c r="B119" s="261"/>
      <c r="C119" s="261"/>
      <c r="D119" s="261"/>
    </row>
    <row r="120" spans="1:4" ht="21.95" customHeight="1" x14ac:dyDescent="0.2">
      <c r="A120" s="261"/>
      <c r="B120" s="261"/>
      <c r="C120" s="261"/>
      <c r="D120" s="261"/>
    </row>
    <row r="121" spans="1:4" ht="21.95" customHeight="1" x14ac:dyDescent="0.2">
      <c r="A121" s="261"/>
      <c r="B121" s="261"/>
      <c r="C121" s="261"/>
      <c r="D121" s="261"/>
    </row>
    <row r="122" spans="1:4" ht="21.95" customHeight="1" x14ac:dyDescent="0.2">
      <c r="A122" s="261"/>
      <c r="B122" s="261"/>
      <c r="C122" s="261"/>
      <c r="D122" s="261"/>
    </row>
    <row r="123" spans="1:4" ht="21.95" customHeight="1" x14ac:dyDescent="0.2">
      <c r="A123" s="261"/>
      <c r="B123" s="261"/>
      <c r="C123" s="261"/>
      <c r="D123" s="261"/>
    </row>
    <row r="124" spans="1:4" ht="21.95" customHeight="1" x14ac:dyDescent="0.2">
      <c r="A124" s="261"/>
      <c r="B124" s="261"/>
      <c r="C124" s="261"/>
      <c r="D124" s="261"/>
    </row>
    <row r="125" spans="1:4" ht="21.95" customHeight="1" x14ac:dyDescent="0.2">
      <c r="A125" s="261"/>
      <c r="B125" s="261"/>
      <c r="C125" s="261"/>
      <c r="D125" s="261"/>
    </row>
    <row r="126" spans="1:4" ht="21.95" customHeight="1" x14ac:dyDescent="0.2">
      <c r="A126" s="261"/>
      <c r="B126" s="261"/>
      <c r="C126" s="261"/>
      <c r="D126" s="261"/>
    </row>
    <row r="127" spans="1:4" ht="21.95" customHeight="1" x14ac:dyDescent="0.2">
      <c r="A127" s="261"/>
      <c r="B127" s="261"/>
      <c r="C127" s="261"/>
      <c r="D127" s="261"/>
    </row>
    <row r="128" spans="1:4" ht="21.95" customHeight="1" x14ac:dyDescent="0.2">
      <c r="A128" s="261"/>
      <c r="B128" s="261"/>
      <c r="C128" s="261"/>
      <c r="D128" s="261"/>
    </row>
    <row r="129" spans="1:4" ht="21.95" customHeight="1" x14ac:dyDescent="0.2">
      <c r="A129" s="261"/>
      <c r="B129" s="261"/>
      <c r="C129" s="261"/>
      <c r="D129" s="261"/>
    </row>
    <row r="130" spans="1:4" ht="21.95" customHeight="1" x14ac:dyDescent="0.2">
      <c r="A130" s="261"/>
      <c r="B130" s="261"/>
      <c r="C130" s="261"/>
      <c r="D130" s="261"/>
    </row>
    <row r="131" spans="1:4" ht="21.95" customHeight="1" x14ac:dyDescent="0.2">
      <c r="A131" s="261"/>
      <c r="B131" s="261"/>
      <c r="C131" s="261"/>
      <c r="D131" s="261"/>
    </row>
    <row r="132" spans="1:4" ht="21.95" customHeight="1" x14ac:dyDescent="0.2">
      <c r="A132" s="261"/>
      <c r="B132" s="261"/>
      <c r="C132" s="261"/>
      <c r="D132" s="261"/>
    </row>
    <row r="133" spans="1:4" ht="21.95" customHeight="1" x14ac:dyDescent="0.2">
      <c r="A133" s="261"/>
      <c r="B133" s="261"/>
      <c r="C133" s="261"/>
      <c r="D133" s="261"/>
    </row>
    <row r="134" spans="1:4" ht="21.95" customHeight="1" x14ac:dyDescent="0.2">
      <c r="A134" s="261"/>
      <c r="B134" s="261"/>
      <c r="C134" s="261"/>
      <c r="D134" s="261"/>
    </row>
    <row r="135" spans="1:4" ht="21.95" customHeight="1" x14ac:dyDescent="0.2">
      <c r="A135" s="261"/>
      <c r="B135" s="261"/>
      <c r="C135" s="261"/>
      <c r="D135" s="261"/>
    </row>
    <row r="136" spans="1:4" ht="21.95" customHeight="1" x14ac:dyDescent="0.2">
      <c r="A136" s="261"/>
      <c r="B136" s="261"/>
      <c r="C136" s="261"/>
      <c r="D136" s="261"/>
    </row>
    <row r="137" spans="1:4" ht="21.95" customHeight="1" x14ac:dyDescent="0.2">
      <c r="A137" s="261"/>
      <c r="B137" s="261"/>
      <c r="C137" s="261"/>
      <c r="D137" s="261"/>
    </row>
    <row r="138" spans="1:4" ht="21.95" customHeight="1" x14ac:dyDescent="0.2">
      <c r="A138" s="261"/>
      <c r="B138" s="261"/>
      <c r="C138" s="261"/>
      <c r="D138" s="261"/>
    </row>
    <row r="139" spans="1:4" ht="21.95" customHeight="1" x14ac:dyDescent="0.2">
      <c r="A139" s="261"/>
      <c r="B139" s="261"/>
      <c r="C139" s="261"/>
      <c r="D139" s="261"/>
    </row>
    <row r="140" spans="1:4" ht="21.95" customHeight="1" x14ac:dyDescent="0.2">
      <c r="A140" s="261"/>
      <c r="B140" s="261"/>
      <c r="C140" s="261"/>
      <c r="D140" s="261"/>
    </row>
    <row r="141" spans="1:4" ht="21.95" customHeight="1" x14ac:dyDescent="0.2">
      <c r="A141" s="261"/>
      <c r="B141" s="261"/>
      <c r="C141" s="261"/>
      <c r="D141" s="261"/>
    </row>
    <row r="142" spans="1:4" ht="21.95" customHeight="1" x14ac:dyDescent="0.2">
      <c r="A142" s="261"/>
      <c r="B142" s="261"/>
      <c r="C142" s="261"/>
      <c r="D142" s="261"/>
    </row>
    <row r="143" spans="1:4" ht="21.95" customHeight="1" x14ac:dyDescent="0.2">
      <c r="A143" s="261"/>
      <c r="B143" s="261"/>
      <c r="C143" s="261"/>
      <c r="D143" s="261"/>
    </row>
    <row r="144" spans="1:4" ht="21.95" customHeight="1" x14ac:dyDescent="0.2">
      <c r="A144" s="261"/>
      <c r="B144" s="261"/>
      <c r="C144" s="261"/>
      <c r="D144" s="261"/>
    </row>
    <row r="145" spans="1:4" ht="21.95" customHeight="1" x14ac:dyDescent="0.2">
      <c r="A145" s="261"/>
      <c r="B145" s="261"/>
      <c r="C145" s="261"/>
      <c r="D145" s="261"/>
    </row>
    <row r="146" spans="1:4" ht="21.95" customHeight="1" x14ac:dyDescent="0.2">
      <c r="A146" s="261"/>
      <c r="B146" s="261"/>
      <c r="C146" s="261"/>
      <c r="D146" s="261"/>
    </row>
    <row r="147" spans="1:4" ht="21.95" customHeight="1" x14ac:dyDescent="0.2">
      <c r="A147" s="261"/>
      <c r="B147" s="261"/>
      <c r="C147" s="261"/>
      <c r="D147" s="261"/>
    </row>
    <row r="148" spans="1:4" ht="21.95" customHeight="1" x14ac:dyDescent="0.2">
      <c r="A148" s="261"/>
      <c r="B148" s="261"/>
      <c r="C148" s="261"/>
      <c r="D148" s="261"/>
    </row>
    <row r="149" spans="1:4" ht="21.95" customHeight="1" x14ac:dyDescent="0.2">
      <c r="A149" s="261"/>
      <c r="B149" s="261"/>
      <c r="C149" s="261"/>
      <c r="D149" s="261"/>
    </row>
    <row r="150" spans="1:4" ht="21.95" customHeight="1" x14ac:dyDescent="0.2">
      <c r="A150" s="261"/>
      <c r="B150" s="261"/>
      <c r="C150" s="261"/>
      <c r="D150" s="261"/>
    </row>
    <row r="151" spans="1:4" ht="21.95" customHeight="1" x14ac:dyDescent="0.2">
      <c r="A151" s="261"/>
      <c r="B151" s="261"/>
      <c r="C151" s="261"/>
      <c r="D151" s="261"/>
    </row>
    <row r="152" spans="1:4" ht="21.95" customHeight="1" x14ac:dyDescent="0.2">
      <c r="A152" s="261"/>
      <c r="B152" s="261"/>
      <c r="C152" s="261"/>
      <c r="D152" s="261"/>
    </row>
    <row r="153" spans="1:4" ht="21.95" customHeight="1" x14ac:dyDescent="0.2">
      <c r="A153" s="261"/>
      <c r="B153" s="261"/>
      <c r="C153" s="261"/>
      <c r="D153" s="261"/>
    </row>
    <row r="154" spans="1:4" ht="21.95" customHeight="1" x14ac:dyDescent="0.2">
      <c r="A154" s="261"/>
      <c r="B154" s="261"/>
      <c r="C154" s="261"/>
      <c r="D154" s="261"/>
    </row>
    <row r="155" spans="1:4" ht="21.95" customHeight="1" x14ac:dyDescent="0.2">
      <c r="A155" s="261"/>
      <c r="B155" s="261"/>
      <c r="C155" s="261"/>
      <c r="D155" s="261"/>
    </row>
    <row r="156" spans="1:4" ht="21.95" customHeight="1" x14ac:dyDescent="0.2">
      <c r="A156" s="261"/>
      <c r="B156" s="261"/>
      <c r="C156" s="261"/>
      <c r="D156" s="261"/>
    </row>
    <row r="157" spans="1:4" ht="21.95" customHeight="1" x14ac:dyDescent="0.2">
      <c r="A157" s="261"/>
      <c r="B157" s="261"/>
      <c r="C157" s="261"/>
      <c r="D157" s="261"/>
    </row>
    <row r="158" spans="1:4" ht="21.95" customHeight="1" x14ac:dyDescent="0.2">
      <c r="A158" s="261"/>
      <c r="B158" s="261"/>
      <c r="C158" s="261"/>
      <c r="D158" s="261"/>
    </row>
    <row r="159" spans="1:4" x14ac:dyDescent="0.2">
      <c r="A159" s="261"/>
      <c r="B159" s="261"/>
      <c r="C159" s="261"/>
      <c r="D159" s="261"/>
    </row>
    <row r="160" spans="1:4" x14ac:dyDescent="0.2">
      <c r="A160" s="261"/>
      <c r="B160" s="261"/>
      <c r="C160" s="261"/>
      <c r="D160" s="261"/>
    </row>
    <row r="161" spans="1:4" x14ac:dyDescent="0.2">
      <c r="A161" s="261"/>
      <c r="B161" s="261"/>
      <c r="C161" s="261"/>
      <c r="D161" s="261"/>
    </row>
    <row r="162" spans="1:4" x14ac:dyDescent="0.2">
      <c r="A162" s="261"/>
      <c r="B162" s="261"/>
      <c r="C162" s="261"/>
      <c r="D162" s="261"/>
    </row>
    <row r="163" spans="1:4" x14ac:dyDescent="0.2">
      <c r="A163" s="261"/>
      <c r="B163" s="261"/>
      <c r="C163" s="261"/>
      <c r="D163" s="261"/>
    </row>
    <row r="164" spans="1:4" x14ac:dyDescent="0.2">
      <c r="A164" s="261"/>
      <c r="B164" s="261"/>
      <c r="C164" s="261"/>
      <c r="D164" s="261"/>
    </row>
    <row r="165" spans="1:4" x14ac:dyDescent="0.2">
      <c r="A165" s="261"/>
      <c r="B165" s="261"/>
      <c r="C165" s="261"/>
      <c r="D165" s="261"/>
    </row>
  </sheetData>
  <mergeCells count="51">
    <mergeCell ref="A1:AI1"/>
    <mergeCell ref="A2:AI2"/>
    <mergeCell ref="F3:U3"/>
    <mergeCell ref="A4:AI4"/>
    <mergeCell ref="A7:S7"/>
    <mergeCell ref="T7:U7"/>
    <mergeCell ref="W7:AA7"/>
    <mergeCell ref="AB7:AF7"/>
    <mergeCell ref="A11:S11"/>
    <mergeCell ref="T11:U11"/>
    <mergeCell ref="W11:AA11"/>
    <mergeCell ref="AB11:AF11"/>
    <mergeCell ref="A8:S8"/>
    <mergeCell ref="T8:U8"/>
    <mergeCell ref="W8:AA8"/>
    <mergeCell ref="A9:S9"/>
    <mergeCell ref="T9:U9"/>
    <mergeCell ref="W9:AA9"/>
    <mergeCell ref="AB9:AF9"/>
    <mergeCell ref="A10:S10"/>
    <mergeCell ref="T10:U10"/>
    <mergeCell ref="W10:AA10"/>
    <mergeCell ref="AB10:AF10"/>
    <mergeCell ref="AB12:AF12"/>
    <mergeCell ref="A13:S13"/>
    <mergeCell ref="T13:U13"/>
    <mergeCell ref="W13:AA13"/>
    <mergeCell ref="AB13:AF13"/>
    <mergeCell ref="W14:AA14"/>
    <mergeCell ref="A15:S15"/>
    <mergeCell ref="T15:U15"/>
    <mergeCell ref="W15:AA15"/>
    <mergeCell ref="A12:S12"/>
    <mergeCell ref="T12:U12"/>
    <mergeCell ref="W12:AA12"/>
    <mergeCell ref="A18:S18"/>
    <mergeCell ref="T18:U18"/>
    <mergeCell ref="W18:AA18"/>
    <mergeCell ref="AB18:AF18"/>
    <mergeCell ref="W6:Z6"/>
    <mergeCell ref="AB15:AF15"/>
    <mergeCell ref="A16:S16"/>
    <mergeCell ref="T16:U16"/>
    <mergeCell ref="W16:AA16"/>
    <mergeCell ref="AB16:AF16"/>
    <mergeCell ref="A17:S17"/>
    <mergeCell ref="T17:U17"/>
    <mergeCell ref="W17:AA17"/>
    <mergeCell ref="AB17:AF17"/>
    <mergeCell ref="A14:S14"/>
    <mergeCell ref="T14:U1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R190"/>
  <sheetViews>
    <sheetView topLeftCell="A28" workbookViewId="0">
      <selection activeCell="AE30" sqref="AE30:AI30"/>
    </sheetView>
  </sheetViews>
  <sheetFormatPr defaultRowHeight="12.75" x14ac:dyDescent="0.2"/>
  <cols>
    <col min="1" max="1" width="5.28515625" style="135" customWidth="1"/>
    <col min="2" max="7" width="3.28515625" style="135" customWidth="1"/>
    <col min="8" max="8" width="5.140625" style="135" customWidth="1"/>
    <col min="9" max="12" width="3.28515625" style="135" customWidth="1"/>
    <col min="13" max="13" width="4.28515625" style="135" customWidth="1"/>
    <col min="14" max="15" width="3.28515625" style="135" customWidth="1"/>
    <col min="16" max="16" width="4.42578125" style="135" customWidth="1"/>
    <col min="17" max="19" width="3.28515625" style="135" customWidth="1"/>
    <col min="20" max="20" width="6.28515625" style="135" customWidth="1"/>
    <col min="21" max="24" width="3.28515625" style="135" customWidth="1"/>
    <col min="25" max="25" width="6.42578125" style="135" customWidth="1"/>
    <col min="26" max="26" width="3.42578125" style="135" customWidth="1"/>
    <col min="27" max="27" width="5.140625" style="135" customWidth="1"/>
    <col min="28" max="28" width="4.42578125" style="135" customWidth="1"/>
    <col min="29" max="29" width="4.7109375" style="135" customWidth="1"/>
    <col min="30" max="30" width="4" style="135" customWidth="1"/>
    <col min="31" max="31" width="5.140625" style="135" customWidth="1"/>
    <col min="32" max="32" width="2.42578125" style="135" customWidth="1"/>
    <col min="33" max="33" width="2.85546875" style="135" customWidth="1"/>
    <col min="34" max="34" width="4.140625" style="135" customWidth="1"/>
    <col min="35" max="36" width="9.140625" style="135"/>
    <col min="37" max="37" width="8.28515625" style="135" customWidth="1"/>
    <col min="38" max="39" width="9.140625" style="135" hidden="1" customWidth="1"/>
    <col min="40" max="40" width="2.5703125" style="135" customWidth="1"/>
    <col min="41" max="16384" width="9.140625" style="135"/>
  </cols>
  <sheetData>
    <row r="1" spans="1:40" ht="12.75" customHeight="1" x14ac:dyDescent="0.2">
      <c r="B1" s="647" t="s">
        <v>510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</row>
    <row r="2" spans="1:40" ht="12.75" customHeight="1" x14ac:dyDescent="0.2"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</row>
    <row r="3" spans="1:40" s="136" customFormat="1" ht="15.75" x14ac:dyDescent="0.25">
      <c r="B3" s="647" t="s">
        <v>532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</row>
    <row r="4" spans="1:40" s="136" customFormat="1" ht="15.75" x14ac:dyDescent="0.25"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7"/>
    </row>
    <row r="5" spans="1:40" s="136" customFormat="1" ht="15.75" x14ac:dyDescent="0.25">
      <c r="B5" s="187"/>
      <c r="C5" s="187"/>
      <c r="D5" s="187"/>
      <c r="E5" s="187"/>
      <c r="F5" s="187"/>
      <c r="G5" s="647" t="s">
        <v>1</v>
      </c>
      <c r="H5" s="648"/>
      <c r="I5" s="647"/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</row>
    <row r="6" spans="1:40" ht="15.75" x14ac:dyDescent="0.2">
      <c r="B6" s="649" t="s">
        <v>146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649"/>
      <c r="AH6" s="649"/>
    </row>
    <row r="7" spans="1:40" ht="16.5" thickBot="1" x14ac:dyDescent="0.25"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</row>
    <row r="8" spans="1:40" ht="15.75" customHeight="1" thickBot="1" x14ac:dyDescent="0.25">
      <c r="V8" s="650" t="s">
        <v>398</v>
      </c>
      <c r="W8" s="651"/>
      <c r="X8" s="651"/>
      <c r="Y8" s="651"/>
      <c r="Z8" s="651"/>
      <c r="AA8" s="651"/>
      <c r="AB8" s="651"/>
      <c r="AC8" s="651"/>
      <c r="AD8" s="652"/>
      <c r="AE8" s="650" t="s">
        <v>147</v>
      </c>
      <c r="AF8" s="651"/>
      <c r="AG8" s="651"/>
      <c r="AH8" s="651"/>
      <c r="AI8" s="651"/>
      <c r="AJ8" s="650"/>
      <c r="AK8" s="652"/>
      <c r="AL8" s="209"/>
      <c r="AM8" s="209"/>
      <c r="AN8" s="210"/>
    </row>
    <row r="9" spans="1:40" ht="12.75" customHeight="1" x14ac:dyDescent="0.2">
      <c r="A9" s="613"/>
      <c r="B9" s="653" t="s">
        <v>4</v>
      </c>
      <c r="C9" s="653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  <c r="Q9" s="653"/>
      <c r="R9" s="653"/>
      <c r="S9" s="653"/>
      <c r="T9" s="653"/>
      <c r="U9" s="653" t="s">
        <v>148</v>
      </c>
      <c r="V9" s="654"/>
      <c r="W9" s="654"/>
      <c r="X9" s="654"/>
      <c r="Y9" s="654"/>
      <c r="Z9" s="654" t="s">
        <v>149</v>
      </c>
      <c r="AA9" s="654"/>
      <c r="AB9" s="654"/>
      <c r="AC9" s="654"/>
      <c r="AD9" s="655"/>
      <c r="AE9" s="657" t="s">
        <v>529</v>
      </c>
      <c r="AF9" s="658"/>
      <c r="AG9" s="658"/>
      <c r="AH9" s="658"/>
      <c r="AI9" s="659"/>
      <c r="AJ9" s="657" t="s">
        <v>149</v>
      </c>
      <c r="AK9" s="658"/>
      <c r="AL9" s="658"/>
      <c r="AM9" s="658"/>
      <c r="AN9" s="661"/>
    </row>
    <row r="10" spans="1:40" ht="12.75" customHeight="1" x14ac:dyDescent="0.2">
      <c r="A10" s="613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653"/>
      <c r="V10" s="653"/>
      <c r="W10" s="653"/>
      <c r="X10" s="653"/>
      <c r="Y10" s="653"/>
      <c r="Z10" s="653"/>
      <c r="AA10" s="653"/>
      <c r="AB10" s="653"/>
      <c r="AC10" s="653"/>
      <c r="AD10" s="656"/>
      <c r="AE10" s="660"/>
      <c r="AF10" s="653"/>
      <c r="AG10" s="653"/>
      <c r="AH10" s="653"/>
      <c r="AI10" s="656"/>
      <c r="AJ10" s="660"/>
      <c r="AK10" s="653"/>
      <c r="AL10" s="653"/>
      <c r="AM10" s="653"/>
      <c r="AN10" s="662"/>
    </row>
    <row r="11" spans="1:40" ht="12.75" customHeight="1" x14ac:dyDescent="0.2">
      <c r="A11" s="138"/>
      <c r="B11" s="639" t="s">
        <v>150</v>
      </c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639"/>
      <c r="N11" s="639"/>
      <c r="O11" s="639"/>
      <c r="P11" s="639"/>
      <c r="Q11" s="639"/>
      <c r="R11" s="639"/>
      <c r="S11" s="639"/>
      <c r="T11" s="639"/>
      <c r="U11" s="604"/>
      <c r="V11" s="604"/>
      <c r="W11" s="604"/>
      <c r="X11" s="604"/>
      <c r="Y11" s="604"/>
      <c r="Z11" s="613"/>
      <c r="AA11" s="613"/>
      <c r="AB11" s="613"/>
      <c r="AC11" s="613"/>
      <c r="AD11" s="614"/>
      <c r="AE11" s="615"/>
      <c r="AF11" s="604"/>
      <c r="AG11" s="604"/>
      <c r="AH11" s="604"/>
      <c r="AI11" s="616"/>
      <c r="AJ11" s="617"/>
      <c r="AK11" s="613"/>
      <c r="AL11" s="613"/>
      <c r="AM11" s="613"/>
      <c r="AN11" s="618"/>
    </row>
    <row r="12" spans="1:40" ht="12.75" customHeight="1" x14ac:dyDescent="0.2">
      <c r="A12" s="138"/>
      <c r="B12" s="640" t="s">
        <v>151</v>
      </c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640"/>
      <c r="R12" s="640"/>
      <c r="S12" s="640"/>
      <c r="T12" s="640"/>
      <c r="U12" s="627">
        <f>12*2500*12</f>
        <v>360000</v>
      </c>
      <c r="V12" s="627"/>
      <c r="W12" s="627"/>
      <c r="X12" s="627"/>
      <c r="Y12" s="627"/>
      <c r="Z12" s="613" t="s">
        <v>601</v>
      </c>
      <c r="AA12" s="613"/>
      <c r="AB12" s="613"/>
      <c r="AC12" s="613"/>
      <c r="AD12" s="614"/>
      <c r="AE12" s="663">
        <f>12*2500*12</f>
        <v>360000</v>
      </c>
      <c r="AF12" s="627"/>
      <c r="AG12" s="627"/>
      <c r="AH12" s="627"/>
      <c r="AI12" s="664"/>
      <c r="AJ12" s="617" t="s">
        <v>601</v>
      </c>
      <c r="AK12" s="613"/>
      <c r="AL12" s="613"/>
      <c r="AM12" s="613"/>
      <c r="AN12" s="618"/>
    </row>
    <row r="13" spans="1:40" ht="29.25" customHeight="1" x14ac:dyDescent="0.2">
      <c r="A13" s="138"/>
      <c r="B13" s="619" t="s">
        <v>509</v>
      </c>
      <c r="C13" s="619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29">
        <v>2580723</v>
      </c>
      <c r="V13" s="629"/>
      <c r="W13" s="629"/>
      <c r="X13" s="629"/>
      <c r="Y13" s="629"/>
      <c r="Z13" s="613" t="s">
        <v>601</v>
      </c>
      <c r="AA13" s="613"/>
      <c r="AB13" s="613"/>
      <c r="AC13" s="613"/>
      <c r="AD13" s="614"/>
      <c r="AE13" s="665">
        <v>2642849</v>
      </c>
      <c r="AF13" s="629"/>
      <c r="AG13" s="629"/>
      <c r="AH13" s="629"/>
      <c r="AI13" s="644"/>
      <c r="AJ13" s="617" t="s">
        <v>601</v>
      </c>
      <c r="AK13" s="613"/>
      <c r="AL13" s="613"/>
      <c r="AM13" s="613"/>
      <c r="AN13" s="618"/>
    </row>
    <row r="14" spans="1:40" x14ac:dyDescent="0.2">
      <c r="A14" s="138"/>
      <c r="B14" s="625" t="s">
        <v>399</v>
      </c>
      <c r="C14" s="625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7">
        <f>25*1842</f>
        <v>46050</v>
      </c>
      <c r="V14" s="627"/>
      <c r="W14" s="627"/>
      <c r="X14" s="627"/>
      <c r="Y14" s="627"/>
      <c r="Z14" s="613" t="s">
        <v>601</v>
      </c>
      <c r="AA14" s="613"/>
      <c r="AB14" s="613"/>
      <c r="AC14" s="613"/>
      <c r="AD14" s="614"/>
      <c r="AE14" s="663">
        <f>25*1842</f>
        <v>46050</v>
      </c>
      <c r="AF14" s="627"/>
      <c r="AG14" s="627"/>
      <c r="AH14" s="627"/>
      <c r="AI14" s="664"/>
      <c r="AJ14" s="617" t="s">
        <v>601</v>
      </c>
      <c r="AK14" s="613"/>
      <c r="AL14" s="613"/>
      <c r="AM14" s="613"/>
      <c r="AN14" s="618"/>
    </row>
    <row r="15" spans="1:40" ht="12.75" customHeight="1" x14ac:dyDescent="0.2">
      <c r="A15" s="138"/>
      <c r="B15" s="619" t="s">
        <v>400</v>
      </c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27">
        <v>150000</v>
      </c>
      <c r="V15" s="627"/>
      <c r="W15" s="627"/>
      <c r="X15" s="627"/>
      <c r="Y15" s="627"/>
      <c r="Z15" s="613" t="s">
        <v>601</v>
      </c>
      <c r="AA15" s="613"/>
      <c r="AB15" s="613"/>
      <c r="AC15" s="613"/>
      <c r="AD15" s="614"/>
      <c r="AE15" s="663">
        <v>150000</v>
      </c>
      <c r="AF15" s="627"/>
      <c r="AG15" s="627"/>
      <c r="AH15" s="627"/>
      <c r="AI15" s="664"/>
      <c r="AJ15" s="617" t="s">
        <v>601</v>
      </c>
      <c r="AK15" s="613"/>
      <c r="AL15" s="613"/>
      <c r="AM15" s="613"/>
      <c r="AN15" s="618"/>
    </row>
    <row r="16" spans="1:40" ht="12.75" customHeight="1" x14ac:dyDescent="0.2">
      <c r="A16" s="138"/>
      <c r="B16" s="619" t="s">
        <v>401</v>
      </c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29">
        <f>200*1842</f>
        <v>368400</v>
      </c>
      <c r="V16" s="629"/>
      <c r="W16" s="629"/>
      <c r="X16" s="629"/>
      <c r="Y16" s="629"/>
      <c r="Z16" s="613" t="s">
        <v>601</v>
      </c>
      <c r="AA16" s="613"/>
      <c r="AB16" s="613"/>
      <c r="AC16" s="613"/>
      <c r="AD16" s="614"/>
      <c r="AE16" s="665">
        <f>200*1842</f>
        <v>368400</v>
      </c>
      <c r="AF16" s="629"/>
      <c r="AG16" s="629"/>
      <c r="AH16" s="629"/>
      <c r="AI16" s="644"/>
      <c r="AJ16" s="617" t="s">
        <v>601</v>
      </c>
      <c r="AK16" s="613"/>
      <c r="AL16" s="613"/>
      <c r="AM16" s="613"/>
      <c r="AN16" s="618"/>
    </row>
    <row r="17" spans="1:40" ht="12.75" customHeight="1" x14ac:dyDescent="0.2">
      <c r="A17" s="138"/>
      <c r="B17" s="641" t="s">
        <v>402</v>
      </c>
      <c r="C17" s="642"/>
      <c r="D17" s="642"/>
      <c r="E17" s="642"/>
      <c r="F17" s="642"/>
      <c r="G17" s="642"/>
      <c r="H17" s="642"/>
      <c r="I17" s="642"/>
      <c r="J17" s="642"/>
      <c r="K17" s="642"/>
      <c r="L17" s="642"/>
      <c r="M17" s="642"/>
      <c r="N17" s="642"/>
      <c r="O17" s="642"/>
      <c r="P17" s="642"/>
      <c r="Q17" s="642"/>
      <c r="R17" s="642"/>
      <c r="S17" s="642"/>
      <c r="T17" s="643"/>
      <c r="U17" s="644">
        <f>1842*80*12</f>
        <v>1768320</v>
      </c>
      <c r="V17" s="645"/>
      <c r="W17" s="645"/>
      <c r="X17" s="645"/>
      <c r="Y17" s="646"/>
      <c r="Z17" s="613" t="s">
        <v>601</v>
      </c>
      <c r="AA17" s="613"/>
      <c r="AB17" s="613"/>
      <c r="AC17" s="613"/>
      <c r="AD17" s="614"/>
      <c r="AE17" s="666">
        <v>0</v>
      </c>
      <c r="AF17" s="645"/>
      <c r="AG17" s="645"/>
      <c r="AH17" s="645"/>
      <c r="AI17" s="645"/>
      <c r="AJ17" s="617" t="s">
        <v>601</v>
      </c>
      <c r="AK17" s="613"/>
      <c r="AL17" s="613"/>
      <c r="AM17" s="613"/>
      <c r="AN17" s="618"/>
    </row>
    <row r="18" spans="1:40" ht="23.25" customHeight="1" x14ac:dyDescent="0.2">
      <c r="A18" s="138"/>
      <c r="B18" s="619" t="s">
        <v>403</v>
      </c>
      <c r="C18" s="619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29">
        <f>60*1842</f>
        <v>110520</v>
      </c>
      <c r="V18" s="629"/>
      <c r="W18" s="629"/>
      <c r="X18" s="629"/>
      <c r="Y18" s="629"/>
      <c r="Z18" s="613" t="s">
        <v>601</v>
      </c>
      <c r="AA18" s="613"/>
      <c r="AB18" s="613"/>
      <c r="AC18" s="613"/>
      <c r="AD18" s="614"/>
      <c r="AE18" s="665">
        <f>60*1842</f>
        <v>110520</v>
      </c>
      <c r="AF18" s="629"/>
      <c r="AG18" s="629"/>
      <c r="AH18" s="629"/>
      <c r="AI18" s="644"/>
      <c r="AJ18" s="617" t="s">
        <v>601</v>
      </c>
      <c r="AK18" s="613"/>
      <c r="AL18" s="613"/>
      <c r="AM18" s="613"/>
      <c r="AN18" s="618"/>
    </row>
    <row r="19" spans="1:40" ht="23.25" customHeight="1" x14ac:dyDescent="0.2">
      <c r="A19" s="138"/>
      <c r="B19" s="640" t="s">
        <v>404</v>
      </c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29">
        <v>397149</v>
      </c>
      <c r="V19" s="629"/>
      <c r="W19" s="629"/>
      <c r="X19" s="629"/>
      <c r="Y19" s="629"/>
      <c r="Z19" s="613" t="s">
        <v>601</v>
      </c>
      <c r="AA19" s="613"/>
      <c r="AB19" s="613"/>
      <c r="AC19" s="613"/>
      <c r="AD19" s="614"/>
      <c r="AE19" s="665">
        <v>397149</v>
      </c>
      <c r="AF19" s="629"/>
      <c r="AG19" s="629"/>
      <c r="AH19" s="629"/>
      <c r="AI19" s="644"/>
      <c r="AJ19" s="617" t="s">
        <v>601</v>
      </c>
      <c r="AK19" s="613"/>
      <c r="AL19" s="613"/>
      <c r="AM19" s="613"/>
      <c r="AN19" s="618"/>
    </row>
    <row r="20" spans="1:40" ht="34.5" customHeight="1" x14ac:dyDescent="0.2">
      <c r="A20" s="138"/>
      <c r="B20" s="640" t="s">
        <v>595</v>
      </c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40"/>
      <c r="S20" s="640"/>
      <c r="T20" s="640"/>
      <c r="U20" s="629"/>
      <c r="V20" s="629"/>
      <c r="W20" s="629"/>
      <c r="X20" s="629"/>
      <c r="Y20" s="629"/>
      <c r="Z20" s="613" t="s">
        <v>601</v>
      </c>
      <c r="AA20" s="613"/>
      <c r="AB20" s="613"/>
      <c r="AC20" s="613"/>
      <c r="AD20" s="614"/>
      <c r="AE20" s="665">
        <v>153848</v>
      </c>
      <c r="AF20" s="629"/>
      <c r="AG20" s="629"/>
      <c r="AH20" s="629"/>
      <c r="AI20" s="644"/>
      <c r="AJ20" s="617" t="s">
        <v>601</v>
      </c>
      <c r="AK20" s="613"/>
      <c r="AL20" s="613"/>
      <c r="AM20" s="613"/>
      <c r="AN20" s="618"/>
    </row>
    <row r="21" spans="1:40" s="498" customFormat="1" ht="34.5" customHeight="1" x14ac:dyDescent="0.2">
      <c r="A21" s="499"/>
      <c r="B21" s="640" t="s">
        <v>849</v>
      </c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640"/>
      <c r="R21" s="640"/>
      <c r="S21" s="640"/>
      <c r="T21" s="640"/>
      <c r="U21" s="629"/>
      <c r="V21" s="629"/>
      <c r="W21" s="629"/>
      <c r="X21" s="629"/>
      <c r="Y21" s="629"/>
      <c r="Z21" s="613" t="s">
        <v>601</v>
      </c>
      <c r="AA21" s="613"/>
      <c r="AB21" s="613"/>
      <c r="AC21" s="613"/>
      <c r="AD21" s="614"/>
      <c r="AE21" s="665">
        <v>184200</v>
      </c>
      <c r="AF21" s="629"/>
      <c r="AG21" s="629"/>
      <c r="AH21" s="629"/>
      <c r="AI21" s="644"/>
      <c r="AJ21" s="617" t="s">
        <v>601</v>
      </c>
      <c r="AK21" s="613"/>
      <c r="AL21" s="613"/>
      <c r="AM21" s="613"/>
      <c r="AN21" s="618"/>
    </row>
    <row r="22" spans="1:40" ht="19.5" customHeight="1" thickBot="1" x14ac:dyDescent="0.25">
      <c r="A22" s="138"/>
      <c r="B22" s="621" t="s">
        <v>152</v>
      </c>
      <c r="C22" s="621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2">
        <f>SUM(U12:Y19)</f>
        <v>5781162</v>
      </c>
      <c r="V22" s="622"/>
      <c r="W22" s="622"/>
      <c r="X22" s="622"/>
      <c r="Y22" s="622"/>
      <c r="Z22" s="613" t="s">
        <v>601</v>
      </c>
      <c r="AA22" s="613"/>
      <c r="AB22" s="613"/>
      <c r="AC22" s="613"/>
      <c r="AD22" s="614"/>
      <c r="AE22" s="624">
        <f>SUM(AE12:AI21)</f>
        <v>4413016</v>
      </c>
      <c r="AF22" s="622"/>
      <c r="AG22" s="622"/>
      <c r="AH22" s="622"/>
      <c r="AI22" s="623"/>
      <c r="AJ22" s="617" t="s">
        <v>601</v>
      </c>
      <c r="AK22" s="613"/>
      <c r="AL22" s="613"/>
      <c r="AM22" s="613"/>
      <c r="AN22" s="618"/>
    </row>
    <row r="23" spans="1:40" ht="31.5" customHeight="1" thickBot="1" x14ac:dyDescent="0.25">
      <c r="A23" s="138"/>
      <c r="B23" s="639" t="s">
        <v>597</v>
      </c>
      <c r="C23" s="639"/>
      <c r="D23" s="639"/>
      <c r="E23" s="639"/>
      <c r="F23" s="639"/>
      <c r="G23" s="639"/>
      <c r="H23" s="639"/>
      <c r="I23" s="639"/>
      <c r="J23" s="639"/>
      <c r="K23" s="639"/>
      <c r="L23" s="639"/>
      <c r="M23" s="639"/>
      <c r="N23" s="639"/>
      <c r="O23" s="639"/>
      <c r="P23" s="639"/>
      <c r="Q23" s="639"/>
      <c r="R23" s="639"/>
      <c r="S23" s="639"/>
      <c r="T23" s="639"/>
      <c r="U23" s="604"/>
      <c r="V23" s="604"/>
      <c r="W23" s="604"/>
      <c r="X23" s="604"/>
      <c r="Y23" s="604"/>
      <c r="Z23" s="613"/>
      <c r="AA23" s="613"/>
      <c r="AB23" s="613"/>
      <c r="AC23" s="613"/>
      <c r="AD23" s="614"/>
      <c r="AE23" s="679"/>
      <c r="AF23" s="632"/>
      <c r="AG23" s="632"/>
      <c r="AH23" s="632"/>
      <c r="AI23" s="680"/>
      <c r="AJ23" s="681"/>
      <c r="AK23" s="682"/>
      <c r="AL23" s="682"/>
      <c r="AM23" s="682"/>
      <c r="AN23" s="683"/>
    </row>
    <row r="24" spans="1:40" ht="19.5" customHeight="1" thickBot="1" x14ac:dyDescent="0.25">
      <c r="A24" s="138"/>
      <c r="B24" s="625" t="s">
        <v>600</v>
      </c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9"/>
      <c r="V24" s="629"/>
      <c r="W24" s="629"/>
      <c r="X24" s="629"/>
      <c r="Y24" s="629"/>
      <c r="Z24" s="613"/>
      <c r="AA24" s="613"/>
      <c r="AB24" s="613"/>
      <c r="AC24" s="613"/>
      <c r="AD24" s="614"/>
      <c r="AE24" s="684">
        <v>1000000</v>
      </c>
      <c r="AF24" s="685"/>
      <c r="AG24" s="685"/>
      <c r="AH24" s="685"/>
      <c r="AI24" s="686"/>
      <c r="AJ24" s="670" t="s">
        <v>598</v>
      </c>
      <c r="AK24" s="671"/>
      <c r="AL24" s="671"/>
      <c r="AM24" s="671"/>
      <c r="AN24" s="672"/>
    </row>
    <row r="25" spans="1:40" ht="19.5" customHeight="1" x14ac:dyDescent="0.2">
      <c r="A25" s="138"/>
      <c r="B25" s="630" t="s">
        <v>599</v>
      </c>
      <c r="C25" s="631"/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2"/>
      <c r="V25" s="632"/>
      <c r="W25" s="632"/>
      <c r="X25" s="632"/>
      <c r="Y25" s="632"/>
      <c r="Z25" s="633"/>
      <c r="AA25" s="633"/>
      <c r="AB25" s="633"/>
      <c r="AC25" s="633"/>
      <c r="AD25" s="634"/>
      <c r="AE25" s="667">
        <v>1000000</v>
      </c>
      <c r="AF25" s="668"/>
      <c r="AG25" s="668"/>
      <c r="AH25" s="668"/>
      <c r="AI25" s="669"/>
      <c r="AJ25" s="673" t="s">
        <v>598</v>
      </c>
      <c r="AK25" s="674"/>
      <c r="AL25" s="674"/>
      <c r="AM25" s="674"/>
      <c r="AN25" s="675"/>
    </row>
    <row r="26" spans="1:40" s="498" customFormat="1" ht="19.5" customHeight="1" thickBot="1" x14ac:dyDescent="0.25">
      <c r="A26" s="262"/>
      <c r="B26" s="630" t="s">
        <v>850</v>
      </c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2"/>
      <c r="V26" s="632"/>
      <c r="W26" s="632"/>
      <c r="X26" s="632"/>
      <c r="Y26" s="632"/>
      <c r="Z26" s="633"/>
      <c r="AA26" s="633"/>
      <c r="AB26" s="633"/>
      <c r="AC26" s="633"/>
      <c r="AD26" s="634"/>
      <c r="AE26" s="667">
        <v>826795</v>
      </c>
      <c r="AF26" s="668"/>
      <c r="AG26" s="668"/>
      <c r="AH26" s="668"/>
      <c r="AI26" s="669"/>
      <c r="AJ26" s="676" t="s">
        <v>598</v>
      </c>
      <c r="AK26" s="677"/>
      <c r="AL26" s="677"/>
      <c r="AM26" s="677"/>
      <c r="AN26" s="678"/>
    </row>
    <row r="27" spans="1:40" ht="30.75" customHeight="1" thickBot="1" x14ac:dyDescent="0.25">
      <c r="A27" s="262"/>
      <c r="B27" s="635" t="s">
        <v>597</v>
      </c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7"/>
      <c r="V27" s="637"/>
      <c r="W27" s="637"/>
      <c r="X27" s="637"/>
      <c r="Y27" s="637"/>
      <c r="Z27" s="611"/>
      <c r="AA27" s="611"/>
      <c r="AB27" s="611"/>
      <c r="AC27" s="611"/>
      <c r="AD27" s="638"/>
      <c r="AE27" s="687">
        <f>AE24+AE25+AE26</f>
        <v>2826795</v>
      </c>
      <c r="AF27" s="688"/>
      <c r="AG27" s="688"/>
      <c r="AH27" s="688"/>
      <c r="AI27" s="689"/>
      <c r="AJ27" s="610" t="s">
        <v>598</v>
      </c>
      <c r="AK27" s="611"/>
      <c r="AL27" s="611"/>
      <c r="AM27" s="611"/>
      <c r="AN27" s="612"/>
    </row>
    <row r="28" spans="1:40" ht="19.5" customHeight="1" x14ac:dyDescent="0.2">
      <c r="A28" s="138"/>
      <c r="B28" s="639" t="s">
        <v>153</v>
      </c>
      <c r="C28" s="639"/>
      <c r="D28" s="639"/>
      <c r="E28" s="639"/>
      <c r="F28" s="639"/>
      <c r="G28" s="639"/>
      <c r="H28" s="639"/>
      <c r="I28" s="639"/>
      <c r="J28" s="639"/>
      <c r="K28" s="639"/>
      <c r="L28" s="639"/>
      <c r="M28" s="639"/>
      <c r="N28" s="639"/>
      <c r="O28" s="639"/>
      <c r="P28" s="639"/>
      <c r="Q28" s="639"/>
      <c r="R28" s="639"/>
      <c r="S28" s="639"/>
      <c r="T28" s="639"/>
      <c r="U28" s="604"/>
      <c r="V28" s="604"/>
      <c r="W28" s="604"/>
      <c r="X28" s="604"/>
      <c r="Y28" s="604"/>
      <c r="Z28" s="613"/>
      <c r="AA28" s="613"/>
      <c r="AB28" s="613"/>
      <c r="AC28" s="613"/>
      <c r="AD28" s="614"/>
      <c r="AE28" s="615"/>
      <c r="AF28" s="604"/>
      <c r="AG28" s="604"/>
      <c r="AH28" s="604"/>
      <c r="AI28" s="616"/>
      <c r="AJ28" s="617"/>
      <c r="AK28" s="613"/>
      <c r="AL28" s="613"/>
      <c r="AM28" s="613"/>
      <c r="AN28" s="618"/>
    </row>
    <row r="29" spans="1:40" ht="19.5" customHeight="1" x14ac:dyDescent="0.2">
      <c r="A29" s="138"/>
      <c r="B29" s="625" t="s">
        <v>603</v>
      </c>
      <c r="C29" s="628"/>
      <c r="D29" s="628"/>
      <c r="E29" s="628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28"/>
      <c r="T29" s="628"/>
      <c r="U29" s="629">
        <v>500000</v>
      </c>
      <c r="V29" s="629"/>
      <c r="W29" s="629"/>
      <c r="X29" s="629"/>
      <c r="Y29" s="629"/>
      <c r="Z29" s="613" t="s">
        <v>596</v>
      </c>
      <c r="AA29" s="613"/>
      <c r="AB29" s="613"/>
      <c r="AC29" s="613"/>
      <c r="AD29" s="614"/>
      <c r="AE29" s="665">
        <f>700000+55600</f>
        <v>755600</v>
      </c>
      <c r="AF29" s="629"/>
      <c r="AG29" s="629"/>
      <c r="AH29" s="629"/>
      <c r="AI29" s="644"/>
      <c r="AJ29" s="617" t="s">
        <v>596</v>
      </c>
      <c r="AK29" s="613"/>
      <c r="AL29" s="613"/>
      <c r="AM29" s="613"/>
      <c r="AN29" s="618"/>
    </row>
    <row r="30" spans="1:40" ht="19.5" customHeight="1" x14ac:dyDescent="0.2">
      <c r="A30" s="138"/>
      <c r="B30" s="625" t="s">
        <v>604</v>
      </c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25"/>
      <c r="S30" s="625"/>
      <c r="T30" s="625"/>
      <c r="U30" s="604">
        <v>1700000</v>
      </c>
      <c r="V30" s="604"/>
      <c r="W30" s="604"/>
      <c r="X30" s="604"/>
      <c r="Y30" s="604"/>
      <c r="Z30" s="613" t="s">
        <v>596</v>
      </c>
      <c r="AA30" s="613"/>
      <c r="AB30" s="613"/>
      <c r="AC30" s="613"/>
      <c r="AD30" s="614"/>
      <c r="AE30" s="615">
        <v>1750000</v>
      </c>
      <c r="AF30" s="604"/>
      <c r="AG30" s="604"/>
      <c r="AH30" s="604"/>
      <c r="AI30" s="616"/>
      <c r="AJ30" s="617" t="s">
        <v>596</v>
      </c>
      <c r="AK30" s="613"/>
      <c r="AL30" s="613"/>
      <c r="AM30" s="613"/>
      <c r="AN30" s="618"/>
    </row>
    <row r="31" spans="1:40" ht="19.5" customHeight="1" x14ac:dyDescent="0.2">
      <c r="A31" s="138"/>
      <c r="B31" s="625" t="s">
        <v>405</v>
      </c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25"/>
      <c r="S31" s="625"/>
      <c r="T31" s="625"/>
      <c r="U31" s="604">
        <v>50000</v>
      </c>
      <c r="V31" s="604"/>
      <c r="W31" s="604"/>
      <c r="X31" s="604"/>
      <c r="Y31" s="604"/>
      <c r="Z31" s="613" t="s">
        <v>596</v>
      </c>
      <c r="AA31" s="613"/>
      <c r="AB31" s="613"/>
      <c r="AC31" s="613"/>
      <c r="AD31" s="614"/>
      <c r="AE31" s="615"/>
      <c r="AF31" s="604"/>
      <c r="AG31" s="604"/>
      <c r="AH31" s="604"/>
      <c r="AI31" s="616"/>
      <c r="AJ31" s="617" t="s">
        <v>596</v>
      </c>
      <c r="AK31" s="613"/>
      <c r="AL31" s="613"/>
      <c r="AM31" s="613"/>
      <c r="AN31" s="618"/>
    </row>
    <row r="32" spans="1:40" ht="19.5" customHeight="1" x14ac:dyDescent="0.2">
      <c r="A32" s="138"/>
      <c r="B32" s="625" t="s">
        <v>154</v>
      </c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25"/>
      <c r="S32" s="625"/>
      <c r="T32" s="625"/>
      <c r="U32" s="604">
        <v>30000</v>
      </c>
      <c r="V32" s="604"/>
      <c r="W32" s="604"/>
      <c r="X32" s="604"/>
      <c r="Y32" s="604"/>
      <c r="Z32" s="613" t="s">
        <v>596</v>
      </c>
      <c r="AA32" s="613"/>
      <c r="AB32" s="613"/>
      <c r="AC32" s="613"/>
      <c r="AD32" s="614"/>
      <c r="AE32" s="615">
        <v>30000</v>
      </c>
      <c r="AF32" s="604"/>
      <c r="AG32" s="604"/>
      <c r="AH32" s="604"/>
      <c r="AI32" s="616"/>
      <c r="AJ32" s="617" t="s">
        <v>596</v>
      </c>
      <c r="AK32" s="613"/>
      <c r="AL32" s="613"/>
      <c r="AM32" s="613"/>
      <c r="AN32" s="618"/>
    </row>
    <row r="33" spans="1:44" ht="19.5" customHeight="1" x14ac:dyDescent="0.2">
      <c r="A33" s="138"/>
      <c r="B33" s="625" t="s">
        <v>530</v>
      </c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  <c r="S33" s="625"/>
      <c r="T33" s="626"/>
      <c r="U33" s="604"/>
      <c r="V33" s="604"/>
      <c r="W33" s="604"/>
      <c r="X33" s="604"/>
      <c r="Y33" s="604"/>
      <c r="Z33" s="613" t="s">
        <v>596</v>
      </c>
      <c r="AA33" s="613"/>
      <c r="AB33" s="613"/>
      <c r="AC33" s="613"/>
      <c r="AD33" s="614"/>
      <c r="AE33" s="615">
        <v>50000</v>
      </c>
      <c r="AF33" s="604"/>
      <c r="AG33" s="604"/>
      <c r="AH33" s="604"/>
      <c r="AI33" s="616"/>
      <c r="AJ33" s="617" t="s">
        <v>596</v>
      </c>
      <c r="AK33" s="613"/>
      <c r="AL33" s="613"/>
      <c r="AM33" s="613"/>
      <c r="AN33" s="618"/>
    </row>
    <row r="34" spans="1:44" ht="19.5" customHeight="1" x14ac:dyDescent="0.2">
      <c r="A34" s="138"/>
      <c r="B34" s="625" t="s">
        <v>406</v>
      </c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25"/>
      <c r="S34" s="625"/>
      <c r="T34" s="625"/>
      <c r="U34" s="627">
        <f>8400*12</f>
        <v>100800</v>
      </c>
      <c r="V34" s="627"/>
      <c r="W34" s="627"/>
      <c r="X34" s="627"/>
      <c r="Y34" s="627"/>
      <c r="Z34" s="613" t="s">
        <v>596</v>
      </c>
      <c r="AA34" s="613"/>
      <c r="AB34" s="613"/>
      <c r="AC34" s="613"/>
      <c r="AD34" s="614"/>
      <c r="AE34" s="663">
        <f>8400*12</f>
        <v>100800</v>
      </c>
      <c r="AF34" s="627"/>
      <c r="AG34" s="627"/>
      <c r="AH34" s="627"/>
      <c r="AI34" s="664"/>
      <c r="AJ34" s="617" t="s">
        <v>596</v>
      </c>
      <c r="AK34" s="613"/>
      <c r="AL34" s="613"/>
      <c r="AM34" s="613"/>
      <c r="AN34" s="618"/>
    </row>
    <row r="35" spans="1:44" ht="19.5" customHeight="1" x14ac:dyDescent="0.2">
      <c r="A35" s="138"/>
      <c r="B35" s="619" t="s">
        <v>531</v>
      </c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20"/>
      <c r="U35" s="604"/>
      <c r="V35" s="604"/>
      <c r="W35" s="604"/>
      <c r="X35" s="604"/>
      <c r="Y35" s="604"/>
      <c r="Z35" s="613"/>
      <c r="AA35" s="613"/>
      <c r="AB35" s="613"/>
      <c r="AC35" s="613"/>
      <c r="AD35" s="614"/>
      <c r="AE35" s="615">
        <v>50000</v>
      </c>
      <c r="AF35" s="604"/>
      <c r="AG35" s="604"/>
      <c r="AH35" s="604"/>
      <c r="AI35" s="616"/>
      <c r="AJ35" s="617" t="s">
        <v>596</v>
      </c>
      <c r="AK35" s="613"/>
      <c r="AL35" s="613"/>
      <c r="AM35" s="613"/>
      <c r="AN35" s="618"/>
    </row>
    <row r="36" spans="1:44" ht="19.5" customHeight="1" x14ac:dyDescent="0.2">
      <c r="A36" s="138"/>
      <c r="B36" s="619" t="s">
        <v>602</v>
      </c>
      <c r="C36" s="619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20"/>
      <c r="U36" s="604"/>
      <c r="V36" s="604"/>
      <c r="W36" s="604"/>
      <c r="X36" s="604"/>
      <c r="Y36" s="604"/>
      <c r="Z36" s="613"/>
      <c r="AA36" s="613"/>
      <c r="AB36" s="613"/>
      <c r="AC36" s="613"/>
      <c r="AD36" s="614"/>
      <c r="AE36" s="615">
        <v>20000</v>
      </c>
      <c r="AF36" s="604"/>
      <c r="AG36" s="604"/>
      <c r="AH36" s="604"/>
      <c r="AI36" s="616"/>
      <c r="AJ36" s="617" t="s">
        <v>596</v>
      </c>
      <c r="AK36" s="613"/>
      <c r="AL36" s="613"/>
      <c r="AM36" s="613"/>
      <c r="AN36" s="618"/>
    </row>
    <row r="37" spans="1:44" ht="19.5" customHeight="1" x14ac:dyDescent="0.2">
      <c r="A37" s="138"/>
      <c r="B37" s="619" t="s">
        <v>605</v>
      </c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20"/>
      <c r="U37" s="604"/>
      <c r="V37" s="604"/>
      <c r="W37" s="604"/>
      <c r="X37" s="604"/>
      <c r="Y37" s="604"/>
      <c r="Z37" s="613"/>
      <c r="AA37" s="613"/>
      <c r="AB37" s="613"/>
      <c r="AC37" s="613"/>
      <c r="AD37" s="614"/>
      <c r="AE37" s="615">
        <v>30000</v>
      </c>
      <c r="AF37" s="604"/>
      <c r="AG37" s="604"/>
      <c r="AH37" s="604"/>
      <c r="AI37" s="616"/>
      <c r="AJ37" s="617" t="s">
        <v>596</v>
      </c>
      <c r="AK37" s="613"/>
      <c r="AL37" s="613"/>
      <c r="AM37" s="613"/>
      <c r="AN37" s="618"/>
    </row>
    <row r="38" spans="1:44" s="498" customFormat="1" ht="19.5" customHeight="1" x14ac:dyDescent="0.2">
      <c r="A38" s="499"/>
      <c r="B38" s="619" t="s">
        <v>847</v>
      </c>
      <c r="C38" s="619"/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20"/>
      <c r="U38" s="604"/>
      <c r="V38" s="604"/>
      <c r="W38" s="604"/>
      <c r="X38" s="604"/>
      <c r="Y38" s="604"/>
      <c r="Z38" s="613"/>
      <c r="AA38" s="613"/>
      <c r="AB38" s="613"/>
      <c r="AC38" s="613"/>
      <c r="AD38" s="614"/>
      <c r="AE38" s="615">
        <v>50000</v>
      </c>
      <c r="AF38" s="604"/>
      <c r="AG38" s="604"/>
      <c r="AH38" s="604"/>
      <c r="AI38" s="616"/>
      <c r="AJ38" s="617" t="s">
        <v>596</v>
      </c>
      <c r="AK38" s="613"/>
      <c r="AL38" s="613"/>
      <c r="AM38" s="613"/>
      <c r="AN38" s="618"/>
    </row>
    <row r="39" spans="1:44" s="498" customFormat="1" ht="19.5" customHeight="1" x14ac:dyDescent="0.2">
      <c r="A39" s="499"/>
      <c r="B39" s="619" t="s">
        <v>848</v>
      </c>
      <c r="C39" s="619"/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20"/>
      <c r="U39" s="604"/>
      <c r="V39" s="604"/>
      <c r="W39" s="604"/>
      <c r="X39" s="604"/>
      <c r="Y39" s="604"/>
      <c r="Z39" s="613"/>
      <c r="AA39" s="613"/>
      <c r="AB39" s="613"/>
      <c r="AC39" s="613"/>
      <c r="AD39" s="614"/>
      <c r="AE39" s="615">
        <v>200000</v>
      </c>
      <c r="AF39" s="604"/>
      <c r="AG39" s="604"/>
      <c r="AH39" s="604"/>
      <c r="AI39" s="616"/>
      <c r="AJ39" s="617" t="s">
        <v>596</v>
      </c>
      <c r="AK39" s="613"/>
      <c r="AL39" s="613"/>
      <c r="AM39" s="613"/>
      <c r="AN39" s="618"/>
    </row>
    <row r="40" spans="1:44" s="498" customFormat="1" ht="19.5" customHeight="1" x14ac:dyDescent="0.2">
      <c r="A40" s="499"/>
      <c r="B40" s="619" t="s">
        <v>846</v>
      </c>
      <c r="C40" s="619"/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20"/>
      <c r="U40" s="604"/>
      <c r="V40" s="604"/>
      <c r="W40" s="604"/>
      <c r="X40" s="604"/>
      <c r="Y40" s="604"/>
      <c r="Z40" s="613"/>
      <c r="AA40" s="613"/>
      <c r="AB40" s="613"/>
      <c r="AC40" s="613"/>
      <c r="AD40" s="614"/>
      <c r="AE40" s="615">
        <v>9696700</v>
      </c>
      <c r="AF40" s="604"/>
      <c r="AG40" s="604"/>
      <c r="AH40" s="604"/>
      <c r="AI40" s="616"/>
      <c r="AJ40" s="617" t="s">
        <v>596</v>
      </c>
      <c r="AK40" s="613"/>
      <c r="AL40" s="613"/>
      <c r="AM40" s="613"/>
      <c r="AN40" s="618"/>
      <c r="AO40" s="135"/>
      <c r="AP40" s="135"/>
      <c r="AQ40" s="135"/>
      <c r="AR40" s="135"/>
    </row>
    <row r="41" spans="1:44" ht="19.5" customHeight="1" thickBot="1" x14ac:dyDescent="0.25">
      <c r="A41" s="138"/>
      <c r="B41" s="621" t="s">
        <v>155</v>
      </c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2">
        <f>SUM(U24:Y35)</f>
        <v>2380800</v>
      </c>
      <c r="V41" s="622"/>
      <c r="W41" s="622"/>
      <c r="X41" s="622"/>
      <c r="Y41" s="622"/>
      <c r="Z41" s="613"/>
      <c r="AA41" s="613"/>
      <c r="AB41" s="613"/>
      <c r="AC41" s="613"/>
      <c r="AD41" s="614"/>
      <c r="AE41" s="624">
        <f>AE29+AE30+AE31+AE32+AE33+AE34+AE35+AE36+AE37+AE38+AE39+AE40</f>
        <v>12733100</v>
      </c>
      <c r="AF41" s="622"/>
      <c r="AG41" s="622"/>
      <c r="AH41" s="622"/>
      <c r="AI41" s="623"/>
      <c r="AJ41" s="617"/>
      <c r="AK41" s="613"/>
      <c r="AL41" s="613"/>
      <c r="AM41" s="613"/>
      <c r="AN41" s="618"/>
    </row>
    <row r="42" spans="1:44" ht="19.5" customHeight="1" thickBot="1" x14ac:dyDescent="0.25">
      <c r="A42" s="138"/>
      <c r="B42" s="621" t="s">
        <v>156</v>
      </c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2">
        <f>+U41+U22</f>
        <v>8161962</v>
      </c>
      <c r="V42" s="622"/>
      <c r="W42" s="622"/>
      <c r="X42" s="622"/>
      <c r="Y42" s="622"/>
      <c r="Z42" s="613"/>
      <c r="AA42" s="613"/>
      <c r="AB42" s="613"/>
      <c r="AC42" s="613"/>
      <c r="AD42" s="614"/>
      <c r="AE42" s="624">
        <f>+AE41+AE22+AE27</f>
        <v>19972911</v>
      </c>
      <c r="AF42" s="622"/>
      <c r="AG42" s="622"/>
      <c r="AH42" s="622"/>
      <c r="AI42" s="623"/>
      <c r="AJ42" s="610"/>
      <c r="AK42" s="611"/>
      <c r="AL42" s="611"/>
      <c r="AM42" s="611"/>
      <c r="AN42" s="612"/>
    </row>
    <row r="43" spans="1:44" ht="21.95" customHeight="1" thickBot="1" x14ac:dyDescent="0.25">
      <c r="B43" s="621" t="s">
        <v>606</v>
      </c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2">
        <f>U42</f>
        <v>8161962</v>
      </c>
      <c r="V43" s="622"/>
      <c r="W43" s="622"/>
      <c r="X43" s="622"/>
      <c r="Y43" s="622"/>
      <c r="Z43" s="622"/>
      <c r="AA43" s="622"/>
      <c r="AB43" s="622"/>
      <c r="AC43" s="622"/>
      <c r="AD43" s="622"/>
      <c r="AE43" s="622">
        <f>AE41+AE27+AE22</f>
        <v>19972911</v>
      </c>
      <c r="AF43" s="622"/>
      <c r="AG43" s="622"/>
      <c r="AH43" s="622"/>
      <c r="AI43" s="623"/>
      <c r="AJ43" s="610"/>
      <c r="AK43" s="611"/>
      <c r="AL43" s="611"/>
      <c r="AM43" s="611"/>
      <c r="AN43" s="612"/>
    </row>
    <row r="44" spans="1:44" ht="21.95" customHeight="1" x14ac:dyDescent="0.2"/>
    <row r="45" spans="1:44" ht="21.95" customHeight="1" x14ac:dyDescent="0.2"/>
    <row r="46" spans="1:44" ht="21.95" customHeight="1" x14ac:dyDescent="0.2"/>
    <row r="47" spans="1:44" ht="21.95" customHeight="1" x14ac:dyDescent="0.2"/>
    <row r="48" spans="1:44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108" spans="2:5" x14ac:dyDescent="0.2">
      <c r="B108" s="139"/>
      <c r="C108" s="139"/>
      <c r="D108" s="139"/>
      <c r="E108" s="139"/>
    </row>
    <row r="109" spans="2:5" x14ac:dyDescent="0.2">
      <c r="B109" s="139"/>
      <c r="C109" s="139"/>
      <c r="D109" s="139"/>
      <c r="E109" s="139"/>
    </row>
    <row r="110" spans="2:5" x14ac:dyDescent="0.2">
      <c r="B110" s="139"/>
      <c r="C110" s="139"/>
      <c r="D110" s="139"/>
      <c r="E110" s="139"/>
    </row>
    <row r="111" spans="2:5" x14ac:dyDescent="0.2">
      <c r="B111" s="139"/>
      <c r="C111" s="139"/>
      <c r="D111" s="139"/>
      <c r="E111" s="139"/>
    </row>
    <row r="112" spans="2:5" x14ac:dyDescent="0.2">
      <c r="B112" s="139"/>
      <c r="C112" s="139"/>
      <c r="D112" s="139"/>
      <c r="E112" s="139"/>
    </row>
    <row r="113" spans="2:5" x14ac:dyDescent="0.2">
      <c r="B113" s="139"/>
      <c r="C113" s="139"/>
      <c r="D113" s="139"/>
      <c r="E113" s="139"/>
    </row>
    <row r="114" spans="2:5" x14ac:dyDescent="0.2">
      <c r="B114" s="139"/>
      <c r="C114" s="139"/>
      <c r="D114" s="139"/>
      <c r="E114" s="139"/>
    </row>
    <row r="115" spans="2:5" x14ac:dyDescent="0.2">
      <c r="B115" s="139"/>
      <c r="C115" s="139"/>
      <c r="D115" s="139"/>
      <c r="E115" s="139"/>
    </row>
    <row r="116" spans="2:5" x14ac:dyDescent="0.2">
      <c r="B116" s="139"/>
      <c r="C116" s="139"/>
      <c r="D116" s="139"/>
      <c r="E116" s="139"/>
    </row>
    <row r="117" spans="2:5" x14ac:dyDescent="0.2">
      <c r="B117" s="139"/>
      <c r="C117" s="139"/>
      <c r="D117" s="139"/>
      <c r="E117" s="139"/>
    </row>
    <row r="118" spans="2:5" x14ac:dyDescent="0.2">
      <c r="B118" s="139"/>
      <c r="C118" s="139"/>
      <c r="D118" s="139"/>
      <c r="E118" s="139"/>
    </row>
    <row r="119" spans="2:5" x14ac:dyDescent="0.2">
      <c r="B119" s="139"/>
      <c r="C119" s="139"/>
      <c r="D119" s="139"/>
      <c r="E119" s="139"/>
    </row>
    <row r="120" spans="2:5" x14ac:dyDescent="0.2">
      <c r="B120" s="139"/>
      <c r="C120" s="139"/>
      <c r="D120" s="139"/>
      <c r="E120" s="139"/>
    </row>
    <row r="121" spans="2:5" x14ac:dyDescent="0.2">
      <c r="B121" s="139"/>
      <c r="C121" s="139"/>
      <c r="D121" s="139"/>
      <c r="E121" s="139"/>
    </row>
    <row r="122" spans="2:5" x14ac:dyDescent="0.2">
      <c r="B122" s="139"/>
      <c r="C122" s="139"/>
      <c r="D122" s="139"/>
      <c r="E122" s="139"/>
    </row>
    <row r="123" spans="2:5" x14ac:dyDescent="0.2">
      <c r="B123" s="139"/>
      <c r="C123" s="139"/>
      <c r="D123" s="139"/>
      <c r="E123" s="139"/>
    </row>
    <row r="124" spans="2:5" x14ac:dyDescent="0.2">
      <c r="B124" s="139"/>
      <c r="C124" s="139"/>
      <c r="D124" s="139"/>
      <c r="E124" s="139"/>
    </row>
    <row r="125" spans="2:5" x14ac:dyDescent="0.2">
      <c r="B125" s="139"/>
      <c r="C125" s="139"/>
      <c r="D125" s="139"/>
      <c r="E125" s="139"/>
    </row>
    <row r="126" spans="2:5" x14ac:dyDescent="0.2">
      <c r="B126" s="139"/>
      <c r="C126" s="139"/>
      <c r="D126" s="139"/>
      <c r="E126" s="139"/>
    </row>
    <row r="127" spans="2:5" x14ac:dyDescent="0.2">
      <c r="B127" s="139"/>
      <c r="C127" s="139"/>
      <c r="D127" s="139"/>
      <c r="E127" s="139"/>
    </row>
    <row r="128" spans="2:5" x14ac:dyDescent="0.2">
      <c r="B128" s="139"/>
      <c r="C128" s="139"/>
      <c r="D128" s="139"/>
      <c r="E128" s="139"/>
    </row>
    <row r="129" spans="2:5" x14ac:dyDescent="0.2">
      <c r="B129" s="139"/>
      <c r="C129" s="139"/>
      <c r="D129" s="139"/>
      <c r="E129" s="139"/>
    </row>
    <row r="130" spans="2:5" x14ac:dyDescent="0.2">
      <c r="B130" s="139"/>
      <c r="C130" s="139"/>
      <c r="D130" s="139"/>
      <c r="E130" s="139"/>
    </row>
    <row r="131" spans="2:5" x14ac:dyDescent="0.2">
      <c r="B131" s="139"/>
      <c r="C131" s="139"/>
      <c r="D131" s="139"/>
      <c r="E131" s="139"/>
    </row>
    <row r="132" spans="2:5" x14ac:dyDescent="0.2">
      <c r="B132" s="139"/>
      <c r="C132" s="139"/>
      <c r="D132" s="139"/>
      <c r="E132" s="139"/>
    </row>
    <row r="133" spans="2:5" x14ac:dyDescent="0.2">
      <c r="B133" s="139"/>
      <c r="C133" s="139"/>
      <c r="D133" s="139"/>
      <c r="E133" s="139"/>
    </row>
    <row r="134" spans="2:5" x14ac:dyDescent="0.2">
      <c r="B134" s="139"/>
      <c r="C134" s="139"/>
      <c r="D134" s="139"/>
      <c r="E134" s="139"/>
    </row>
    <row r="135" spans="2:5" x14ac:dyDescent="0.2">
      <c r="B135" s="139"/>
      <c r="C135" s="139"/>
      <c r="D135" s="139"/>
      <c r="E135" s="139"/>
    </row>
    <row r="136" spans="2:5" x14ac:dyDescent="0.2">
      <c r="B136" s="139"/>
      <c r="C136" s="139"/>
      <c r="D136" s="139"/>
      <c r="E136" s="139"/>
    </row>
    <row r="137" spans="2:5" x14ac:dyDescent="0.2">
      <c r="B137" s="139"/>
      <c r="C137" s="139"/>
      <c r="D137" s="139"/>
      <c r="E137" s="139"/>
    </row>
    <row r="138" spans="2:5" x14ac:dyDescent="0.2">
      <c r="B138" s="139"/>
      <c r="C138" s="139"/>
      <c r="D138" s="139"/>
      <c r="E138" s="139"/>
    </row>
    <row r="139" spans="2:5" x14ac:dyDescent="0.2">
      <c r="B139" s="139"/>
      <c r="C139" s="139"/>
      <c r="D139" s="139"/>
      <c r="E139" s="139"/>
    </row>
    <row r="140" spans="2:5" x14ac:dyDescent="0.2">
      <c r="B140" s="139"/>
      <c r="C140" s="139"/>
      <c r="D140" s="139"/>
      <c r="E140" s="139"/>
    </row>
    <row r="141" spans="2:5" x14ac:dyDescent="0.2">
      <c r="B141" s="139"/>
      <c r="C141" s="139"/>
      <c r="D141" s="139"/>
      <c r="E141" s="139"/>
    </row>
    <row r="142" spans="2:5" x14ac:dyDescent="0.2">
      <c r="B142" s="139"/>
      <c r="C142" s="139"/>
      <c r="D142" s="139"/>
      <c r="E142" s="139"/>
    </row>
    <row r="143" spans="2:5" x14ac:dyDescent="0.2">
      <c r="B143" s="139"/>
      <c r="C143" s="139"/>
      <c r="D143" s="139"/>
      <c r="E143" s="139"/>
    </row>
    <row r="144" spans="2:5" x14ac:dyDescent="0.2">
      <c r="B144" s="139"/>
      <c r="C144" s="139"/>
      <c r="D144" s="139"/>
      <c r="E144" s="139"/>
    </row>
    <row r="145" spans="2:5" x14ac:dyDescent="0.2">
      <c r="B145" s="139"/>
      <c r="C145" s="139"/>
      <c r="D145" s="139"/>
      <c r="E145" s="139"/>
    </row>
    <row r="146" spans="2:5" x14ac:dyDescent="0.2">
      <c r="B146" s="139"/>
      <c r="C146" s="139"/>
      <c r="D146" s="139"/>
      <c r="E146" s="139"/>
    </row>
    <row r="147" spans="2:5" x14ac:dyDescent="0.2">
      <c r="B147" s="139"/>
      <c r="C147" s="139"/>
      <c r="D147" s="139"/>
      <c r="E147" s="139"/>
    </row>
    <row r="148" spans="2:5" x14ac:dyDescent="0.2">
      <c r="B148" s="139"/>
      <c r="C148" s="139"/>
      <c r="D148" s="139"/>
      <c r="E148" s="139"/>
    </row>
    <row r="149" spans="2:5" x14ac:dyDescent="0.2">
      <c r="B149" s="139"/>
      <c r="C149" s="139"/>
      <c r="D149" s="139"/>
      <c r="E149" s="139"/>
    </row>
    <row r="150" spans="2:5" x14ac:dyDescent="0.2">
      <c r="B150" s="139"/>
      <c r="C150" s="139"/>
      <c r="D150" s="139"/>
      <c r="E150" s="139"/>
    </row>
    <row r="151" spans="2:5" x14ac:dyDescent="0.2">
      <c r="B151" s="139"/>
      <c r="C151" s="139"/>
      <c r="D151" s="139"/>
      <c r="E151" s="139"/>
    </row>
    <row r="152" spans="2:5" x14ac:dyDescent="0.2">
      <c r="B152" s="139"/>
      <c r="C152" s="139"/>
      <c r="D152" s="139"/>
      <c r="E152" s="139"/>
    </row>
    <row r="153" spans="2:5" x14ac:dyDescent="0.2">
      <c r="B153" s="139"/>
      <c r="C153" s="139"/>
      <c r="D153" s="139"/>
      <c r="E153" s="139"/>
    </row>
    <row r="154" spans="2:5" x14ac:dyDescent="0.2">
      <c r="B154" s="139"/>
      <c r="C154" s="139"/>
      <c r="D154" s="139"/>
      <c r="E154" s="139"/>
    </row>
    <row r="155" spans="2:5" x14ac:dyDescent="0.2">
      <c r="B155" s="139"/>
      <c r="C155" s="139"/>
      <c r="D155" s="139"/>
      <c r="E155" s="139"/>
    </row>
    <row r="156" spans="2:5" x14ac:dyDescent="0.2">
      <c r="B156" s="139"/>
      <c r="C156" s="139"/>
      <c r="D156" s="139"/>
      <c r="E156" s="139"/>
    </row>
    <row r="157" spans="2:5" x14ac:dyDescent="0.2">
      <c r="B157" s="139"/>
      <c r="C157" s="139"/>
      <c r="D157" s="139"/>
      <c r="E157" s="139"/>
    </row>
    <row r="158" spans="2:5" x14ac:dyDescent="0.2">
      <c r="B158" s="139"/>
      <c r="C158" s="139"/>
      <c r="D158" s="139"/>
      <c r="E158" s="139"/>
    </row>
    <row r="159" spans="2:5" x14ac:dyDescent="0.2">
      <c r="B159" s="139"/>
      <c r="C159" s="139"/>
      <c r="D159" s="139"/>
      <c r="E159" s="139"/>
    </row>
    <row r="160" spans="2:5" x14ac:dyDescent="0.2">
      <c r="B160" s="139"/>
      <c r="C160" s="139"/>
      <c r="D160" s="139"/>
      <c r="E160" s="139"/>
    </row>
    <row r="161" spans="2:5" x14ac:dyDescent="0.2">
      <c r="B161" s="139"/>
      <c r="C161" s="139"/>
      <c r="D161" s="139"/>
      <c r="E161" s="139"/>
    </row>
    <row r="162" spans="2:5" x14ac:dyDescent="0.2">
      <c r="B162" s="139"/>
      <c r="C162" s="139"/>
      <c r="D162" s="139"/>
      <c r="E162" s="139"/>
    </row>
    <row r="163" spans="2:5" x14ac:dyDescent="0.2">
      <c r="B163" s="139"/>
      <c r="C163" s="139"/>
      <c r="D163" s="139"/>
      <c r="E163" s="139"/>
    </row>
    <row r="164" spans="2:5" x14ac:dyDescent="0.2">
      <c r="B164" s="139"/>
      <c r="C164" s="139"/>
      <c r="D164" s="139"/>
      <c r="E164" s="139"/>
    </row>
    <row r="165" spans="2:5" x14ac:dyDescent="0.2">
      <c r="B165" s="139"/>
      <c r="C165" s="139"/>
      <c r="D165" s="139"/>
      <c r="E165" s="139"/>
    </row>
    <row r="166" spans="2:5" x14ac:dyDescent="0.2">
      <c r="B166" s="139"/>
      <c r="C166" s="139"/>
      <c r="D166" s="139"/>
      <c r="E166" s="139"/>
    </row>
    <row r="167" spans="2:5" x14ac:dyDescent="0.2">
      <c r="B167" s="139"/>
      <c r="C167" s="139"/>
      <c r="D167" s="139"/>
      <c r="E167" s="139"/>
    </row>
    <row r="168" spans="2:5" x14ac:dyDescent="0.2">
      <c r="B168" s="139"/>
      <c r="C168" s="139"/>
      <c r="D168" s="139"/>
      <c r="E168" s="139"/>
    </row>
    <row r="169" spans="2:5" x14ac:dyDescent="0.2">
      <c r="B169" s="139"/>
      <c r="C169" s="139"/>
      <c r="D169" s="139"/>
      <c r="E169" s="139"/>
    </row>
    <row r="170" spans="2:5" x14ac:dyDescent="0.2">
      <c r="B170" s="139"/>
      <c r="C170" s="139"/>
      <c r="D170" s="139"/>
      <c r="E170" s="139"/>
    </row>
    <row r="171" spans="2:5" x14ac:dyDescent="0.2">
      <c r="B171" s="139"/>
      <c r="C171" s="139"/>
      <c r="D171" s="139"/>
      <c r="E171" s="139"/>
    </row>
    <row r="172" spans="2:5" x14ac:dyDescent="0.2">
      <c r="B172" s="139"/>
      <c r="C172" s="139"/>
      <c r="D172" s="139"/>
      <c r="E172" s="139"/>
    </row>
    <row r="173" spans="2:5" x14ac:dyDescent="0.2">
      <c r="B173" s="139"/>
      <c r="C173" s="139"/>
      <c r="D173" s="139"/>
      <c r="E173" s="139"/>
    </row>
    <row r="174" spans="2:5" x14ac:dyDescent="0.2">
      <c r="B174" s="139"/>
      <c r="C174" s="139"/>
      <c r="D174" s="139"/>
      <c r="E174" s="139"/>
    </row>
    <row r="175" spans="2:5" x14ac:dyDescent="0.2">
      <c r="B175" s="139"/>
      <c r="C175" s="139"/>
      <c r="D175" s="139"/>
      <c r="E175" s="139"/>
    </row>
    <row r="176" spans="2:5" x14ac:dyDescent="0.2">
      <c r="B176" s="139"/>
      <c r="C176" s="139"/>
      <c r="D176" s="139"/>
      <c r="E176" s="139"/>
    </row>
    <row r="177" spans="2:5" x14ac:dyDescent="0.2">
      <c r="B177" s="139"/>
      <c r="C177" s="139"/>
      <c r="D177" s="139"/>
      <c r="E177" s="139"/>
    </row>
    <row r="178" spans="2:5" x14ac:dyDescent="0.2">
      <c r="B178" s="139"/>
      <c r="C178" s="139"/>
      <c r="D178" s="139"/>
      <c r="E178" s="139"/>
    </row>
    <row r="179" spans="2:5" x14ac:dyDescent="0.2">
      <c r="B179" s="139"/>
      <c r="C179" s="139"/>
      <c r="D179" s="139"/>
      <c r="E179" s="139"/>
    </row>
    <row r="180" spans="2:5" x14ac:dyDescent="0.2">
      <c r="B180" s="139"/>
      <c r="C180" s="139"/>
      <c r="D180" s="139"/>
      <c r="E180" s="139"/>
    </row>
    <row r="181" spans="2:5" x14ac:dyDescent="0.2">
      <c r="B181" s="139"/>
      <c r="C181" s="139"/>
      <c r="D181" s="139"/>
      <c r="E181" s="139"/>
    </row>
    <row r="182" spans="2:5" x14ac:dyDescent="0.2">
      <c r="B182" s="139"/>
      <c r="C182" s="139"/>
      <c r="D182" s="139"/>
      <c r="E182" s="139"/>
    </row>
    <row r="183" spans="2:5" x14ac:dyDescent="0.2">
      <c r="B183" s="139"/>
      <c r="C183" s="139"/>
      <c r="D183" s="139"/>
      <c r="E183" s="139"/>
    </row>
    <row r="184" spans="2:5" x14ac:dyDescent="0.2">
      <c r="B184" s="139"/>
      <c r="C184" s="139"/>
      <c r="D184" s="139"/>
      <c r="E184" s="139"/>
    </row>
    <row r="185" spans="2:5" x14ac:dyDescent="0.2">
      <c r="B185" s="139"/>
      <c r="C185" s="139"/>
      <c r="D185" s="139"/>
      <c r="E185" s="139"/>
    </row>
    <row r="186" spans="2:5" x14ac:dyDescent="0.2">
      <c r="B186" s="139"/>
      <c r="C186" s="139"/>
      <c r="D186" s="139"/>
      <c r="E186" s="139"/>
    </row>
    <row r="187" spans="2:5" x14ac:dyDescent="0.2">
      <c r="B187" s="139"/>
      <c r="C187" s="139"/>
      <c r="D187" s="139"/>
      <c r="E187" s="139"/>
    </row>
    <row r="188" spans="2:5" x14ac:dyDescent="0.2">
      <c r="B188" s="139"/>
      <c r="C188" s="139"/>
      <c r="D188" s="139"/>
      <c r="E188" s="139"/>
    </row>
    <row r="189" spans="2:5" x14ac:dyDescent="0.2">
      <c r="B189" s="139"/>
      <c r="C189" s="139"/>
      <c r="D189" s="139"/>
      <c r="E189" s="139"/>
    </row>
    <row r="190" spans="2:5" x14ac:dyDescent="0.2">
      <c r="B190" s="139"/>
      <c r="C190" s="139"/>
      <c r="D190" s="139"/>
      <c r="E190" s="139"/>
    </row>
  </sheetData>
  <mergeCells count="179">
    <mergeCell ref="AJ8:AK8"/>
    <mergeCell ref="AJ32:AN32"/>
    <mergeCell ref="AE33:AI33"/>
    <mergeCell ref="AJ33:AN33"/>
    <mergeCell ref="AE34:AI34"/>
    <mergeCell ref="AJ34:AN34"/>
    <mergeCell ref="AE35:AI35"/>
    <mergeCell ref="AJ35:AN35"/>
    <mergeCell ref="AE41:AI41"/>
    <mergeCell ref="AJ40:AN40"/>
    <mergeCell ref="AE23:AI23"/>
    <mergeCell ref="AJ23:AN23"/>
    <mergeCell ref="AE24:AI24"/>
    <mergeCell ref="AE25:AI25"/>
    <mergeCell ref="AJ27:AN27"/>
    <mergeCell ref="AE31:AI31"/>
    <mergeCell ref="AJ31:AN31"/>
    <mergeCell ref="AJ15:AN15"/>
    <mergeCell ref="AE15:AI15"/>
    <mergeCell ref="AE27:AI27"/>
    <mergeCell ref="AE20:AI20"/>
    <mergeCell ref="AJ20:AN20"/>
    <mergeCell ref="AJ30:AN30"/>
    <mergeCell ref="AE29:AI29"/>
    <mergeCell ref="AE30:AI30"/>
    <mergeCell ref="AJ17:AN17"/>
    <mergeCell ref="AE16:AI16"/>
    <mergeCell ref="AJ16:AN16"/>
    <mergeCell ref="AE17:AI17"/>
    <mergeCell ref="AE18:AI18"/>
    <mergeCell ref="AJ18:AN18"/>
    <mergeCell ref="AE19:AI19"/>
    <mergeCell ref="AJ19:AN19"/>
    <mergeCell ref="AE22:AI22"/>
    <mergeCell ref="AJ22:AN22"/>
    <mergeCell ref="AE21:AI21"/>
    <mergeCell ref="AJ21:AN21"/>
    <mergeCell ref="AE26:AI26"/>
    <mergeCell ref="AJ24:AN24"/>
    <mergeCell ref="AJ25:AN25"/>
    <mergeCell ref="AJ26:AN26"/>
    <mergeCell ref="AJ9:AN10"/>
    <mergeCell ref="AE11:AI11"/>
    <mergeCell ref="AJ11:AN11"/>
    <mergeCell ref="AE12:AI12"/>
    <mergeCell ref="AJ12:AN12"/>
    <mergeCell ref="AE13:AI13"/>
    <mergeCell ref="AJ13:AN13"/>
    <mergeCell ref="AE14:AI14"/>
    <mergeCell ref="AJ14:AN14"/>
    <mergeCell ref="B1:AH2"/>
    <mergeCell ref="B3:AH3"/>
    <mergeCell ref="B4:AH4"/>
    <mergeCell ref="G5:U5"/>
    <mergeCell ref="B6:AH6"/>
    <mergeCell ref="V8:AD8"/>
    <mergeCell ref="A9:A10"/>
    <mergeCell ref="B9:T9"/>
    <mergeCell ref="U9:Y10"/>
    <mergeCell ref="Z9:AD10"/>
    <mergeCell ref="AE9:AI10"/>
    <mergeCell ref="AE8:AI8"/>
    <mergeCell ref="B13:T13"/>
    <mergeCell ref="U13:Y13"/>
    <mergeCell ref="Z13:AD13"/>
    <mergeCell ref="B11:T11"/>
    <mergeCell ref="U11:Y11"/>
    <mergeCell ref="Z11:AD11"/>
    <mergeCell ref="B14:T14"/>
    <mergeCell ref="U14:Y14"/>
    <mergeCell ref="Z14:AD14"/>
    <mergeCell ref="B12:T12"/>
    <mergeCell ref="U12:Y12"/>
    <mergeCell ref="Z12:AD12"/>
    <mergeCell ref="B17:T17"/>
    <mergeCell ref="U17:Y17"/>
    <mergeCell ref="B18:T18"/>
    <mergeCell ref="U18:Y18"/>
    <mergeCell ref="Z18:AD18"/>
    <mergeCell ref="B15:T15"/>
    <mergeCell ref="U15:Y15"/>
    <mergeCell ref="Z15:AD15"/>
    <mergeCell ref="B16:T16"/>
    <mergeCell ref="U16:Y16"/>
    <mergeCell ref="Z16:AD16"/>
    <mergeCell ref="Z17:AD17"/>
    <mergeCell ref="B23:T23"/>
    <mergeCell ref="U23:Y23"/>
    <mergeCell ref="Z23:AD23"/>
    <mergeCell ref="B19:T19"/>
    <mergeCell ref="U19:Y19"/>
    <mergeCell ref="Z19:AD19"/>
    <mergeCell ref="B22:T22"/>
    <mergeCell ref="U22:Y22"/>
    <mergeCell ref="Z22:AD22"/>
    <mergeCell ref="B20:T20"/>
    <mergeCell ref="U20:Y20"/>
    <mergeCell ref="Z20:AD20"/>
    <mergeCell ref="B21:T21"/>
    <mergeCell ref="U21:Y21"/>
    <mergeCell ref="Z21:AD21"/>
    <mergeCell ref="B28:T28"/>
    <mergeCell ref="U28:Y28"/>
    <mergeCell ref="Z28:AD28"/>
    <mergeCell ref="Z30:AD30"/>
    <mergeCell ref="B29:T29"/>
    <mergeCell ref="U29:Y29"/>
    <mergeCell ref="Z29:AD29"/>
    <mergeCell ref="B30:T30"/>
    <mergeCell ref="U30:Y30"/>
    <mergeCell ref="B24:T24"/>
    <mergeCell ref="U24:Y24"/>
    <mergeCell ref="Z24:AD24"/>
    <mergeCell ref="B25:T25"/>
    <mergeCell ref="U25:Y25"/>
    <mergeCell ref="Z25:AD25"/>
    <mergeCell ref="B27:T27"/>
    <mergeCell ref="U27:Y27"/>
    <mergeCell ref="Z27:AD27"/>
    <mergeCell ref="B26:T26"/>
    <mergeCell ref="U26:Y26"/>
    <mergeCell ref="Z26:AD26"/>
    <mergeCell ref="Z34:AD34"/>
    <mergeCell ref="B37:T37"/>
    <mergeCell ref="U37:Y37"/>
    <mergeCell ref="Z37:AD37"/>
    <mergeCell ref="AE37:AI37"/>
    <mergeCell ref="B40:T40"/>
    <mergeCell ref="U40:Y40"/>
    <mergeCell ref="B31:T31"/>
    <mergeCell ref="U31:Y31"/>
    <mergeCell ref="Z31:AD31"/>
    <mergeCell ref="B32:T32"/>
    <mergeCell ref="U32:Y32"/>
    <mergeCell ref="Z32:AD32"/>
    <mergeCell ref="AE28:AI28"/>
    <mergeCell ref="AJ28:AN28"/>
    <mergeCell ref="AJ29:AN29"/>
    <mergeCell ref="B36:T36"/>
    <mergeCell ref="U36:Y36"/>
    <mergeCell ref="Z36:AD36"/>
    <mergeCell ref="AE36:AI36"/>
    <mergeCell ref="AJ36:AN36"/>
    <mergeCell ref="AE42:AI42"/>
    <mergeCell ref="B42:T42"/>
    <mergeCell ref="U42:Y42"/>
    <mergeCell ref="Z42:AD42"/>
    <mergeCell ref="AE32:AI32"/>
    <mergeCell ref="B35:T35"/>
    <mergeCell ref="U35:Y35"/>
    <mergeCell ref="Z35:AD35"/>
    <mergeCell ref="B41:T41"/>
    <mergeCell ref="U41:Y41"/>
    <mergeCell ref="Z41:AD41"/>
    <mergeCell ref="B33:T33"/>
    <mergeCell ref="U33:Y33"/>
    <mergeCell ref="Z33:AD33"/>
    <mergeCell ref="B34:T34"/>
    <mergeCell ref="U34:Y34"/>
    <mergeCell ref="AJ43:AN43"/>
    <mergeCell ref="Z40:AD40"/>
    <mergeCell ref="AE40:AI40"/>
    <mergeCell ref="AJ37:AN37"/>
    <mergeCell ref="B38:T38"/>
    <mergeCell ref="B39:T39"/>
    <mergeCell ref="U38:Y38"/>
    <mergeCell ref="U39:Y39"/>
    <mergeCell ref="Z38:AD38"/>
    <mergeCell ref="Z39:AD39"/>
    <mergeCell ref="AE38:AI38"/>
    <mergeCell ref="AE39:AI39"/>
    <mergeCell ref="AJ38:AN38"/>
    <mergeCell ref="AJ39:AN39"/>
    <mergeCell ref="B43:T43"/>
    <mergeCell ref="U43:Y43"/>
    <mergeCell ref="Z43:AD43"/>
    <mergeCell ref="AE43:AI43"/>
    <mergeCell ref="AJ41:AN41"/>
    <mergeCell ref="AJ42:AN42"/>
  </mergeCells>
  <pageMargins left="0.25" right="0.25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52"/>
  <sheetViews>
    <sheetView topLeftCell="A25" workbookViewId="0">
      <selection activeCell="H32" sqref="H32"/>
    </sheetView>
  </sheetViews>
  <sheetFormatPr defaultRowHeight="15" x14ac:dyDescent="0.25"/>
  <cols>
    <col min="1" max="1" width="38.140625" style="373" customWidth="1"/>
    <col min="2" max="2" width="16.7109375" style="334" bestFit="1" customWidth="1"/>
    <col min="3" max="3" width="18" style="334" bestFit="1" customWidth="1"/>
    <col min="4" max="4" width="15.5703125" style="334" bestFit="1" customWidth="1"/>
    <col min="5" max="5" width="18" style="334" bestFit="1" customWidth="1"/>
    <col min="6" max="7" width="9.140625" style="373" customWidth="1"/>
    <col min="8" max="8" width="9.85546875" style="446" bestFit="1" customWidth="1"/>
    <col min="9" max="16384" width="9.140625" style="336"/>
  </cols>
  <sheetData>
    <row r="1" spans="1:5" ht="18" x14ac:dyDescent="0.25">
      <c r="A1" s="694" t="s">
        <v>785</v>
      </c>
      <c r="B1" s="694"/>
      <c r="C1" s="694"/>
      <c r="D1" s="694"/>
      <c r="E1" s="694"/>
    </row>
    <row r="2" spans="1:5" ht="18.75" x14ac:dyDescent="0.3">
      <c r="A2" s="695" t="s">
        <v>1</v>
      </c>
      <c r="B2" s="695"/>
      <c r="C2" s="695"/>
      <c r="D2" s="695"/>
      <c r="E2" s="695"/>
    </row>
    <row r="4" spans="1:5" ht="45" customHeight="1" x14ac:dyDescent="0.25">
      <c r="A4" s="690" t="s">
        <v>786</v>
      </c>
      <c r="B4" s="690"/>
      <c r="C4" s="690"/>
      <c r="D4" s="690"/>
      <c r="E4" s="690"/>
    </row>
    <row r="5" spans="1:5" ht="45" customHeight="1" x14ac:dyDescent="0.25">
      <c r="A5" s="374"/>
      <c r="B5" s="513"/>
      <c r="C5" s="513"/>
      <c r="D5" s="513"/>
      <c r="E5" s="513"/>
    </row>
    <row r="8" spans="1:5" ht="15.75" x14ac:dyDescent="0.25">
      <c r="A8" s="375" t="s">
        <v>787</v>
      </c>
      <c r="B8" s="696" t="s">
        <v>803</v>
      </c>
      <c r="C8" s="697"/>
      <c r="D8" s="697"/>
      <c r="E8" s="698"/>
    </row>
    <row r="9" spans="1:5" ht="36" customHeight="1" thickBot="1" x14ac:dyDescent="0.3">
      <c r="E9" s="334" t="s">
        <v>788</v>
      </c>
    </row>
    <row r="10" spans="1:5" ht="16.5" thickBot="1" x14ac:dyDescent="0.3">
      <c r="A10" s="376" t="s">
        <v>789</v>
      </c>
      <c r="B10" s="503">
        <v>2019</v>
      </c>
      <c r="C10" s="503">
        <v>2020</v>
      </c>
      <c r="D10" s="503">
        <v>2021</v>
      </c>
      <c r="E10" s="504" t="s">
        <v>790</v>
      </c>
    </row>
    <row r="11" spans="1:5" ht="15.75" x14ac:dyDescent="0.25">
      <c r="A11" s="377" t="s">
        <v>791</v>
      </c>
      <c r="B11" s="505"/>
      <c r="C11" s="505"/>
      <c r="D11" s="505"/>
      <c r="E11" s="506">
        <f t="shared" ref="E11:E17" si="0">SUM(B11:D11)</f>
        <v>0</v>
      </c>
    </row>
    <row r="12" spans="1:5" ht="15.75" x14ac:dyDescent="0.25">
      <c r="A12" s="378" t="s">
        <v>792</v>
      </c>
      <c r="B12" s="507"/>
      <c r="C12" s="507"/>
      <c r="D12" s="507"/>
      <c r="E12" s="506">
        <f t="shared" si="0"/>
        <v>0</v>
      </c>
    </row>
    <row r="13" spans="1:5" ht="15.75" x14ac:dyDescent="0.25">
      <c r="A13" s="379" t="s">
        <v>793</v>
      </c>
      <c r="B13" s="507">
        <v>198182422</v>
      </c>
      <c r="C13" s="507"/>
      <c r="D13" s="507"/>
      <c r="E13" s="506">
        <f t="shared" si="0"/>
        <v>198182422</v>
      </c>
    </row>
    <row r="14" spans="1:5" ht="15.75" x14ac:dyDescent="0.25">
      <c r="A14" s="379" t="s">
        <v>794</v>
      </c>
      <c r="B14" s="507"/>
      <c r="C14" s="507"/>
      <c r="D14" s="507"/>
      <c r="E14" s="506">
        <f t="shared" si="0"/>
        <v>0</v>
      </c>
    </row>
    <row r="15" spans="1:5" ht="15.75" x14ac:dyDescent="0.25">
      <c r="A15" s="379" t="s">
        <v>795</v>
      </c>
      <c r="B15" s="507"/>
      <c r="C15" s="507"/>
      <c r="D15" s="507"/>
      <c r="E15" s="506">
        <f t="shared" si="0"/>
        <v>0</v>
      </c>
    </row>
    <row r="16" spans="1:5" ht="16.5" thickBot="1" x14ac:dyDescent="0.3">
      <c r="A16" s="380" t="s">
        <v>796</v>
      </c>
      <c r="B16" s="508"/>
      <c r="C16" s="508"/>
      <c r="D16" s="508"/>
      <c r="E16" s="509">
        <f t="shared" si="0"/>
        <v>0</v>
      </c>
    </row>
    <row r="17" spans="1:5" ht="16.5" thickBot="1" x14ac:dyDescent="0.3">
      <c r="A17" s="376" t="s">
        <v>797</v>
      </c>
      <c r="B17" s="510">
        <f>SUM(B11:B16)</f>
        <v>198182422</v>
      </c>
      <c r="C17" s="510">
        <f>SUM(C11:C16)</f>
        <v>0</v>
      </c>
      <c r="D17" s="510">
        <f>SUM(D11:D16)</f>
        <v>0</v>
      </c>
      <c r="E17" s="511">
        <f t="shared" si="0"/>
        <v>198182422</v>
      </c>
    </row>
    <row r="18" spans="1:5" ht="16.5" thickBot="1" x14ac:dyDescent="0.3">
      <c r="A18" s="381"/>
      <c r="B18" s="512"/>
      <c r="C18" s="512"/>
      <c r="D18" s="512"/>
      <c r="E18" s="512"/>
    </row>
    <row r="19" spans="1:5" ht="16.5" thickBot="1" x14ac:dyDescent="0.3">
      <c r="A19" s="376" t="s">
        <v>798</v>
      </c>
      <c r="B19" s="503">
        <v>2019</v>
      </c>
      <c r="C19" s="503">
        <v>2020</v>
      </c>
      <c r="D19" s="503">
        <v>2021</v>
      </c>
      <c r="E19" s="504" t="s">
        <v>790</v>
      </c>
    </row>
    <row r="20" spans="1:5" ht="15.75" x14ac:dyDescent="0.25">
      <c r="A20" s="377" t="s">
        <v>799</v>
      </c>
      <c r="B20" s="505"/>
      <c r="C20" s="505"/>
      <c r="D20" s="505"/>
      <c r="E20" s="506"/>
    </row>
    <row r="21" spans="1:5" ht="15.75" x14ac:dyDescent="0.25">
      <c r="A21" s="379" t="s">
        <v>800</v>
      </c>
      <c r="B21" s="507">
        <v>196327922</v>
      </c>
      <c r="C21" s="507"/>
      <c r="D21" s="507"/>
      <c r="E21" s="506">
        <f>B21+C21</f>
        <v>196327922</v>
      </c>
    </row>
    <row r="22" spans="1:5" ht="15.75" x14ac:dyDescent="0.25">
      <c r="A22" s="379" t="s">
        <v>801</v>
      </c>
      <c r="B22" s="507">
        <v>1854500</v>
      </c>
      <c r="C22" s="507"/>
      <c r="D22" s="507"/>
      <c r="E22" s="506">
        <f>B22+C22</f>
        <v>1854500</v>
      </c>
    </row>
    <row r="23" spans="1:5" ht="16.5" thickBot="1" x14ac:dyDescent="0.3">
      <c r="A23" s="380" t="s">
        <v>802</v>
      </c>
      <c r="B23" s="508"/>
      <c r="C23" s="508"/>
      <c r="D23" s="508"/>
      <c r="E23" s="509">
        <f>SUM(B23:D23)</f>
        <v>0</v>
      </c>
    </row>
    <row r="24" spans="1:5" ht="16.5" thickBot="1" x14ac:dyDescent="0.3">
      <c r="A24" s="376" t="s">
        <v>790</v>
      </c>
      <c r="B24" s="510">
        <f>SUM(B20:B23)</f>
        <v>198182422</v>
      </c>
      <c r="C24" s="510">
        <f>SUM(C20:C23)</f>
        <v>0</v>
      </c>
      <c r="D24" s="510">
        <f>SUM(D20:D23)</f>
        <v>0</v>
      </c>
      <c r="E24" s="511">
        <f>SUM(B24:D24)</f>
        <v>198182422</v>
      </c>
    </row>
    <row r="25" spans="1:5" ht="15.75" x14ac:dyDescent="0.25">
      <c r="A25" s="374"/>
      <c r="B25" s="513"/>
      <c r="C25" s="513"/>
      <c r="D25" s="513"/>
      <c r="E25" s="513"/>
    </row>
    <row r="26" spans="1:5" ht="15.75" x14ac:dyDescent="0.25">
      <c r="A26" s="374"/>
      <c r="B26" s="513"/>
      <c r="C26" s="513"/>
      <c r="D26" s="513"/>
      <c r="E26" s="513"/>
    </row>
    <row r="27" spans="1:5" ht="15.75" x14ac:dyDescent="0.25">
      <c r="A27" s="374"/>
      <c r="B27" s="513"/>
      <c r="C27" s="513"/>
      <c r="D27" s="513"/>
      <c r="E27" s="513"/>
    </row>
    <row r="28" spans="1:5" ht="18" x14ac:dyDescent="0.25">
      <c r="A28" s="694" t="s">
        <v>785</v>
      </c>
      <c r="B28" s="694"/>
      <c r="C28" s="694"/>
      <c r="D28" s="694"/>
      <c r="E28" s="694"/>
    </row>
    <row r="29" spans="1:5" ht="18.75" x14ac:dyDescent="0.3">
      <c r="A29" s="695" t="s">
        <v>1</v>
      </c>
      <c r="B29" s="695"/>
      <c r="C29" s="695"/>
      <c r="D29" s="695"/>
      <c r="E29" s="695"/>
    </row>
    <row r="31" spans="1:5" ht="18.75" x14ac:dyDescent="0.25">
      <c r="A31" s="690" t="s">
        <v>786</v>
      </c>
      <c r="B31" s="690"/>
      <c r="C31" s="690"/>
      <c r="D31" s="690"/>
      <c r="E31" s="690"/>
    </row>
    <row r="32" spans="1:5" ht="45" customHeight="1" x14ac:dyDescent="0.25">
      <c r="A32" s="374"/>
      <c r="B32" s="513"/>
      <c r="C32" s="513"/>
      <c r="D32" s="513"/>
      <c r="E32" s="513"/>
    </row>
    <row r="33" spans="1:5" ht="15.75" x14ac:dyDescent="0.25">
      <c r="A33" s="374"/>
      <c r="B33" s="513"/>
      <c r="C33" s="513"/>
      <c r="D33" s="513"/>
      <c r="E33" s="513"/>
    </row>
    <row r="36" spans="1:5" ht="15.75" x14ac:dyDescent="0.25">
      <c r="A36" s="375" t="s">
        <v>804</v>
      </c>
      <c r="B36" s="691" t="s">
        <v>329</v>
      </c>
      <c r="C36" s="692"/>
      <c r="D36" s="692"/>
      <c r="E36" s="693"/>
    </row>
    <row r="37" spans="1:5" ht="15.75" thickBot="1" x14ac:dyDescent="0.3">
      <c r="E37" s="334" t="s">
        <v>788</v>
      </c>
    </row>
    <row r="38" spans="1:5" ht="16.5" thickBot="1" x14ac:dyDescent="0.3">
      <c r="A38" s="376" t="s">
        <v>789</v>
      </c>
      <c r="B38" s="503">
        <v>2019</v>
      </c>
      <c r="C38" s="503">
        <v>2020</v>
      </c>
      <c r="D38" s="503">
        <v>2021</v>
      </c>
      <c r="E38" s="504" t="s">
        <v>790</v>
      </c>
    </row>
    <row r="39" spans="1:5" ht="15.75" x14ac:dyDescent="0.25">
      <c r="A39" s="377" t="s">
        <v>791</v>
      </c>
      <c r="B39" s="505">
        <v>7997547</v>
      </c>
      <c r="C39" s="505"/>
      <c r="D39" s="505"/>
      <c r="E39" s="506">
        <f t="shared" ref="E39:E45" si="1">SUM(B39:D39)</f>
        <v>7997547</v>
      </c>
    </row>
    <row r="40" spans="1:5" ht="15.75" x14ac:dyDescent="0.25">
      <c r="A40" s="378" t="s">
        <v>792</v>
      </c>
      <c r="B40" s="507"/>
      <c r="C40" s="507"/>
      <c r="D40" s="507"/>
      <c r="E40" s="506">
        <f t="shared" si="1"/>
        <v>0</v>
      </c>
    </row>
    <row r="41" spans="1:5" ht="15.75" x14ac:dyDescent="0.25">
      <c r="A41" s="379" t="s">
        <v>793</v>
      </c>
      <c r="B41" s="507">
        <v>29672323</v>
      </c>
      <c r="C41" s="507"/>
      <c r="D41" s="507"/>
      <c r="E41" s="506">
        <f t="shared" si="1"/>
        <v>29672323</v>
      </c>
    </row>
    <row r="42" spans="1:5" ht="15.75" x14ac:dyDescent="0.25">
      <c r="A42" s="379" t="s">
        <v>794</v>
      </c>
      <c r="B42" s="507"/>
      <c r="C42" s="507"/>
      <c r="D42" s="507"/>
      <c r="E42" s="506">
        <f t="shared" si="1"/>
        <v>0</v>
      </c>
    </row>
    <row r="43" spans="1:5" ht="15.75" x14ac:dyDescent="0.25">
      <c r="A43" s="379" t="s">
        <v>795</v>
      </c>
      <c r="B43" s="507"/>
      <c r="C43" s="507"/>
      <c r="D43" s="507"/>
      <c r="E43" s="506">
        <f t="shared" si="1"/>
        <v>0</v>
      </c>
    </row>
    <row r="44" spans="1:5" ht="16.5" thickBot="1" x14ac:dyDescent="0.3">
      <c r="A44" s="380" t="s">
        <v>796</v>
      </c>
      <c r="B44" s="508"/>
      <c r="C44" s="508"/>
      <c r="D44" s="508"/>
      <c r="E44" s="509">
        <f t="shared" si="1"/>
        <v>0</v>
      </c>
    </row>
    <row r="45" spans="1:5" ht="16.5" thickBot="1" x14ac:dyDescent="0.3">
      <c r="A45" s="376" t="s">
        <v>797</v>
      </c>
      <c r="B45" s="510">
        <f>SUM(B39:B44)</f>
        <v>37669870</v>
      </c>
      <c r="C45" s="510">
        <f>SUM(C39:C44)</f>
        <v>0</v>
      </c>
      <c r="D45" s="510">
        <f>SUM(D39:D44)</f>
        <v>0</v>
      </c>
      <c r="E45" s="511">
        <f t="shared" si="1"/>
        <v>37669870</v>
      </c>
    </row>
    <row r="46" spans="1:5" ht="16.5" thickBot="1" x14ac:dyDescent="0.3">
      <c r="A46" s="381"/>
      <c r="B46" s="512"/>
      <c r="C46" s="512"/>
      <c r="D46" s="512"/>
      <c r="E46" s="512"/>
    </row>
    <row r="47" spans="1:5" ht="16.5" thickBot="1" x14ac:dyDescent="0.3">
      <c r="A47" s="376" t="s">
        <v>798</v>
      </c>
      <c r="B47" s="503">
        <v>2019</v>
      </c>
      <c r="C47" s="503">
        <v>2020</v>
      </c>
      <c r="D47" s="503">
        <v>2021</v>
      </c>
      <c r="E47" s="504" t="s">
        <v>790</v>
      </c>
    </row>
    <row r="48" spans="1:5" ht="15.75" x14ac:dyDescent="0.25">
      <c r="A48" s="377" t="s">
        <v>799</v>
      </c>
      <c r="B48" s="505"/>
      <c r="C48" s="505"/>
      <c r="D48" s="505"/>
      <c r="E48" s="506"/>
    </row>
    <row r="49" spans="1:5" ht="15.75" x14ac:dyDescent="0.25">
      <c r="A49" s="379" t="s">
        <v>800</v>
      </c>
      <c r="B49" s="507">
        <v>37669870</v>
      </c>
      <c r="C49" s="507"/>
      <c r="D49" s="507"/>
      <c r="E49" s="506">
        <f>B49</f>
        <v>37669870</v>
      </c>
    </row>
    <row r="50" spans="1:5" ht="15.75" x14ac:dyDescent="0.25">
      <c r="A50" s="379" t="s">
        <v>801</v>
      </c>
      <c r="B50" s="507"/>
      <c r="C50" s="507"/>
      <c r="D50" s="507"/>
      <c r="E50" s="506">
        <f>B50+C50</f>
        <v>0</v>
      </c>
    </row>
    <row r="51" spans="1:5" ht="16.5" thickBot="1" x14ac:dyDescent="0.3">
      <c r="A51" s="380" t="s">
        <v>802</v>
      </c>
      <c r="B51" s="508"/>
      <c r="C51" s="508"/>
      <c r="D51" s="508"/>
      <c r="E51" s="509">
        <f>SUM(B51:D51)</f>
        <v>0</v>
      </c>
    </row>
    <row r="52" spans="1:5" ht="16.5" thickBot="1" x14ac:dyDescent="0.3">
      <c r="A52" s="376" t="s">
        <v>790</v>
      </c>
      <c r="B52" s="510">
        <f>SUM(B48:B51)</f>
        <v>37669870</v>
      </c>
      <c r="C52" s="510">
        <f>SUM(C48:C51)</f>
        <v>0</v>
      </c>
      <c r="D52" s="510">
        <f>SUM(D48:D51)</f>
        <v>0</v>
      </c>
      <c r="E52" s="511">
        <f>SUM(B52:D52)</f>
        <v>37669870</v>
      </c>
    </row>
  </sheetData>
  <mergeCells count="8">
    <mergeCell ref="A31:E31"/>
    <mergeCell ref="B36:E36"/>
    <mergeCell ref="A1:E1"/>
    <mergeCell ref="A2:E2"/>
    <mergeCell ref="A4:E4"/>
    <mergeCell ref="B8:E8"/>
    <mergeCell ref="A28:E28"/>
    <mergeCell ref="A29:E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32"/>
  <sheetViews>
    <sheetView workbookViewId="0">
      <selection activeCell="F17" sqref="F17"/>
    </sheetView>
  </sheetViews>
  <sheetFormatPr defaultColWidth="8" defaultRowHeight="12.75" x14ac:dyDescent="0.25"/>
  <cols>
    <col min="1" max="1" width="5.85546875" style="367" customWidth="1"/>
    <col min="2" max="2" width="42.5703125" style="340" customWidth="1"/>
    <col min="3" max="3" width="12.140625" style="340" bestFit="1" customWidth="1"/>
    <col min="4" max="4" width="11" style="340" customWidth="1"/>
    <col min="5" max="5" width="15.42578125" style="340" bestFit="1" customWidth="1"/>
    <col min="6" max="6" width="12.42578125" style="340" bestFit="1" customWidth="1"/>
    <col min="7" max="8" width="11" style="340" customWidth="1"/>
    <col min="9" max="9" width="14" style="340" bestFit="1" customWidth="1"/>
    <col min="10" max="11" width="8" style="340"/>
    <col min="12" max="12" width="11.28515625" style="340" bestFit="1" customWidth="1"/>
    <col min="13" max="16384" width="8" style="340"/>
  </cols>
  <sheetData>
    <row r="1" spans="1:9" ht="18" x14ac:dyDescent="0.25">
      <c r="B1" s="703" t="s">
        <v>805</v>
      </c>
      <c r="C1" s="704"/>
      <c r="D1" s="704"/>
      <c r="E1" s="704"/>
      <c r="F1" s="704"/>
      <c r="G1" s="704"/>
      <c r="H1" s="704"/>
    </row>
    <row r="2" spans="1:9" ht="18.75" x14ac:dyDescent="0.25">
      <c r="B2" s="703" t="s">
        <v>1</v>
      </c>
      <c r="C2" s="703"/>
      <c r="D2" s="703"/>
      <c r="E2" s="703"/>
      <c r="F2" s="703"/>
      <c r="G2" s="703"/>
      <c r="H2" s="703"/>
      <c r="I2" s="368" t="s">
        <v>806</v>
      </c>
    </row>
    <row r="3" spans="1:9" ht="18" x14ac:dyDescent="0.25">
      <c r="B3" s="703" t="s">
        <v>807</v>
      </c>
      <c r="C3" s="704"/>
      <c r="D3" s="704"/>
      <c r="E3" s="704"/>
      <c r="F3" s="704"/>
      <c r="G3" s="704"/>
      <c r="H3" s="704"/>
    </row>
    <row r="5" spans="1:9" ht="14.25" thickBot="1" x14ac:dyDescent="0.3">
      <c r="I5" s="382" t="s">
        <v>808</v>
      </c>
    </row>
    <row r="6" spans="1:9" x14ac:dyDescent="0.25">
      <c r="A6" s="705" t="s">
        <v>809</v>
      </c>
      <c r="B6" s="699" t="s">
        <v>810</v>
      </c>
      <c r="C6" s="705" t="s">
        <v>811</v>
      </c>
      <c r="D6" s="705" t="s">
        <v>812</v>
      </c>
      <c r="E6" s="707" t="s">
        <v>813</v>
      </c>
      <c r="F6" s="708"/>
      <c r="G6" s="708"/>
      <c r="H6" s="709"/>
      <c r="I6" s="699" t="s">
        <v>790</v>
      </c>
    </row>
    <row r="7" spans="1:9" ht="13.5" thickBot="1" x14ac:dyDescent="0.3">
      <c r="A7" s="706"/>
      <c r="B7" s="700"/>
      <c r="C7" s="700"/>
      <c r="D7" s="706"/>
      <c r="E7" s="383" t="s">
        <v>814</v>
      </c>
      <c r="F7" s="383">
        <v>2020</v>
      </c>
      <c r="G7" s="383" t="s">
        <v>815</v>
      </c>
      <c r="H7" s="384" t="s">
        <v>816</v>
      </c>
      <c r="I7" s="700"/>
    </row>
    <row r="8" spans="1:9" ht="13.5" thickBot="1" x14ac:dyDescent="0.3">
      <c r="A8" s="385">
        <v>1</v>
      </c>
      <c r="B8" s="386">
        <v>2</v>
      </c>
      <c r="C8" s="387">
        <v>3</v>
      </c>
      <c r="D8" s="386">
        <v>4</v>
      </c>
      <c r="E8" s="385">
        <v>5</v>
      </c>
      <c r="F8" s="387">
        <v>6</v>
      </c>
      <c r="G8" s="387">
        <v>7</v>
      </c>
      <c r="H8" s="388">
        <v>8</v>
      </c>
      <c r="I8" s="389" t="s">
        <v>817</v>
      </c>
    </row>
    <row r="9" spans="1:9" ht="13.5" thickBot="1" x14ac:dyDescent="0.3">
      <c r="A9" s="390" t="s">
        <v>38</v>
      </c>
      <c r="B9" s="391" t="s">
        <v>818</v>
      </c>
      <c r="C9" s="392"/>
      <c r="D9" s="393">
        <f>SUM(D10:D11)</f>
        <v>0</v>
      </c>
      <c r="E9" s="394"/>
      <c r="F9" s="395"/>
      <c r="G9" s="395"/>
      <c r="H9" s="396"/>
      <c r="I9" s="397"/>
    </row>
    <row r="10" spans="1:9" x14ac:dyDescent="0.25">
      <c r="A10" s="398" t="s">
        <v>40</v>
      </c>
      <c r="B10" s="399"/>
      <c r="C10" s="400"/>
      <c r="D10" s="401"/>
      <c r="E10" s="402"/>
      <c r="F10" s="403"/>
      <c r="G10" s="403"/>
      <c r="H10" s="404"/>
      <c r="I10" s="405">
        <f t="shared" ref="I10:I22" si="0">SUM(D10:H10)</f>
        <v>0</v>
      </c>
    </row>
    <row r="11" spans="1:9" ht="13.5" thickBot="1" x14ac:dyDescent="0.3">
      <c r="A11" s="398" t="s">
        <v>48</v>
      </c>
      <c r="B11" s="399"/>
      <c r="C11" s="400"/>
      <c r="D11" s="401"/>
      <c r="E11" s="402"/>
      <c r="F11" s="403"/>
      <c r="G11" s="403"/>
      <c r="H11" s="404"/>
      <c r="I11" s="405">
        <f t="shared" si="0"/>
        <v>0</v>
      </c>
    </row>
    <row r="12" spans="1:9" ht="13.5" thickBot="1" x14ac:dyDescent="0.3">
      <c r="A12" s="390" t="s">
        <v>13</v>
      </c>
      <c r="B12" s="406" t="s">
        <v>819</v>
      </c>
      <c r="C12" s="407"/>
      <c r="D12" s="393">
        <f>SUM(D13:D14)</f>
        <v>0</v>
      </c>
      <c r="E12" s="394">
        <f>SUM(E13:E14)</f>
        <v>0</v>
      </c>
      <c r="F12" s="395">
        <f>SUM(F13:F14)</f>
        <v>0</v>
      </c>
      <c r="G12" s="395">
        <f>SUM(G13:G14)</f>
        <v>0</v>
      </c>
      <c r="H12" s="396">
        <f>SUM(H13:H14)</f>
        <v>0</v>
      </c>
      <c r="I12" s="397">
        <f t="shared" si="0"/>
        <v>0</v>
      </c>
    </row>
    <row r="13" spans="1:9" x14ac:dyDescent="0.25">
      <c r="A13" s="398" t="s">
        <v>15</v>
      </c>
      <c r="B13" s="399"/>
      <c r="C13" s="408"/>
      <c r="D13" s="401"/>
      <c r="E13" s="402"/>
      <c r="F13" s="403"/>
      <c r="G13" s="403"/>
      <c r="H13" s="404"/>
      <c r="I13" s="405">
        <f t="shared" si="0"/>
        <v>0</v>
      </c>
    </row>
    <row r="14" spans="1:9" ht="13.5" thickBot="1" x14ac:dyDescent="0.3">
      <c r="A14" s="398" t="s">
        <v>25</v>
      </c>
      <c r="B14" s="399"/>
      <c r="C14" s="400"/>
      <c r="D14" s="401"/>
      <c r="E14" s="402"/>
      <c r="F14" s="403"/>
      <c r="G14" s="403"/>
      <c r="H14" s="404"/>
      <c r="I14" s="405">
        <f t="shared" si="0"/>
        <v>0</v>
      </c>
    </row>
    <row r="15" spans="1:9" s="414" customFormat="1" ht="15" thickBot="1" x14ac:dyDescent="0.3">
      <c r="A15" s="409" t="s">
        <v>27</v>
      </c>
      <c r="B15" s="410" t="s">
        <v>820</v>
      </c>
      <c r="C15" s="411"/>
      <c r="D15" s="412">
        <f>SUM(D16:D16)</f>
        <v>0</v>
      </c>
      <c r="E15" s="413">
        <f t="shared" ref="E15:E16" si="1">E16+E17+E18+E19</f>
        <v>0</v>
      </c>
      <c r="F15" s="413">
        <f>F16+F17+F18+F19</f>
        <v>430105</v>
      </c>
      <c r="G15" s="413">
        <f>G16+G17+G18+G19</f>
        <v>0</v>
      </c>
      <c r="H15" s="413">
        <f t="shared" ref="H15:I15" si="2">H16+H17+H18+H19</f>
        <v>0</v>
      </c>
      <c r="I15" s="413">
        <f t="shared" si="2"/>
        <v>430105</v>
      </c>
    </row>
    <row r="16" spans="1:9" ht="39" thickBot="1" x14ac:dyDescent="0.3">
      <c r="A16" s="415" t="s">
        <v>29</v>
      </c>
      <c r="B16" s="514" t="s">
        <v>803</v>
      </c>
      <c r="C16" s="514"/>
      <c r="D16" s="514"/>
      <c r="E16" s="413">
        <f t="shared" si="1"/>
        <v>0</v>
      </c>
      <c r="F16" s="416">
        <v>196328</v>
      </c>
      <c r="G16" s="417"/>
      <c r="H16" s="418"/>
      <c r="I16" s="419">
        <f t="shared" si="0"/>
        <v>196328</v>
      </c>
    </row>
    <row r="17" spans="1:9" ht="13.5" thickBot="1" x14ac:dyDescent="0.3">
      <c r="A17" s="415" t="s">
        <v>821</v>
      </c>
      <c r="B17" s="517" t="s">
        <v>822</v>
      </c>
      <c r="C17" s="514"/>
      <c r="D17" s="515"/>
      <c r="E17" s="514"/>
      <c r="F17" s="450">
        <v>2844</v>
      </c>
      <c r="G17" s="449"/>
      <c r="H17" s="451"/>
      <c r="I17" s="452">
        <f t="shared" si="0"/>
        <v>2844</v>
      </c>
    </row>
    <row r="18" spans="1:9" ht="32.25" thickBot="1" x14ac:dyDescent="0.3">
      <c r="A18" s="415" t="s">
        <v>823</v>
      </c>
      <c r="B18" s="518" t="s">
        <v>844</v>
      </c>
      <c r="C18" s="516"/>
      <c r="D18" s="519"/>
      <c r="E18" s="520"/>
      <c r="F18" s="395">
        <v>11176</v>
      </c>
      <c r="G18" s="395">
        <f>SUM(G19:G19)</f>
        <v>0</v>
      </c>
      <c r="H18" s="396">
        <f>SUM(H19:H19)</f>
        <v>0</v>
      </c>
      <c r="I18" s="397">
        <f t="shared" si="0"/>
        <v>11176</v>
      </c>
    </row>
    <row r="19" spans="1:9" ht="16.5" thickBot="1" x14ac:dyDescent="0.3">
      <c r="A19" s="415" t="s">
        <v>824</v>
      </c>
      <c r="B19" s="518" t="s">
        <v>845</v>
      </c>
      <c r="C19" s="420"/>
      <c r="D19" s="421"/>
      <c r="E19" s="422"/>
      <c r="F19" s="423">
        <v>219757</v>
      </c>
      <c r="G19" s="423"/>
      <c r="H19" s="424"/>
      <c r="I19" s="425">
        <f t="shared" si="0"/>
        <v>219757</v>
      </c>
    </row>
    <row r="20" spans="1:9" ht="13.5" thickBot="1" x14ac:dyDescent="0.3">
      <c r="A20" s="415" t="s">
        <v>825</v>
      </c>
      <c r="B20" s="426" t="s">
        <v>826</v>
      </c>
      <c r="C20" s="407"/>
      <c r="D20" s="427">
        <f>SUM(D21:D21)</f>
        <v>0</v>
      </c>
      <c r="E20" s="428">
        <f>SUM(E21:E21)</f>
        <v>0</v>
      </c>
      <c r="F20" s="429"/>
      <c r="G20" s="429"/>
      <c r="H20" s="430"/>
      <c r="I20" s="397">
        <f t="shared" si="0"/>
        <v>0</v>
      </c>
    </row>
    <row r="21" spans="1:9" ht="13.5" thickBot="1" x14ac:dyDescent="0.3">
      <c r="A21" s="415" t="s">
        <v>827</v>
      </c>
      <c r="B21" s="431"/>
      <c r="C21" s="432"/>
      <c r="D21" s="433"/>
      <c r="E21" s="434"/>
      <c r="F21" s="435"/>
      <c r="G21" s="435"/>
      <c r="H21" s="436"/>
      <c r="I21" s="437">
        <f t="shared" si="0"/>
        <v>0</v>
      </c>
    </row>
    <row r="22" spans="1:9" s="444" customFormat="1" ht="16.5" thickBot="1" x14ac:dyDescent="0.3">
      <c r="A22" s="701" t="s">
        <v>828</v>
      </c>
      <c r="B22" s="702"/>
      <c r="C22" s="438"/>
      <c r="D22" s="439">
        <f>D9+D12+D15+D18+D20</f>
        <v>0</v>
      </c>
      <c r="E22" s="440">
        <f>E9+E12+E15+E18+E20</f>
        <v>0</v>
      </c>
      <c r="F22" s="441">
        <f>F9+F12+F15+F20</f>
        <v>430105</v>
      </c>
      <c r="G22" s="441">
        <f>G9+G12+G15+G18+G20</f>
        <v>0</v>
      </c>
      <c r="H22" s="442">
        <f>H9+H12+H15+H18+H20</f>
        <v>0</v>
      </c>
      <c r="I22" s="443">
        <f t="shared" si="0"/>
        <v>430105</v>
      </c>
    </row>
    <row r="32" spans="1:9" x14ac:dyDescent="0.25">
      <c r="B32" s="445"/>
    </row>
  </sheetData>
  <mergeCells count="10">
    <mergeCell ref="I6:I7"/>
    <mergeCell ref="A22:B22"/>
    <mergeCell ref="B1:H1"/>
    <mergeCell ref="B2:H2"/>
    <mergeCell ref="B3:H3"/>
    <mergeCell ref="A6:A7"/>
    <mergeCell ref="B6:B7"/>
    <mergeCell ref="C6:C7"/>
    <mergeCell ref="D6:D7"/>
    <mergeCell ref="E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K105"/>
  <sheetViews>
    <sheetView topLeftCell="A73" workbookViewId="0">
      <selection activeCell="I63" sqref="I63"/>
    </sheetView>
  </sheetViews>
  <sheetFormatPr defaultRowHeight="15.75" x14ac:dyDescent="0.25"/>
  <cols>
    <col min="1" max="1" width="6" style="2" customWidth="1"/>
    <col min="2" max="2" width="5.140625" style="1" customWidth="1"/>
    <col min="3" max="3" width="68.42578125" style="1" customWidth="1"/>
    <col min="4" max="4" width="14.42578125" style="2" customWidth="1"/>
    <col min="5" max="5" width="14.5703125" style="2" customWidth="1"/>
    <col min="6" max="6" width="13.5703125" style="2" customWidth="1"/>
    <col min="7" max="7" width="11.710937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723" t="s">
        <v>512</v>
      </c>
      <c r="B1" s="724"/>
      <c r="C1" s="724"/>
      <c r="D1" s="724"/>
      <c r="E1" s="724"/>
      <c r="F1" s="724"/>
    </row>
    <row r="2" spans="1:11" ht="20.100000000000001" customHeight="1" x14ac:dyDescent="0.25">
      <c r="A2" s="725"/>
      <c r="B2" s="725"/>
      <c r="C2" s="725"/>
      <c r="D2" s="725"/>
      <c r="E2" s="725"/>
      <c r="F2" s="725"/>
    </row>
    <row r="3" spans="1:11" ht="20.100000000000001" customHeight="1" x14ac:dyDescent="0.25">
      <c r="A3" s="726" t="s">
        <v>160</v>
      </c>
      <c r="B3" s="726"/>
      <c r="C3" s="726"/>
      <c r="D3" s="726"/>
      <c r="E3" s="726"/>
      <c r="F3" s="726"/>
      <c r="G3" s="726"/>
    </row>
    <row r="4" spans="1:11" ht="20.100000000000001" customHeight="1" x14ac:dyDescent="0.25">
      <c r="A4" s="725" t="s">
        <v>2</v>
      </c>
      <c r="B4" s="725"/>
      <c r="C4" s="725"/>
      <c r="D4" s="725"/>
      <c r="E4" s="725"/>
      <c r="F4" s="725"/>
    </row>
    <row r="5" spans="1:11" ht="39" customHeight="1" thickBot="1" x14ac:dyDescent="0.3">
      <c r="A5" s="727" t="s">
        <v>505</v>
      </c>
      <c r="B5" s="727"/>
      <c r="C5" s="727"/>
      <c r="D5" s="727"/>
      <c r="E5" s="727"/>
      <c r="F5" s="727"/>
    </row>
    <row r="6" spans="1:11" ht="20.100000000000001" customHeight="1" x14ac:dyDescent="0.25">
      <c r="A6" s="737" t="s">
        <v>3</v>
      </c>
      <c r="B6" s="736" t="s">
        <v>4</v>
      </c>
      <c r="C6" s="736"/>
      <c r="D6" s="735" t="s">
        <v>407</v>
      </c>
      <c r="E6" s="729" t="s">
        <v>6</v>
      </c>
      <c r="F6" s="729" t="s">
        <v>7</v>
      </c>
      <c r="G6" s="731" t="s">
        <v>8</v>
      </c>
      <c r="H6" s="735" t="s">
        <v>407</v>
      </c>
      <c r="I6" s="729" t="s">
        <v>6</v>
      </c>
      <c r="J6" s="729" t="s">
        <v>7</v>
      </c>
      <c r="K6" s="731" t="s">
        <v>8</v>
      </c>
    </row>
    <row r="7" spans="1:11" ht="38.25" customHeight="1" x14ac:dyDescent="0.25">
      <c r="A7" s="738"/>
      <c r="B7" s="740"/>
      <c r="C7" s="740"/>
      <c r="D7" s="734"/>
      <c r="E7" s="730"/>
      <c r="F7" s="730"/>
      <c r="G7" s="732"/>
      <c r="H7" s="734"/>
      <c r="I7" s="730"/>
      <c r="J7" s="730"/>
      <c r="K7" s="732"/>
    </row>
    <row r="8" spans="1:11" ht="22.5" customHeight="1" thickBot="1" x14ac:dyDescent="0.3">
      <c r="A8" s="739"/>
      <c r="B8" s="741"/>
      <c r="C8" s="741"/>
      <c r="D8" s="733" t="s">
        <v>408</v>
      </c>
      <c r="E8" s="734"/>
      <c r="F8" s="734"/>
      <c r="G8" s="50"/>
      <c r="H8" s="733" t="s">
        <v>576</v>
      </c>
      <c r="I8" s="734"/>
      <c r="J8" s="734"/>
      <c r="K8" s="50"/>
    </row>
    <row r="9" spans="1:11" ht="15.95" customHeight="1" x14ac:dyDescent="0.25">
      <c r="A9" s="142"/>
      <c r="B9" s="736" t="s">
        <v>9</v>
      </c>
      <c r="C9" s="736"/>
      <c r="D9" s="51"/>
      <c r="E9" s="52"/>
      <c r="F9" s="53"/>
      <c r="G9" s="53"/>
      <c r="H9" s="51"/>
      <c r="I9" s="52"/>
      <c r="J9" s="53"/>
      <c r="K9" s="53"/>
    </row>
    <row r="10" spans="1:11" ht="15.95" customHeight="1" x14ac:dyDescent="0.25">
      <c r="A10" s="3">
        <v>1</v>
      </c>
      <c r="B10" s="717" t="s">
        <v>10</v>
      </c>
      <c r="C10" s="717"/>
      <c r="D10" s="5">
        <v>31150</v>
      </c>
      <c r="E10" s="5">
        <v>31150</v>
      </c>
      <c r="F10" s="6"/>
      <c r="G10" s="7"/>
      <c r="H10" s="5">
        <v>37634</v>
      </c>
      <c r="I10" s="5">
        <v>37634</v>
      </c>
      <c r="J10" s="6"/>
      <c r="K10" s="7"/>
    </row>
    <row r="11" spans="1:11" ht="15.95" customHeight="1" x14ac:dyDescent="0.25">
      <c r="A11" s="3">
        <v>2</v>
      </c>
      <c r="B11" s="717" t="s">
        <v>11</v>
      </c>
      <c r="C11" s="717"/>
      <c r="D11" s="5">
        <v>6406</v>
      </c>
      <c r="E11" s="5">
        <v>6406</v>
      </c>
      <c r="F11" s="6"/>
      <c r="G11" s="7"/>
      <c r="H11" s="5">
        <v>7270</v>
      </c>
      <c r="I11" s="5">
        <v>7270</v>
      </c>
      <c r="J11" s="6"/>
      <c r="K11" s="7"/>
    </row>
    <row r="12" spans="1:11" ht="15.95" customHeight="1" x14ac:dyDescent="0.25">
      <c r="A12" s="3">
        <v>3</v>
      </c>
      <c r="B12" s="717" t="s">
        <v>12</v>
      </c>
      <c r="C12" s="717"/>
      <c r="D12" s="5">
        <v>14977</v>
      </c>
      <c r="E12" s="5">
        <v>14977</v>
      </c>
      <c r="F12" s="6"/>
      <c r="G12" s="8"/>
      <c r="H12" s="5">
        <v>13641</v>
      </c>
      <c r="I12" s="5">
        <v>13641</v>
      </c>
      <c r="J12" s="6"/>
      <c r="K12" s="8"/>
    </row>
    <row r="13" spans="1:11" ht="15.95" customHeight="1" x14ac:dyDescent="0.25">
      <c r="A13" s="3" t="s">
        <v>13</v>
      </c>
      <c r="B13" s="717" t="s">
        <v>14</v>
      </c>
      <c r="C13" s="717"/>
      <c r="D13" s="54"/>
      <c r="E13" s="54"/>
      <c r="F13" s="6"/>
      <c r="G13" s="7"/>
      <c r="H13" s="54"/>
      <c r="I13" s="54"/>
      <c r="J13" s="6"/>
      <c r="K13" s="7"/>
    </row>
    <row r="14" spans="1:11" ht="15.95" customHeight="1" x14ac:dyDescent="0.25">
      <c r="A14" s="3" t="s">
        <v>15</v>
      </c>
      <c r="B14" s="728" t="s">
        <v>16</v>
      </c>
      <c r="C14" s="728"/>
      <c r="D14" s="54">
        <f>+D15+D16+D17+D18+D19</f>
        <v>0</v>
      </c>
      <c r="E14" s="54">
        <f>+E15+E16+E17+E18+E19</f>
        <v>0</v>
      </c>
      <c r="F14" s="10"/>
      <c r="G14" s="10"/>
      <c r="H14" s="54">
        <f>+H15+H16+H17+H18+H19</f>
        <v>0</v>
      </c>
      <c r="I14" s="54">
        <f>+I15+I16+I17+I18+I19</f>
        <v>0</v>
      </c>
      <c r="J14" s="10"/>
      <c r="K14" s="10"/>
    </row>
    <row r="15" spans="1:11" ht="15.95" customHeight="1" x14ac:dyDescent="0.25">
      <c r="A15" s="3" t="s">
        <v>17</v>
      </c>
      <c r="B15" s="719" t="s">
        <v>117</v>
      </c>
      <c r="C15" s="719"/>
      <c r="D15" s="54"/>
      <c r="E15" s="54"/>
      <c r="F15" s="6"/>
      <c r="G15" s="7"/>
      <c r="H15" s="54"/>
      <c r="I15" s="54"/>
      <c r="J15" s="6"/>
      <c r="K15" s="7"/>
    </row>
    <row r="16" spans="1:11" ht="15.95" customHeight="1" x14ac:dyDescent="0.25">
      <c r="A16" s="3" t="s">
        <v>18</v>
      </c>
      <c r="B16" s="719" t="s">
        <v>19</v>
      </c>
      <c r="C16" s="719"/>
      <c r="D16" s="54"/>
      <c r="E16" s="54"/>
      <c r="F16" s="6"/>
      <c r="G16" s="7"/>
      <c r="H16" s="54"/>
      <c r="I16" s="54"/>
      <c r="J16" s="6"/>
      <c r="K16" s="7"/>
    </row>
    <row r="17" spans="1:11" ht="15.95" customHeight="1" x14ac:dyDescent="0.25">
      <c r="A17" s="3"/>
      <c r="B17" s="720" t="s">
        <v>119</v>
      </c>
      <c r="C17" s="720"/>
      <c r="D17" s="54"/>
      <c r="E17" s="54"/>
      <c r="F17" s="6"/>
      <c r="G17" s="7"/>
      <c r="H17" s="54"/>
      <c r="I17" s="54"/>
      <c r="J17" s="6"/>
      <c r="K17" s="7"/>
    </row>
    <row r="18" spans="1:11" ht="15.95" customHeight="1" x14ac:dyDescent="0.25">
      <c r="A18" s="3" t="s">
        <v>20</v>
      </c>
      <c r="B18" s="721" t="s">
        <v>21</v>
      </c>
      <c r="C18" s="721"/>
      <c r="D18" s="54"/>
      <c r="E18" s="54"/>
      <c r="F18" s="6"/>
      <c r="G18" s="7"/>
      <c r="H18" s="54"/>
      <c r="I18" s="54"/>
      <c r="J18" s="6"/>
      <c r="K18" s="7"/>
    </row>
    <row r="19" spans="1:11" ht="15.95" customHeight="1" x14ac:dyDescent="0.25">
      <c r="A19" s="3" t="s">
        <v>22</v>
      </c>
      <c r="B19" s="721" t="s">
        <v>161</v>
      </c>
      <c r="C19" s="722"/>
      <c r="D19" s="54"/>
      <c r="E19" s="54"/>
      <c r="F19" s="6"/>
      <c r="G19" s="7"/>
      <c r="H19" s="54"/>
      <c r="I19" s="54"/>
      <c r="J19" s="6"/>
      <c r="K19" s="7"/>
    </row>
    <row r="20" spans="1:11" ht="15.95" customHeight="1" x14ac:dyDescent="0.25">
      <c r="A20" s="3"/>
      <c r="B20" s="717" t="s">
        <v>23</v>
      </c>
      <c r="C20" s="717"/>
      <c r="D20" s="55"/>
      <c r="E20" s="55"/>
      <c r="F20" s="56"/>
      <c r="G20" s="57"/>
      <c r="H20" s="55"/>
      <c r="I20" s="55"/>
      <c r="J20" s="56"/>
      <c r="K20" s="57"/>
    </row>
    <row r="21" spans="1:11" ht="15.95" customHeight="1" x14ac:dyDescent="0.25">
      <c r="A21" s="3" t="s">
        <v>0</v>
      </c>
      <c r="B21" s="141" t="s">
        <v>24</v>
      </c>
      <c r="C21" s="58"/>
      <c r="D21" s="54">
        <f>+D10+D11+D12+D13+D14+D20</f>
        <v>52533</v>
      </c>
      <c r="E21" s="54">
        <f>+E10+E11+E12+E13+E14+E20</f>
        <v>52533</v>
      </c>
      <c r="F21" s="10">
        <f>+F10+F11+F12+F13+F14+F20+F16</f>
        <v>0</v>
      </c>
      <c r="G21" s="5"/>
      <c r="H21" s="54">
        <f>+H10+H11+H12+H13+H14+H20</f>
        <v>58545</v>
      </c>
      <c r="I21" s="54">
        <f>+I10+I11+I12+I13+I14+I20</f>
        <v>58545</v>
      </c>
      <c r="J21" s="10">
        <f>+J10+J11+J12+J13+J14+J20+J16</f>
        <v>0</v>
      </c>
      <c r="K21" s="5"/>
    </row>
    <row r="22" spans="1:11" ht="15.95" customHeight="1" x14ac:dyDescent="0.25">
      <c r="A22" s="3" t="s">
        <v>25</v>
      </c>
      <c r="B22" s="717" t="s">
        <v>26</v>
      </c>
      <c r="C22" s="717"/>
      <c r="D22" s="55">
        <v>1941</v>
      </c>
      <c r="E22" s="55">
        <v>1941</v>
      </c>
      <c r="F22" s="43"/>
      <c r="G22" s="7"/>
      <c r="H22" s="55">
        <v>702</v>
      </c>
      <c r="I22" s="55">
        <v>702</v>
      </c>
      <c r="J22" s="43"/>
      <c r="K22" s="7"/>
    </row>
    <row r="23" spans="1:11" ht="15.95" customHeight="1" x14ac:dyDescent="0.25">
      <c r="A23" s="3" t="s">
        <v>27</v>
      </c>
      <c r="B23" s="717" t="s">
        <v>28</v>
      </c>
      <c r="C23" s="717"/>
      <c r="D23" s="55"/>
      <c r="E23" s="55"/>
      <c r="F23" s="6"/>
      <c r="G23" s="7"/>
      <c r="H23" s="55"/>
      <c r="I23" s="55"/>
      <c r="J23" s="6"/>
      <c r="K23" s="7"/>
    </row>
    <row r="24" spans="1:11" ht="15.95" customHeight="1" x14ac:dyDescent="0.25">
      <c r="A24" s="3" t="s">
        <v>29</v>
      </c>
      <c r="B24" s="717" t="s">
        <v>120</v>
      </c>
      <c r="C24" s="717"/>
      <c r="D24" s="55"/>
      <c r="E24" s="55"/>
      <c r="F24" s="6"/>
      <c r="G24" s="7"/>
      <c r="H24" s="55"/>
      <c r="I24" s="55"/>
      <c r="J24" s="6"/>
      <c r="K24" s="7"/>
    </row>
    <row r="25" spans="1:11" ht="15.95" customHeight="1" x14ac:dyDescent="0.25">
      <c r="A25" s="3" t="s">
        <v>31</v>
      </c>
      <c r="B25" s="717" t="s">
        <v>32</v>
      </c>
      <c r="C25" s="717"/>
      <c r="D25" s="55">
        <f>+D22+D23+D24</f>
        <v>1941</v>
      </c>
      <c r="E25" s="55">
        <f>+E22+E23+E24</f>
        <v>1941</v>
      </c>
      <c r="F25" s="6">
        <f>SUM(F22:F24)</f>
        <v>0</v>
      </c>
      <c r="G25" s="7"/>
      <c r="H25" s="55">
        <f>+H22+H23+H24</f>
        <v>702</v>
      </c>
      <c r="I25" s="55">
        <f>+I22+I23+I24</f>
        <v>702</v>
      </c>
      <c r="J25" s="6">
        <f>SUM(J22:J24)</f>
        <v>0</v>
      </c>
      <c r="K25" s="7"/>
    </row>
    <row r="26" spans="1:11" ht="15.95" customHeight="1" x14ac:dyDescent="0.25">
      <c r="A26" s="3" t="s">
        <v>33</v>
      </c>
      <c r="B26" s="717"/>
      <c r="C26" s="717"/>
      <c r="D26" s="55"/>
      <c r="E26" s="55"/>
      <c r="F26" s="6"/>
      <c r="G26" s="7"/>
      <c r="H26" s="55"/>
      <c r="I26" s="55"/>
      <c r="J26" s="6"/>
      <c r="K26" s="7"/>
    </row>
    <row r="27" spans="1:11" ht="15.95" customHeight="1" x14ac:dyDescent="0.25">
      <c r="A27" s="3" t="s">
        <v>34</v>
      </c>
      <c r="B27" s="718"/>
      <c r="C27" s="718"/>
      <c r="D27" s="59"/>
      <c r="E27" s="59"/>
      <c r="F27" s="6">
        <f>+D27+E27</f>
        <v>0</v>
      </c>
      <c r="G27" s="7"/>
      <c r="H27" s="59"/>
      <c r="I27" s="59"/>
      <c r="J27" s="6">
        <f>+H27+I27</f>
        <v>0</v>
      </c>
      <c r="K27" s="7"/>
    </row>
    <row r="28" spans="1:11" ht="15.95" customHeight="1" x14ac:dyDescent="0.25">
      <c r="A28" s="3" t="s">
        <v>35</v>
      </c>
      <c r="B28" s="718"/>
      <c r="C28" s="718"/>
      <c r="D28" s="59"/>
      <c r="E28" s="59"/>
      <c r="F28" s="6">
        <f>+D28+E28</f>
        <v>0</v>
      </c>
      <c r="G28" s="7"/>
      <c r="H28" s="59"/>
      <c r="I28" s="59"/>
      <c r="J28" s="6">
        <f>+H28+I28</f>
        <v>0</v>
      </c>
      <c r="K28" s="7"/>
    </row>
    <row r="29" spans="1:11" ht="15.95" customHeight="1" x14ac:dyDescent="0.3">
      <c r="A29" s="18" t="s">
        <v>36</v>
      </c>
      <c r="B29" s="712" t="s">
        <v>162</v>
      </c>
      <c r="C29" s="712"/>
      <c r="D29" s="61">
        <f t="shared" ref="D29:K29" si="0">+D21+D25+D26+D27+D28</f>
        <v>54474</v>
      </c>
      <c r="E29" s="61">
        <f t="shared" si="0"/>
        <v>54474</v>
      </c>
      <c r="F29" s="27">
        <f t="shared" si="0"/>
        <v>0</v>
      </c>
      <c r="G29" s="28">
        <f t="shared" si="0"/>
        <v>0</v>
      </c>
      <c r="H29" s="61">
        <f t="shared" si="0"/>
        <v>59247</v>
      </c>
      <c r="I29" s="61">
        <f t="shared" si="0"/>
        <v>59247</v>
      </c>
      <c r="J29" s="27">
        <f t="shared" si="0"/>
        <v>0</v>
      </c>
      <c r="K29" s="28">
        <f t="shared" si="0"/>
        <v>0</v>
      </c>
    </row>
    <row r="30" spans="1:11" ht="15.95" customHeight="1" x14ac:dyDescent="0.25">
      <c r="A30" s="19"/>
      <c r="B30" s="715"/>
      <c r="C30" s="715"/>
      <c r="D30" s="44"/>
      <c r="E30" s="44"/>
      <c r="F30" s="42"/>
      <c r="G30" s="42"/>
      <c r="H30" s="44"/>
      <c r="I30" s="44"/>
      <c r="J30" s="42"/>
      <c r="K30" s="42"/>
    </row>
    <row r="31" spans="1:11" ht="15.95" customHeight="1" x14ac:dyDescent="0.25">
      <c r="A31" s="3"/>
      <c r="B31" s="716" t="s">
        <v>37</v>
      </c>
      <c r="C31" s="716"/>
      <c r="D31" s="55"/>
      <c r="E31" s="55"/>
      <c r="F31" s="6"/>
      <c r="G31" s="7"/>
      <c r="H31" s="55"/>
      <c r="I31" s="55"/>
      <c r="J31" s="6"/>
      <c r="K31" s="7"/>
    </row>
    <row r="32" spans="1:11" ht="15.95" customHeight="1" x14ac:dyDescent="0.25">
      <c r="A32" s="3" t="s">
        <v>38</v>
      </c>
      <c r="B32" s="713" t="s">
        <v>39</v>
      </c>
      <c r="C32" s="713"/>
      <c r="D32" s="55">
        <v>1362</v>
      </c>
      <c r="E32" s="55">
        <v>1362</v>
      </c>
      <c r="F32" s="6"/>
      <c r="G32" s="7">
        <v>0</v>
      </c>
      <c r="H32" s="55">
        <v>2182</v>
      </c>
      <c r="I32" s="55">
        <v>2182</v>
      </c>
      <c r="J32" s="6"/>
      <c r="K32" s="7">
        <v>0</v>
      </c>
    </row>
    <row r="33" spans="1:11" ht="15.95" customHeight="1" x14ac:dyDescent="0.25">
      <c r="A33" s="3" t="s">
        <v>40</v>
      </c>
      <c r="B33" s="713" t="s">
        <v>41</v>
      </c>
      <c r="C33" s="713"/>
      <c r="D33" s="55">
        <f>SUM(D34:D36)</f>
        <v>0</v>
      </c>
      <c r="E33" s="55">
        <f>SUM(E34:E36)</f>
        <v>0</v>
      </c>
      <c r="F33" s="14">
        <f>SUM(F34:F36)</f>
        <v>0</v>
      </c>
      <c r="G33" s="7"/>
      <c r="H33" s="55">
        <f>SUM(H34:H36)</f>
        <v>0</v>
      </c>
      <c r="I33" s="55">
        <f>SUM(I34:I36)</f>
        <v>0</v>
      </c>
      <c r="J33" s="14">
        <f>SUM(J34:J36)</f>
        <v>0</v>
      </c>
      <c r="K33" s="7"/>
    </row>
    <row r="34" spans="1:11" ht="15.95" customHeight="1" x14ac:dyDescent="0.25">
      <c r="A34" s="3"/>
      <c r="B34" s="22" t="s">
        <v>42</v>
      </c>
      <c r="C34" s="23" t="s">
        <v>43</v>
      </c>
      <c r="D34" s="55"/>
      <c r="E34" s="55"/>
      <c r="F34" s="6"/>
      <c r="G34" s="7"/>
      <c r="H34" s="55"/>
      <c r="I34" s="55"/>
      <c r="J34" s="6"/>
      <c r="K34" s="7"/>
    </row>
    <row r="35" spans="1:11" ht="15.95" customHeight="1" x14ac:dyDescent="0.25">
      <c r="A35" s="3"/>
      <c r="B35" s="22" t="s">
        <v>44</v>
      </c>
      <c r="C35" s="23" t="s">
        <v>45</v>
      </c>
      <c r="D35" s="55"/>
      <c r="E35" s="55"/>
      <c r="F35" s="6"/>
      <c r="G35" s="7"/>
      <c r="H35" s="55"/>
      <c r="I35" s="55"/>
      <c r="J35" s="6"/>
      <c r="K35" s="7"/>
    </row>
    <row r="36" spans="1:11" ht="15.95" customHeight="1" x14ac:dyDescent="0.25">
      <c r="A36" s="3"/>
      <c r="B36" s="22" t="s">
        <v>46</v>
      </c>
      <c r="C36" s="23" t="s">
        <v>47</v>
      </c>
      <c r="D36" s="55"/>
      <c r="E36" s="55"/>
      <c r="F36" s="6"/>
      <c r="G36" s="7"/>
      <c r="H36" s="55"/>
      <c r="I36" s="55"/>
      <c r="J36" s="6"/>
      <c r="K36" s="7"/>
    </row>
    <row r="37" spans="1:11" ht="15.95" customHeight="1" x14ac:dyDescent="0.25">
      <c r="A37" s="3" t="s">
        <v>48</v>
      </c>
      <c r="B37" s="713" t="s">
        <v>49</v>
      </c>
      <c r="C37" s="713"/>
      <c r="D37" s="55">
        <f>SUM(D38:D40)</f>
        <v>0</v>
      </c>
      <c r="E37" s="55">
        <f>SUM(E38:E40)</f>
        <v>0</v>
      </c>
      <c r="F37" s="6">
        <f>SUM(F38:F40)</f>
        <v>0</v>
      </c>
      <c r="G37" s="7"/>
      <c r="H37" s="55">
        <f>SUM(H38:H40)</f>
        <v>0</v>
      </c>
      <c r="I37" s="55">
        <f>SUM(I38:I40)</f>
        <v>0</v>
      </c>
      <c r="J37" s="6">
        <f>SUM(J38:J40)</f>
        <v>0</v>
      </c>
      <c r="K37" s="7"/>
    </row>
    <row r="38" spans="1:11" ht="15.95" customHeight="1" x14ac:dyDescent="0.25">
      <c r="A38" s="3"/>
      <c r="B38" s="25" t="s">
        <v>50</v>
      </c>
      <c r="C38" s="140" t="s">
        <v>51</v>
      </c>
      <c r="D38" s="55"/>
      <c r="E38" s="55"/>
      <c r="F38" s="6"/>
      <c r="G38" s="7"/>
      <c r="H38" s="55"/>
      <c r="I38" s="55"/>
      <c r="J38" s="6"/>
      <c r="K38" s="7"/>
    </row>
    <row r="39" spans="1:11" ht="15.95" customHeight="1" x14ac:dyDescent="0.25">
      <c r="A39" s="3"/>
      <c r="B39" s="25" t="s">
        <v>52</v>
      </c>
      <c r="C39" s="140" t="s">
        <v>53</v>
      </c>
      <c r="D39" s="55"/>
      <c r="E39" s="55"/>
      <c r="F39" s="6">
        <f t="shared" ref="F39:F45" si="1">SUM(D39:D39)</f>
        <v>0</v>
      </c>
      <c r="G39" s="7"/>
      <c r="H39" s="55"/>
      <c r="I39" s="55"/>
      <c r="J39" s="6">
        <f t="shared" ref="J39" si="2">SUM(H39:H39)</f>
        <v>0</v>
      </c>
      <c r="K39" s="7"/>
    </row>
    <row r="40" spans="1:11" ht="15.95" customHeight="1" x14ac:dyDescent="0.25">
      <c r="A40" s="3"/>
      <c r="B40" s="25" t="s">
        <v>54</v>
      </c>
      <c r="C40" s="140" t="s">
        <v>55</v>
      </c>
      <c r="D40" s="55"/>
      <c r="E40" s="55"/>
      <c r="F40" s="6"/>
      <c r="G40" s="7"/>
      <c r="H40" s="55"/>
      <c r="I40" s="55"/>
      <c r="J40" s="6"/>
      <c r="K40" s="7"/>
    </row>
    <row r="41" spans="1:11" ht="15.95" customHeight="1" x14ac:dyDescent="0.25">
      <c r="A41" s="3" t="s">
        <v>13</v>
      </c>
      <c r="B41" s="713" t="s">
        <v>56</v>
      </c>
      <c r="C41" s="713"/>
      <c r="D41" s="55">
        <f>+F41</f>
        <v>0</v>
      </c>
      <c r="E41" s="55">
        <f>+G41</f>
        <v>0</v>
      </c>
      <c r="F41" s="14">
        <f>SUM(F42:F45)</f>
        <v>0</v>
      </c>
      <c r="G41" s="7"/>
      <c r="H41" s="55">
        <f>H42+H43+H44+H45</f>
        <v>932</v>
      </c>
      <c r="I41" s="55">
        <f t="shared" ref="I41:J41" si="3">I42+I43+I44+I45</f>
        <v>932</v>
      </c>
      <c r="J41" s="55">
        <f t="shared" si="3"/>
        <v>0</v>
      </c>
      <c r="K41" s="7"/>
    </row>
    <row r="42" spans="1:11" ht="15.95" customHeight="1" x14ac:dyDescent="0.25">
      <c r="A42" s="3"/>
      <c r="B42" s="25" t="s">
        <v>57</v>
      </c>
      <c r="C42" s="140" t="s">
        <v>58</v>
      </c>
      <c r="D42" s="55">
        <f>+F42</f>
        <v>0</v>
      </c>
      <c r="E42" s="55">
        <f>+G42</f>
        <v>0</v>
      </c>
      <c r="F42" s="6"/>
      <c r="G42" s="7"/>
      <c r="H42" s="55">
        <v>932</v>
      </c>
      <c r="I42" s="55">
        <v>932</v>
      </c>
      <c r="J42" s="6"/>
      <c r="K42" s="7"/>
    </row>
    <row r="43" spans="1:11" ht="15.95" customHeight="1" x14ac:dyDescent="0.25">
      <c r="A43" s="3"/>
      <c r="B43" s="25" t="s">
        <v>59</v>
      </c>
      <c r="C43" s="140" t="s">
        <v>60</v>
      </c>
      <c r="D43" s="55"/>
      <c r="E43" s="55"/>
      <c r="F43" s="6">
        <f t="shared" si="1"/>
        <v>0</v>
      </c>
      <c r="G43" s="7"/>
      <c r="H43" s="55"/>
      <c r="I43" s="55"/>
      <c r="J43" s="6">
        <f t="shared" ref="J43:J45" si="4">SUM(H43:H43)</f>
        <v>0</v>
      </c>
      <c r="K43" s="7"/>
    </row>
    <row r="44" spans="1:11" ht="15.95" customHeight="1" x14ac:dyDescent="0.25">
      <c r="A44" s="3"/>
      <c r="B44" s="25" t="s">
        <v>61</v>
      </c>
      <c r="C44" s="140" t="s">
        <v>163</v>
      </c>
      <c r="D44" s="55"/>
      <c r="E44" s="55"/>
      <c r="F44" s="6">
        <f t="shared" si="1"/>
        <v>0</v>
      </c>
      <c r="G44" s="7"/>
      <c r="H44" s="55"/>
      <c r="I44" s="55"/>
      <c r="J44" s="6">
        <f t="shared" si="4"/>
        <v>0</v>
      </c>
      <c r="K44" s="7"/>
    </row>
    <row r="45" spans="1:11" ht="15.95" customHeight="1" x14ac:dyDescent="0.25">
      <c r="A45" s="3"/>
      <c r="B45" s="25" t="s">
        <v>63</v>
      </c>
      <c r="C45" s="140" t="s">
        <v>64</v>
      </c>
      <c r="D45" s="55"/>
      <c r="E45" s="55"/>
      <c r="F45" s="6">
        <f t="shared" si="1"/>
        <v>0</v>
      </c>
      <c r="G45" s="7"/>
      <c r="H45" s="55"/>
      <c r="I45" s="55"/>
      <c r="J45" s="6">
        <f t="shared" si="4"/>
        <v>0</v>
      </c>
      <c r="K45" s="7"/>
    </row>
    <row r="46" spans="1:11" s="83" customFormat="1" ht="15.95" customHeight="1" x14ac:dyDescent="0.25">
      <c r="A46" s="12" t="s">
        <v>0</v>
      </c>
      <c r="B46" s="711" t="s">
        <v>65</v>
      </c>
      <c r="C46" s="711"/>
      <c r="D46" s="55">
        <f t="shared" ref="D46:K46" si="5">+D32+D33+D37+D41</f>
        <v>1362</v>
      </c>
      <c r="E46" s="55">
        <f t="shared" si="5"/>
        <v>1362</v>
      </c>
      <c r="F46" s="55">
        <f t="shared" si="5"/>
        <v>0</v>
      </c>
      <c r="G46" s="55">
        <f t="shared" si="5"/>
        <v>0</v>
      </c>
      <c r="H46" s="55">
        <f t="shared" si="5"/>
        <v>3114</v>
      </c>
      <c r="I46" s="55">
        <f t="shared" si="5"/>
        <v>3114</v>
      </c>
      <c r="J46" s="55">
        <f t="shared" si="5"/>
        <v>0</v>
      </c>
      <c r="K46" s="55">
        <f t="shared" si="5"/>
        <v>0</v>
      </c>
    </row>
    <row r="47" spans="1:11" ht="15.95" customHeight="1" x14ac:dyDescent="0.25">
      <c r="A47" s="3" t="s">
        <v>15</v>
      </c>
      <c r="B47" s="713" t="s">
        <v>66</v>
      </c>
      <c r="C47" s="713"/>
      <c r="D47" s="55">
        <f>SUM(D48:D49)</f>
        <v>0</v>
      </c>
      <c r="E47" s="55">
        <f>SUM(E48:E49)</f>
        <v>0</v>
      </c>
      <c r="F47" s="14">
        <f>SUM(F48:F49)</f>
        <v>0</v>
      </c>
      <c r="G47" s="7"/>
      <c r="H47" s="55">
        <f>SUM(H48:H49)</f>
        <v>0</v>
      </c>
      <c r="I47" s="55">
        <f>SUM(I48:I49)</f>
        <v>0</v>
      </c>
      <c r="J47" s="14">
        <f>SUM(J48:J49)</f>
        <v>0</v>
      </c>
      <c r="K47" s="7"/>
    </row>
    <row r="48" spans="1:11" ht="15.95" customHeight="1" x14ac:dyDescent="0.25">
      <c r="A48" s="3"/>
      <c r="B48" s="25" t="s">
        <v>67</v>
      </c>
      <c r="C48" s="140" t="s">
        <v>68</v>
      </c>
      <c r="D48" s="55"/>
      <c r="E48" s="55"/>
      <c r="F48" s="6">
        <f t="shared" ref="F48:F56" si="6">SUM(D48:D48)</f>
        <v>0</v>
      </c>
      <c r="G48" s="7"/>
      <c r="H48" s="55"/>
      <c r="I48" s="55"/>
      <c r="J48" s="6">
        <f t="shared" ref="J48" si="7">SUM(H48:H48)</f>
        <v>0</v>
      </c>
      <c r="K48" s="7"/>
    </row>
    <row r="49" spans="1:11" ht="15.95" customHeight="1" x14ac:dyDescent="0.25">
      <c r="A49" s="3"/>
      <c r="B49" s="25" t="s">
        <v>69</v>
      </c>
      <c r="C49" s="140" t="s">
        <v>70</v>
      </c>
      <c r="D49" s="55"/>
      <c r="E49" s="55"/>
      <c r="F49" s="6"/>
      <c r="G49" s="7"/>
      <c r="H49" s="55"/>
      <c r="I49" s="55"/>
      <c r="J49" s="6"/>
      <c r="K49" s="7"/>
    </row>
    <row r="50" spans="1:11" ht="15.95" customHeight="1" x14ac:dyDescent="0.25">
      <c r="A50" s="3" t="s">
        <v>25</v>
      </c>
      <c r="B50" s="713" t="s">
        <v>71</v>
      </c>
      <c r="C50" s="713"/>
      <c r="D50" s="55">
        <f>SUM(D51:D52)</f>
        <v>0</v>
      </c>
      <c r="E50" s="55">
        <f>SUM(E51:E52)</f>
        <v>0</v>
      </c>
      <c r="F50" s="6">
        <f t="shared" si="6"/>
        <v>0</v>
      </c>
      <c r="G50" s="7"/>
      <c r="H50" s="55">
        <f>SUM(H51:H52)</f>
        <v>0</v>
      </c>
      <c r="I50" s="55">
        <f>SUM(I51:I52)</f>
        <v>0</v>
      </c>
      <c r="J50" s="6">
        <f t="shared" ref="J50:J52" si="8">SUM(H50:H50)</f>
        <v>0</v>
      </c>
      <c r="K50" s="7"/>
    </row>
    <row r="51" spans="1:11" ht="15.95" customHeight="1" x14ac:dyDescent="0.25">
      <c r="A51" s="3"/>
      <c r="B51" s="25" t="s">
        <v>72</v>
      </c>
      <c r="C51" s="140" t="s">
        <v>73</v>
      </c>
      <c r="D51" s="55"/>
      <c r="E51" s="55"/>
      <c r="F51" s="6">
        <f t="shared" si="6"/>
        <v>0</v>
      </c>
      <c r="G51" s="7"/>
      <c r="H51" s="55"/>
      <c r="I51" s="55"/>
      <c r="J51" s="6">
        <f t="shared" si="8"/>
        <v>0</v>
      </c>
      <c r="K51" s="7"/>
    </row>
    <row r="52" spans="1:11" ht="15.95" customHeight="1" x14ac:dyDescent="0.25">
      <c r="A52" s="3"/>
      <c r="B52" s="25" t="s">
        <v>74</v>
      </c>
      <c r="C52" s="140" t="s">
        <v>75</v>
      </c>
      <c r="D52" s="55">
        <v>0</v>
      </c>
      <c r="E52" s="55">
        <v>0</v>
      </c>
      <c r="F52" s="6">
        <f t="shared" si="6"/>
        <v>0</v>
      </c>
      <c r="G52" s="7"/>
      <c r="H52" s="55">
        <v>0</v>
      </c>
      <c r="I52" s="55">
        <v>0</v>
      </c>
      <c r="J52" s="6">
        <f t="shared" si="8"/>
        <v>0</v>
      </c>
      <c r="K52" s="7"/>
    </row>
    <row r="53" spans="1:11" ht="15.95" customHeight="1" x14ac:dyDescent="0.25">
      <c r="A53" s="3" t="s">
        <v>27</v>
      </c>
      <c r="B53" s="713" t="s">
        <v>76</v>
      </c>
      <c r="C53" s="713"/>
      <c r="D53" s="55">
        <f>SUM(D54:D56)</f>
        <v>0</v>
      </c>
      <c r="E53" s="55">
        <f>SUM(E54:E56)</f>
        <v>0</v>
      </c>
      <c r="F53" s="6">
        <f>SUM(F54:F56)</f>
        <v>0</v>
      </c>
      <c r="G53" s="7"/>
      <c r="H53" s="55">
        <f>SUM(H54:H56)</f>
        <v>0</v>
      </c>
      <c r="I53" s="55">
        <f>SUM(I54:I56)</f>
        <v>0</v>
      </c>
      <c r="J53" s="6">
        <f>SUM(J54:J56)</f>
        <v>0</v>
      </c>
      <c r="K53" s="7"/>
    </row>
    <row r="54" spans="1:11" ht="15.95" customHeight="1" x14ac:dyDescent="0.25">
      <c r="A54" s="3"/>
      <c r="B54" s="25" t="s">
        <v>77</v>
      </c>
      <c r="C54" s="140" t="s">
        <v>78</v>
      </c>
      <c r="D54" s="55"/>
      <c r="E54" s="55"/>
      <c r="F54" s="6"/>
      <c r="G54" s="7"/>
      <c r="H54" s="55"/>
      <c r="I54" s="55"/>
      <c r="J54" s="6"/>
      <c r="K54" s="7"/>
    </row>
    <row r="55" spans="1:11" ht="15.95" customHeight="1" x14ac:dyDescent="0.25">
      <c r="A55" s="3"/>
      <c r="B55" s="25" t="s">
        <v>79</v>
      </c>
      <c r="C55" s="140" t="s">
        <v>80</v>
      </c>
      <c r="D55" s="55"/>
      <c r="E55" s="55"/>
      <c r="F55" s="6">
        <f t="shared" si="6"/>
        <v>0</v>
      </c>
      <c r="G55" s="7"/>
      <c r="H55" s="55"/>
      <c r="I55" s="55"/>
      <c r="J55" s="6">
        <f t="shared" ref="J55:J56" si="9">SUM(H55:H55)</f>
        <v>0</v>
      </c>
      <c r="K55" s="7"/>
    </row>
    <row r="56" spans="1:11" ht="15.95" customHeight="1" x14ac:dyDescent="0.25">
      <c r="A56" s="3"/>
      <c r="B56" s="25" t="s">
        <v>81</v>
      </c>
      <c r="C56" s="140" t="s">
        <v>82</v>
      </c>
      <c r="D56" s="55"/>
      <c r="E56" s="55"/>
      <c r="F56" s="6">
        <f t="shared" si="6"/>
        <v>0</v>
      </c>
      <c r="G56" s="7"/>
      <c r="H56" s="55"/>
      <c r="I56" s="55"/>
      <c r="J56" s="6">
        <f t="shared" si="9"/>
        <v>0</v>
      </c>
      <c r="K56" s="7"/>
    </row>
    <row r="57" spans="1:11" s="83" customFormat="1" ht="15.95" customHeight="1" x14ac:dyDescent="0.25">
      <c r="A57" s="12" t="s">
        <v>31</v>
      </c>
      <c r="B57" s="711" t="s">
        <v>83</v>
      </c>
      <c r="C57" s="711"/>
      <c r="D57" s="59">
        <f t="shared" ref="D57:K57" si="10">+D47+D50+D53</f>
        <v>0</v>
      </c>
      <c r="E57" s="59">
        <f t="shared" si="10"/>
        <v>0</v>
      </c>
      <c r="F57" s="15">
        <f t="shared" si="10"/>
        <v>0</v>
      </c>
      <c r="G57" s="64">
        <f t="shared" si="10"/>
        <v>0</v>
      </c>
      <c r="H57" s="59">
        <f t="shared" si="10"/>
        <v>0</v>
      </c>
      <c r="I57" s="59">
        <f t="shared" si="10"/>
        <v>0</v>
      </c>
      <c r="J57" s="15">
        <f t="shared" si="10"/>
        <v>0</v>
      </c>
      <c r="K57" s="64">
        <f t="shared" si="10"/>
        <v>0</v>
      </c>
    </row>
    <row r="58" spans="1:11" s="83" customFormat="1" ht="15.95" customHeight="1" x14ac:dyDescent="0.25">
      <c r="A58" s="12" t="s">
        <v>33</v>
      </c>
      <c r="B58" s="711" t="s">
        <v>84</v>
      </c>
      <c r="C58" s="711"/>
      <c r="D58" s="59"/>
      <c r="E58" s="59"/>
      <c r="F58" s="65"/>
      <c r="G58" s="66"/>
      <c r="H58" s="59"/>
      <c r="I58" s="59"/>
      <c r="J58" s="65"/>
      <c r="K58" s="66"/>
    </row>
    <row r="59" spans="1:11" s="83" customFormat="1" ht="15.95" customHeight="1" x14ac:dyDescent="0.25">
      <c r="A59" s="12" t="s">
        <v>34</v>
      </c>
      <c r="B59" s="711" t="s">
        <v>85</v>
      </c>
      <c r="C59" s="711"/>
      <c r="D59" s="59"/>
      <c r="E59" s="59"/>
      <c r="F59" s="65"/>
      <c r="G59" s="66"/>
      <c r="H59" s="59"/>
      <c r="I59" s="59"/>
      <c r="J59" s="65"/>
      <c r="K59" s="66"/>
    </row>
    <row r="60" spans="1:11" s="85" customFormat="1" ht="15.95" customHeight="1" x14ac:dyDescent="0.3">
      <c r="A60" s="18" t="s">
        <v>86</v>
      </c>
      <c r="B60" s="710" t="s">
        <v>87</v>
      </c>
      <c r="C60" s="710"/>
      <c r="D60" s="61">
        <f t="shared" ref="D60:K60" si="11">+D46+D57+D58+D59</f>
        <v>1362</v>
      </c>
      <c r="E60" s="61">
        <f t="shared" si="11"/>
        <v>1362</v>
      </c>
      <c r="F60" s="27">
        <f t="shared" si="11"/>
        <v>0</v>
      </c>
      <c r="G60" s="28">
        <f t="shared" si="11"/>
        <v>0</v>
      </c>
      <c r="H60" s="61">
        <f>+H46+H57+H58+H59+H37</f>
        <v>3114</v>
      </c>
      <c r="I60" s="61">
        <f t="shared" si="11"/>
        <v>3114</v>
      </c>
      <c r="J60" s="27">
        <f t="shared" si="11"/>
        <v>0</v>
      </c>
      <c r="K60" s="28">
        <f t="shared" si="11"/>
        <v>0</v>
      </c>
    </row>
    <row r="61" spans="1:11" s="85" customFormat="1" ht="15.95" customHeight="1" x14ac:dyDescent="0.3">
      <c r="A61" s="18"/>
      <c r="B61" s="710" t="s">
        <v>88</v>
      </c>
      <c r="C61" s="710"/>
      <c r="D61" s="61">
        <f t="shared" ref="D61:K61" si="12">+D29-D60</f>
        <v>53112</v>
      </c>
      <c r="E61" s="61">
        <f t="shared" si="12"/>
        <v>53112</v>
      </c>
      <c r="F61" s="27">
        <f t="shared" si="12"/>
        <v>0</v>
      </c>
      <c r="G61" s="28">
        <f t="shared" si="12"/>
        <v>0</v>
      </c>
      <c r="H61" s="61">
        <f t="shared" si="12"/>
        <v>56133</v>
      </c>
      <c r="I61" s="61">
        <f t="shared" si="12"/>
        <v>56133</v>
      </c>
      <c r="J61" s="27">
        <f t="shared" si="12"/>
        <v>0</v>
      </c>
      <c r="K61" s="28">
        <f t="shared" si="12"/>
        <v>0</v>
      </c>
    </row>
    <row r="62" spans="1:11" s="85" customFormat="1" ht="15.95" customHeight="1" x14ac:dyDescent="0.3">
      <c r="A62" s="18"/>
      <c r="B62" s="711" t="s">
        <v>89</v>
      </c>
      <c r="C62" s="711"/>
      <c r="D62" s="61">
        <v>51662</v>
      </c>
      <c r="E62" s="61">
        <v>51662</v>
      </c>
      <c r="F62" s="27"/>
      <c r="G62" s="28"/>
      <c r="H62" s="61">
        <v>54856</v>
      </c>
      <c r="I62" s="61">
        <v>54856</v>
      </c>
      <c r="J62" s="27"/>
      <c r="K62" s="28"/>
    </row>
    <row r="63" spans="1:11" ht="15.95" customHeight="1" x14ac:dyDescent="0.25">
      <c r="A63" s="12" t="s">
        <v>35</v>
      </c>
      <c r="B63" s="711" t="s">
        <v>90</v>
      </c>
      <c r="C63" s="711"/>
      <c r="D63" s="55">
        <f>D64+D65</f>
        <v>1450</v>
      </c>
      <c r="E63" s="55">
        <f>E64+E65</f>
        <v>1450</v>
      </c>
      <c r="F63" s="6"/>
      <c r="G63" s="9"/>
      <c r="H63" s="55">
        <f>H64+H65</f>
        <v>1277</v>
      </c>
      <c r="I63" s="55">
        <f>I64+I65</f>
        <v>1277</v>
      </c>
      <c r="J63" s="6"/>
      <c r="K63" s="9"/>
    </row>
    <row r="64" spans="1:11" s="85" customFormat="1" ht="15.95" customHeight="1" x14ac:dyDescent="0.3">
      <c r="A64" s="18"/>
      <c r="B64" s="29" t="s">
        <v>38</v>
      </c>
      <c r="C64" s="140" t="s">
        <v>91</v>
      </c>
      <c r="D64" s="55">
        <v>1450</v>
      </c>
      <c r="E64" s="55">
        <v>1450</v>
      </c>
      <c r="F64" s="36"/>
      <c r="G64" s="30"/>
      <c r="H64" s="55">
        <v>1277</v>
      </c>
      <c r="I64" s="55">
        <v>1277</v>
      </c>
      <c r="J64" s="36"/>
      <c r="K64" s="30"/>
    </row>
    <row r="65" spans="1:11" s="85" customFormat="1" ht="15.95" customHeight="1" x14ac:dyDescent="0.3">
      <c r="A65" s="18"/>
      <c r="B65" s="29" t="s">
        <v>40</v>
      </c>
      <c r="C65" s="140" t="s">
        <v>92</v>
      </c>
      <c r="D65" s="67"/>
      <c r="E65" s="67"/>
      <c r="F65" s="6"/>
      <c r="G65" s="30"/>
      <c r="H65" s="67"/>
      <c r="I65" s="67"/>
      <c r="J65" s="6"/>
      <c r="K65" s="30"/>
    </row>
    <row r="66" spans="1:11" s="85" customFormat="1" ht="39.75" customHeight="1" x14ac:dyDescent="0.3">
      <c r="A66" s="18" t="s">
        <v>93</v>
      </c>
      <c r="B66" s="712" t="s">
        <v>94</v>
      </c>
      <c r="C66" s="712"/>
      <c r="D66" s="61">
        <f>+D63</f>
        <v>1450</v>
      </c>
      <c r="E66" s="61">
        <f>+E63</f>
        <v>1450</v>
      </c>
      <c r="F66" s="27">
        <f>+F63</f>
        <v>0</v>
      </c>
      <c r="G66" s="30"/>
      <c r="H66" s="61">
        <f>+H63</f>
        <v>1277</v>
      </c>
      <c r="I66" s="61">
        <f>+I63</f>
        <v>1277</v>
      </c>
      <c r="J66" s="27">
        <f>+J63</f>
        <v>0</v>
      </c>
      <c r="K66" s="30"/>
    </row>
    <row r="67" spans="1:11" s="85" customFormat="1" ht="15.95" customHeight="1" x14ac:dyDescent="0.3">
      <c r="A67" s="3" t="s">
        <v>95</v>
      </c>
      <c r="B67" s="713" t="s">
        <v>96</v>
      </c>
      <c r="C67" s="713"/>
      <c r="D67" s="61"/>
      <c r="E67" s="61"/>
      <c r="F67" s="32">
        <f t="shared" ref="F67:F80" si="13">SUM(D67:E67)</f>
        <v>0</v>
      </c>
      <c r="G67" s="33"/>
      <c r="H67" s="61"/>
      <c r="I67" s="61"/>
      <c r="J67" s="32">
        <f t="shared" ref="J67:J70" si="14">SUM(H67:I67)</f>
        <v>0</v>
      </c>
      <c r="K67" s="33"/>
    </row>
    <row r="68" spans="1:11" s="85" customFormat="1" ht="15.95" customHeight="1" x14ac:dyDescent="0.3">
      <c r="A68" s="3" t="s">
        <v>97</v>
      </c>
      <c r="B68" s="713" t="s">
        <v>98</v>
      </c>
      <c r="C68" s="713"/>
      <c r="D68" s="61">
        <f>SUM(D69:D72)</f>
        <v>0</v>
      </c>
      <c r="E68" s="61">
        <f>SUM(E69:E72)</f>
        <v>0</v>
      </c>
      <c r="F68" s="32">
        <f t="shared" si="13"/>
        <v>0</v>
      </c>
      <c r="G68" s="33"/>
      <c r="H68" s="61">
        <f>SUM(H69:H72)</f>
        <v>0</v>
      </c>
      <c r="I68" s="61">
        <f>SUM(I69:I72)</f>
        <v>0</v>
      </c>
      <c r="J68" s="32">
        <f t="shared" si="14"/>
        <v>0</v>
      </c>
      <c r="K68" s="33"/>
    </row>
    <row r="69" spans="1:11" s="85" customFormat="1" ht="15.95" customHeight="1" x14ac:dyDescent="0.3">
      <c r="A69" s="3"/>
      <c r="B69" s="25" t="s">
        <v>38</v>
      </c>
      <c r="C69" s="140" t="s">
        <v>164</v>
      </c>
      <c r="D69" s="67"/>
      <c r="E69" s="67"/>
      <c r="F69" s="36">
        <f t="shared" si="13"/>
        <v>0</v>
      </c>
      <c r="G69" s="33"/>
      <c r="H69" s="67"/>
      <c r="I69" s="67"/>
      <c r="J69" s="36">
        <f t="shared" si="14"/>
        <v>0</v>
      </c>
      <c r="K69" s="33"/>
    </row>
    <row r="70" spans="1:11" s="85" customFormat="1" ht="15.95" customHeight="1" x14ac:dyDescent="0.3">
      <c r="A70" s="3"/>
      <c r="B70" s="25" t="s">
        <v>40</v>
      </c>
      <c r="C70" s="140" t="s">
        <v>99</v>
      </c>
      <c r="D70" s="61"/>
      <c r="E70" s="61"/>
      <c r="F70" s="32">
        <f t="shared" si="13"/>
        <v>0</v>
      </c>
      <c r="G70" s="33"/>
      <c r="H70" s="61"/>
      <c r="I70" s="61"/>
      <c r="J70" s="32">
        <f t="shared" si="14"/>
        <v>0</v>
      </c>
      <c r="K70" s="33"/>
    </row>
    <row r="71" spans="1:11" s="85" customFormat="1" ht="15.95" customHeight="1" x14ac:dyDescent="0.3">
      <c r="A71" s="3"/>
      <c r="B71" s="25" t="s">
        <v>48</v>
      </c>
      <c r="C71" s="140" t="s">
        <v>100</v>
      </c>
      <c r="D71" s="67"/>
      <c r="E71" s="67"/>
      <c r="F71" s="32"/>
      <c r="G71" s="33"/>
      <c r="H71" s="67"/>
      <c r="I71" s="67"/>
      <c r="J71" s="32"/>
      <c r="K71" s="33"/>
    </row>
    <row r="72" spans="1:11" s="85" customFormat="1" ht="15.95" customHeight="1" x14ac:dyDescent="0.3">
      <c r="A72" s="3"/>
      <c r="B72" s="25" t="s">
        <v>13</v>
      </c>
      <c r="C72" s="140" t="s">
        <v>101</v>
      </c>
      <c r="D72" s="67"/>
      <c r="E72" s="67"/>
      <c r="F72" s="32"/>
      <c r="G72" s="33"/>
      <c r="H72" s="67"/>
      <c r="I72" s="67"/>
      <c r="J72" s="32"/>
      <c r="K72" s="33"/>
    </row>
    <row r="73" spans="1:11" s="85" customFormat="1" ht="33" customHeight="1" x14ac:dyDescent="0.3">
      <c r="A73" s="18" t="s">
        <v>102</v>
      </c>
      <c r="B73" s="714" t="s">
        <v>103</v>
      </c>
      <c r="C73" s="714"/>
      <c r="D73" s="61">
        <f>+D67+D68</f>
        <v>0</v>
      </c>
      <c r="E73" s="61">
        <f>+E67+E68</f>
        <v>0</v>
      </c>
      <c r="F73" s="32">
        <f t="shared" si="13"/>
        <v>0</v>
      </c>
      <c r="G73" s="33"/>
      <c r="H73" s="61">
        <f>+H67+H68</f>
        <v>0</v>
      </c>
      <c r="I73" s="61">
        <f>+I67+I68</f>
        <v>0</v>
      </c>
      <c r="J73" s="32">
        <f t="shared" ref="J73" si="15">SUM(H73:I73)</f>
        <v>0</v>
      </c>
      <c r="K73" s="33"/>
    </row>
    <row r="74" spans="1:11" s="85" customFormat="1" ht="15.95" customHeight="1" x14ac:dyDescent="0.3">
      <c r="A74" s="18" t="s">
        <v>104</v>
      </c>
      <c r="B74" s="710" t="s">
        <v>105</v>
      </c>
      <c r="C74" s="710"/>
      <c r="D74" s="31">
        <f>+D66+D73+D62</f>
        <v>53112</v>
      </c>
      <c r="E74" s="31">
        <f>+E66+E73+E62</f>
        <v>53112</v>
      </c>
      <c r="F74" s="31">
        <f>+F66+F73+F62</f>
        <v>0</v>
      </c>
      <c r="G74" s="33"/>
      <c r="H74" s="31">
        <f>+H66+H73+H62</f>
        <v>56133</v>
      </c>
      <c r="I74" s="31">
        <f>+I66+I73+I62</f>
        <v>56133</v>
      </c>
      <c r="J74" s="31">
        <f>+J66+J73+J62</f>
        <v>0</v>
      </c>
      <c r="K74" s="33"/>
    </row>
    <row r="75" spans="1:11" s="85" customFormat="1" ht="15.95" customHeight="1" x14ac:dyDescent="0.3">
      <c r="A75" s="3" t="s">
        <v>106</v>
      </c>
      <c r="B75" s="713" t="s">
        <v>165</v>
      </c>
      <c r="C75" s="713"/>
      <c r="D75" s="61"/>
      <c r="E75" s="61"/>
      <c r="F75" s="32">
        <f t="shared" si="13"/>
        <v>0</v>
      </c>
      <c r="G75" s="33"/>
      <c r="H75" s="61"/>
      <c r="I75" s="61"/>
      <c r="J75" s="32">
        <f t="shared" ref="J75:J80" si="16">SUM(H75:I75)</f>
        <v>0</v>
      </c>
      <c r="K75" s="33"/>
    </row>
    <row r="76" spans="1:11" s="85" customFormat="1" ht="15.95" customHeight="1" x14ac:dyDescent="0.3">
      <c r="A76" s="3" t="s">
        <v>108</v>
      </c>
      <c r="B76" s="713" t="s">
        <v>109</v>
      </c>
      <c r="C76" s="713"/>
      <c r="D76" s="67">
        <f>SUM(D77:D79)</f>
        <v>0</v>
      </c>
      <c r="E76" s="67">
        <f>SUM(E77:E79)</f>
        <v>0</v>
      </c>
      <c r="F76" s="36">
        <f t="shared" si="13"/>
        <v>0</v>
      </c>
      <c r="G76" s="33"/>
      <c r="H76" s="67">
        <f>SUM(H77:H79)</f>
        <v>0</v>
      </c>
      <c r="I76" s="67">
        <f>SUM(I77:I79)</f>
        <v>0</v>
      </c>
      <c r="J76" s="36">
        <f t="shared" si="16"/>
        <v>0</v>
      </c>
      <c r="K76" s="33"/>
    </row>
    <row r="77" spans="1:11" s="85" customFormat="1" ht="15.95" customHeight="1" x14ac:dyDescent="0.3">
      <c r="A77" s="3"/>
      <c r="B77" s="25" t="s">
        <v>38</v>
      </c>
      <c r="C77" s="140" t="s">
        <v>166</v>
      </c>
      <c r="D77" s="67"/>
      <c r="E77" s="67"/>
      <c r="F77" s="36">
        <f t="shared" si="13"/>
        <v>0</v>
      </c>
      <c r="G77" s="33"/>
      <c r="H77" s="67"/>
      <c r="I77" s="67"/>
      <c r="J77" s="36">
        <f t="shared" si="16"/>
        <v>0</v>
      </c>
      <c r="K77" s="33"/>
    </row>
    <row r="78" spans="1:11" s="85" customFormat="1" ht="15.95" customHeight="1" x14ac:dyDescent="0.3">
      <c r="A78" s="3"/>
      <c r="B78" s="25" t="s">
        <v>40</v>
      </c>
      <c r="C78" s="140" t="s">
        <v>167</v>
      </c>
      <c r="D78" s="67"/>
      <c r="E78" s="67"/>
      <c r="F78" s="36">
        <f t="shared" si="13"/>
        <v>0</v>
      </c>
      <c r="G78" s="33"/>
      <c r="H78" s="67"/>
      <c r="I78" s="67"/>
      <c r="J78" s="36">
        <f t="shared" si="16"/>
        <v>0</v>
      </c>
      <c r="K78" s="33"/>
    </row>
    <row r="79" spans="1:11" s="85" customFormat="1" ht="15.95" customHeight="1" x14ac:dyDescent="0.3">
      <c r="A79" s="3"/>
      <c r="B79" s="25" t="s">
        <v>48</v>
      </c>
      <c r="C79" s="140" t="s">
        <v>110</v>
      </c>
      <c r="D79" s="67"/>
      <c r="E79" s="67"/>
      <c r="F79" s="36">
        <f t="shared" si="13"/>
        <v>0</v>
      </c>
      <c r="G79" s="33"/>
      <c r="H79" s="67"/>
      <c r="I79" s="67"/>
      <c r="J79" s="36">
        <f t="shared" si="16"/>
        <v>0</v>
      </c>
      <c r="K79" s="33"/>
    </row>
    <row r="80" spans="1:11" s="85" customFormat="1" ht="15.95" customHeight="1" x14ac:dyDescent="0.3">
      <c r="A80" s="18" t="s">
        <v>112</v>
      </c>
      <c r="B80" s="710" t="s">
        <v>168</v>
      </c>
      <c r="C80" s="710"/>
      <c r="D80" s="61">
        <f>+D75+D76</f>
        <v>0</v>
      </c>
      <c r="E80" s="61">
        <f>+E75+E76</f>
        <v>0</v>
      </c>
      <c r="F80" s="32">
        <f t="shared" si="13"/>
        <v>0</v>
      </c>
      <c r="G80" s="33"/>
      <c r="H80" s="61">
        <f>+H75+H76</f>
        <v>0</v>
      </c>
      <c r="I80" s="61">
        <f>+I75+I76</f>
        <v>0</v>
      </c>
      <c r="J80" s="32">
        <f t="shared" si="16"/>
        <v>0</v>
      </c>
      <c r="K80" s="33"/>
    </row>
    <row r="81" spans="1:11" s="85" customFormat="1" ht="15.95" customHeight="1" x14ac:dyDescent="0.3">
      <c r="A81" s="18" t="s">
        <v>113</v>
      </c>
      <c r="B81" s="710" t="s">
        <v>114</v>
      </c>
      <c r="C81" s="710"/>
      <c r="D81" s="68">
        <f t="shared" ref="D81:K81" si="17">+D29+D80</f>
        <v>54474</v>
      </c>
      <c r="E81" s="68">
        <f t="shared" si="17"/>
        <v>54474</v>
      </c>
      <c r="F81" s="68">
        <f t="shared" si="17"/>
        <v>0</v>
      </c>
      <c r="G81" s="68">
        <f t="shared" si="17"/>
        <v>0</v>
      </c>
      <c r="H81" s="68">
        <f t="shared" si="17"/>
        <v>59247</v>
      </c>
      <c r="I81" s="68">
        <f t="shared" si="17"/>
        <v>59247</v>
      </c>
      <c r="J81" s="68">
        <f t="shared" si="17"/>
        <v>0</v>
      </c>
      <c r="K81" s="68">
        <f t="shared" si="17"/>
        <v>0</v>
      </c>
    </row>
    <row r="82" spans="1:11" s="85" customFormat="1" ht="15.95" customHeight="1" thickBot="1" x14ac:dyDescent="0.35">
      <c r="A82" s="69" t="s">
        <v>115</v>
      </c>
      <c r="B82" s="70" t="s">
        <v>116</v>
      </c>
      <c r="C82" s="70"/>
      <c r="D82" s="71">
        <f t="shared" ref="D82:K82" si="18">+D60+D74</f>
        <v>54474</v>
      </c>
      <c r="E82" s="71">
        <f t="shared" si="18"/>
        <v>54474</v>
      </c>
      <c r="F82" s="71">
        <f t="shared" si="18"/>
        <v>0</v>
      </c>
      <c r="G82" s="71">
        <f t="shared" si="18"/>
        <v>0</v>
      </c>
      <c r="H82" s="71">
        <f t="shared" si="18"/>
        <v>59247</v>
      </c>
      <c r="I82" s="71">
        <f t="shared" si="18"/>
        <v>59247</v>
      </c>
      <c r="J82" s="71">
        <f t="shared" si="18"/>
        <v>0</v>
      </c>
      <c r="K82" s="71">
        <f t="shared" si="18"/>
        <v>0</v>
      </c>
    </row>
    <row r="83" spans="1:11" ht="20.100000000000001" customHeight="1" x14ac:dyDescent="0.25">
      <c r="B83" s="37"/>
      <c r="C83" s="37"/>
      <c r="D83" s="38"/>
      <c r="E83" s="38"/>
      <c r="F83" s="38"/>
    </row>
    <row r="84" spans="1:11" ht="20.100000000000001" customHeight="1" x14ac:dyDescent="0.25">
      <c r="B84" s="37"/>
      <c r="C84" s="37"/>
      <c r="D84" s="39">
        <f>+D82-D81</f>
        <v>0</v>
      </c>
      <c r="E84" s="39">
        <f>+E82-E81</f>
        <v>0</v>
      </c>
      <c r="F84" s="39">
        <f>+F82-F81</f>
        <v>0</v>
      </c>
      <c r="G84" s="39">
        <f>+G82-G81</f>
        <v>0</v>
      </c>
      <c r="H84" s="143">
        <f>SUM(E84:G84)</f>
        <v>0</v>
      </c>
    </row>
    <row r="85" spans="1:11" ht="20.100000000000001" customHeight="1" x14ac:dyDescent="0.25">
      <c r="B85" s="37"/>
      <c r="C85" s="37"/>
      <c r="D85" s="38"/>
      <c r="E85" s="38"/>
      <c r="F85" s="38"/>
    </row>
    <row r="86" spans="1:11" ht="20.100000000000001" customHeight="1" x14ac:dyDescent="0.25">
      <c r="B86" s="37"/>
      <c r="C86" s="37"/>
      <c r="D86" s="38"/>
      <c r="E86" s="38"/>
      <c r="F86" s="38"/>
    </row>
    <row r="87" spans="1:11" ht="20.100000000000001" customHeight="1" x14ac:dyDescent="0.25">
      <c r="B87" s="37"/>
      <c r="C87" s="37"/>
      <c r="D87" s="38"/>
      <c r="E87" s="38"/>
      <c r="F87" s="38"/>
    </row>
    <row r="88" spans="1:11" ht="20.100000000000001" customHeight="1" x14ac:dyDescent="0.25">
      <c r="B88" s="37"/>
      <c r="C88" s="37"/>
      <c r="D88" s="38"/>
      <c r="E88" s="38"/>
      <c r="F88" s="38"/>
    </row>
    <row r="89" spans="1:11" ht="20.100000000000001" customHeight="1" x14ac:dyDescent="0.25">
      <c r="B89" s="37"/>
      <c r="C89" s="37"/>
      <c r="D89" s="38"/>
      <c r="E89" s="38"/>
      <c r="F89" s="38"/>
    </row>
    <row r="90" spans="1:11" ht="20.100000000000001" customHeight="1" x14ac:dyDescent="0.25">
      <c r="B90" s="37"/>
      <c r="C90" s="37"/>
      <c r="D90" s="38"/>
      <c r="E90" s="38"/>
      <c r="F90" s="38"/>
    </row>
    <row r="91" spans="1:11" ht="20.100000000000001" customHeight="1" x14ac:dyDescent="0.25">
      <c r="B91" s="37"/>
      <c r="C91" s="37"/>
      <c r="D91" s="38"/>
      <c r="E91" s="38"/>
      <c r="F91" s="38"/>
    </row>
    <row r="92" spans="1:11" ht="20.100000000000001" customHeight="1" x14ac:dyDescent="0.25">
      <c r="B92" s="37"/>
      <c r="C92" s="37"/>
      <c r="D92" s="38"/>
      <c r="E92" s="38"/>
      <c r="F92" s="38"/>
    </row>
    <row r="93" spans="1:11" ht="20.100000000000001" customHeight="1" x14ac:dyDescent="0.25">
      <c r="B93" s="37"/>
      <c r="C93" s="37"/>
      <c r="D93" s="38"/>
      <c r="E93" s="38"/>
      <c r="F93" s="38"/>
    </row>
    <row r="94" spans="1:11" ht="20.100000000000001" customHeight="1" x14ac:dyDescent="0.25">
      <c r="B94" s="37"/>
      <c r="C94" s="37"/>
      <c r="D94" s="38"/>
      <c r="E94" s="38"/>
      <c r="F94" s="38"/>
    </row>
    <row r="95" spans="1:11" ht="20.100000000000001" customHeight="1" x14ac:dyDescent="0.25">
      <c r="B95" s="37"/>
      <c r="C95" s="37"/>
      <c r="D95" s="38"/>
      <c r="E95" s="38"/>
      <c r="F95" s="38"/>
    </row>
    <row r="96" spans="1:11" ht="20.100000000000001" customHeight="1" x14ac:dyDescent="0.25">
      <c r="B96" s="37"/>
      <c r="C96" s="37"/>
      <c r="D96" s="38"/>
      <c r="E96" s="38"/>
      <c r="F96" s="38"/>
    </row>
    <row r="97" spans="2:6" ht="20.100000000000001" customHeight="1" x14ac:dyDescent="0.25">
      <c r="B97" s="37"/>
      <c r="C97" s="37"/>
      <c r="D97" s="38"/>
      <c r="E97" s="38"/>
      <c r="F97" s="38"/>
    </row>
    <row r="98" spans="2:6" ht="20.100000000000001" customHeight="1" x14ac:dyDescent="0.25">
      <c r="B98" s="37"/>
      <c r="C98" s="37"/>
      <c r="D98" s="38"/>
      <c r="E98" s="38"/>
      <c r="F98" s="38"/>
    </row>
    <row r="99" spans="2:6" ht="20.100000000000001" customHeight="1" x14ac:dyDescent="0.25">
      <c r="B99" s="37"/>
      <c r="C99" s="37"/>
      <c r="D99" s="38"/>
      <c r="E99" s="38"/>
      <c r="F99" s="38"/>
    </row>
    <row r="100" spans="2:6" ht="20.100000000000001" customHeight="1" x14ac:dyDescent="0.25">
      <c r="B100" s="37"/>
      <c r="C100" s="37"/>
      <c r="D100" s="38"/>
      <c r="E100" s="38"/>
      <c r="F100" s="38"/>
    </row>
    <row r="101" spans="2:6" ht="20.100000000000001" customHeight="1" x14ac:dyDescent="0.25">
      <c r="B101" s="37"/>
      <c r="C101" s="37"/>
      <c r="D101" s="38"/>
      <c r="E101" s="38"/>
      <c r="F101" s="38"/>
    </row>
    <row r="102" spans="2:6" ht="20.100000000000001" customHeight="1" x14ac:dyDescent="0.25">
      <c r="B102" s="37"/>
      <c r="C102" s="37"/>
      <c r="D102" s="38"/>
      <c r="E102" s="38"/>
      <c r="F102" s="38"/>
    </row>
    <row r="103" spans="2:6" ht="20.100000000000001" customHeight="1" x14ac:dyDescent="0.25">
      <c r="B103" s="37"/>
      <c r="C103" s="37"/>
      <c r="D103" s="38"/>
      <c r="E103" s="38"/>
      <c r="F103" s="38"/>
    </row>
    <row r="104" spans="2:6" ht="20.100000000000001" customHeight="1" x14ac:dyDescent="0.25">
      <c r="B104" s="37"/>
      <c r="C104" s="37"/>
      <c r="D104" s="38"/>
      <c r="E104" s="38"/>
      <c r="F104" s="38"/>
    </row>
    <row r="105" spans="2:6" ht="20.100000000000001" customHeight="1" x14ac:dyDescent="0.25"/>
  </sheetData>
  <mergeCells count="63">
    <mergeCell ref="A6:A8"/>
    <mergeCell ref="B6:C8"/>
    <mergeCell ref="D6:D7"/>
    <mergeCell ref="E6:E7"/>
    <mergeCell ref="F6:F7"/>
    <mergeCell ref="B12:C12"/>
    <mergeCell ref="B13:C13"/>
    <mergeCell ref="B14:C14"/>
    <mergeCell ref="J6:J7"/>
    <mergeCell ref="K6:K7"/>
    <mergeCell ref="H8:J8"/>
    <mergeCell ref="H6:H7"/>
    <mergeCell ref="I6:I7"/>
    <mergeCell ref="G6:G7"/>
    <mergeCell ref="D8:F8"/>
    <mergeCell ref="B9:C9"/>
    <mergeCell ref="B10:C10"/>
    <mergeCell ref="B11:C11"/>
    <mergeCell ref="A1:F1"/>
    <mergeCell ref="A2:F2"/>
    <mergeCell ref="A3:G3"/>
    <mergeCell ref="A4:F4"/>
    <mergeCell ref="A5:F5"/>
    <mergeCell ref="B15:C15"/>
    <mergeCell ref="B16:C16"/>
    <mergeCell ref="B17:C17"/>
    <mergeCell ref="B22:C22"/>
    <mergeCell ref="B23:C23"/>
    <mergeCell ref="B19:C19"/>
    <mergeCell ref="B20:C20"/>
    <mergeCell ref="B18:C18"/>
    <mergeCell ref="B24:C24"/>
    <mergeCell ref="B25:C25"/>
    <mergeCell ref="B26:C26"/>
    <mergeCell ref="B27:C27"/>
    <mergeCell ref="B28:C28"/>
    <mergeCell ref="B29:C29"/>
    <mergeCell ref="B30:C30"/>
    <mergeCell ref="B47:C47"/>
    <mergeCell ref="B32:C32"/>
    <mergeCell ref="B33:C33"/>
    <mergeCell ref="B37:C37"/>
    <mergeCell ref="B46:C46"/>
    <mergeCell ref="B41:C41"/>
    <mergeCell ref="B31:C31"/>
    <mergeCell ref="B50:C50"/>
    <mergeCell ref="B53:C53"/>
    <mergeCell ref="B60:C60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O138"/>
  <sheetViews>
    <sheetView topLeftCell="A127" workbookViewId="0">
      <selection activeCell="K138" sqref="K138"/>
    </sheetView>
  </sheetViews>
  <sheetFormatPr defaultRowHeight="15" x14ac:dyDescent="0.25"/>
  <cols>
    <col min="5" max="5" width="24.140625" customWidth="1"/>
    <col min="6" max="6" width="14.42578125" style="72" customWidth="1"/>
    <col min="7" max="7" width="12.28515625" style="72" customWidth="1"/>
    <col min="8" max="8" width="15.85546875" bestFit="1" customWidth="1"/>
    <col min="9" max="9" width="13.85546875" bestFit="1" customWidth="1"/>
    <col min="10" max="10" width="12.42578125" bestFit="1" customWidth="1"/>
    <col min="11" max="11" width="14.7109375" customWidth="1"/>
    <col min="12" max="12" width="0" hidden="1" customWidth="1"/>
    <col min="13" max="13" width="10.28515625" style="286" hidden="1" customWidth="1"/>
    <col min="14" max="15" width="10.7109375" style="286" hidden="1" customWidth="1"/>
    <col min="16" max="18" width="0" hidden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1" spans="1:15" ht="18.75" x14ac:dyDescent="0.3">
      <c r="D1" s="754" t="s">
        <v>554</v>
      </c>
      <c r="E1" s="754"/>
      <c r="F1" s="754"/>
      <c r="G1" s="754"/>
      <c r="H1" s="754"/>
      <c r="K1" s="91" t="s">
        <v>553</v>
      </c>
    </row>
    <row r="2" spans="1:15" ht="19.5" thickBot="1" x14ac:dyDescent="0.35">
      <c r="D2" s="308"/>
      <c r="E2" s="308"/>
      <c r="F2" s="308"/>
      <c r="G2" s="308"/>
      <c r="H2" s="308"/>
    </row>
    <row r="3" spans="1:15" s="78" customFormat="1" ht="16.5" thickBot="1" x14ac:dyDescent="0.3">
      <c r="F3" s="786" t="s">
        <v>533</v>
      </c>
      <c r="G3" s="787"/>
      <c r="H3" s="788"/>
      <c r="I3" s="786" t="s">
        <v>534</v>
      </c>
      <c r="J3" s="787"/>
      <c r="K3" s="788"/>
      <c r="M3" s="312"/>
      <c r="N3" s="312"/>
      <c r="O3" s="312"/>
    </row>
    <row r="4" spans="1:15" ht="15.75" thickBot="1" x14ac:dyDescent="0.3">
      <c r="A4" s="742" t="s">
        <v>4</v>
      </c>
      <c r="B4" s="743"/>
      <c r="C4" s="743"/>
      <c r="D4" s="743"/>
      <c r="E4" s="744"/>
      <c r="F4" s="74" t="s">
        <v>169</v>
      </c>
      <c r="G4" s="74" t="s">
        <v>170</v>
      </c>
      <c r="H4" s="75" t="s">
        <v>145</v>
      </c>
      <c r="I4" s="74" t="s">
        <v>169</v>
      </c>
      <c r="J4" s="74" t="s">
        <v>170</v>
      </c>
      <c r="K4" s="75" t="s">
        <v>145</v>
      </c>
    </row>
    <row r="5" spans="1:15" ht="15.75" thickBot="1" x14ac:dyDescent="0.3">
      <c r="A5" s="774" t="s">
        <v>171</v>
      </c>
      <c r="B5" s="775"/>
      <c r="C5" s="775"/>
      <c r="D5" s="775"/>
      <c r="E5" s="776"/>
      <c r="F5" s="76">
        <f>2145000+136400+[1]bölcsőde_és_óvoda!F6</f>
        <v>27045207</v>
      </c>
      <c r="G5" s="76">
        <v>0</v>
      </c>
      <c r="H5" s="76">
        <f>G5+F5</f>
        <v>27045207</v>
      </c>
      <c r="I5" s="76">
        <v>32399124</v>
      </c>
      <c r="J5" s="76">
        <v>0</v>
      </c>
      <c r="K5" s="76">
        <f>I5+J5</f>
        <v>32399124</v>
      </c>
      <c r="M5" s="313">
        <v>508000</v>
      </c>
    </row>
    <row r="6" spans="1:15" ht="27.75" customHeight="1" thickBot="1" x14ac:dyDescent="0.3">
      <c r="A6" s="792" t="s">
        <v>684</v>
      </c>
      <c r="B6" s="793"/>
      <c r="C6" s="793"/>
      <c r="D6" s="793"/>
      <c r="E6" s="794"/>
      <c r="F6" s="76"/>
      <c r="G6" s="76"/>
      <c r="H6" s="76"/>
      <c r="I6" s="76">
        <v>1170000</v>
      </c>
      <c r="J6" s="76">
        <v>0</v>
      </c>
      <c r="K6" s="76">
        <f t="shared" ref="K6:K19" si="0">I6+J6</f>
        <v>1170000</v>
      </c>
    </row>
    <row r="7" spans="1:15" ht="15.75" thickBot="1" x14ac:dyDescent="0.3">
      <c r="A7" s="774" t="s">
        <v>172</v>
      </c>
      <c r="B7" s="775"/>
      <c r="C7" s="775"/>
      <c r="D7" s="775"/>
      <c r="E7" s="776"/>
      <c r="F7" s="76">
        <f>[1]közművelődés!F7+[1]bölcsőde_és_óvoda!F8</f>
        <v>1000000</v>
      </c>
      <c r="G7" s="76">
        <v>0</v>
      </c>
      <c r="H7" s="76">
        <f>G7+F7</f>
        <v>1000000</v>
      </c>
      <c r="I7" s="76">
        <f>[1]közművelődés!I7+[1]bölcsőde_és_óvoda!I8</f>
        <v>1000000</v>
      </c>
      <c r="J7" s="76">
        <v>0</v>
      </c>
      <c r="K7" s="76">
        <f t="shared" si="0"/>
        <v>1000000</v>
      </c>
    </row>
    <row r="8" spans="1:15" ht="15.75" thickBot="1" x14ac:dyDescent="0.3">
      <c r="A8" s="774" t="s">
        <v>173</v>
      </c>
      <c r="B8" s="775"/>
      <c r="C8" s="775"/>
      <c r="D8" s="775"/>
      <c r="E8" s="776"/>
      <c r="F8" s="76">
        <f>96000+[1]bölcsőde_és_óvoda!F9</f>
        <v>960000</v>
      </c>
      <c r="G8" s="76">
        <v>0</v>
      </c>
      <c r="H8" s="76">
        <f>G8+F8</f>
        <v>960000</v>
      </c>
      <c r="I8" s="76">
        <f>96000+[1]bölcsőde_és_óvoda!I9</f>
        <v>960000</v>
      </c>
      <c r="J8" s="76">
        <v>0</v>
      </c>
      <c r="K8" s="76">
        <f t="shared" si="0"/>
        <v>960000</v>
      </c>
    </row>
    <row r="9" spans="1:15" ht="15.75" thickBot="1" x14ac:dyDescent="0.3">
      <c r="A9" s="774" t="s">
        <v>174</v>
      </c>
      <c r="B9" s="775"/>
      <c r="C9" s="775"/>
      <c r="D9" s="775"/>
      <c r="E9" s="776"/>
      <c r="F9" s="76">
        <f>[1]bölcsőde!F9+[1]óvoda!F10</f>
        <v>279180</v>
      </c>
      <c r="G9" s="76">
        <v>0</v>
      </c>
      <c r="H9" s="76">
        <f>G9+F9</f>
        <v>279180</v>
      </c>
      <c r="I9" s="76">
        <f>[1]bölcsőde!I9+[1]óvoda!I10</f>
        <v>279180</v>
      </c>
      <c r="J9" s="76">
        <v>0</v>
      </c>
      <c r="K9" s="76">
        <f t="shared" si="0"/>
        <v>279180</v>
      </c>
    </row>
    <row r="10" spans="1:15" s="145" customFormat="1" ht="15.75" thickBot="1" x14ac:dyDescent="0.3">
      <c r="A10" s="795" t="s">
        <v>409</v>
      </c>
      <c r="B10" s="796"/>
      <c r="C10" s="796"/>
      <c r="D10" s="796"/>
      <c r="E10" s="797"/>
      <c r="F10" s="144">
        <f>50000+[1]bölcsőde_és_óvoda!F11</f>
        <v>230000</v>
      </c>
      <c r="G10" s="144">
        <v>0</v>
      </c>
      <c r="H10" s="144">
        <f t="shared" ref="H10:H16" si="1">F10+G10</f>
        <v>230000</v>
      </c>
      <c r="I10" s="144">
        <v>119028</v>
      </c>
      <c r="J10" s="144">
        <v>0</v>
      </c>
      <c r="K10" s="76">
        <f t="shared" si="0"/>
        <v>119028</v>
      </c>
      <c r="M10" s="286">
        <v>300000</v>
      </c>
      <c r="N10" s="286"/>
      <c r="O10" s="286"/>
    </row>
    <row r="11" spans="1:15" s="145" customFormat="1" ht="15.75" thickBot="1" x14ac:dyDescent="0.3">
      <c r="A11" s="795" t="s">
        <v>535</v>
      </c>
      <c r="B11" s="796"/>
      <c r="C11" s="796"/>
      <c r="D11" s="796"/>
      <c r="E11" s="797"/>
      <c r="F11" s="76">
        <v>0</v>
      </c>
      <c r="G11" s="76">
        <v>0</v>
      </c>
      <c r="H11" s="76">
        <f>G11+F11</f>
        <v>0</v>
      </c>
      <c r="I11" s="76">
        <v>156600</v>
      </c>
      <c r="J11" s="76">
        <v>0</v>
      </c>
      <c r="K11" s="76">
        <f t="shared" si="0"/>
        <v>156600</v>
      </c>
      <c r="M11" s="286"/>
      <c r="N11" s="286"/>
      <c r="O11" s="286"/>
    </row>
    <row r="12" spans="1:15" s="145" customFormat="1" ht="15.75" thickBot="1" x14ac:dyDescent="0.3">
      <c r="A12" s="748" t="s">
        <v>410</v>
      </c>
      <c r="B12" s="749"/>
      <c r="C12" s="749"/>
      <c r="D12" s="749"/>
      <c r="E12" s="750"/>
      <c r="F12" s="144">
        <v>180500</v>
      </c>
      <c r="G12" s="144"/>
      <c r="H12" s="144">
        <f t="shared" si="1"/>
        <v>180500</v>
      </c>
      <c r="I12" s="144">
        <v>180500</v>
      </c>
      <c r="J12" s="144"/>
      <c r="K12" s="76">
        <f t="shared" si="0"/>
        <v>180500</v>
      </c>
      <c r="M12" s="286"/>
      <c r="N12" s="286"/>
      <c r="O12" s="286"/>
    </row>
    <row r="13" spans="1:15" ht="15.75" thickBot="1" x14ac:dyDescent="0.3">
      <c r="A13" s="748" t="s">
        <v>176</v>
      </c>
      <c r="B13" s="749"/>
      <c r="C13" s="749"/>
      <c r="D13" s="749"/>
      <c r="E13" s="750"/>
      <c r="F13" s="76">
        <v>80000</v>
      </c>
      <c r="G13" s="76">
        <v>0</v>
      </c>
      <c r="H13" s="76">
        <f t="shared" si="1"/>
        <v>80000</v>
      </c>
      <c r="I13" s="76">
        <v>80000</v>
      </c>
      <c r="J13" s="76">
        <v>0</v>
      </c>
      <c r="K13" s="76">
        <f t="shared" si="0"/>
        <v>80000</v>
      </c>
    </row>
    <row r="14" spans="1:15" ht="15.75" thickBot="1" x14ac:dyDescent="0.3">
      <c r="A14" s="748" t="s">
        <v>177</v>
      </c>
      <c r="B14" s="749"/>
      <c r="C14" s="749"/>
      <c r="D14" s="749"/>
      <c r="E14" s="750"/>
      <c r="F14" s="76">
        <v>60000</v>
      </c>
      <c r="G14" s="76">
        <v>0</v>
      </c>
      <c r="H14" s="76">
        <f t="shared" si="1"/>
        <v>60000</v>
      </c>
      <c r="I14" s="76">
        <v>60000</v>
      </c>
      <c r="J14" s="76">
        <v>0</v>
      </c>
      <c r="K14" s="76">
        <f t="shared" si="0"/>
        <v>60000</v>
      </c>
    </row>
    <row r="15" spans="1:15" ht="15.75" thickBot="1" x14ac:dyDescent="0.3">
      <c r="A15" s="748" t="s">
        <v>178</v>
      </c>
      <c r="B15" s="749"/>
      <c r="C15" s="749"/>
      <c r="D15" s="749"/>
      <c r="E15" s="750"/>
      <c r="F15" s="76">
        <v>60000</v>
      </c>
      <c r="G15" s="76">
        <v>0</v>
      </c>
      <c r="H15" s="76">
        <f t="shared" si="1"/>
        <v>60000</v>
      </c>
      <c r="I15" s="76">
        <v>30000</v>
      </c>
      <c r="J15" s="76">
        <v>0</v>
      </c>
      <c r="K15" s="76">
        <f t="shared" si="0"/>
        <v>30000</v>
      </c>
      <c r="M15" s="314">
        <v>-30000</v>
      </c>
    </row>
    <row r="16" spans="1:15" ht="15.75" thickBot="1" x14ac:dyDescent="0.3">
      <c r="A16" s="748" t="s">
        <v>325</v>
      </c>
      <c r="B16" s="749"/>
      <c r="C16" s="749"/>
      <c r="D16" s="749"/>
      <c r="E16" s="750"/>
      <c r="F16" s="76">
        <v>1255000</v>
      </c>
      <c r="G16" s="76">
        <v>0</v>
      </c>
      <c r="H16" s="76">
        <f t="shared" si="1"/>
        <v>1255000</v>
      </c>
      <c r="I16" s="76">
        <v>1200000</v>
      </c>
      <c r="J16" s="76">
        <v>0</v>
      </c>
      <c r="K16" s="76">
        <f t="shared" si="0"/>
        <v>1200000</v>
      </c>
    </row>
    <row r="17" spans="1:15" s="73" customFormat="1" ht="15.75" thickBot="1" x14ac:dyDescent="0.3">
      <c r="A17" s="742" t="s">
        <v>179</v>
      </c>
      <c r="B17" s="743"/>
      <c r="C17" s="743"/>
      <c r="D17" s="743"/>
      <c r="E17" s="744"/>
      <c r="F17" s="75">
        <f>F12+F13+F14+F15+F16</f>
        <v>1635500</v>
      </c>
      <c r="G17" s="75">
        <f t="shared" ref="G17:H17" si="2">G12+G13+G14+G15+G16</f>
        <v>0</v>
      </c>
      <c r="H17" s="75">
        <f t="shared" si="2"/>
        <v>1635500</v>
      </c>
      <c r="I17" s="75">
        <f>I12+I13+I14+I15+I16</f>
        <v>1550500</v>
      </c>
      <c r="J17" s="75">
        <f t="shared" ref="J17" si="3">J12+J13+J14+J15+J16</f>
        <v>0</v>
      </c>
      <c r="K17" s="76">
        <f t="shared" si="0"/>
        <v>1550500</v>
      </c>
      <c r="M17" s="315"/>
      <c r="N17" s="315"/>
      <c r="O17" s="315"/>
    </row>
    <row r="18" spans="1:15" s="78" customFormat="1" ht="16.5" thickBot="1" x14ac:dyDescent="0.3">
      <c r="A18" s="771" t="s">
        <v>180</v>
      </c>
      <c r="B18" s="772"/>
      <c r="C18" s="772"/>
      <c r="D18" s="772"/>
      <c r="E18" s="773"/>
      <c r="F18" s="77">
        <f>F5+F7+F8+F9+F10+F17</f>
        <v>31149887</v>
      </c>
      <c r="G18" s="77">
        <f t="shared" ref="G18:H18" si="4">G5+G7+G8+G9+G10+G17</f>
        <v>0</v>
      </c>
      <c r="H18" s="77">
        <f t="shared" si="4"/>
        <v>31149887</v>
      </c>
      <c r="I18" s="77">
        <f>I5+I7+I8+I9+I10+I17+I6+I11</f>
        <v>37634432</v>
      </c>
      <c r="J18" s="77">
        <f t="shared" ref="J18" si="5">J5+J7+J8+J9+J10+J17</f>
        <v>0</v>
      </c>
      <c r="K18" s="77">
        <f t="shared" si="0"/>
        <v>37634432</v>
      </c>
      <c r="M18" s="312"/>
      <c r="N18" s="312"/>
      <c r="O18" s="312"/>
    </row>
    <row r="19" spans="1:15" s="78" customFormat="1" ht="30" customHeight="1" thickBot="1" x14ac:dyDescent="0.3">
      <c r="A19" s="777" t="s">
        <v>181</v>
      </c>
      <c r="B19" s="778"/>
      <c r="C19" s="778"/>
      <c r="D19" s="778"/>
      <c r="E19" s="779"/>
      <c r="F19" s="77">
        <f>811766+202650+[1]bölcsőde_és_óvoda!F14</f>
        <v>6406478</v>
      </c>
      <c r="G19" s="77"/>
      <c r="H19" s="77">
        <f>811766+202650+[1]bölcsőde_és_óvoda!H14</f>
        <v>6406478</v>
      </c>
      <c r="I19" s="77">
        <v>7270181</v>
      </c>
      <c r="J19" s="77">
        <v>0</v>
      </c>
      <c r="K19" s="77">
        <f t="shared" si="0"/>
        <v>7270181</v>
      </c>
      <c r="M19" s="312"/>
      <c r="N19" s="312"/>
      <c r="O19" s="312"/>
    </row>
    <row r="20" spans="1:15" s="78" customFormat="1" ht="35.25" customHeight="1" thickBot="1" x14ac:dyDescent="0.3">
      <c r="A20" s="777" t="s">
        <v>411</v>
      </c>
      <c r="B20" s="778"/>
      <c r="C20" s="778"/>
      <c r="D20" s="778"/>
      <c r="E20" s="779"/>
      <c r="F20" s="77">
        <f>F18+F19</f>
        <v>37556365</v>
      </c>
      <c r="G20" s="77">
        <f t="shared" ref="G20:H20" si="6">G18+G19</f>
        <v>0</v>
      </c>
      <c r="H20" s="77">
        <f t="shared" si="6"/>
        <v>37556365</v>
      </c>
      <c r="I20" s="77">
        <f>I18+I19</f>
        <v>44904613</v>
      </c>
      <c r="J20" s="77">
        <f t="shared" ref="J20:K20" si="7">J18+J19</f>
        <v>0</v>
      </c>
      <c r="K20" s="77">
        <f t="shared" si="7"/>
        <v>44904613</v>
      </c>
      <c r="M20" s="312"/>
      <c r="N20" s="312"/>
      <c r="O20" s="312"/>
    </row>
    <row r="21" spans="1:15" ht="37.5" customHeight="1" thickBot="1" x14ac:dyDescent="0.3">
      <c r="A21" s="780" t="s">
        <v>412</v>
      </c>
      <c r="B21" s="781"/>
      <c r="C21" s="781"/>
      <c r="D21" s="781"/>
      <c r="E21" s="782"/>
      <c r="F21" s="76">
        <f>170000+[1]bölcsőde_és_óvoda!F16</f>
        <v>309000</v>
      </c>
      <c r="G21" s="76">
        <f>[1]közművelődés!G19+[1]bölcsőde_és_óvoda!G16</f>
        <v>15450</v>
      </c>
      <c r="H21" s="76">
        <f>F21+G21</f>
        <v>324450</v>
      </c>
      <c r="I21" s="76">
        <f>170000+[1]bölcsőde_és_óvoda!I16</f>
        <v>309000</v>
      </c>
      <c r="J21" s="76">
        <f>[1]közművelődés!J19+[1]bölcsőde_és_óvoda!J16</f>
        <v>15450</v>
      </c>
      <c r="K21" s="76">
        <f>I21+J21</f>
        <v>324450</v>
      </c>
    </row>
    <row r="22" spans="1:15" ht="15.75" thickBot="1" x14ac:dyDescent="0.3">
      <c r="A22" s="774" t="s">
        <v>413</v>
      </c>
      <c r="B22" s="775"/>
      <c r="C22" s="775"/>
      <c r="D22" s="775"/>
      <c r="E22" s="776"/>
      <c r="F22" s="76">
        <f>190000+[1]bölcsőde_és_óvoda!F17</f>
        <v>1101700</v>
      </c>
      <c r="G22" s="76">
        <f>[1]közművelődés!G20+[1]bölcsőde_és_óvoda!G17</f>
        <v>297459</v>
      </c>
      <c r="H22" s="76">
        <f>F22+G22</f>
        <v>1399159</v>
      </c>
      <c r="I22" s="76">
        <v>800000</v>
      </c>
      <c r="J22" s="76">
        <v>0</v>
      </c>
      <c r="K22" s="76">
        <f>I22+J22</f>
        <v>800000</v>
      </c>
    </row>
    <row r="23" spans="1:15" ht="15.75" thickBot="1" x14ac:dyDescent="0.3">
      <c r="A23" s="767" t="s">
        <v>182</v>
      </c>
      <c r="B23" s="768"/>
      <c r="C23" s="768"/>
      <c r="D23" s="768"/>
      <c r="E23" s="769"/>
      <c r="F23" s="75">
        <f>F21+F22</f>
        <v>1410700</v>
      </c>
      <c r="G23" s="75">
        <f t="shared" ref="G23:H23" si="8">G21+G22</f>
        <v>312909</v>
      </c>
      <c r="H23" s="75">
        <f t="shared" si="8"/>
        <v>1723609</v>
      </c>
      <c r="I23" s="75">
        <f>I21+I22</f>
        <v>1109000</v>
      </c>
      <c r="J23" s="75">
        <f t="shared" ref="J23:K23" si="9">J21+J22</f>
        <v>15450</v>
      </c>
      <c r="K23" s="75">
        <f t="shared" si="9"/>
        <v>1124450</v>
      </c>
    </row>
    <row r="24" spans="1:15" ht="15.75" thickBot="1" x14ac:dyDescent="0.3">
      <c r="A24" s="783" t="s">
        <v>414</v>
      </c>
      <c r="B24" s="784"/>
      <c r="C24" s="784"/>
      <c r="D24" s="784"/>
      <c r="E24" s="785"/>
      <c r="F24" s="76">
        <f>150000+[1]bölcsőde_és_óvoda!F19</f>
        <v>250000</v>
      </c>
      <c r="G24" s="76">
        <f>[1]közművelődés!G22+[1]bölcsőde_és_óvoda!G19</f>
        <v>67500</v>
      </c>
      <c r="H24" s="76">
        <f t="shared" ref="H24:H33" si="10">F24+G24</f>
        <v>317500</v>
      </c>
      <c r="I24" s="76">
        <f>150000+[1]bölcsőde_és_óvoda!I19</f>
        <v>250000</v>
      </c>
      <c r="J24" s="76">
        <v>36235</v>
      </c>
      <c r="K24" s="76">
        <f t="shared" ref="K24:K33" si="11">I24+J24</f>
        <v>286235</v>
      </c>
    </row>
    <row r="25" spans="1:15" ht="15.75" thickBot="1" x14ac:dyDescent="0.3">
      <c r="A25" s="774" t="s">
        <v>415</v>
      </c>
      <c r="B25" s="775"/>
      <c r="C25" s="775"/>
      <c r="D25" s="775"/>
      <c r="E25" s="776"/>
      <c r="F25" s="76">
        <f>80000+[1]bölcsőde_és_óvoda!F20</f>
        <v>160000</v>
      </c>
      <c r="G25" s="76">
        <f>[1]közművelődés!G23+[1]bölcsőde_és_óvoda!G20</f>
        <v>43200</v>
      </c>
      <c r="H25" s="76">
        <f t="shared" si="10"/>
        <v>203200</v>
      </c>
      <c r="I25" s="76">
        <f>80000+[1]bölcsőde_és_óvoda!I20</f>
        <v>160000</v>
      </c>
      <c r="J25" s="76">
        <f>[1]közművelődés!J23+[1]bölcsőde_és_óvoda!J20</f>
        <v>43200</v>
      </c>
      <c r="K25" s="76">
        <f t="shared" si="11"/>
        <v>203200</v>
      </c>
    </row>
    <row r="26" spans="1:15" ht="15.75" thickBot="1" x14ac:dyDescent="0.3">
      <c r="A26" s="748" t="s">
        <v>416</v>
      </c>
      <c r="B26" s="749"/>
      <c r="C26" s="749"/>
      <c r="D26" s="749"/>
      <c r="E26" s="750"/>
      <c r="F26" s="76">
        <f>300000+[1]bölcsőde_és_óvoda!F21</f>
        <v>560000</v>
      </c>
      <c r="G26" s="76">
        <f>F26*27%</f>
        <v>151200</v>
      </c>
      <c r="H26" s="76">
        <f t="shared" si="10"/>
        <v>711200</v>
      </c>
      <c r="I26" s="76">
        <f>300000+[1]bölcsőde_és_óvoda!I21</f>
        <v>560000</v>
      </c>
      <c r="J26" s="76">
        <f>I26*27%</f>
        <v>151200</v>
      </c>
      <c r="K26" s="76">
        <f t="shared" si="11"/>
        <v>711200</v>
      </c>
    </row>
    <row r="27" spans="1:15" ht="15.75" thickBot="1" x14ac:dyDescent="0.3">
      <c r="A27" s="748" t="s">
        <v>417</v>
      </c>
      <c r="B27" s="749"/>
      <c r="C27" s="749"/>
      <c r="D27" s="749"/>
      <c r="E27" s="750"/>
      <c r="F27" s="76">
        <v>200000</v>
      </c>
      <c r="G27" s="76">
        <v>0</v>
      </c>
      <c r="H27" s="76">
        <f t="shared" si="10"/>
        <v>200000</v>
      </c>
      <c r="I27" s="76">
        <v>170000</v>
      </c>
      <c r="J27" s="76">
        <v>0</v>
      </c>
      <c r="K27" s="76">
        <f t="shared" si="11"/>
        <v>170000</v>
      </c>
    </row>
    <row r="28" spans="1:15" ht="15.75" thickBot="1" x14ac:dyDescent="0.3">
      <c r="A28" s="748" t="s">
        <v>186</v>
      </c>
      <c r="B28" s="749"/>
      <c r="C28" s="749"/>
      <c r="D28" s="749"/>
      <c r="E28" s="750"/>
      <c r="F28" s="76">
        <v>70000</v>
      </c>
      <c r="G28" s="76">
        <f>F28*27%</f>
        <v>18900</v>
      </c>
      <c r="H28" s="76">
        <f t="shared" si="10"/>
        <v>88900</v>
      </c>
      <c r="I28" s="76">
        <v>54961</v>
      </c>
      <c r="J28" s="76">
        <f>I28*27%</f>
        <v>14839.470000000001</v>
      </c>
      <c r="K28" s="76">
        <f t="shared" si="11"/>
        <v>69800.47</v>
      </c>
    </row>
    <row r="29" spans="1:15" ht="15.75" thickBot="1" x14ac:dyDescent="0.3">
      <c r="A29" s="748" t="s">
        <v>418</v>
      </c>
      <c r="B29" s="749"/>
      <c r="C29" s="749"/>
      <c r="D29" s="749"/>
      <c r="E29" s="750"/>
      <c r="F29" s="76">
        <f>40000+[1]bölcsőde_és_óvoda!F23</f>
        <v>180000</v>
      </c>
      <c r="G29" s="76">
        <f>[1]közművelődés!G26+[1]bölcsőde_és_óvoda!G23</f>
        <v>48600</v>
      </c>
      <c r="H29" s="76">
        <f t="shared" si="10"/>
        <v>228600</v>
      </c>
      <c r="I29" s="76">
        <f>40000+[1]bölcsőde_és_óvoda!I23</f>
        <v>180000</v>
      </c>
      <c r="J29" s="76">
        <v>0</v>
      </c>
      <c r="K29" s="76">
        <f t="shared" si="11"/>
        <v>180000</v>
      </c>
      <c r="M29" s="286">
        <v>-160000</v>
      </c>
      <c r="N29" s="286">
        <v>-43200</v>
      </c>
    </row>
    <row r="30" spans="1:15" ht="15.75" thickBot="1" x14ac:dyDescent="0.3">
      <c r="A30" s="748" t="s">
        <v>419</v>
      </c>
      <c r="B30" s="749"/>
      <c r="C30" s="749"/>
      <c r="D30" s="749"/>
      <c r="E30" s="750"/>
      <c r="F30" s="76">
        <v>25000</v>
      </c>
      <c r="G30" s="76">
        <f>F30*27%</f>
        <v>6750</v>
      </c>
      <c r="H30" s="76">
        <f t="shared" si="10"/>
        <v>31750</v>
      </c>
      <c r="I30" s="76">
        <v>0</v>
      </c>
      <c r="J30" s="76">
        <f>I30*27%</f>
        <v>0</v>
      </c>
      <c r="K30" s="76">
        <f t="shared" si="11"/>
        <v>0</v>
      </c>
    </row>
    <row r="31" spans="1:15" ht="15.75" thickBot="1" x14ac:dyDescent="0.3">
      <c r="A31" s="748" t="s">
        <v>420</v>
      </c>
      <c r="B31" s="749"/>
      <c r="C31" s="749"/>
      <c r="D31" s="749"/>
      <c r="E31" s="750"/>
      <c r="F31" s="76">
        <v>20000</v>
      </c>
      <c r="G31" s="76">
        <f>F31*27%</f>
        <v>5400</v>
      </c>
      <c r="H31" s="76">
        <f t="shared" si="10"/>
        <v>25400</v>
      </c>
      <c r="I31" s="76">
        <v>0</v>
      </c>
      <c r="J31" s="76">
        <f>I31*27%</f>
        <v>0</v>
      </c>
      <c r="K31" s="76">
        <f t="shared" si="11"/>
        <v>0</v>
      </c>
    </row>
    <row r="32" spans="1:15" ht="15.75" thickBot="1" x14ac:dyDescent="0.3">
      <c r="A32" s="748" t="s">
        <v>685</v>
      </c>
      <c r="B32" s="749"/>
      <c r="C32" s="749"/>
      <c r="D32" s="749"/>
      <c r="E32" s="750"/>
      <c r="F32" s="76"/>
      <c r="G32" s="76"/>
      <c r="H32" s="76"/>
      <c r="I32" s="76">
        <v>356050</v>
      </c>
      <c r="J32" s="76">
        <f>23834-5454</f>
        <v>18380</v>
      </c>
      <c r="K32" s="76">
        <f t="shared" si="11"/>
        <v>374430</v>
      </c>
    </row>
    <row r="33" spans="1:15" ht="15.75" thickBot="1" x14ac:dyDescent="0.3">
      <c r="A33" s="748" t="s">
        <v>421</v>
      </c>
      <c r="B33" s="749"/>
      <c r="C33" s="749"/>
      <c r="D33" s="749"/>
      <c r="E33" s="750"/>
      <c r="F33" s="76">
        <v>30000</v>
      </c>
      <c r="G33" s="76">
        <f>F33*27%</f>
        <v>8100.0000000000009</v>
      </c>
      <c r="H33" s="76">
        <f t="shared" si="10"/>
        <v>38100</v>
      </c>
      <c r="I33" s="76">
        <v>14842</v>
      </c>
      <c r="J33" s="76">
        <f>I33*27%+1</f>
        <v>4008.34</v>
      </c>
      <c r="K33" s="76">
        <f t="shared" si="11"/>
        <v>18850.34</v>
      </c>
    </row>
    <row r="34" spans="1:15" ht="72" customHeight="1" thickBot="1" x14ac:dyDescent="0.3">
      <c r="A34" s="764" t="s">
        <v>422</v>
      </c>
      <c r="B34" s="765"/>
      <c r="C34" s="765"/>
      <c r="D34" s="765"/>
      <c r="E34" s="766"/>
      <c r="F34" s="76">
        <f>15000+10000+20000+40000+50000+15000+15000+15000+10000+15000+20000+20000+15000+30000</f>
        <v>290000</v>
      </c>
      <c r="G34" s="76">
        <f>F34*27%</f>
        <v>78300</v>
      </c>
      <c r="H34" s="76">
        <f>F34+G34</f>
        <v>368300</v>
      </c>
      <c r="I34" s="76">
        <f>15000+10000+20000+40000+50000+15000+15000+15000+10000+15000+20000+20000+15000+30000</f>
        <v>290000</v>
      </c>
      <c r="J34" s="76">
        <f>I34*27%</f>
        <v>78300</v>
      </c>
      <c r="K34" s="76">
        <f>I34+J34</f>
        <v>368300</v>
      </c>
    </row>
    <row r="35" spans="1:15" ht="15.75" thickBot="1" x14ac:dyDescent="0.3">
      <c r="A35" s="748" t="s">
        <v>212</v>
      </c>
      <c r="B35" s="749"/>
      <c r="C35" s="749"/>
      <c r="D35" s="749"/>
      <c r="E35" s="750"/>
      <c r="F35" s="76">
        <v>30000</v>
      </c>
      <c r="G35" s="76">
        <f t="shared" ref="G35:G37" si="12">F35*27%</f>
        <v>8100.0000000000009</v>
      </c>
      <c r="H35" s="76">
        <f t="shared" ref="H35:H37" si="13">F35+G35</f>
        <v>38100</v>
      </c>
      <c r="I35" s="76">
        <v>0</v>
      </c>
      <c r="J35" s="76">
        <f t="shared" ref="J35:J37" si="14">I35*27%</f>
        <v>0</v>
      </c>
      <c r="K35" s="76">
        <f t="shared" ref="K35:K43" si="15">I35+J35</f>
        <v>0</v>
      </c>
    </row>
    <row r="36" spans="1:15" ht="15.75" thickBot="1" x14ac:dyDescent="0.3">
      <c r="A36" s="764" t="s">
        <v>423</v>
      </c>
      <c r="B36" s="765"/>
      <c r="C36" s="765"/>
      <c r="D36" s="765"/>
      <c r="E36" s="766"/>
      <c r="F36" s="76">
        <v>400000</v>
      </c>
      <c r="G36" s="76">
        <f t="shared" si="12"/>
        <v>108000</v>
      </c>
      <c r="H36" s="76">
        <f t="shared" si="13"/>
        <v>508000</v>
      </c>
      <c r="I36" s="76">
        <v>42551</v>
      </c>
      <c r="J36" s="76">
        <f t="shared" si="14"/>
        <v>11488.77</v>
      </c>
      <c r="K36" s="76">
        <f t="shared" si="15"/>
        <v>54039.770000000004</v>
      </c>
      <c r="M36" s="286">
        <v>-200000</v>
      </c>
      <c r="N36" s="286">
        <v>-54000</v>
      </c>
      <c r="O36" s="286">
        <v>-254000</v>
      </c>
    </row>
    <row r="37" spans="1:15" ht="21" customHeight="1" thickBot="1" x14ac:dyDescent="0.3">
      <c r="A37" s="748" t="s">
        <v>185</v>
      </c>
      <c r="B37" s="749"/>
      <c r="C37" s="749"/>
      <c r="D37" s="749"/>
      <c r="E37" s="750"/>
      <c r="F37" s="76">
        <v>100000</v>
      </c>
      <c r="G37" s="76">
        <f t="shared" si="12"/>
        <v>27000</v>
      </c>
      <c r="H37" s="76">
        <f t="shared" si="13"/>
        <v>127000</v>
      </c>
      <c r="I37" s="76">
        <f>100000-91881</f>
        <v>8119</v>
      </c>
      <c r="J37" s="76">
        <f t="shared" si="14"/>
        <v>2192.13</v>
      </c>
      <c r="K37" s="76">
        <f t="shared" si="15"/>
        <v>10311.130000000001</v>
      </c>
    </row>
    <row r="38" spans="1:15" s="212" customFormat="1" ht="30" customHeight="1" thickBot="1" x14ac:dyDescent="0.3">
      <c r="A38" s="758" t="s">
        <v>536</v>
      </c>
      <c r="B38" s="759"/>
      <c r="C38" s="759"/>
      <c r="D38" s="759"/>
      <c r="E38" s="760"/>
      <c r="F38" s="211">
        <v>0</v>
      </c>
      <c r="G38" s="211">
        <v>0</v>
      </c>
      <c r="H38" s="211">
        <v>0</v>
      </c>
      <c r="I38" s="211">
        <v>20000</v>
      </c>
      <c r="J38" s="211">
        <v>4510</v>
      </c>
      <c r="K38" s="211">
        <f t="shared" si="15"/>
        <v>24510</v>
      </c>
      <c r="M38" s="286"/>
      <c r="N38" s="286"/>
      <c r="O38" s="286"/>
    </row>
    <row r="39" spans="1:15" s="212" customFormat="1" ht="35.25" customHeight="1" thickBot="1" x14ac:dyDescent="0.3">
      <c r="A39" s="758" t="s">
        <v>537</v>
      </c>
      <c r="B39" s="759"/>
      <c r="C39" s="759"/>
      <c r="D39" s="759"/>
      <c r="E39" s="760"/>
      <c r="F39" s="211">
        <v>0</v>
      </c>
      <c r="G39" s="211">
        <v>0</v>
      </c>
      <c r="H39" s="211">
        <v>0</v>
      </c>
      <c r="I39" s="211">
        <v>12488</v>
      </c>
      <c r="J39" s="211">
        <v>3372</v>
      </c>
      <c r="K39" s="211">
        <f t="shared" si="15"/>
        <v>15860</v>
      </c>
      <c r="M39" s="286"/>
      <c r="N39" s="286"/>
      <c r="O39" s="286"/>
    </row>
    <row r="40" spans="1:15" s="212" customFormat="1" ht="32.25" customHeight="1" thickBot="1" x14ac:dyDescent="0.3">
      <c r="A40" s="770" t="s">
        <v>538</v>
      </c>
      <c r="B40" s="759"/>
      <c r="C40" s="759"/>
      <c r="D40" s="759"/>
      <c r="E40" s="760"/>
      <c r="F40" s="211">
        <v>0</v>
      </c>
      <c r="G40" s="211">
        <v>0</v>
      </c>
      <c r="H40" s="211">
        <v>0</v>
      </c>
      <c r="I40" s="211">
        <v>690000</v>
      </c>
      <c r="J40" s="211">
        <v>0</v>
      </c>
      <c r="K40" s="211">
        <f t="shared" si="15"/>
        <v>690000</v>
      </c>
      <c r="M40" s="286"/>
      <c r="N40" s="286"/>
      <c r="O40" s="286"/>
    </row>
    <row r="41" spans="1:15" s="212" customFormat="1" ht="32.25" customHeight="1" thickBot="1" x14ac:dyDescent="0.3">
      <c r="A41" s="770" t="s">
        <v>614</v>
      </c>
      <c r="B41" s="759"/>
      <c r="C41" s="759"/>
      <c r="D41" s="759"/>
      <c r="E41" s="760"/>
      <c r="F41" s="211"/>
      <c r="G41" s="211"/>
      <c r="H41" s="211"/>
      <c r="I41" s="211">
        <v>116600</v>
      </c>
      <c r="J41" s="211">
        <v>31482</v>
      </c>
      <c r="K41" s="211">
        <f t="shared" si="15"/>
        <v>148082</v>
      </c>
      <c r="M41" s="286"/>
      <c r="N41" s="286"/>
      <c r="O41" s="286"/>
    </row>
    <row r="42" spans="1:15" s="212" customFormat="1" ht="32.25" customHeight="1" thickBot="1" x14ac:dyDescent="0.3">
      <c r="A42" s="770" t="s">
        <v>686</v>
      </c>
      <c r="B42" s="759"/>
      <c r="C42" s="759"/>
      <c r="D42" s="759"/>
      <c r="E42" s="760"/>
      <c r="F42" s="211"/>
      <c r="G42" s="211"/>
      <c r="H42" s="211"/>
      <c r="I42" s="211">
        <f>43197+23622</f>
        <v>66819</v>
      </c>
      <c r="J42" s="211">
        <v>11663</v>
      </c>
      <c r="K42" s="211">
        <f t="shared" si="15"/>
        <v>78482</v>
      </c>
      <c r="M42" s="286"/>
      <c r="N42" s="286"/>
      <c r="O42" s="286"/>
    </row>
    <row r="43" spans="1:15" s="212" customFormat="1" ht="32.25" customHeight="1" thickBot="1" x14ac:dyDescent="0.3">
      <c r="A43" s="770" t="s">
        <v>687</v>
      </c>
      <c r="B43" s="759"/>
      <c r="C43" s="759"/>
      <c r="D43" s="759"/>
      <c r="E43" s="760"/>
      <c r="F43" s="211"/>
      <c r="G43" s="211"/>
      <c r="H43" s="211"/>
      <c r="I43" s="211">
        <f>73394+90455</f>
        <v>163849</v>
      </c>
      <c r="J43" s="211">
        <v>19816</v>
      </c>
      <c r="K43" s="211">
        <f t="shared" si="15"/>
        <v>183665</v>
      </c>
      <c r="M43" s="286"/>
      <c r="N43" s="286"/>
      <c r="O43" s="286"/>
    </row>
    <row r="44" spans="1:15" ht="16.5" thickBot="1" x14ac:dyDescent="0.3">
      <c r="A44" s="771" t="s">
        <v>187</v>
      </c>
      <c r="B44" s="772"/>
      <c r="C44" s="772"/>
      <c r="D44" s="772"/>
      <c r="E44" s="773"/>
      <c r="F44" s="75">
        <f>F24+F25+F26+F27+F28+F30+F31+F33+F34+F35+F36+F37+F29</f>
        <v>2315000</v>
      </c>
      <c r="G44" s="75">
        <f t="shared" ref="G44:H44" si="16">G24+G25+G26+G27+G28+G30+G31+G33+G34+G35+G36+G37+G29</f>
        <v>571050</v>
      </c>
      <c r="H44" s="75">
        <f t="shared" si="16"/>
        <v>2886050</v>
      </c>
      <c r="I44" s="75">
        <f>SUM(I24:I43)</f>
        <v>3156279</v>
      </c>
      <c r="J44" s="75">
        <f t="shared" ref="J44:K44" si="17">SUM(J24:J43)</f>
        <v>430686.71</v>
      </c>
      <c r="K44" s="75">
        <f t="shared" si="17"/>
        <v>3586965.71</v>
      </c>
    </row>
    <row r="45" spans="1:15" ht="15.75" thickBot="1" x14ac:dyDescent="0.3">
      <c r="A45" s="767" t="s">
        <v>188</v>
      </c>
      <c r="B45" s="768"/>
      <c r="C45" s="768"/>
      <c r="D45" s="768"/>
      <c r="E45" s="769"/>
      <c r="F45" s="75">
        <f>F23+F44</f>
        <v>3725700</v>
      </c>
      <c r="G45" s="75">
        <f t="shared" ref="G45:H45" si="18">G23+G44</f>
        <v>883959</v>
      </c>
      <c r="H45" s="75">
        <f t="shared" si="18"/>
        <v>4609659</v>
      </c>
      <c r="I45" s="75">
        <f>I23+I44</f>
        <v>4265279</v>
      </c>
      <c r="J45" s="75">
        <f t="shared" ref="J45:K45" si="19">J23+J44</f>
        <v>446136.71</v>
      </c>
      <c r="K45" s="75">
        <f t="shared" si="19"/>
        <v>4711415.71</v>
      </c>
    </row>
    <row r="46" spans="1:15" ht="15.75" thickBot="1" x14ac:dyDescent="0.3">
      <c r="A46" s="774" t="s">
        <v>189</v>
      </c>
      <c r="B46" s="775"/>
      <c r="C46" s="775"/>
      <c r="D46" s="775"/>
      <c r="E46" s="776"/>
      <c r="F46" s="76">
        <f>70000+[1]bölcsőde_és_óvoda!F29</f>
        <v>145000</v>
      </c>
      <c r="G46" s="76">
        <f>[1]közművelődés!G36+[1]bölcsőde_és_óvoda!G29</f>
        <v>7250</v>
      </c>
      <c r="H46" s="76">
        <f>F46+G46</f>
        <v>152250</v>
      </c>
      <c r="I46" s="76">
        <f>70000+[1]bölcsőde_és_óvoda!I29</f>
        <v>145000</v>
      </c>
      <c r="J46" s="76">
        <f>[1]közművelődés!J36+[1]bölcsőde_és_óvoda!J29</f>
        <v>7250</v>
      </c>
      <c r="K46" s="76">
        <f>I46+J46</f>
        <v>152250</v>
      </c>
    </row>
    <row r="47" spans="1:15" s="73" customFormat="1" ht="15.75" thickBot="1" x14ac:dyDescent="0.3">
      <c r="A47" s="767" t="s">
        <v>190</v>
      </c>
      <c r="B47" s="768"/>
      <c r="C47" s="768"/>
      <c r="D47" s="768"/>
      <c r="E47" s="769"/>
      <c r="F47" s="75">
        <f t="shared" ref="F47:K47" si="20">F46</f>
        <v>145000</v>
      </c>
      <c r="G47" s="75">
        <f t="shared" si="20"/>
        <v>7250</v>
      </c>
      <c r="H47" s="75">
        <f t="shared" si="20"/>
        <v>152250</v>
      </c>
      <c r="I47" s="75">
        <f t="shared" si="20"/>
        <v>145000</v>
      </c>
      <c r="J47" s="75">
        <f t="shared" si="20"/>
        <v>7250</v>
      </c>
      <c r="K47" s="75">
        <f t="shared" si="20"/>
        <v>152250</v>
      </c>
      <c r="M47" s="315"/>
      <c r="N47" s="315"/>
      <c r="O47" s="315"/>
    </row>
    <row r="48" spans="1:15" ht="15.75" thickBot="1" x14ac:dyDescent="0.3">
      <c r="A48" s="774" t="s">
        <v>191</v>
      </c>
      <c r="B48" s="775"/>
      <c r="C48" s="775"/>
      <c r="D48" s="775"/>
      <c r="E48" s="776"/>
      <c r="F48" s="76">
        <f>280000+[1]bölcsőde_és_óvoda!F31</f>
        <v>496000</v>
      </c>
      <c r="G48" s="76">
        <f>[1]közművelődés!G38+[1]bölcsőde_és_óvoda!G31</f>
        <v>133920</v>
      </c>
      <c r="H48" s="76">
        <f>F48+G48</f>
        <v>629920</v>
      </c>
      <c r="I48" s="76">
        <f>280000+[1]bölcsőde_és_óvoda!I31</f>
        <v>496000</v>
      </c>
      <c r="J48" s="76">
        <f>[1]közművelődés!J38+[1]bölcsőde_és_óvoda!J31</f>
        <v>133920</v>
      </c>
      <c r="K48" s="76">
        <f>I48+J48</f>
        <v>629920</v>
      </c>
    </row>
    <row r="49" spans="1:15" ht="15.75" thickBot="1" x14ac:dyDescent="0.3">
      <c r="A49" s="748" t="s">
        <v>688</v>
      </c>
      <c r="B49" s="749"/>
      <c r="C49" s="749"/>
      <c r="D49" s="749"/>
      <c r="E49" s="750"/>
      <c r="F49" s="76"/>
      <c r="G49" s="76">
        <v>0</v>
      </c>
      <c r="H49" s="76">
        <f>F49+G49</f>
        <v>0</v>
      </c>
      <c r="I49" s="76">
        <f>250000+11750</f>
        <v>261750</v>
      </c>
      <c r="J49" s="76">
        <v>0</v>
      </c>
      <c r="K49" s="76">
        <f>I49+J49</f>
        <v>261750</v>
      </c>
    </row>
    <row r="50" spans="1:15" s="73" customFormat="1" ht="15.75" thickBot="1" x14ac:dyDescent="0.3">
      <c r="A50" s="767" t="s">
        <v>192</v>
      </c>
      <c r="B50" s="768"/>
      <c r="C50" s="768"/>
      <c r="D50" s="768"/>
      <c r="E50" s="769"/>
      <c r="F50" s="75">
        <f t="shared" ref="F50:H50" si="21">F48</f>
        <v>496000</v>
      </c>
      <c r="G50" s="75">
        <f t="shared" si="21"/>
        <v>133920</v>
      </c>
      <c r="H50" s="75">
        <f t="shared" si="21"/>
        <v>629920</v>
      </c>
      <c r="I50" s="75">
        <f>I48+I49</f>
        <v>757750</v>
      </c>
      <c r="J50" s="75">
        <f t="shared" ref="J50:K50" si="22">J48+J49</f>
        <v>133920</v>
      </c>
      <c r="K50" s="75">
        <f t="shared" si="22"/>
        <v>891670</v>
      </c>
      <c r="M50" s="315"/>
      <c r="N50" s="315"/>
      <c r="O50" s="315"/>
    </row>
    <row r="51" spans="1:15" s="73" customFormat="1" ht="15.75" thickBot="1" x14ac:dyDescent="0.3">
      <c r="A51" s="767" t="s">
        <v>193</v>
      </c>
      <c r="B51" s="768"/>
      <c r="C51" s="768"/>
      <c r="D51" s="768"/>
      <c r="E51" s="769"/>
      <c r="F51" s="75">
        <f>F47+F50</f>
        <v>641000</v>
      </c>
      <c r="G51" s="75">
        <f>G47+G48</f>
        <v>141170</v>
      </c>
      <c r="H51" s="75">
        <f>H47+H48</f>
        <v>782170</v>
      </c>
      <c r="I51" s="75">
        <f>I47+I50</f>
        <v>902750</v>
      </c>
      <c r="J51" s="75">
        <f>J47+J48</f>
        <v>141170</v>
      </c>
      <c r="K51" s="75">
        <f>K47+K48</f>
        <v>782170</v>
      </c>
      <c r="M51" s="315"/>
      <c r="N51" s="315"/>
      <c r="O51" s="315"/>
    </row>
    <row r="52" spans="1:15" ht="15.75" thickBot="1" x14ac:dyDescent="0.3">
      <c r="A52" s="748" t="s">
        <v>424</v>
      </c>
      <c r="B52" s="749"/>
      <c r="C52" s="749"/>
      <c r="D52" s="749"/>
      <c r="E52" s="750"/>
      <c r="F52" s="76">
        <f>580000+[1]bölcsőde_és_óvoda!F34</f>
        <v>2590000</v>
      </c>
      <c r="G52" s="76">
        <f>[1]közművelődés!G41+[1]bölcsőde_és_óvoda!G34</f>
        <v>699299</v>
      </c>
      <c r="H52" s="76">
        <f>F52+G52</f>
        <v>3289299</v>
      </c>
      <c r="I52" s="76">
        <v>2000000</v>
      </c>
      <c r="J52" s="76">
        <v>540000</v>
      </c>
      <c r="K52" s="76">
        <f>I52+J52</f>
        <v>2540000</v>
      </c>
    </row>
    <row r="53" spans="1:15" s="73" customFormat="1" ht="15.75" thickBot="1" x14ac:dyDescent="0.3">
      <c r="A53" s="742" t="s">
        <v>194</v>
      </c>
      <c r="B53" s="743"/>
      <c r="C53" s="743"/>
      <c r="D53" s="743"/>
      <c r="E53" s="744"/>
      <c r="F53" s="75">
        <f>F52</f>
        <v>2590000</v>
      </c>
      <c r="G53" s="75">
        <f t="shared" ref="G53:H53" si="23">G52</f>
        <v>699299</v>
      </c>
      <c r="H53" s="75">
        <f t="shared" si="23"/>
        <v>3289299</v>
      </c>
      <c r="I53" s="75">
        <f>I52</f>
        <v>2000000</v>
      </c>
      <c r="J53" s="75">
        <f t="shared" ref="J53:K53" si="24">J52</f>
        <v>540000</v>
      </c>
      <c r="K53" s="75">
        <f t="shared" si="24"/>
        <v>2540000</v>
      </c>
      <c r="M53" s="315"/>
      <c r="N53" s="315"/>
      <c r="O53" s="315"/>
    </row>
    <row r="54" spans="1:15" s="73" customFormat="1" ht="15.75" thickBot="1" x14ac:dyDescent="0.3">
      <c r="A54" s="748" t="s">
        <v>425</v>
      </c>
      <c r="B54" s="749"/>
      <c r="C54" s="749"/>
      <c r="D54" s="749"/>
      <c r="E54" s="750"/>
      <c r="F54" s="75">
        <v>200000</v>
      </c>
      <c r="G54" s="75">
        <f>F54*27%</f>
        <v>54000</v>
      </c>
      <c r="H54" s="75">
        <f>F54+G54</f>
        <v>254000</v>
      </c>
      <c r="I54" s="75">
        <v>0</v>
      </c>
      <c r="J54" s="75">
        <f>I54*27%</f>
        <v>0</v>
      </c>
      <c r="K54" s="75">
        <f>I54+J54</f>
        <v>0</v>
      </c>
      <c r="M54" s="315">
        <v>-200000</v>
      </c>
      <c r="N54" s="315">
        <v>-54000</v>
      </c>
      <c r="O54" s="315"/>
    </row>
    <row r="55" spans="1:15" ht="15.75" thickBot="1" x14ac:dyDescent="0.3">
      <c r="A55" s="748" t="s">
        <v>195</v>
      </c>
      <c r="B55" s="749"/>
      <c r="C55" s="749"/>
      <c r="D55" s="749"/>
      <c r="E55" s="750"/>
      <c r="F55" s="76">
        <f>[1]közművelődés!F44+[1]bölcsőde_és_óvoda!F35</f>
        <v>210000</v>
      </c>
      <c r="G55" s="76">
        <f>[1]közművelődés!G44+[1]bölcsőde_és_óvoda!G35</f>
        <v>56700</v>
      </c>
      <c r="H55" s="76">
        <f>F55+G55</f>
        <v>266700</v>
      </c>
      <c r="I55" s="76">
        <f>[1]közművelődés!I44+[1]bölcsőde_és_óvoda!I35</f>
        <v>210000</v>
      </c>
      <c r="J55" s="76">
        <f>[1]közművelődés!J44+[1]bölcsőde_és_óvoda!J35</f>
        <v>56700</v>
      </c>
      <c r="K55" s="76">
        <f>I55+J55</f>
        <v>266700</v>
      </c>
    </row>
    <row r="56" spans="1:15" ht="15.75" thickBot="1" x14ac:dyDescent="0.3">
      <c r="A56" s="748" t="s">
        <v>426</v>
      </c>
      <c r="B56" s="749"/>
      <c r="C56" s="749"/>
      <c r="D56" s="749"/>
      <c r="E56" s="750"/>
      <c r="F56" s="76">
        <f>[1]közművelődés!F46+[1]bölcsőde_és_óvoda!F38</f>
        <v>319500</v>
      </c>
      <c r="G56" s="76">
        <v>0</v>
      </c>
      <c r="H56" s="76">
        <f>F56+G56</f>
        <v>319500</v>
      </c>
      <c r="I56" s="76">
        <f>[1]közművelődés!I46+[1]bölcsőde_és_óvoda!I38</f>
        <v>319500</v>
      </c>
      <c r="J56" s="76">
        <v>0</v>
      </c>
      <c r="K56" s="76">
        <f>I56+J56</f>
        <v>319500</v>
      </c>
    </row>
    <row r="57" spans="1:15" s="73" customFormat="1" ht="15.75" thickBot="1" x14ac:dyDescent="0.3">
      <c r="A57" s="742" t="s">
        <v>196</v>
      </c>
      <c r="B57" s="743"/>
      <c r="C57" s="743"/>
      <c r="D57" s="743"/>
      <c r="E57" s="744"/>
      <c r="F57" s="75">
        <f>F56</f>
        <v>319500</v>
      </c>
      <c r="G57" s="75">
        <f t="shared" ref="G57:H57" si="25">G56</f>
        <v>0</v>
      </c>
      <c r="H57" s="75">
        <f t="shared" si="25"/>
        <v>319500</v>
      </c>
      <c r="I57" s="75">
        <f>I56</f>
        <v>319500</v>
      </c>
      <c r="J57" s="75">
        <f t="shared" ref="J57:K57" si="26">J56</f>
        <v>0</v>
      </c>
      <c r="K57" s="75">
        <f t="shared" si="26"/>
        <v>319500</v>
      </c>
      <c r="M57" s="315"/>
      <c r="N57" s="315"/>
      <c r="O57" s="315"/>
    </row>
    <row r="58" spans="1:15" ht="15.75" thickBot="1" x14ac:dyDescent="0.3">
      <c r="A58" s="748" t="s">
        <v>197</v>
      </c>
      <c r="B58" s="749"/>
      <c r="C58" s="749"/>
      <c r="D58" s="749"/>
      <c r="E58" s="750"/>
      <c r="F58" s="76">
        <v>100000</v>
      </c>
      <c r="G58" s="76">
        <f>F58*27%</f>
        <v>27000</v>
      </c>
      <c r="H58" s="76">
        <f t="shared" ref="H58:H64" si="27">F58+G58</f>
        <v>127000</v>
      </c>
      <c r="I58" s="76">
        <v>100000</v>
      </c>
      <c r="J58" s="76">
        <f>I58*27%</f>
        <v>27000</v>
      </c>
      <c r="K58" s="76">
        <f t="shared" ref="K58:K64" si="28">I58+J58</f>
        <v>127000</v>
      </c>
    </row>
    <row r="59" spans="1:15" ht="15.75" thickBot="1" x14ac:dyDescent="0.3">
      <c r="A59" s="748" t="s">
        <v>198</v>
      </c>
      <c r="B59" s="749"/>
      <c r="C59" s="749"/>
      <c r="D59" s="749"/>
      <c r="E59" s="750"/>
      <c r="F59" s="76">
        <v>100000</v>
      </c>
      <c r="G59" s="76">
        <f>F59*27%</f>
        <v>27000</v>
      </c>
      <c r="H59" s="76">
        <f t="shared" si="27"/>
        <v>127000</v>
      </c>
      <c r="I59" s="76">
        <v>100000</v>
      </c>
      <c r="J59" s="76">
        <f>I59*27%</f>
        <v>27000</v>
      </c>
      <c r="K59" s="76">
        <f t="shared" si="28"/>
        <v>127000</v>
      </c>
    </row>
    <row r="60" spans="1:15" ht="15.75" thickBot="1" x14ac:dyDescent="0.3">
      <c r="A60" s="748" t="s">
        <v>199</v>
      </c>
      <c r="B60" s="749"/>
      <c r="C60" s="749"/>
      <c r="D60" s="749"/>
      <c r="E60" s="750"/>
      <c r="F60" s="76">
        <v>100000</v>
      </c>
      <c r="G60" s="76">
        <f>F60*27%</f>
        <v>27000</v>
      </c>
      <c r="H60" s="76">
        <f t="shared" si="27"/>
        <v>127000</v>
      </c>
      <c r="I60" s="76">
        <v>100000</v>
      </c>
      <c r="J60" s="76">
        <f>I60*27%</f>
        <v>27000</v>
      </c>
      <c r="K60" s="76">
        <f t="shared" si="28"/>
        <v>127000</v>
      </c>
    </row>
    <row r="61" spans="1:15" ht="15.75" thickBot="1" x14ac:dyDescent="0.3">
      <c r="A61" s="748" t="s">
        <v>200</v>
      </c>
      <c r="B61" s="749"/>
      <c r="C61" s="749"/>
      <c r="D61" s="749"/>
      <c r="E61" s="750"/>
      <c r="F61" s="76">
        <f>37*1500</f>
        <v>55500</v>
      </c>
      <c r="G61" s="76">
        <v>0</v>
      </c>
      <c r="H61" s="76">
        <f t="shared" si="27"/>
        <v>55500</v>
      </c>
      <c r="I61" s="76">
        <f>37*1500</f>
        <v>55500</v>
      </c>
      <c r="J61" s="76">
        <v>0</v>
      </c>
      <c r="K61" s="76">
        <f t="shared" si="28"/>
        <v>55500</v>
      </c>
    </row>
    <row r="62" spans="1:15" ht="15.75" thickBot="1" x14ac:dyDescent="0.3">
      <c r="A62" s="748" t="s">
        <v>427</v>
      </c>
      <c r="B62" s="749"/>
      <c r="C62" s="749"/>
      <c r="D62" s="749"/>
      <c r="E62" s="750"/>
      <c r="F62" s="76">
        <f>4500*37*6</f>
        <v>999000</v>
      </c>
      <c r="G62" s="76">
        <v>0</v>
      </c>
      <c r="H62" s="76">
        <f t="shared" si="27"/>
        <v>999000</v>
      </c>
      <c r="I62" s="76">
        <v>1081000</v>
      </c>
      <c r="J62" s="76">
        <v>0</v>
      </c>
      <c r="K62" s="76">
        <f t="shared" si="28"/>
        <v>1081000</v>
      </c>
    </row>
    <row r="63" spans="1:15" ht="15.75" thickBot="1" x14ac:dyDescent="0.3">
      <c r="A63" s="748" t="s">
        <v>428</v>
      </c>
      <c r="B63" s="749"/>
      <c r="C63" s="749"/>
      <c r="D63" s="749"/>
      <c r="E63" s="750"/>
      <c r="F63" s="76">
        <v>300000</v>
      </c>
      <c r="G63" s="76">
        <v>0</v>
      </c>
      <c r="H63" s="76">
        <f t="shared" si="27"/>
        <v>300000</v>
      </c>
      <c r="I63" s="76">
        <v>218000</v>
      </c>
      <c r="J63" s="76">
        <v>0</v>
      </c>
      <c r="K63" s="76">
        <f t="shared" si="28"/>
        <v>218000</v>
      </c>
    </row>
    <row r="64" spans="1:15" ht="15.75" thickBot="1" x14ac:dyDescent="0.3">
      <c r="A64" s="748" t="s">
        <v>429</v>
      </c>
      <c r="B64" s="749"/>
      <c r="C64" s="749"/>
      <c r="D64" s="749"/>
      <c r="E64" s="750"/>
      <c r="F64" s="76">
        <v>50000</v>
      </c>
      <c r="G64" s="76">
        <v>0</v>
      </c>
      <c r="H64" s="76">
        <f t="shared" si="27"/>
        <v>50000</v>
      </c>
      <c r="I64" s="76">
        <v>0</v>
      </c>
      <c r="J64" s="76">
        <v>0</v>
      </c>
      <c r="K64" s="76">
        <f t="shared" si="28"/>
        <v>0</v>
      </c>
    </row>
    <row r="65" spans="1:15" ht="15.75" thickBot="1" x14ac:dyDescent="0.3">
      <c r="A65" s="748" t="s">
        <v>430</v>
      </c>
      <c r="B65" s="749"/>
      <c r="C65" s="749"/>
      <c r="D65" s="749"/>
      <c r="E65" s="750"/>
      <c r="F65" s="76">
        <f>60000*12</f>
        <v>720000</v>
      </c>
      <c r="G65" s="76">
        <v>0</v>
      </c>
      <c r="H65" s="76">
        <f t="shared" ref="H65" si="29">60000*12</f>
        <v>720000</v>
      </c>
      <c r="I65" s="76">
        <v>0</v>
      </c>
      <c r="J65" s="76">
        <v>0</v>
      </c>
      <c r="K65" s="76">
        <v>0</v>
      </c>
    </row>
    <row r="66" spans="1:15" ht="45.75" customHeight="1" thickBot="1" x14ac:dyDescent="0.3">
      <c r="A66" s="764" t="s">
        <v>431</v>
      </c>
      <c r="B66" s="765"/>
      <c r="C66" s="765"/>
      <c r="D66" s="765"/>
      <c r="E66" s="766"/>
      <c r="F66" s="76">
        <f>92000+100000+130000+50000+700000+50000+50000+100000+100000+200000+200000+130000</f>
        <v>1902000</v>
      </c>
      <c r="G66" s="76">
        <v>270000</v>
      </c>
      <c r="H66" s="76">
        <f>F66+G66</f>
        <v>2172000</v>
      </c>
      <c r="I66" s="76">
        <f>92000+100000+130000+50000+700000+50000+50000+100000+100000+200000+200000+130000</f>
        <v>1902000</v>
      </c>
      <c r="J66" s="76">
        <v>170000</v>
      </c>
      <c r="K66" s="76">
        <f>I66+J66</f>
        <v>2072000</v>
      </c>
    </row>
    <row r="67" spans="1:15" ht="21.75" customHeight="1" thickBot="1" x14ac:dyDescent="0.3">
      <c r="A67" s="748" t="s">
        <v>432</v>
      </c>
      <c r="B67" s="749"/>
      <c r="C67" s="749"/>
      <c r="D67" s="749"/>
      <c r="E67" s="750"/>
      <c r="F67" s="144">
        <f>[1]bölcsőde_és_óvoda!F39</f>
        <v>66000</v>
      </c>
      <c r="G67" s="144">
        <f>[1]bölcsőde_és_óvoda!G39</f>
        <v>17820</v>
      </c>
      <c r="H67" s="144">
        <f>[1]bölcsőde_és_óvoda!H39</f>
        <v>83820</v>
      </c>
      <c r="I67" s="144">
        <f>[1]bölcsőde_és_óvoda!I39</f>
        <v>66000</v>
      </c>
      <c r="J67" s="144">
        <f>[1]bölcsőde_és_óvoda!J39</f>
        <v>17820</v>
      </c>
      <c r="K67" s="144">
        <f>[1]bölcsőde_és_óvoda!K39</f>
        <v>83820</v>
      </c>
    </row>
    <row r="68" spans="1:15" ht="19.5" customHeight="1" thickBot="1" x14ac:dyDescent="0.3">
      <c r="A68" s="748" t="s">
        <v>433</v>
      </c>
      <c r="B68" s="749"/>
      <c r="C68" s="749"/>
      <c r="D68" s="749"/>
      <c r="E68" s="750"/>
      <c r="F68" s="76">
        <f>[1]bölcsőde_és_óvoda!F40</f>
        <v>30000</v>
      </c>
      <c r="G68" s="76">
        <f>F68*27%</f>
        <v>8100.0000000000009</v>
      </c>
      <c r="H68" s="76">
        <f>F68+G68</f>
        <v>38100</v>
      </c>
      <c r="I68" s="76">
        <f>[1]bölcsőde_és_óvoda!I40</f>
        <v>30000</v>
      </c>
      <c r="J68" s="76">
        <f>I68*27%</f>
        <v>8100.0000000000009</v>
      </c>
      <c r="K68" s="76">
        <f>I68+J68</f>
        <v>38100</v>
      </c>
    </row>
    <row r="69" spans="1:15" ht="21" customHeight="1" thickBot="1" x14ac:dyDescent="0.3">
      <c r="A69" s="748" t="s">
        <v>434</v>
      </c>
      <c r="B69" s="749"/>
      <c r="C69" s="749"/>
      <c r="D69" s="749"/>
      <c r="E69" s="750"/>
      <c r="F69" s="76">
        <f>[1]bölcsőde_és_óvoda!F41</f>
        <v>25000</v>
      </c>
      <c r="G69" s="76">
        <f>[1]bölcsőde_és_óvoda!G41</f>
        <v>6750</v>
      </c>
      <c r="H69" s="76">
        <f>[1]bölcsőde_és_óvoda!H41</f>
        <v>31750</v>
      </c>
      <c r="I69" s="76">
        <v>20000</v>
      </c>
      <c r="J69" s="76">
        <v>0</v>
      </c>
      <c r="K69" s="76">
        <f>I69+J69</f>
        <v>20000</v>
      </c>
    </row>
    <row r="70" spans="1:15" ht="31.5" customHeight="1" thickBot="1" x14ac:dyDescent="0.3">
      <c r="A70" s="764" t="s">
        <v>539</v>
      </c>
      <c r="B70" s="765"/>
      <c r="C70" s="765"/>
      <c r="D70" s="765"/>
      <c r="E70" s="766"/>
      <c r="F70" s="76"/>
      <c r="G70" s="76"/>
      <c r="H70" s="76">
        <f t="shared" ref="H70:H72" si="30">F70+G70</f>
        <v>0</v>
      </c>
      <c r="I70" s="76">
        <v>150000</v>
      </c>
      <c r="J70" s="76">
        <v>0</v>
      </c>
      <c r="K70" s="76">
        <f t="shared" ref="K70:K72" si="31">I70+J70</f>
        <v>150000</v>
      </c>
    </row>
    <row r="71" spans="1:15" ht="27" customHeight="1" thickBot="1" x14ac:dyDescent="0.3">
      <c r="A71" s="764" t="s">
        <v>540</v>
      </c>
      <c r="B71" s="765"/>
      <c r="C71" s="765"/>
      <c r="D71" s="765"/>
      <c r="E71" s="766"/>
      <c r="F71" s="76"/>
      <c r="G71" s="76"/>
      <c r="H71" s="76">
        <f t="shared" si="30"/>
        <v>0</v>
      </c>
      <c r="I71" s="76">
        <v>150000</v>
      </c>
      <c r="J71" s="76">
        <v>0</v>
      </c>
      <c r="K71" s="76">
        <f t="shared" si="31"/>
        <v>150000</v>
      </c>
    </row>
    <row r="72" spans="1:15" ht="34.5" customHeight="1" thickBot="1" x14ac:dyDescent="0.3">
      <c r="A72" s="764" t="s">
        <v>541</v>
      </c>
      <c r="B72" s="765"/>
      <c r="C72" s="765"/>
      <c r="D72" s="765"/>
      <c r="E72" s="766"/>
      <c r="F72" s="76"/>
      <c r="G72" s="76"/>
      <c r="H72" s="76">
        <f t="shared" si="30"/>
        <v>0</v>
      </c>
      <c r="I72" s="76">
        <v>210000</v>
      </c>
      <c r="J72" s="76">
        <v>0</v>
      </c>
      <c r="K72" s="76">
        <f t="shared" si="31"/>
        <v>210000</v>
      </c>
    </row>
    <row r="73" spans="1:15" ht="21" customHeight="1" thickBot="1" x14ac:dyDescent="0.3">
      <c r="A73" s="758" t="s">
        <v>542</v>
      </c>
      <c r="B73" s="759"/>
      <c r="C73" s="759"/>
      <c r="D73" s="759"/>
      <c r="E73" s="760"/>
      <c r="F73" s="211">
        <v>0</v>
      </c>
      <c r="G73" s="211">
        <v>0</v>
      </c>
      <c r="H73" s="211">
        <v>0</v>
      </c>
      <c r="I73" s="211">
        <v>307</v>
      </c>
      <c r="J73" s="211">
        <v>83</v>
      </c>
      <c r="K73" s="211">
        <f>I73+J73</f>
        <v>390</v>
      </c>
    </row>
    <row r="74" spans="1:15" ht="36.75" customHeight="1" thickBot="1" x14ac:dyDescent="0.3">
      <c r="A74" s="758" t="s">
        <v>543</v>
      </c>
      <c r="B74" s="759"/>
      <c r="C74" s="759"/>
      <c r="D74" s="759"/>
      <c r="E74" s="760"/>
      <c r="F74" s="211"/>
      <c r="G74" s="211"/>
      <c r="H74" s="211"/>
      <c r="I74" s="211">
        <v>937</v>
      </c>
      <c r="J74" s="211">
        <v>253</v>
      </c>
      <c r="K74" s="211">
        <f>I74+J74</f>
        <v>1190</v>
      </c>
    </row>
    <row r="75" spans="1:15" ht="36.75" customHeight="1" thickBot="1" x14ac:dyDescent="0.3">
      <c r="A75" s="758" t="s">
        <v>689</v>
      </c>
      <c r="B75" s="759"/>
      <c r="C75" s="759"/>
      <c r="D75" s="759"/>
      <c r="E75" s="760"/>
      <c r="F75" s="211"/>
      <c r="G75" s="211"/>
      <c r="H75" s="211"/>
      <c r="I75" s="211">
        <v>2583</v>
      </c>
      <c r="J75" s="211">
        <v>697</v>
      </c>
      <c r="K75" s="211">
        <f>I75+J75</f>
        <v>3280</v>
      </c>
    </row>
    <row r="76" spans="1:15" ht="19.5" customHeight="1" thickBot="1" x14ac:dyDescent="0.3">
      <c r="A76" s="748" t="s">
        <v>435</v>
      </c>
      <c r="B76" s="749"/>
      <c r="C76" s="749"/>
      <c r="D76" s="749"/>
      <c r="E76" s="750"/>
      <c r="F76" s="76">
        <v>100000</v>
      </c>
      <c r="G76" s="76">
        <v>0</v>
      </c>
      <c r="H76" s="76">
        <v>100000</v>
      </c>
      <c r="I76" s="76">
        <v>100000</v>
      </c>
      <c r="J76" s="76">
        <v>0</v>
      </c>
      <c r="K76" s="76">
        <v>100000</v>
      </c>
    </row>
    <row r="77" spans="1:15" ht="19.5" customHeight="1" thickBot="1" x14ac:dyDescent="0.3">
      <c r="A77" s="761" t="s">
        <v>615</v>
      </c>
      <c r="B77" s="762"/>
      <c r="C77" s="762"/>
      <c r="D77" s="762"/>
      <c r="E77" s="763"/>
      <c r="F77" s="76"/>
      <c r="G77" s="76"/>
      <c r="H77" s="76"/>
      <c r="I77" s="76">
        <v>40000</v>
      </c>
      <c r="J77" s="76">
        <v>0</v>
      </c>
      <c r="K77" s="76">
        <f>I77+J77</f>
        <v>40000</v>
      </c>
    </row>
    <row r="78" spans="1:15" s="73" customFormat="1" ht="15.75" thickBot="1" x14ac:dyDescent="0.3">
      <c r="A78" s="742" t="s">
        <v>201</v>
      </c>
      <c r="B78" s="743"/>
      <c r="C78" s="743"/>
      <c r="D78" s="743"/>
      <c r="E78" s="744"/>
      <c r="F78" s="75">
        <f>F58+F59+F60+F61+F62+F63+F64+F65+F66+F67+F68+F69+F76+F70+F71+F72+F73+F74</f>
        <v>4547500</v>
      </c>
      <c r="G78" s="75">
        <f t="shared" ref="G78:H78" si="32">G58+G59+G60+G61+G62+G63+G64+G65+G66+G67+G68+G69+G76+G70+G71+G72+G73+G74</f>
        <v>383670</v>
      </c>
      <c r="H78" s="75">
        <f t="shared" si="32"/>
        <v>4931170</v>
      </c>
      <c r="I78" s="75">
        <f>SUM(I58:I77)</f>
        <v>4326327</v>
      </c>
      <c r="J78" s="75">
        <f t="shared" ref="J78:K78" si="33">SUM(J58:J77)</f>
        <v>277953</v>
      </c>
      <c r="K78" s="75">
        <f t="shared" si="33"/>
        <v>4604280</v>
      </c>
      <c r="M78" s="315"/>
      <c r="N78" s="315"/>
      <c r="O78" s="315"/>
    </row>
    <row r="79" spans="1:15" s="73" customFormat="1" ht="15.75" thickBot="1" x14ac:dyDescent="0.3">
      <c r="A79" s="742" t="s">
        <v>202</v>
      </c>
      <c r="B79" s="743"/>
      <c r="C79" s="743"/>
      <c r="D79" s="743"/>
      <c r="E79" s="744"/>
      <c r="F79" s="75">
        <f>F53+F54+F55+F57+F78</f>
        <v>7867000</v>
      </c>
      <c r="G79" s="75">
        <f t="shared" ref="G79:H79" si="34">G53+G54+G55+G57+G78</f>
        <v>1193669</v>
      </c>
      <c r="H79" s="75">
        <f t="shared" si="34"/>
        <v>9060669</v>
      </c>
      <c r="I79" s="75">
        <f>I53+I54+I55+I57+I78</f>
        <v>6855827</v>
      </c>
      <c r="J79" s="75">
        <f>J53+J55+J54+J56+J58+J59+J60+J61+J62+J63+J64+J65+J66+J67+J68+J69+J70+J71+J72+J73+J74+J75+J76+J77</f>
        <v>874653</v>
      </c>
      <c r="K79" s="75">
        <f t="shared" ref="K79" si="35">K53+K54+K55+K57+K78</f>
        <v>7730480</v>
      </c>
      <c r="M79" s="315"/>
      <c r="N79" s="315"/>
      <c r="O79" s="315"/>
    </row>
    <row r="80" spans="1:15" ht="15.75" thickBot="1" x14ac:dyDescent="0.3">
      <c r="A80" s="748" t="s">
        <v>203</v>
      </c>
      <c r="B80" s="749"/>
      <c r="C80" s="749"/>
      <c r="D80" s="749"/>
      <c r="E80" s="750"/>
      <c r="F80" s="76">
        <f>[1]közművelődés!F63+[1]bölcsőde_és_óvoda!F45</f>
        <v>190000</v>
      </c>
      <c r="G80" s="76">
        <v>0</v>
      </c>
      <c r="H80" s="76">
        <f>F80+G80</f>
        <v>190000</v>
      </c>
      <c r="I80" s="76">
        <v>100000</v>
      </c>
      <c r="J80" s="76">
        <v>0</v>
      </c>
      <c r="K80" s="76">
        <f>I80+J80</f>
        <v>100000</v>
      </c>
    </row>
    <row r="81" spans="1:15" ht="15.75" thickBot="1" x14ac:dyDescent="0.3">
      <c r="A81" s="748" t="s">
        <v>204</v>
      </c>
      <c r="B81" s="749"/>
      <c r="C81" s="749"/>
      <c r="D81" s="749"/>
      <c r="E81" s="750"/>
      <c r="F81" s="76">
        <v>250000</v>
      </c>
      <c r="G81" s="76">
        <v>0</v>
      </c>
      <c r="H81" s="76">
        <f>F81+G81</f>
        <v>250000</v>
      </c>
      <c r="I81" s="76">
        <v>0</v>
      </c>
      <c r="J81" s="76">
        <v>0</v>
      </c>
      <c r="K81" s="76">
        <f>I81+J81</f>
        <v>0</v>
      </c>
    </row>
    <row r="82" spans="1:15" s="73" customFormat="1" ht="15.75" thickBot="1" x14ac:dyDescent="0.3">
      <c r="A82" s="742" t="s">
        <v>205</v>
      </c>
      <c r="B82" s="743"/>
      <c r="C82" s="743"/>
      <c r="D82" s="743"/>
      <c r="E82" s="744"/>
      <c r="F82" s="75">
        <f t="shared" ref="F82:K82" si="36">F80+F81</f>
        <v>440000</v>
      </c>
      <c r="G82" s="75">
        <f t="shared" si="36"/>
        <v>0</v>
      </c>
      <c r="H82" s="75">
        <f t="shared" si="36"/>
        <v>440000</v>
      </c>
      <c r="I82" s="75">
        <f t="shared" si="36"/>
        <v>100000</v>
      </c>
      <c r="J82" s="75">
        <f t="shared" si="36"/>
        <v>0</v>
      </c>
      <c r="K82" s="75">
        <f t="shared" si="36"/>
        <v>100000</v>
      </c>
      <c r="M82" s="315"/>
      <c r="N82" s="315"/>
      <c r="O82" s="315"/>
    </row>
    <row r="83" spans="1:15" ht="15.75" thickBot="1" x14ac:dyDescent="0.3">
      <c r="A83" s="748" t="s">
        <v>206</v>
      </c>
      <c r="B83" s="749"/>
      <c r="C83" s="749"/>
      <c r="D83" s="749"/>
      <c r="E83" s="750"/>
      <c r="F83" s="76">
        <v>0</v>
      </c>
      <c r="G83" s="76">
        <f>[1]bölcsőde_és_óvoda!G47+[1]közművelődés!G66</f>
        <v>2248498</v>
      </c>
      <c r="H83" s="76">
        <f>G83</f>
        <v>2248498</v>
      </c>
      <c r="I83" s="76">
        <v>0</v>
      </c>
      <c r="J83" s="76">
        <f>J79+J51+J45</f>
        <v>1461959.71</v>
      </c>
      <c r="K83" s="76">
        <f>J83</f>
        <v>1461959.71</v>
      </c>
    </row>
    <row r="84" spans="1:15" ht="15.75" thickBot="1" x14ac:dyDescent="0.3">
      <c r="A84" s="748" t="s">
        <v>209</v>
      </c>
      <c r="B84" s="749"/>
      <c r="C84" s="749"/>
      <c r="D84" s="749"/>
      <c r="E84" s="750"/>
      <c r="F84" s="76">
        <f>[1]közművelődés!F67+[1]bölcsőde_és_óvoda!F48</f>
        <v>55000</v>
      </c>
      <c r="G84" s="76">
        <v>0</v>
      </c>
      <c r="H84" s="76">
        <f>F84+G84</f>
        <v>55000</v>
      </c>
      <c r="I84" s="76">
        <f>[1]közművelődés!I67+[1]bölcsőde_és_óvoda!I48</f>
        <v>55000</v>
      </c>
      <c r="J84" s="76">
        <v>0</v>
      </c>
      <c r="K84" s="76">
        <f>I84+J84</f>
        <v>55000</v>
      </c>
    </row>
    <row r="85" spans="1:15" s="73" customFormat="1" ht="15.75" thickBot="1" x14ac:dyDescent="0.3">
      <c r="A85" s="742" t="s">
        <v>207</v>
      </c>
      <c r="B85" s="743"/>
      <c r="C85" s="743"/>
      <c r="D85" s="743"/>
      <c r="E85" s="744"/>
      <c r="F85" s="75">
        <f>F83+F84</f>
        <v>55000</v>
      </c>
      <c r="G85" s="75">
        <f t="shared" ref="G85:H85" si="37">G83+G84</f>
        <v>2248498</v>
      </c>
      <c r="H85" s="75">
        <f t="shared" si="37"/>
        <v>2303498</v>
      </c>
      <c r="I85" s="75">
        <f>I83+I84</f>
        <v>55000</v>
      </c>
      <c r="J85" s="75">
        <f t="shared" ref="J85:K85" si="38">J83+J84</f>
        <v>1461959.71</v>
      </c>
      <c r="K85" s="75">
        <f t="shared" si="38"/>
        <v>1516959.71</v>
      </c>
      <c r="M85" s="315"/>
      <c r="N85" s="315"/>
      <c r="O85" s="315"/>
    </row>
    <row r="86" spans="1:15" s="73" customFormat="1" ht="15.75" thickBot="1" x14ac:dyDescent="0.3">
      <c r="A86" s="742" t="s">
        <v>208</v>
      </c>
      <c r="B86" s="743"/>
      <c r="C86" s="743"/>
      <c r="D86" s="743"/>
      <c r="E86" s="744"/>
      <c r="F86" s="75">
        <f>F85+F82+F79+F51+F45</f>
        <v>12728700</v>
      </c>
      <c r="G86" s="75">
        <f>G85</f>
        <v>2248498</v>
      </c>
      <c r="H86" s="75">
        <f>F86+G86</f>
        <v>14977198</v>
      </c>
      <c r="I86" s="75">
        <f>I85+I82+I79+I51+I45</f>
        <v>12178856</v>
      </c>
      <c r="J86" s="75">
        <f>J85</f>
        <v>1461959.71</v>
      </c>
      <c r="K86" s="75">
        <f>I86+J86</f>
        <v>13640815.710000001</v>
      </c>
      <c r="M86" s="315"/>
      <c r="N86" s="315"/>
      <c r="O86" s="315"/>
    </row>
    <row r="87" spans="1:15" s="73" customFormat="1" ht="16.5" customHeight="1" thickBot="1" x14ac:dyDescent="0.3">
      <c r="A87" s="742" t="s">
        <v>544</v>
      </c>
      <c r="B87" s="743"/>
      <c r="C87" s="743"/>
      <c r="D87" s="743"/>
      <c r="E87" s="744"/>
      <c r="F87" s="75"/>
      <c r="G87" s="75"/>
      <c r="H87" s="75"/>
      <c r="I87" s="75"/>
      <c r="J87" s="75"/>
      <c r="K87" s="75"/>
      <c r="M87" s="315"/>
      <c r="N87" s="315"/>
      <c r="O87" s="315"/>
    </row>
    <row r="88" spans="1:15" s="73" customFormat="1" ht="15.75" thickBot="1" x14ac:dyDescent="0.3">
      <c r="A88" s="748" t="s">
        <v>142</v>
      </c>
      <c r="B88" s="749"/>
      <c r="C88" s="749"/>
      <c r="D88" s="749"/>
      <c r="E88" s="750"/>
      <c r="F88" s="76">
        <v>280000</v>
      </c>
      <c r="G88" s="76">
        <f t="shared" ref="G88:G98" si="39">F88*27%</f>
        <v>75600</v>
      </c>
      <c r="H88" s="76">
        <f>F88+G88</f>
        <v>355600</v>
      </c>
      <c r="I88" s="76">
        <v>0</v>
      </c>
      <c r="J88" s="76">
        <f t="shared" ref="J88:J99" si="40">I88*27%</f>
        <v>0</v>
      </c>
      <c r="K88" s="76">
        <f>I88+J88</f>
        <v>0</v>
      </c>
      <c r="M88" s="316">
        <v>-280000</v>
      </c>
      <c r="N88" s="316">
        <v>-75600</v>
      </c>
      <c r="O88" s="316">
        <v>-355600</v>
      </c>
    </row>
    <row r="89" spans="1:15" s="73" customFormat="1" ht="15.75" thickBot="1" x14ac:dyDescent="0.3">
      <c r="A89" s="748" t="s">
        <v>436</v>
      </c>
      <c r="B89" s="749"/>
      <c r="C89" s="749"/>
      <c r="D89" s="749"/>
      <c r="E89" s="750"/>
      <c r="F89" s="144">
        <v>15000</v>
      </c>
      <c r="G89" s="144">
        <f t="shared" si="39"/>
        <v>4050.0000000000005</v>
      </c>
      <c r="H89" s="144">
        <f>F89+G89</f>
        <v>19050</v>
      </c>
      <c r="I89" s="144">
        <v>11843</v>
      </c>
      <c r="J89" s="144">
        <f t="shared" si="40"/>
        <v>3197.61</v>
      </c>
      <c r="K89" s="144">
        <f>I89+J89</f>
        <v>15040.61</v>
      </c>
      <c r="M89" s="317"/>
      <c r="N89" s="315"/>
      <c r="O89" s="315"/>
    </row>
    <row r="90" spans="1:15" s="73" customFormat="1" ht="15.75" thickBot="1" x14ac:dyDescent="0.3">
      <c r="A90" s="748" t="s">
        <v>437</v>
      </c>
      <c r="B90" s="749"/>
      <c r="C90" s="749"/>
      <c r="D90" s="749"/>
      <c r="E90" s="750"/>
      <c r="F90" s="144">
        <v>30000</v>
      </c>
      <c r="G90" s="144">
        <f t="shared" si="39"/>
        <v>8100.0000000000009</v>
      </c>
      <c r="H90" s="144">
        <f>F90+G90</f>
        <v>38100</v>
      </c>
      <c r="I90" s="144">
        <v>15850</v>
      </c>
      <c r="J90" s="144">
        <f t="shared" si="40"/>
        <v>4279.5</v>
      </c>
      <c r="K90" s="144">
        <f>I90+J90</f>
        <v>20129.5</v>
      </c>
      <c r="M90" s="317">
        <v>-7900</v>
      </c>
      <c r="N90" s="315"/>
      <c r="O90" s="315"/>
    </row>
    <row r="91" spans="1:15" ht="15.75" thickBot="1" x14ac:dyDescent="0.3">
      <c r="A91" s="748" t="s">
        <v>438</v>
      </c>
      <c r="B91" s="749"/>
      <c r="C91" s="749"/>
      <c r="D91" s="749"/>
      <c r="E91" s="750"/>
      <c r="F91" s="76">
        <v>10000</v>
      </c>
      <c r="G91" s="76">
        <f t="shared" si="39"/>
        <v>2700</v>
      </c>
      <c r="H91" s="76">
        <f>F91+G91</f>
        <v>12700</v>
      </c>
      <c r="I91" s="76">
        <v>1724</v>
      </c>
      <c r="J91" s="76">
        <v>466</v>
      </c>
      <c r="K91" s="76">
        <f>I91+J91</f>
        <v>2190</v>
      </c>
    </row>
    <row r="92" spans="1:15" ht="15.75" thickBot="1" x14ac:dyDescent="0.3">
      <c r="A92" s="748" t="s">
        <v>545</v>
      </c>
      <c r="B92" s="749"/>
      <c r="C92" s="749"/>
      <c r="D92" s="749"/>
      <c r="E92" s="750"/>
      <c r="F92" s="76">
        <v>30000</v>
      </c>
      <c r="G92" s="76">
        <f t="shared" si="39"/>
        <v>8100.0000000000009</v>
      </c>
      <c r="H92" s="76">
        <f t="shared" ref="H92:H110" si="41">F92+G92</f>
        <v>38100</v>
      </c>
      <c r="I92" s="76">
        <v>9969</v>
      </c>
      <c r="J92" s="76">
        <f>I92*27%-1</f>
        <v>2690.63</v>
      </c>
      <c r="K92" s="76">
        <f t="shared" ref="K92:K99" si="42">I92+J92</f>
        <v>12659.630000000001</v>
      </c>
    </row>
    <row r="93" spans="1:15" ht="15.75" thickBot="1" x14ac:dyDescent="0.3">
      <c r="A93" s="748" t="s">
        <v>546</v>
      </c>
      <c r="B93" s="749"/>
      <c r="C93" s="749"/>
      <c r="D93" s="749"/>
      <c r="E93" s="750"/>
      <c r="F93" s="76">
        <v>200000</v>
      </c>
      <c r="G93" s="76">
        <f t="shared" si="39"/>
        <v>54000</v>
      </c>
      <c r="H93" s="76">
        <f t="shared" si="41"/>
        <v>254000</v>
      </c>
      <c r="I93" s="76">
        <v>0</v>
      </c>
      <c r="J93" s="76">
        <f t="shared" si="40"/>
        <v>0</v>
      </c>
      <c r="K93" s="76">
        <f t="shared" si="42"/>
        <v>0</v>
      </c>
    </row>
    <row r="94" spans="1:15" ht="15.75" thickBot="1" x14ac:dyDescent="0.3">
      <c r="A94" s="748" t="s">
        <v>690</v>
      </c>
      <c r="B94" s="749"/>
      <c r="C94" s="749"/>
      <c r="D94" s="749"/>
      <c r="E94" s="750"/>
      <c r="F94" s="76"/>
      <c r="G94" s="76"/>
      <c r="H94" s="76"/>
      <c r="I94" s="76">
        <v>41340</v>
      </c>
      <c r="J94" s="76">
        <v>11160</v>
      </c>
      <c r="K94" s="76">
        <f t="shared" si="42"/>
        <v>52500</v>
      </c>
    </row>
    <row r="95" spans="1:15" ht="15.75" thickBot="1" x14ac:dyDescent="0.3">
      <c r="A95" s="748" t="s">
        <v>691</v>
      </c>
      <c r="B95" s="749"/>
      <c r="C95" s="749"/>
      <c r="D95" s="749"/>
      <c r="E95" s="750"/>
      <c r="F95" s="76"/>
      <c r="G95" s="76"/>
      <c r="H95" s="76"/>
      <c r="I95" s="76">
        <v>14172</v>
      </c>
      <c r="J95" s="76">
        <f t="shared" si="40"/>
        <v>3826.44</v>
      </c>
      <c r="K95" s="76">
        <f t="shared" si="42"/>
        <v>17998.439999999999</v>
      </c>
    </row>
    <row r="96" spans="1:15" ht="15.75" thickBot="1" x14ac:dyDescent="0.3">
      <c r="A96" s="748" t="s">
        <v>692</v>
      </c>
      <c r="B96" s="749"/>
      <c r="C96" s="749"/>
      <c r="D96" s="749"/>
      <c r="E96" s="750"/>
      <c r="F96" s="76"/>
      <c r="G96" s="76"/>
      <c r="H96" s="76"/>
      <c r="I96" s="76">
        <v>9213</v>
      </c>
      <c r="J96" s="76">
        <v>2487</v>
      </c>
      <c r="K96" s="76">
        <f t="shared" si="42"/>
        <v>11700</v>
      </c>
    </row>
    <row r="97" spans="1:15" ht="15.75" thickBot="1" x14ac:dyDescent="0.3">
      <c r="A97" s="748" t="s">
        <v>693</v>
      </c>
      <c r="B97" s="749"/>
      <c r="C97" s="749"/>
      <c r="D97" s="749"/>
      <c r="E97" s="750"/>
      <c r="F97" s="76"/>
      <c r="G97" s="76"/>
      <c r="H97" s="76"/>
      <c r="I97" s="76">
        <v>15732</v>
      </c>
      <c r="J97" s="76">
        <f t="shared" si="40"/>
        <v>4247.6400000000003</v>
      </c>
      <c r="K97" s="76">
        <f t="shared" si="42"/>
        <v>19979.64</v>
      </c>
    </row>
    <row r="98" spans="1:15" ht="15.75" thickBot="1" x14ac:dyDescent="0.3">
      <c r="A98" s="748" t="s">
        <v>547</v>
      </c>
      <c r="B98" s="749"/>
      <c r="C98" s="749"/>
      <c r="D98" s="749"/>
      <c r="E98" s="750"/>
      <c r="F98" s="76">
        <v>30000</v>
      </c>
      <c r="G98" s="76">
        <f t="shared" si="39"/>
        <v>8100.0000000000009</v>
      </c>
      <c r="H98" s="76">
        <f t="shared" si="41"/>
        <v>38100</v>
      </c>
      <c r="I98" s="76">
        <v>2354</v>
      </c>
      <c r="J98" s="76">
        <f t="shared" si="40"/>
        <v>635.58000000000004</v>
      </c>
      <c r="K98" s="76">
        <f t="shared" si="42"/>
        <v>2989.58</v>
      </c>
    </row>
    <row r="99" spans="1:15" ht="15.75" thickBot="1" x14ac:dyDescent="0.3">
      <c r="A99" s="748" t="s">
        <v>694</v>
      </c>
      <c r="B99" s="749"/>
      <c r="C99" s="749"/>
      <c r="D99" s="749"/>
      <c r="E99" s="750"/>
      <c r="F99" s="76"/>
      <c r="G99" s="76"/>
      <c r="H99" s="76"/>
      <c r="I99" s="76">
        <v>20200</v>
      </c>
      <c r="J99" s="76">
        <f t="shared" si="40"/>
        <v>5454</v>
      </c>
      <c r="K99" s="76">
        <f t="shared" si="42"/>
        <v>25654</v>
      </c>
    </row>
    <row r="100" spans="1:15" ht="16.5" thickBot="1" x14ac:dyDescent="0.3">
      <c r="A100" s="755" t="s">
        <v>387</v>
      </c>
      <c r="B100" s="756"/>
      <c r="C100" s="756"/>
      <c r="D100" s="756"/>
      <c r="E100" s="757"/>
      <c r="F100" s="211">
        <v>100000</v>
      </c>
      <c r="G100" s="211">
        <v>27000</v>
      </c>
      <c r="H100" s="211">
        <f>F100+G100</f>
        <v>127000</v>
      </c>
      <c r="I100" s="211">
        <f>100000-I108-28433</f>
        <v>48811</v>
      </c>
      <c r="J100" s="211">
        <f>27000-J108-7677</f>
        <v>13178.879999999997</v>
      </c>
      <c r="K100" s="211">
        <f>I100+J100</f>
        <v>61989.88</v>
      </c>
    </row>
    <row r="101" spans="1:15" s="336" customFormat="1" ht="16.5" thickBot="1" x14ac:dyDescent="0.3">
      <c r="A101" s="755" t="s">
        <v>854</v>
      </c>
      <c r="B101" s="756"/>
      <c r="C101" s="756"/>
      <c r="D101" s="756"/>
      <c r="E101" s="757"/>
      <c r="F101" s="211"/>
      <c r="G101" s="211"/>
      <c r="H101" s="211"/>
      <c r="I101" s="211">
        <v>43307</v>
      </c>
      <c r="J101" s="211">
        <f>I101*27%</f>
        <v>11692.890000000001</v>
      </c>
      <c r="K101" s="211">
        <f>I101+J101</f>
        <v>54999.89</v>
      </c>
      <c r="M101" s="286"/>
      <c r="N101" s="286"/>
      <c r="O101" s="286"/>
    </row>
    <row r="102" spans="1:15" s="336" customFormat="1" ht="16.5" thickBot="1" x14ac:dyDescent="0.3">
      <c r="A102" s="755" t="s">
        <v>855</v>
      </c>
      <c r="B102" s="756"/>
      <c r="C102" s="756"/>
      <c r="D102" s="756"/>
      <c r="E102" s="757"/>
      <c r="F102" s="211"/>
      <c r="G102" s="211"/>
      <c r="H102" s="211"/>
      <c r="I102" s="211">
        <v>55600</v>
      </c>
      <c r="J102" s="211">
        <v>0</v>
      </c>
      <c r="K102" s="211">
        <f>I102+J102</f>
        <v>55600</v>
      </c>
      <c r="M102" s="286"/>
      <c r="N102" s="286"/>
      <c r="O102" s="286"/>
    </row>
    <row r="103" spans="1:15" s="336" customFormat="1" ht="16.5" thickBot="1" x14ac:dyDescent="0.3">
      <c r="A103" s="755" t="s">
        <v>856</v>
      </c>
      <c r="B103" s="756"/>
      <c r="C103" s="756"/>
      <c r="D103" s="756"/>
      <c r="E103" s="757"/>
      <c r="F103" s="211"/>
      <c r="G103" s="211"/>
      <c r="H103" s="211"/>
      <c r="I103" s="211">
        <v>37717</v>
      </c>
      <c r="J103" s="211">
        <f>I103*27%-1</f>
        <v>10182.59</v>
      </c>
      <c r="K103" s="211">
        <f>I103+J103</f>
        <v>47899.59</v>
      </c>
      <c r="M103" s="286"/>
      <c r="N103" s="286"/>
      <c r="O103" s="286"/>
    </row>
    <row r="104" spans="1:15" ht="15.75" thickBot="1" x14ac:dyDescent="0.3">
      <c r="A104" s="742" t="s">
        <v>550</v>
      </c>
      <c r="B104" s="743"/>
      <c r="C104" s="743"/>
      <c r="D104" s="743"/>
      <c r="E104" s="744"/>
      <c r="F104" s="75">
        <f>F88+F89+F90+F91+F92+F93+F98+F100</f>
        <v>695000</v>
      </c>
      <c r="G104" s="75">
        <f>G88+G89+G90+G91+G92+G93+G98+G100</f>
        <v>187650</v>
      </c>
      <c r="H104" s="75">
        <f>H88+H89+H90+H91+H92+H93+H98+H100</f>
        <v>882650</v>
      </c>
      <c r="I104" s="75">
        <f>SUM(I88:I103)</f>
        <v>327832</v>
      </c>
      <c r="J104" s="75">
        <f t="shared" ref="J104:K104" si="43">SUM(J88:J103)</f>
        <v>73498.759999999995</v>
      </c>
      <c r="K104" s="75">
        <f t="shared" si="43"/>
        <v>401330.76</v>
      </c>
    </row>
    <row r="105" spans="1:15" ht="33.75" customHeight="1" thickBot="1" x14ac:dyDescent="0.3">
      <c r="A105" s="758" t="s">
        <v>548</v>
      </c>
      <c r="B105" s="759"/>
      <c r="C105" s="759"/>
      <c r="D105" s="759"/>
      <c r="E105" s="760"/>
      <c r="F105" s="211"/>
      <c r="G105" s="211"/>
      <c r="H105" s="211"/>
      <c r="I105" s="211">
        <v>12583</v>
      </c>
      <c r="J105" s="211">
        <v>3397</v>
      </c>
      <c r="K105" s="211">
        <f t="shared" ref="K105:K108" si="44">I105+J105</f>
        <v>15980</v>
      </c>
    </row>
    <row r="106" spans="1:15" ht="46.5" customHeight="1" thickBot="1" x14ac:dyDescent="0.3">
      <c r="A106" s="758" t="s">
        <v>695</v>
      </c>
      <c r="B106" s="759"/>
      <c r="C106" s="759"/>
      <c r="D106" s="759"/>
      <c r="E106" s="760"/>
      <c r="F106" s="211"/>
      <c r="G106" s="318"/>
      <c r="H106" s="211"/>
      <c r="I106" s="318">
        <v>8695</v>
      </c>
      <c r="J106" s="211">
        <v>2348</v>
      </c>
      <c r="K106" s="211">
        <f t="shared" si="44"/>
        <v>11043</v>
      </c>
    </row>
    <row r="107" spans="1:15" ht="36.75" customHeight="1" thickBot="1" x14ac:dyDescent="0.3">
      <c r="A107" s="789" t="s">
        <v>696</v>
      </c>
      <c r="B107" s="790"/>
      <c r="C107" s="790"/>
      <c r="D107" s="790"/>
      <c r="E107" s="791"/>
      <c r="F107" s="76"/>
      <c r="H107" s="146"/>
      <c r="I107" s="319">
        <v>4572</v>
      </c>
      <c r="J107" s="146">
        <v>1234</v>
      </c>
      <c r="K107" s="320">
        <f t="shared" si="44"/>
        <v>5806</v>
      </c>
    </row>
    <row r="108" spans="1:15" ht="16.5" thickBot="1" x14ac:dyDescent="0.3">
      <c r="A108" s="755" t="s">
        <v>523</v>
      </c>
      <c r="B108" s="756"/>
      <c r="C108" s="756"/>
      <c r="D108" s="756"/>
      <c r="E108" s="757"/>
      <c r="F108" s="211">
        <v>0</v>
      </c>
      <c r="G108" s="211">
        <f>F108*27%</f>
        <v>0</v>
      </c>
      <c r="H108" s="211">
        <f>F108+G108</f>
        <v>0</v>
      </c>
      <c r="I108" s="211">
        <v>22756</v>
      </c>
      <c r="J108" s="211">
        <f t="shared" ref="J108" si="45">I108*27%</f>
        <v>6144.1200000000008</v>
      </c>
      <c r="K108" s="211">
        <f t="shared" si="44"/>
        <v>28900.120000000003</v>
      </c>
    </row>
    <row r="109" spans="1:15" ht="15.75" thickBot="1" x14ac:dyDescent="0.3">
      <c r="A109" s="742" t="s">
        <v>549</v>
      </c>
      <c r="B109" s="743"/>
      <c r="C109" s="743"/>
      <c r="D109" s="743"/>
      <c r="E109" s="744"/>
      <c r="F109" s="75">
        <v>0</v>
      </c>
      <c r="G109" s="75">
        <v>0</v>
      </c>
      <c r="H109" s="75">
        <v>0</v>
      </c>
      <c r="I109" s="75">
        <f>I105+I106+I107+I108</f>
        <v>48606</v>
      </c>
      <c r="J109" s="75">
        <f t="shared" ref="J109:K109" si="46">J105+J106+J107+J108</f>
        <v>13123.12</v>
      </c>
      <c r="K109" s="75">
        <f t="shared" si="46"/>
        <v>61729.120000000003</v>
      </c>
    </row>
    <row r="110" spans="1:15" s="73" customFormat="1" ht="15.75" thickBot="1" x14ac:dyDescent="0.3">
      <c r="A110" s="742" t="s">
        <v>210</v>
      </c>
      <c r="B110" s="743"/>
      <c r="C110" s="743"/>
      <c r="D110" s="743"/>
      <c r="E110" s="744"/>
      <c r="F110" s="75">
        <v>0</v>
      </c>
      <c r="G110" s="75">
        <v>187650</v>
      </c>
      <c r="H110" s="75">
        <f t="shared" si="41"/>
        <v>187650</v>
      </c>
      <c r="I110" s="75"/>
      <c r="J110" s="75">
        <f>J109+J104</f>
        <v>86621.87999999999</v>
      </c>
      <c r="K110" s="75">
        <f t="shared" ref="K110" si="47">I110+J110</f>
        <v>86621.87999999999</v>
      </c>
      <c r="M110" s="315"/>
      <c r="N110" s="315"/>
      <c r="O110" s="315"/>
    </row>
    <row r="111" spans="1:15" s="73" customFormat="1" ht="16.5" thickBot="1" x14ac:dyDescent="0.3">
      <c r="A111" s="751" t="s">
        <v>551</v>
      </c>
      <c r="B111" s="752"/>
      <c r="C111" s="752"/>
      <c r="D111" s="752"/>
      <c r="E111" s="753"/>
      <c r="F111" s="75">
        <f>F104+F109+F110</f>
        <v>695000</v>
      </c>
      <c r="G111" s="75">
        <f>G104+G109+G110</f>
        <v>375300</v>
      </c>
      <c r="H111" s="75">
        <f>H104+H109+H110</f>
        <v>1070300</v>
      </c>
      <c r="I111" s="75">
        <f>I104+I109</f>
        <v>376438</v>
      </c>
      <c r="J111" s="75">
        <f t="shared" ref="J111:K111" si="48">J104+J109</f>
        <v>86621.87999999999</v>
      </c>
      <c r="K111" s="75">
        <f t="shared" si="48"/>
        <v>463059.88</v>
      </c>
      <c r="M111" s="315"/>
      <c r="N111" s="315"/>
      <c r="O111" s="315"/>
    </row>
    <row r="112" spans="1:15" s="73" customFormat="1" ht="16.5" thickBot="1" x14ac:dyDescent="0.3">
      <c r="A112" s="751" t="s">
        <v>439</v>
      </c>
      <c r="B112" s="752"/>
      <c r="C112" s="752"/>
      <c r="D112" s="752"/>
      <c r="E112" s="753"/>
      <c r="F112" s="75"/>
      <c r="G112" s="75"/>
      <c r="H112" s="75"/>
      <c r="I112" s="75"/>
      <c r="J112" s="75"/>
      <c r="K112" s="75"/>
      <c r="M112" s="315"/>
      <c r="N112" s="315"/>
      <c r="O112" s="315"/>
    </row>
    <row r="113" spans="1:15" s="73" customFormat="1" ht="15.75" thickBot="1" x14ac:dyDescent="0.3">
      <c r="A113" s="748" t="s">
        <v>138</v>
      </c>
      <c r="B113" s="749"/>
      <c r="C113" s="749"/>
      <c r="D113" s="749"/>
      <c r="E113" s="750"/>
      <c r="F113" s="76">
        <v>50000</v>
      </c>
      <c r="G113" s="76">
        <f t="shared" ref="G113:G116" si="49">F113*27%</f>
        <v>13500</v>
      </c>
      <c r="H113" s="76">
        <f>F113+G113</f>
        <v>63500</v>
      </c>
      <c r="I113" s="76">
        <v>0</v>
      </c>
      <c r="J113" s="76">
        <f t="shared" ref="J113:J116" si="50">I113*27%</f>
        <v>0</v>
      </c>
      <c r="K113" s="76">
        <f>I113+J113</f>
        <v>0</v>
      </c>
      <c r="M113" s="315"/>
      <c r="N113" s="315"/>
      <c r="O113" s="315"/>
    </row>
    <row r="114" spans="1:15" s="73" customFormat="1" ht="15.75" thickBot="1" x14ac:dyDescent="0.3">
      <c r="A114" s="748" t="s">
        <v>139</v>
      </c>
      <c r="B114" s="749"/>
      <c r="C114" s="749"/>
      <c r="D114" s="749"/>
      <c r="E114" s="750"/>
      <c r="F114" s="76">
        <v>20000</v>
      </c>
      <c r="G114" s="76">
        <f t="shared" si="49"/>
        <v>5400</v>
      </c>
      <c r="H114" s="76">
        <f t="shared" ref="H114:H116" si="51">F114+G114</f>
        <v>25400</v>
      </c>
      <c r="I114" s="76">
        <v>0</v>
      </c>
      <c r="J114" s="76">
        <f t="shared" si="50"/>
        <v>0</v>
      </c>
      <c r="K114" s="76">
        <f t="shared" ref="K114:K116" si="52">I114+J114</f>
        <v>0</v>
      </c>
      <c r="M114" s="315"/>
      <c r="N114" s="315"/>
      <c r="O114" s="315"/>
    </row>
    <row r="115" spans="1:15" s="73" customFormat="1" ht="15.75" thickBot="1" x14ac:dyDescent="0.3">
      <c r="A115" s="748" t="s">
        <v>130</v>
      </c>
      <c r="B115" s="749"/>
      <c r="C115" s="749"/>
      <c r="D115" s="749"/>
      <c r="E115" s="750"/>
      <c r="F115" s="76">
        <v>12000</v>
      </c>
      <c r="G115" s="76">
        <f t="shared" si="49"/>
        <v>3240</v>
      </c>
      <c r="H115" s="76">
        <f t="shared" si="51"/>
        <v>15240</v>
      </c>
      <c r="I115" s="76">
        <v>0</v>
      </c>
      <c r="J115" s="76">
        <f t="shared" si="50"/>
        <v>0</v>
      </c>
      <c r="K115" s="76">
        <f t="shared" si="52"/>
        <v>0</v>
      </c>
      <c r="M115" s="315"/>
      <c r="N115" s="315"/>
      <c r="O115" s="315"/>
    </row>
    <row r="116" spans="1:15" s="73" customFormat="1" ht="15.75" thickBot="1" x14ac:dyDescent="0.3">
      <c r="A116" s="748" t="s">
        <v>140</v>
      </c>
      <c r="B116" s="749"/>
      <c r="C116" s="749"/>
      <c r="D116" s="749"/>
      <c r="E116" s="750"/>
      <c r="F116" s="76">
        <v>50000</v>
      </c>
      <c r="G116" s="76">
        <f t="shared" si="49"/>
        <v>13500</v>
      </c>
      <c r="H116" s="76">
        <f t="shared" si="51"/>
        <v>63500</v>
      </c>
      <c r="I116" s="76">
        <v>0</v>
      </c>
      <c r="J116" s="76">
        <f t="shared" si="50"/>
        <v>0</v>
      </c>
      <c r="K116" s="76">
        <f t="shared" si="52"/>
        <v>0</v>
      </c>
      <c r="M116" s="315"/>
      <c r="N116" s="315"/>
      <c r="O116" s="315"/>
    </row>
    <row r="117" spans="1:15" s="73" customFormat="1" ht="16.5" thickBot="1" x14ac:dyDescent="0.3">
      <c r="A117" s="751" t="s">
        <v>697</v>
      </c>
      <c r="B117" s="752"/>
      <c r="C117" s="752"/>
      <c r="D117" s="752"/>
      <c r="E117" s="753"/>
      <c r="F117" s="77">
        <f>F113+F114+F115+F116</f>
        <v>132000</v>
      </c>
      <c r="G117" s="77">
        <f t="shared" ref="G117:H117" si="53">G113+G114+G115+G116</f>
        <v>35640</v>
      </c>
      <c r="H117" s="77">
        <f t="shared" si="53"/>
        <v>167640</v>
      </c>
      <c r="I117" s="77">
        <f>I113+I114+I115+I116</f>
        <v>0</v>
      </c>
      <c r="J117" s="77">
        <f t="shared" ref="J117:K117" si="54">J113+J114+J115+J116</f>
        <v>0</v>
      </c>
      <c r="K117" s="77">
        <f t="shared" si="54"/>
        <v>0</v>
      </c>
      <c r="M117" s="315"/>
      <c r="N117" s="315"/>
      <c r="O117" s="315"/>
    </row>
    <row r="118" spans="1:15" ht="39" customHeight="1" thickBot="1" x14ac:dyDescent="0.3">
      <c r="A118" s="758" t="s">
        <v>698</v>
      </c>
      <c r="B118" s="759"/>
      <c r="C118" s="759"/>
      <c r="D118" s="759"/>
      <c r="E118" s="760"/>
      <c r="F118" s="211">
        <v>0</v>
      </c>
      <c r="G118" s="211">
        <v>0</v>
      </c>
      <c r="H118" s="211">
        <v>0</v>
      </c>
      <c r="I118" s="211">
        <v>3413</v>
      </c>
      <c r="J118" s="211">
        <v>922</v>
      </c>
      <c r="K118" s="211">
        <f>I118+J118</f>
        <v>4335</v>
      </c>
    </row>
    <row r="119" spans="1:15" s="73" customFormat="1" ht="15.75" thickBot="1" x14ac:dyDescent="0.3">
      <c r="A119" s="742" t="s">
        <v>549</v>
      </c>
      <c r="B119" s="743"/>
      <c r="C119" s="743"/>
      <c r="D119" s="743"/>
      <c r="E119" s="744"/>
      <c r="F119" s="75">
        <v>0</v>
      </c>
      <c r="G119" s="75">
        <v>0</v>
      </c>
      <c r="H119" s="75">
        <v>0</v>
      </c>
      <c r="I119" s="75">
        <f>I118</f>
        <v>3413</v>
      </c>
      <c r="J119" s="75">
        <f t="shared" ref="J119:K119" si="55">J118</f>
        <v>922</v>
      </c>
      <c r="K119" s="75">
        <f t="shared" si="55"/>
        <v>4335</v>
      </c>
      <c r="M119" s="315"/>
      <c r="N119" s="315"/>
      <c r="O119" s="315"/>
    </row>
    <row r="120" spans="1:15" s="73" customFormat="1" ht="16.5" thickBot="1" x14ac:dyDescent="0.3">
      <c r="A120" s="751" t="s">
        <v>440</v>
      </c>
      <c r="B120" s="752"/>
      <c r="C120" s="752"/>
      <c r="D120" s="752"/>
      <c r="E120" s="753"/>
      <c r="F120" s="77"/>
      <c r="G120" s="77"/>
      <c r="H120" s="77"/>
      <c r="I120" s="77"/>
      <c r="J120" s="77"/>
      <c r="K120" s="77"/>
      <c r="M120" s="315"/>
      <c r="N120" s="315"/>
      <c r="O120" s="315"/>
    </row>
    <row r="121" spans="1:15" s="73" customFormat="1" ht="15.75" thickBot="1" x14ac:dyDescent="0.3">
      <c r="A121" s="748" t="s">
        <v>129</v>
      </c>
      <c r="B121" s="749"/>
      <c r="C121" s="749"/>
      <c r="D121" s="749"/>
      <c r="E121" s="750"/>
      <c r="F121" s="76">
        <v>50000</v>
      </c>
      <c r="G121" s="76">
        <f>F121*5%</f>
        <v>2500</v>
      </c>
      <c r="H121" s="76">
        <f>F121+G121</f>
        <v>52500</v>
      </c>
      <c r="I121" s="76">
        <v>0</v>
      </c>
      <c r="J121" s="76">
        <f>I121*5%</f>
        <v>0</v>
      </c>
      <c r="K121" s="76">
        <f>I121+J121</f>
        <v>0</v>
      </c>
      <c r="M121" s="315"/>
      <c r="N121" s="315"/>
      <c r="O121" s="315"/>
    </row>
    <row r="122" spans="1:15" s="73" customFormat="1" ht="15.75" thickBot="1" x14ac:dyDescent="0.3">
      <c r="A122" s="748" t="s">
        <v>441</v>
      </c>
      <c r="B122" s="749"/>
      <c r="C122" s="749"/>
      <c r="D122" s="749"/>
      <c r="E122" s="750"/>
      <c r="F122" s="76">
        <v>80000</v>
      </c>
      <c r="G122" s="76">
        <f t="shared" ref="G122:G131" si="56">F122*27%</f>
        <v>21600</v>
      </c>
      <c r="H122" s="76">
        <f t="shared" ref="H122:H131" si="57">F122+G122</f>
        <v>101600</v>
      </c>
      <c r="I122" s="76">
        <v>0</v>
      </c>
      <c r="J122" s="76">
        <f t="shared" ref="J122:J125" si="58">I122*27%</f>
        <v>0</v>
      </c>
      <c r="K122" s="76">
        <f t="shared" ref="K122:K131" si="59">I122+J122</f>
        <v>0</v>
      </c>
      <c r="M122" s="315">
        <v>-80000</v>
      </c>
      <c r="N122" s="315">
        <v>-21600</v>
      </c>
      <c r="O122" s="315"/>
    </row>
    <row r="123" spans="1:15" s="73" customFormat="1" ht="15.75" thickBot="1" x14ac:dyDescent="0.3">
      <c r="A123" s="748" t="s">
        <v>130</v>
      </c>
      <c r="B123" s="749"/>
      <c r="C123" s="749"/>
      <c r="D123" s="749"/>
      <c r="E123" s="750"/>
      <c r="F123" s="76">
        <v>20000</v>
      </c>
      <c r="G123" s="76">
        <f t="shared" si="56"/>
        <v>5400</v>
      </c>
      <c r="H123" s="76">
        <f t="shared" si="57"/>
        <v>25400</v>
      </c>
      <c r="I123" s="76">
        <v>0</v>
      </c>
      <c r="J123" s="76">
        <f t="shared" si="58"/>
        <v>0</v>
      </c>
      <c r="K123" s="76">
        <f t="shared" si="59"/>
        <v>0</v>
      </c>
      <c r="M123" s="315"/>
      <c r="N123" s="315"/>
      <c r="O123" s="315"/>
    </row>
    <row r="124" spans="1:15" s="73" customFormat="1" ht="15.75" thickBot="1" x14ac:dyDescent="0.3">
      <c r="A124" s="748" t="s">
        <v>131</v>
      </c>
      <c r="B124" s="749"/>
      <c r="C124" s="749"/>
      <c r="D124" s="749"/>
      <c r="E124" s="750"/>
      <c r="F124" s="76">
        <v>15000</v>
      </c>
      <c r="G124" s="76">
        <f t="shared" si="56"/>
        <v>4050.0000000000005</v>
      </c>
      <c r="H124" s="76">
        <f t="shared" si="57"/>
        <v>19050</v>
      </c>
      <c r="I124" s="76">
        <v>0</v>
      </c>
      <c r="J124" s="76">
        <f t="shared" si="58"/>
        <v>0</v>
      </c>
      <c r="K124" s="76">
        <f t="shared" si="59"/>
        <v>0</v>
      </c>
      <c r="M124" s="315"/>
      <c r="N124" s="315"/>
      <c r="O124" s="315"/>
    </row>
    <row r="125" spans="1:15" s="73" customFormat="1" ht="15.75" thickBot="1" x14ac:dyDescent="0.3">
      <c r="A125" s="748" t="s">
        <v>132</v>
      </c>
      <c r="B125" s="749"/>
      <c r="C125" s="749"/>
      <c r="D125" s="749"/>
      <c r="E125" s="750"/>
      <c r="F125" s="76">
        <v>40000</v>
      </c>
      <c r="G125" s="76">
        <f t="shared" si="56"/>
        <v>10800</v>
      </c>
      <c r="H125" s="76">
        <f t="shared" si="57"/>
        <v>50800</v>
      </c>
      <c r="I125" s="76">
        <v>0</v>
      </c>
      <c r="J125" s="76">
        <f t="shared" si="58"/>
        <v>0</v>
      </c>
      <c r="K125" s="76">
        <f t="shared" si="59"/>
        <v>0</v>
      </c>
      <c r="M125" s="315"/>
      <c r="N125" s="315"/>
      <c r="O125" s="315"/>
    </row>
    <row r="126" spans="1:15" s="73" customFormat="1" ht="15.75" thickBot="1" x14ac:dyDescent="0.3">
      <c r="A126" s="748" t="s">
        <v>442</v>
      </c>
      <c r="B126" s="749"/>
      <c r="C126" s="749"/>
      <c r="D126" s="749"/>
      <c r="E126" s="750"/>
      <c r="F126" s="76">
        <v>100000</v>
      </c>
      <c r="G126" s="76">
        <f>F126*27%</f>
        <v>27000</v>
      </c>
      <c r="H126" s="76">
        <f t="shared" si="57"/>
        <v>127000</v>
      </c>
      <c r="I126" s="76">
        <v>0</v>
      </c>
      <c r="J126" s="76">
        <f>I126*27%</f>
        <v>0</v>
      </c>
      <c r="K126" s="76">
        <f t="shared" si="59"/>
        <v>0</v>
      </c>
      <c r="M126" s="315">
        <v>-100000</v>
      </c>
      <c r="N126" s="315">
        <v>-27000</v>
      </c>
      <c r="O126" s="315"/>
    </row>
    <row r="127" spans="1:15" s="73" customFormat="1" ht="15.75" thickBot="1" x14ac:dyDescent="0.3">
      <c r="A127" s="748" t="s">
        <v>133</v>
      </c>
      <c r="B127" s="749"/>
      <c r="C127" s="749"/>
      <c r="D127" s="749"/>
      <c r="E127" s="750"/>
      <c r="F127" s="76">
        <v>25000</v>
      </c>
      <c r="G127" s="76">
        <f t="shared" si="56"/>
        <v>6750</v>
      </c>
      <c r="H127" s="76">
        <f t="shared" si="57"/>
        <v>31750</v>
      </c>
      <c r="I127" s="76">
        <v>0</v>
      </c>
      <c r="J127" s="76">
        <f t="shared" ref="J127" si="60">I127*27%</f>
        <v>0</v>
      </c>
      <c r="K127" s="76">
        <f t="shared" si="59"/>
        <v>0</v>
      </c>
      <c r="M127" s="315"/>
      <c r="N127" s="315"/>
      <c r="O127" s="315"/>
    </row>
    <row r="128" spans="1:15" s="73" customFormat="1" ht="15.75" thickBot="1" x14ac:dyDescent="0.3">
      <c r="A128" s="748" t="s">
        <v>134</v>
      </c>
      <c r="B128" s="749"/>
      <c r="C128" s="749"/>
      <c r="D128" s="749"/>
      <c r="E128" s="750"/>
      <c r="F128" s="76">
        <v>30000</v>
      </c>
      <c r="G128" s="76">
        <f>F128*27%</f>
        <v>8100.0000000000009</v>
      </c>
      <c r="H128" s="76">
        <f t="shared" si="57"/>
        <v>38100</v>
      </c>
      <c r="I128" s="76">
        <v>0</v>
      </c>
      <c r="J128" s="76">
        <f>I128*27%</f>
        <v>0</v>
      </c>
      <c r="K128" s="76">
        <f t="shared" si="59"/>
        <v>0</v>
      </c>
      <c r="M128" s="315"/>
      <c r="N128" s="315"/>
      <c r="O128" s="315"/>
    </row>
    <row r="129" spans="1:15" s="73" customFormat="1" ht="15.75" thickBot="1" x14ac:dyDescent="0.3">
      <c r="A129" s="748" t="s">
        <v>135</v>
      </c>
      <c r="B129" s="749"/>
      <c r="C129" s="749"/>
      <c r="D129" s="749"/>
      <c r="E129" s="750"/>
      <c r="F129" s="76">
        <v>90000</v>
      </c>
      <c r="G129" s="76">
        <f t="shared" si="56"/>
        <v>24300</v>
      </c>
      <c r="H129" s="76">
        <f t="shared" si="57"/>
        <v>114300</v>
      </c>
      <c r="I129" s="76">
        <v>72523</v>
      </c>
      <c r="J129" s="76">
        <f t="shared" ref="J129" si="61">I129*27%</f>
        <v>19581.210000000003</v>
      </c>
      <c r="K129" s="76">
        <f t="shared" si="59"/>
        <v>92104.21</v>
      </c>
      <c r="M129" s="315"/>
      <c r="N129" s="315"/>
      <c r="O129" s="315"/>
    </row>
    <row r="130" spans="1:15" s="73" customFormat="1" ht="15.75" thickBot="1" x14ac:dyDescent="0.3">
      <c r="A130" s="748" t="s">
        <v>136</v>
      </c>
      <c r="B130" s="749"/>
      <c r="C130" s="749"/>
      <c r="D130" s="749"/>
      <c r="E130" s="750"/>
      <c r="F130" s="76">
        <v>140000</v>
      </c>
      <c r="G130" s="76">
        <f>F130*27%</f>
        <v>37800</v>
      </c>
      <c r="H130" s="76">
        <f t="shared" si="57"/>
        <v>177800</v>
      </c>
      <c r="I130" s="321">
        <v>112000</v>
      </c>
      <c r="J130" s="76">
        <f>I130*27%</f>
        <v>30240.000000000004</v>
      </c>
      <c r="K130" s="76">
        <f t="shared" si="59"/>
        <v>142240</v>
      </c>
      <c r="M130" s="315">
        <v>-28000</v>
      </c>
      <c r="N130" s="315">
        <v>-7560</v>
      </c>
      <c r="O130" s="315"/>
    </row>
    <row r="131" spans="1:15" s="73" customFormat="1" ht="15.75" thickBot="1" x14ac:dyDescent="0.3">
      <c r="A131" s="748" t="s">
        <v>443</v>
      </c>
      <c r="B131" s="749"/>
      <c r="C131" s="749"/>
      <c r="D131" s="749"/>
      <c r="E131" s="750"/>
      <c r="F131" s="76">
        <v>120000</v>
      </c>
      <c r="G131" s="76">
        <f t="shared" si="56"/>
        <v>32400.000000000004</v>
      </c>
      <c r="H131" s="76">
        <f t="shared" si="57"/>
        <v>152400</v>
      </c>
      <c r="I131" s="76">
        <v>0</v>
      </c>
      <c r="J131" s="76">
        <f t="shared" ref="J131" si="62">I131*27%</f>
        <v>0</v>
      </c>
      <c r="K131" s="76">
        <f t="shared" si="59"/>
        <v>0</v>
      </c>
      <c r="M131" s="316">
        <v>-120000</v>
      </c>
      <c r="N131" s="316">
        <v>-32400</v>
      </c>
      <c r="O131" s="315"/>
    </row>
    <row r="132" spans="1:15" s="73" customFormat="1" ht="16.5" thickBot="1" x14ac:dyDescent="0.3">
      <c r="A132" s="751" t="s">
        <v>444</v>
      </c>
      <c r="B132" s="752"/>
      <c r="C132" s="752"/>
      <c r="D132" s="752"/>
      <c r="E132" s="753"/>
      <c r="F132" s="77">
        <f>F121+F122+F123+F124+F125+F126+F127+F128+F129+F130+F131</f>
        <v>710000</v>
      </c>
      <c r="G132" s="77">
        <f t="shared" ref="G132:H132" si="63">G121+G122+G123+G124+G125+G126+G127+G128+G129+G130+G131</f>
        <v>180700</v>
      </c>
      <c r="H132" s="77">
        <f t="shared" si="63"/>
        <v>890700</v>
      </c>
      <c r="I132" s="77">
        <f>I121+I122+I123+I124+I125+I126+I127+I128+I129+I130+I131</f>
        <v>184523</v>
      </c>
      <c r="J132" s="77">
        <f t="shared" ref="J132:K132" si="64">J121+J122+J123+J124+J125+J126+J127+J128+J129+J130+J131</f>
        <v>49821.210000000006</v>
      </c>
      <c r="K132" s="77">
        <f t="shared" si="64"/>
        <v>234344.21000000002</v>
      </c>
      <c r="M132" s="315"/>
      <c r="N132" s="315"/>
      <c r="O132" s="315"/>
    </row>
    <row r="133" spans="1:15" s="73" customFormat="1" ht="15.75" thickBot="1" x14ac:dyDescent="0.3">
      <c r="A133" s="742" t="s">
        <v>445</v>
      </c>
      <c r="B133" s="743"/>
      <c r="C133" s="743"/>
      <c r="D133" s="743"/>
      <c r="E133" s="744"/>
      <c r="F133" s="75">
        <f>F132+F117</f>
        <v>842000</v>
      </c>
      <c r="G133" s="75">
        <f t="shared" ref="G133:H133" si="65">G132+G117</f>
        <v>216340</v>
      </c>
      <c r="H133" s="75">
        <f t="shared" si="65"/>
        <v>1058340</v>
      </c>
      <c r="I133" s="75">
        <f>I117+I132</f>
        <v>184523</v>
      </c>
      <c r="J133" s="75">
        <f t="shared" ref="J133:K133" si="66">J117+J132</f>
        <v>49821.210000000006</v>
      </c>
      <c r="K133" s="75">
        <f t="shared" si="66"/>
        <v>234344.21000000002</v>
      </c>
      <c r="M133" s="315"/>
      <c r="N133" s="315"/>
      <c r="O133" s="315"/>
    </row>
    <row r="134" spans="1:15" s="73" customFormat="1" ht="15.75" thickBot="1" x14ac:dyDescent="0.3">
      <c r="A134" s="742" t="s">
        <v>446</v>
      </c>
      <c r="B134" s="743"/>
      <c r="C134" s="743"/>
      <c r="D134" s="743"/>
      <c r="E134" s="744"/>
      <c r="F134" s="75">
        <f>F133+F110</f>
        <v>842000</v>
      </c>
      <c r="G134" s="75">
        <f t="shared" ref="G134:H134" si="67">G133+G110</f>
        <v>403990</v>
      </c>
      <c r="H134" s="75">
        <f t="shared" si="67"/>
        <v>1245990</v>
      </c>
      <c r="I134" s="75">
        <f>I133+I104</f>
        <v>512355</v>
      </c>
      <c r="J134" s="75">
        <f t="shared" ref="J134:K134" si="68">J133+J104</f>
        <v>123319.97</v>
      </c>
      <c r="K134" s="75">
        <f t="shared" si="68"/>
        <v>635674.97</v>
      </c>
      <c r="M134" s="315"/>
      <c r="N134" s="315"/>
      <c r="O134" s="315"/>
    </row>
    <row r="135" spans="1:15" s="73" customFormat="1" ht="15.75" thickBot="1" x14ac:dyDescent="0.3">
      <c r="A135" s="742" t="s">
        <v>549</v>
      </c>
      <c r="B135" s="743"/>
      <c r="C135" s="743"/>
      <c r="D135" s="743"/>
      <c r="E135" s="744"/>
      <c r="F135" s="75"/>
      <c r="G135" s="75"/>
      <c r="H135" s="75"/>
      <c r="I135" s="75">
        <f>I119+I109</f>
        <v>52019</v>
      </c>
      <c r="J135" s="75">
        <f t="shared" ref="J135:K135" si="69">J119+J109</f>
        <v>14045.12</v>
      </c>
      <c r="K135" s="75">
        <f t="shared" si="69"/>
        <v>66064.12</v>
      </c>
      <c r="M135" s="315"/>
      <c r="N135" s="315"/>
      <c r="O135" s="315"/>
    </row>
    <row r="136" spans="1:15" s="73" customFormat="1" ht="15.75" thickBot="1" x14ac:dyDescent="0.3">
      <c r="A136" s="742" t="s">
        <v>210</v>
      </c>
      <c r="B136" s="743"/>
      <c r="C136" s="743"/>
      <c r="D136" s="743"/>
      <c r="E136" s="744"/>
      <c r="F136" s="75"/>
      <c r="G136" s="75">
        <v>403990</v>
      </c>
      <c r="H136" s="75">
        <f t="shared" ref="H136" si="70">F136+G136</f>
        <v>403990</v>
      </c>
      <c r="I136" s="75"/>
      <c r="J136" s="75">
        <f>J104+J109+J119+J132</f>
        <v>137365.09</v>
      </c>
      <c r="K136" s="75">
        <f t="shared" ref="K136" si="71">I136+J136</f>
        <v>137365.09</v>
      </c>
      <c r="M136" s="315"/>
      <c r="N136" s="315"/>
      <c r="O136" s="315"/>
    </row>
    <row r="137" spans="1:15" s="73" customFormat="1" ht="15.75" thickBot="1" x14ac:dyDescent="0.3">
      <c r="A137" s="742" t="s">
        <v>552</v>
      </c>
      <c r="B137" s="743"/>
      <c r="C137" s="743"/>
      <c r="D137" s="743"/>
      <c r="E137" s="744"/>
      <c r="F137" s="75">
        <v>1537000</v>
      </c>
      <c r="G137" s="75">
        <v>403900</v>
      </c>
      <c r="H137" s="75">
        <f>F137+G137</f>
        <v>1940900</v>
      </c>
      <c r="I137" s="75">
        <f>I134+I135</f>
        <v>564374</v>
      </c>
      <c r="J137" s="75">
        <f t="shared" ref="J137" si="72">J134+J135</f>
        <v>137365.09</v>
      </c>
      <c r="K137" s="75">
        <f>I137+J137</f>
        <v>701739.09</v>
      </c>
      <c r="M137" s="315"/>
      <c r="N137" s="315"/>
      <c r="O137" s="315"/>
    </row>
    <row r="138" spans="1:15" s="80" customFormat="1" ht="19.5" thickBot="1" x14ac:dyDescent="0.35">
      <c r="A138" s="745" t="s">
        <v>211</v>
      </c>
      <c r="B138" s="746"/>
      <c r="C138" s="746"/>
      <c r="D138" s="746"/>
      <c r="E138" s="747"/>
      <c r="F138" s="79">
        <v>51822065</v>
      </c>
      <c r="G138" s="79">
        <v>2652488</v>
      </c>
      <c r="H138" s="79">
        <f>F138+G138</f>
        <v>54474553</v>
      </c>
      <c r="I138" s="79">
        <f>I18+I19+I86+I137</f>
        <v>57647843</v>
      </c>
      <c r="J138" s="79">
        <f>J83+J137</f>
        <v>1599324.8</v>
      </c>
      <c r="K138" s="79">
        <f>K18+K19+K86+K137</f>
        <v>59247167.800000004</v>
      </c>
      <c r="M138" s="322"/>
      <c r="N138" s="322"/>
      <c r="O138" s="322"/>
    </row>
  </sheetData>
  <mergeCells count="138">
    <mergeCell ref="A125:E125"/>
    <mergeCell ref="A120:E120"/>
    <mergeCell ref="A121:E121"/>
    <mergeCell ref="A122:E122"/>
    <mergeCell ref="A123:E123"/>
    <mergeCell ref="A124:E124"/>
    <mergeCell ref="A115:E115"/>
    <mergeCell ref="A116:E116"/>
    <mergeCell ref="A117:E117"/>
    <mergeCell ref="A118:E118"/>
    <mergeCell ref="A119:E119"/>
    <mergeCell ref="A110:E110"/>
    <mergeCell ref="A111:E111"/>
    <mergeCell ref="A112:E112"/>
    <mergeCell ref="A113:E113"/>
    <mergeCell ref="A114:E114"/>
    <mergeCell ref="F3:H3"/>
    <mergeCell ref="I3:K3"/>
    <mergeCell ref="A107:E107"/>
    <mergeCell ref="A108:E108"/>
    <mergeCell ref="A109:E109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1:E51"/>
    <mergeCell ref="A39:E39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68:E68"/>
    <mergeCell ref="A69:E69"/>
    <mergeCell ref="A70:E70"/>
    <mergeCell ref="A71:E71"/>
    <mergeCell ref="A73:E73"/>
    <mergeCell ref="A63:E63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72:E72"/>
    <mergeCell ref="A106:E106"/>
    <mergeCell ref="A95:E95"/>
    <mergeCell ref="A96:E96"/>
    <mergeCell ref="A97:E97"/>
    <mergeCell ref="A98:E98"/>
    <mergeCell ref="A99:E99"/>
    <mergeCell ref="A87:E87"/>
    <mergeCell ref="A82:E82"/>
    <mergeCell ref="A83:E83"/>
    <mergeCell ref="A84:E84"/>
    <mergeCell ref="A91:E91"/>
    <mergeCell ref="A101:E101"/>
    <mergeCell ref="A102:E102"/>
    <mergeCell ref="A103:E103"/>
    <mergeCell ref="D1:H1"/>
    <mergeCell ref="A100:E100"/>
    <mergeCell ref="A104:E104"/>
    <mergeCell ref="A105:E105"/>
    <mergeCell ref="A89:E89"/>
    <mergeCell ref="A90:E90"/>
    <mergeCell ref="A92:E92"/>
    <mergeCell ref="A93:E93"/>
    <mergeCell ref="A94:E94"/>
    <mergeCell ref="A88:E88"/>
    <mergeCell ref="A77:E77"/>
    <mergeCell ref="A78:E78"/>
    <mergeCell ref="A79:E79"/>
    <mergeCell ref="A80:E80"/>
    <mergeCell ref="A81:E81"/>
    <mergeCell ref="A74:E74"/>
    <mergeCell ref="A75:E75"/>
    <mergeCell ref="A85:E85"/>
    <mergeCell ref="A86:E86"/>
    <mergeCell ref="A76:E76"/>
    <mergeCell ref="A64:E64"/>
    <mergeCell ref="A65:E65"/>
    <mergeCell ref="A66:E66"/>
    <mergeCell ref="A67:E67"/>
    <mergeCell ref="A135:E135"/>
    <mergeCell ref="A136:E136"/>
    <mergeCell ref="A137:E137"/>
    <mergeCell ref="A138:E138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</mergeCells>
  <pageMargins left="0.23622047244094491" right="0.23622047244094491" top="0.74803149606299213" bottom="0.74803149606299213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2</vt:lpstr>
      <vt:lpstr>3</vt:lpstr>
      <vt:lpstr>4</vt:lpstr>
      <vt:lpstr>5</vt:lpstr>
      <vt:lpstr>6</vt:lpstr>
      <vt:lpstr>7</vt:lpstr>
      <vt:lpstr>9</vt:lpstr>
      <vt:lpstr>11</vt:lpstr>
      <vt:lpstr>11a</vt:lpstr>
      <vt:lpstr>11f</vt:lpstr>
      <vt:lpstr>13</vt:lpstr>
      <vt:lpstr>13a</vt:lpstr>
      <vt:lpstr>13b</vt:lpstr>
      <vt:lpstr>15</vt:lpstr>
      <vt:lpstr>16a</vt:lpstr>
      <vt:lpstr>16b</vt:lpstr>
      <vt:lpstr>16c</vt:lpstr>
      <vt:lpstr>16d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2019-12-20T08:16:27Z</cp:lastPrinted>
  <dcterms:created xsi:type="dcterms:W3CDTF">2018-02-22T07:05:57Z</dcterms:created>
  <dcterms:modified xsi:type="dcterms:W3CDTF">2019-12-20T08:16:43Z</dcterms:modified>
</cp:coreProperties>
</file>