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2" activeTab="13"/>
  </bookViews>
  <sheets>
    <sheet name="bor." sheetId="1" r:id="rId1"/>
    <sheet name="mérleg" sheetId="2" r:id="rId2"/>
    <sheet name="bevétel" sheetId="3" r:id="rId3"/>
    <sheet name="Munka2" sheetId="4" r:id="rId4"/>
    <sheet name="kiad.szakf." sheetId="5" r:id="rId5"/>
    <sheet name="Munka3" sheetId="6" r:id="rId6"/>
    <sheet name="Munka8" sheetId="7" r:id="rId7"/>
    <sheet name="Munka10" sheetId="8" r:id="rId8"/>
    <sheet name="Munka9" sheetId="9" r:id="rId9"/>
    <sheet name="Munka5" sheetId="10" r:id="rId10"/>
    <sheet name="Munka6" sheetId="11" r:id="rId11"/>
    <sheet name="Munka7" sheetId="12" r:id="rId12"/>
    <sheet name="Munka1" sheetId="13" r:id="rId13"/>
    <sheet name="Munka4" sheetId="14" r:id="rId14"/>
  </sheets>
  <definedNames/>
  <calcPr fullCalcOnLoad="1"/>
</workbook>
</file>

<file path=xl/sharedStrings.xml><?xml version="1.0" encoding="utf-8"?>
<sst xmlns="http://schemas.openxmlformats.org/spreadsheetml/2006/main" count="902" uniqueCount="491">
  <si>
    <t>Megnevezés</t>
  </si>
  <si>
    <t>Összesen:</t>
  </si>
  <si>
    <t>létszám</t>
  </si>
  <si>
    <t>Sitke község Önkormányzata</t>
  </si>
  <si>
    <t>( e Ft-ban)</t>
  </si>
  <si>
    <t>e Ft</t>
  </si>
  <si>
    <t>(e Ft-ban)</t>
  </si>
  <si>
    <t>állandó</t>
  </si>
  <si>
    <t>előirányzat</t>
  </si>
  <si>
    <t xml:space="preserve"> ebből:</t>
  </si>
  <si>
    <t>MŰKÖDÉSI KIADÁSOK</t>
  </si>
  <si>
    <t>FELHALMOZÁSI KIADÁSOK</t>
  </si>
  <si>
    <t>ebből:</t>
  </si>
  <si>
    <t>tervezett</t>
  </si>
  <si>
    <t>változás</t>
  </si>
  <si>
    <t>M  e  g  n  e  v  e  z  é  s:</t>
  </si>
  <si>
    <t>%-a</t>
  </si>
  <si>
    <t>MŰKÖDÉSI BEVÉTELEK ÖSSZESEN:</t>
  </si>
  <si>
    <t>Szociális étkeztetés</t>
  </si>
  <si>
    <t>2.</t>
  </si>
  <si>
    <t>Óvodai intézményi étkeztetés</t>
  </si>
  <si>
    <t>Háziorvosi alapellátás</t>
  </si>
  <si>
    <t>Gyermekjóléti szolgáltatás</t>
  </si>
  <si>
    <t>Civil szervezetek működési támogatása</t>
  </si>
  <si>
    <t>Köztemető-fenntartás és működtetés</t>
  </si>
  <si>
    <t>Könyvtári szolgáltatások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</si>
  <si>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</si>
  <si>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</si>
  <si>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</si>
  <si>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</si>
  <si>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</si>
  <si>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</si>
  <si>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</si>
  <si>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</si>
  <si>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2013. év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</si>
  <si>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</si>
  <si>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</si>
  <si>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</si>
  <si>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</si>
  <si>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</si>
  <si>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</si>
  <si>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</si>
  <si>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</si>
  <si>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</si>
  <si>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</si>
  <si>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</si>
  <si>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gáz- és vízhálózat utólagos bekötési hozzájárulása</t>
  </si>
  <si>
    <t>VII.</t>
  </si>
  <si>
    <t>2014. év</t>
  </si>
  <si>
    <t>Közhatalmi bevételek</t>
  </si>
  <si>
    <t>KÖZHATALMI BEVÉTELEK ÖSSZESEN:</t>
  </si>
  <si>
    <t>ravatalozó használati díj</t>
  </si>
  <si>
    <t>vendégebéd térítési díja</t>
  </si>
  <si>
    <t>"Sitke község szennyvízkezelése" (NYDOP-4.1.1/A-09-2009-0028) pályázat 2012. évi áthúzódó üteme</t>
  </si>
  <si>
    <t>működési kiadások</t>
  </si>
  <si>
    <t>felhalmozási kiadások</t>
  </si>
  <si>
    <t>felújítások</t>
  </si>
  <si>
    <t>felhalmozási kiadások összesen:</t>
  </si>
  <si>
    <t>2014. évre</t>
  </si>
  <si>
    <t>TÁRGYÉVI KÖLTSÉGVETÉSI HIÁNY:</t>
  </si>
  <si>
    <t xml:space="preserve">2014. évi </t>
  </si>
  <si>
    <t>2014.év</t>
  </si>
  <si>
    <t xml:space="preserve">       - egyéb működési kiadások</t>
  </si>
  <si>
    <t xml:space="preserve">       - egyéb felhalmozási kiadások</t>
  </si>
  <si>
    <t>szociális étkeztetés térítési díja</t>
  </si>
  <si>
    <t>előző évi pénzmaradvány igénybevétele</t>
  </si>
  <si>
    <t>talajterhelési díj</t>
  </si>
  <si>
    <t>„A közösségi közlekedés feltételrendszereinek fejlesztése Sárváron és a környező településeken” (NYDOP-3.2.1/B-12 )</t>
  </si>
  <si>
    <t>"Sitke község Önkormányzatának egészségre nevelő programja" projekt  (TÁMOP-6.12-11/1-2012-1244) 2014. évi üteme</t>
  </si>
  <si>
    <t>Komplex egészségfejlesztő, prevenciós programok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</si>
  <si>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</si>
  <si>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</si>
  <si>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</si>
  <si>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</si>
  <si>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</si>
  <si>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KÖZHATALMI BEVÉTELEK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</si>
  <si>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</si>
  <si>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</si>
  <si>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</si>
  <si>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</si>
  <si>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>FELHALMOZÁSI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</si>
  <si>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</si>
  <si>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</si>
  <si>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</si>
  <si>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</si>
  <si>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</si>
  <si>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</si>
  <si>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</si>
  <si>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</si>
  <si>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</si>
  <si>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</si>
  <si>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</si>
  <si>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ELŐZŐ ÉVEKI KÖLTSÉGVETÉSI MARADVÁNY IGÉNYBEVÉTELE 2013. ÉVRŐL ÁTHÚZÓDÓ FELADATOKRA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</si>
  <si>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</si>
  <si>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</si>
  <si>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</si>
  <si>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</si>
  <si>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</si>
  <si>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</si>
  <si>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</si>
  <si>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</si>
  <si>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</si>
  <si>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</si>
  <si>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</si>
  <si>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</si>
  <si>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</si>
  <si>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</si>
  <si>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</si>
  <si>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</si>
  <si>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</si>
  <si>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</si>
  <si>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jövedelempótló támogatások kiegészítése</t>
  </si>
  <si>
    <t>Egyes szociális és gyermekjóléti feladatok támogatása</t>
  </si>
  <si>
    <t>5.</t>
  </si>
  <si>
    <t>Gyermekétkeztetés támogatása</t>
  </si>
  <si>
    <t>Települési önkormányzatok szociális, gyermekjóléti és gyermekétkeztetési feladatainak támogatása összesen:</t>
  </si>
  <si>
    <t>4.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</si>
  <si>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</si>
  <si>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</si>
  <si>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</si>
  <si>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</si>
  <si>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</si>
  <si>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</si>
  <si>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</si>
  <si>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</si>
  <si>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</si>
  <si>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7.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</si>
  <si>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</si>
  <si>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</si>
  <si>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</si>
  <si>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</si>
  <si>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</si>
  <si>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</si>
  <si>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</si>
  <si>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</si>
  <si>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</si>
  <si>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</si>
  <si>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</si>
  <si>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</si>
  <si>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</si>
  <si>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</si>
  <si>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Egyéb bírságok</t>
  </si>
  <si>
    <t>Helyi adópótlék, adóbírság</t>
  </si>
  <si>
    <t xml:space="preserve">IV. 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</si>
  <si>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</si>
  <si>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</si>
  <si>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Egyéb felhalmozási célú átvett pénzeszközök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</si>
  <si>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</si>
  <si>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</si>
  <si>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</si>
  <si>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</si>
  <si>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</si>
  <si>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</si>
  <si>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</si>
  <si>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Kistelepülések szociális feladatainak támogatása</t>
  </si>
  <si>
    <t>Vagyoni típusú adók</t>
  </si>
  <si>
    <t>Magánszemélyek kommunális adója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</si>
  <si>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</si>
  <si>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</si>
  <si>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</si>
  <si>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</si>
  <si>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</si>
  <si>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</si>
  <si>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Tulajdonosi bevételek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</si>
  <si>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</si>
  <si>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</si>
  <si>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</si>
  <si>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</si>
  <si>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</si>
  <si>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KÖTELEZŐ, ÖNKÉNT VÁLLALT ÉS ÁLLAMI (ÁLLAMIGAZGATÁSI) FELADATAINAK BEVÉTELEI</t>
  </si>
  <si>
    <t>bevétel                                        összesen:</t>
  </si>
  <si>
    <t>kötelező</t>
  </si>
  <si>
    <t>önként vállalt</t>
  </si>
  <si>
    <t>állami (államigazgatási)</t>
  </si>
  <si>
    <t>feladatok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</si>
  <si>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</si>
  <si>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</si>
  <si>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</si>
  <si>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</si>
  <si>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</si>
  <si>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</si>
  <si>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</si>
  <si>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</si>
  <si>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</si>
  <si>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</si>
  <si>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</si>
  <si>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</si>
  <si>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egyéb felhalmozási kiadások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</si>
  <si>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</si>
  <si>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</si>
  <si>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</si>
  <si>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</si>
  <si>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</si>
  <si>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052080</t>
  </si>
  <si>
    <t>Szennyvízcsatorna építése, fenntartása, üzemeltetése</t>
  </si>
  <si>
    <t>051030</t>
  </si>
  <si>
    <t>Nem veszélyes (települési) hulladék vegyes (ömlesztett ) begyűjtése, szállítása, átrakás</t>
  </si>
  <si>
    <t>096010</t>
  </si>
  <si>
    <t>013350</t>
  </si>
  <si>
    <t>Önkormányzati vagyonnal való gazdálkodással kapcsolatos feladatok</t>
  </si>
  <si>
    <t>045160</t>
  </si>
  <si>
    <t>Közutak, hidak, alagutak üzemeltetése, fenntartása</t>
  </si>
  <si>
    <t>066010</t>
  </si>
  <si>
    <t>Zöldterület-kezelés</t>
  </si>
  <si>
    <t>064010</t>
  </si>
  <si>
    <t>Közvilágítás</t>
  </si>
  <si>
    <t>066020</t>
  </si>
  <si>
    <t>Város- és községgazdálkodási egyéb szolgáltatások</t>
  </si>
  <si>
    <t>072111</t>
  </si>
  <si>
    <t>074054</t>
  </si>
  <si>
    <t>Munkanélküli aktív korúak ellátásai</t>
  </si>
  <si>
    <t>Lakásfenntartással, lakhatással összefüggő ellátások</t>
  </si>
  <si>
    <t>013320</t>
  </si>
  <si>
    <t>Versenysport és utánpótlás-nevelési tevékenység és támogatása</t>
  </si>
  <si>
    <t>081041</t>
  </si>
  <si>
    <t>107051</t>
  </si>
  <si>
    <t>104042</t>
  </si>
  <si>
    <t>084031</t>
  </si>
  <si>
    <t>082044</t>
  </si>
  <si>
    <t>Betegséggel kapcsolatos pénzbeni ellátások, támogatások</t>
  </si>
  <si>
    <t>Egyéb szociális természetbeni és pénzbeni ellátások</t>
  </si>
  <si>
    <t>086020</t>
  </si>
  <si>
    <t>Helyi, térségi közösségi tér biztosítása, működtetése</t>
  </si>
  <si>
    <t>094260</t>
  </si>
  <si>
    <t>Hallgatói és oktatói ösztöndíjak, egyéb juttatások</t>
  </si>
  <si>
    <t>BEVÉTELEINEK ÉS KIADÁSAINAK ALAKULÁSA</t>
  </si>
  <si>
    <t xml:space="preserve">       - Ellátottak juttatásai</t>
  </si>
  <si>
    <t>BEVÉTELEI FORRÁSONKÉNT</t>
  </si>
  <si>
    <t>közfoglalkoztatotti</t>
  </si>
  <si>
    <t>nyitó</t>
  </si>
  <si>
    <t>záró</t>
  </si>
  <si>
    <t>8 órás</t>
  </si>
  <si>
    <t>6 órás</t>
  </si>
  <si>
    <t>(fő)</t>
  </si>
  <si>
    <t>KÖTELEZŐ, ÖNKÉNT VÁLLALT ÉS ÁLLAMI (ÁLLAMIGAZGATÁSI) FELADATAINAK KIADÁSAI</t>
  </si>
  <si>
    <t>kiadás                                       összesen:</t>
  </si>
  <si>
    <t>KÖLTSÉGVETÉSI (MŰKÖDÉSI ÉS FELHALMOZÁSI) MÉRLEGE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</si>
  <si>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</si>
  <si>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</si>
  <si>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</si>
  <si>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</si>
  <si>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</si>
  <si>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</si>
  <si>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</si>
  <si>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</si>
  <si>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</si>
  <si>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</si>
  <si>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</si>
  <si>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</si>
  <si>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</si>
  <si>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</si>
  <si>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</si>
  <si>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</si>
  <si>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</si>
  <si>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</si>
  <si>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</si>
  <si>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</si>
  <si>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</si>
  <si>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</si>
  <si>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</si>
  <si>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</si>
  <si>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</si>
  <si>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</si>
  <si>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</si>
  <si>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</si>
  <si>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</si>
  <si>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</si>
  <si>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</si>
  <si>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</si>
  <si>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</si>
  <si>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</si>
  <si>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</si>
  <si>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</si>
  <si>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</si>
  <si>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</si>
  <si>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</si>
  <si>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</si>
  <si>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</si>
  <si>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</si>
  <si>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</si>
  <si>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</si>
  <si>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</si>
  <si>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</si>
  <si>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</si>
  <si>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</si>
  <si>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</si>
  <si>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</si>
  <si>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</si>
  <si>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</si>
  <si>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</si>
  <si>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</si>
  <si>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</si>
  <si>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</si>
  <si>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</si>
  <si>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</si>
  <si>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</si>
  <si>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</si>
  <si>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</si>
  <si>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</si>
  <si>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</si>
  <si>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</si>
  <si>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</si>
  <si>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</si>
  <si>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</si>
  <si>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</si>
  <si>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</si>
  <si>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</si>
  <si>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</si>
  <si>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</si>
  <si>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</si>
  <si>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</si>
  <si>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</si>
  <si>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</si>
  <si>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</si>
  <si>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</si>
  <si>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</si>
  <si>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</si>
  <si>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</si>
  <si>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</si>
  <si>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</si>
  <si>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</si>
  <si>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</si>
  <si>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</si>
  <si>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</si>
  <si>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</si>
  <si>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</si>
  <si>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</si>
  <si>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</si>
  <si>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</si>
  <si>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</si>
  <si>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</si>
  <si>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</si>
  <si>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közfoglalkoztatás támogatása</t>
  </si>
  <si>
    <t>041232</t>
  </si>
  <si>
    <t>Téli közfoglalkoztatás</t>
  </si>
  <si>
    <t>018010</t>
  </si>
  <si>
    <t>Önkormányzatok elszámolásai a központi költségvetéssel</t>
  </si>
  <si>
    <t>ebből:  munkahelyi étkeztetés</t>
  </si>
  <si>
    <t xml:space="preserve">          egyéb vendéglátás</t>
  </si>
  <si>
    <t>Önkormányzatok funkcióba nem sorolható bevételei államháztartáson kívülről</t>
  </si>
  <si>
    <t>5. melléklet  a  2/2014. (II. 17.) önkormányzati rendelethez</t>
  </si>
  <si>
    <t>költségvetésének módosítása</t>
  </si>
  <si>
    <t xml:space="preserve">ELŐZŐ ÉVEKI KÖLTSÉGVETÉSI MARADVÁNY IGÉNYBEVÉTELE </t>
  </si>
  <si>
    <t>041140</t>
  </si>
  <si>
    <t>Területfejlesztés igazgatása</t>
  </si>
  <si>
    <t>"1. melléklet a 2/2014. (II. 11.) számú önkormányzati rendelethez</t>
  </si>
  <si>
    <t>e Ft"</t>
  </si>
  <si>
    <t>"2. melléklet a 2/2014. (II. 11.) önkormányzati rendelethez</t>
  </si>
  <si>
    <t>"</t>
  </si>
  <si>
    <t>"3. melléklet  a  2/2014. (II. 11.) önkormányzati rendelethez</t>
  </si>
  <si>
    <t>"4. melléklet a 2/2014. (II. 11.) önkormányzati rendelethez</t>
  </si>
  <si>
    <t>"10. melléklet a 2/2014. (II. 11.) önkormányzati rendelethez</t>
  </si>
  <si>
    <t>"11. melléklet a 2/2014. (II. 11.) önkormányzati rendelethez</t>
  </si>
  <si>
    <t>Sitkei Citerazenekar Kulturális Egyesületnek pályázatok lebonyolításához nyújtott visszatérítendő támogatások visszatérülése</t>
  </si>
  <si>
    <t xml:space="preserve"> </t>
  </si>
  <si>
    <t>2013. évről áthúzódó bérkompenzáció</t>
  </si>
  <si>
    <t>Működési célú központosított előirányzatok összesen:</t>
  </si>
  <si>
    <t>Szabad kapacitás terhére végzett, nem haszonszerzési célú tevékenységek kiadásai és bevételei</t>
  </si>
  <si>
    <t>Adósságkonszolidációban részt nem vett önkormányzatok fejlesztési támogatása</t>
  </si>
  <si>
    <t>045120</t>
  </si>
  <si>
    <t>Út, autópálya építése</t>
  </si>
  <si>
    <t xml:space="preserve">SITKE KÖZSÉG ÖNKORMÁNYZATA   </t>
  </si>
  <si>
    <t>M e g n e v e z é s:</t>
  </si>
  <si>
    <t>( e Ft-ban )</t>
  </si>
  <si>
    <t>Előzetesen felszámított általános forgalmi adó</t>
  </si>
  <si>
    <t>18. melléklet a 2/2014. (II. 11.) önkormányzati rendelethez</t>
  </si>
  <si>
    <t>FELÚJÍTÁSI KIADÁSAI</t>
  </si>
  <si>
    <t>045120 Út, autópálya építése</t>
  </si>
  <si>
    <t>FELÚJÍTÁSOK ÖSSZESEN:</t>
  </si>
  <si>
    <t>2014. évi bérkompenzáció támogatása</t>
  </si>
  <si>
    <t>Vidéki gazdaság és lakosság számára nyújtott alapszolgáltatások fejlesztése (mikrobusz beszerzése) támogatása</t>
  </si>
  <si>
    <t>061030</t>
  </si>
  <si>
    <t>Lakáshoz jutást segítő támogatások</t>
  </si>
  <si>
    <t>Egyéb szociális pénzbeni és természetbeni ellátások, támogatások</t>
  </si>
  <si>
    <t>Kossuth L. u. 13. szám alatti ingatlan vételárához ajándék</t>
  </si>
  <si>
    <t>MŰKÖDÉSI ÉS FELHALMOZÁSI CÉLÚ CÉLTARTALÉK</t>
  </si>
  <si>
    <t>Sor-</t>
  </si>
  <si>
    <t>Feladat</t>
  </si>
  <si>
    <t>(a Ft-ban)</t>
  </si>
  <si>
    <t>Pátria Szociális Szolgáltató Kkt. részére - házi segítségnyújtás feladatellátásának támogatása</t>
  </si>
  <si>
    <t>2014-ban kiírásra kerülő pályázatok önrészének fedezete</t>
  </si>
  <si>
    <t>Működési célú céltartalék</t>
  </si>
  <si>
    <t>Felhalmozási célú céltartalék</t>
  </si>
  <si>
    <t>Mindösszesen:</t>
  </si>
  <si>
    <t>Házi segítségnyújtás</t>
  </si>
  <si>
    <t>Helyi önkormányzatok egyéb központi támogatása</t>
  </si>
  <si>
    <t>Helyi önkormányzatok egyéb központi támogatása összesen:</t>
  </si>
  <si>
    <t>földbérleti díjak</t>
  </si>
  <si>
    <t>szennyvízcsatorna-használati díj</t>
  </si>
  <si>
    <t>Sitkei Viziközmű Társulattal a szennyvízkezelési beruházáshoz átvett támogatás</t>
  </si>
  <si>
    <t>KIADÁSAI KIEMELT ELŐIRÁNYZATONKÉNT ÉS KORMÁNYZATI FUNKCIÓNKÉNT</t>
  </si>
  <si>
    <t>Sághegy LEADER Egyesületnek nyújtott tagi kölcsön visszatérülése</t>
  </si>
  <si>
    <t>Ingatlanok értékesítése</t>
  </si>
  <si>
    <t>önkormányzati ingatlanok értékesítése</t>
  </si>
  <si>
    <t>FELHALMOZÁSI BEVÉTELEK ÖSSZESEN:</t>
  </si>
  <si>
    <t>V.</t>
  </si>
  <si>
    <t>működési célú visszatérítendő támogatások, kölcsönök visszatérülése államháztartáson kívülről</t>
  </si>
  <si>
    <t>Forgatási célú belföldi értékpapírok beváltása, értékesítése</t>
  </si>
  <si>
    <t>FORGATÁSI CÉLÚ BELFÖLDI ÉRTÉKEPAPÍROK BEVÁLTÁSA, ÉRTÉKESÍTÉSE</t>
  </si>
  <si>
    <t>OTP befektetési jegyek beváltása</t>
  </si>
  <si>
    <t>Sitke, Vadkert utca egy részének (a Vadkert utca Kápolna felé eső végétől kiindulva 235 fm hosszban, 4 m szélességben) aszfaltszőnyegezése</t>
  </si>
  <si>
    <t>Sitke, Vadkert utca egy részének (a Vadkert utca Kápolna felé eső végétől kiindulva 235 fm hosszban, 4 m szélességben) aszfaltszőnyegezésének műszaki ellenőrzése</t>
  </si>
  <si>
    <t>9. melléklet a 2/2014. (II. 11.) önkormányzati rendelethez</t>
  </si>
  <si>
    <t>közterület-foglalási díjak</t>
  </si>
  <si>
    <t>"Itthon vagy - Magyarország szeretlek!" program támogatása</t>
  </si>
  <si>
    <t>szociális célú tűzelőanyag -vásárlás támogatása</t>
  </si>
  <si>
    <t>086020 Helyi, térségi közösségi tér biztosítása, működtetése</t>
  </si>
  <si>
    <t>művelődési központ teraszlefedés és korszerűsítés költségvetésének elkészítése</t>
  </si>
  <si>
    <t>041233</t>
  </si>
  <si>
    <t>Hosszabb időtartamú közfoglalkoztatás</t>
  </si>
  <si>
    <t>Levezetés a rendelet-tervezeti előirányzat-módításokhoz</t>
  </si>
  <si>
    <t>Költségvetés eredeti  főösszege:</t>
  </si>
  <si>
    <t>előterjesztés:</t>
  </si>
  <si>
    <t>1.1.1.</t>
  </si>
  <si>
    <t>1.1.2.</t>
  </si>
  <si>
    <t>a)</t>
  </si>
  <si>
    <t>b)</t>
  </si>
  <si>
    <t>2/1.</t>
  </si>
  <si>
    <t>2/2.</t>
  </si>
  <si>
    <t>2.3.</t>
  </si>
  <si>
    <t>2.4.</t>
  </si>
  <si>
    <t>2.5.</t>
  </si>
  <si>
    <t>Módosított előirányzat:</t>
  </si>
  <si>
    <t>5/2014.(III.18) ÖR</t>
  </si>
  <si>
    <t>8/2014.(V.27.) ÖR</t>
  </si>
  <si>
    <t>11/2014.(IX.23) ÖR</t>
  </si>
  <si>
    <t>13/2014.(XI.25.) ÖR</t>
  </si>
  <si>
    <t>ELLÁTOTTAK JUTTATÁSAI</t>
  </si>
  <si>
    <t>ebből: igényel- hető költség- vetési támogatás</t>
  </si>
  <si>
    <t>hető költség-</t>
  </si>
  <si>
    <t>vetési támogatás</t>
  </si>
  <si>
    <t>Rendszeres juttatások:</t>
  </si>
  <si>
    <t xml:space="preserve">Rendszeres szociális segély     </t>
  </si>
  <si>
    <t>Foglalkoztatást helyettesítő juttatás</t>
  </si>
  <si>
    <t>Rendszeres juttatások összesen:</t>
  </si>
  <si>
    <t>Eseti juttatások</t>
  </si>
  <si>
    <t>Önkormányzati segély</t>
  </si>
  <si>
    <t>ápolási díj méltányossági alapon</t>
  </si>
  <si>
    <t xml:space="preserve">Tanévkezdési támogatás </t>
  </si>
  <si>
    <t xml:space="preserve">Normatív lakásfenntartási támogatás </t>
  </si>
  <si>
    <t xml:space="preserve">Közgyógyellátás   </t>
  </si>
  <si>
    <t>táborozás támogatása</t>
  </si>
  <si>
    <t>Eseti juttatások összesaen.:</t>
  </si>
  <si>
    <t>ELLÁTOTTAK JUTTATÁSAI ÖSSZESEN:</t>
  </si>
  <si>
    <t>8. melléklet a 2/2014. (II. 11.) önkormányzati rendelethez</t>
  </si>
  <si>
    <t>BERUHÁZÁSOK ÉS FELHALMOZÁSI KIADÁSOK</t>
  </si>
  <si>
    <t>011130 Önkormányzatok és önkormányzati hivatalok jogalkotó és általános igazgatási tevékenysége</t>
  </si>
  <si>
    <t>mikrobusz beszerzése (vidéki gazdasági és lakosság számára nyújtott alapszolgáltatások fejlesztése pályázat)</t>
  </si>
  <si>
    <t>066020 Városi és községgazdálkodási egyéb szolgáltatások</t>
  </si>
  <si>
    <t>„A közösségi közlekedés feltételrendszereinek fejlesztése Sárváron és a környező településeken” (NYDOP-3.2.1/B-12 ) - autóbuszváró építése</t>
  </si>
  <si>
    <t>„A közösségi közlekedés feltételrendszereinek fejlesztése Sárváron és a környező településeken” (NYDOP-3.2.1/B-12 ) - műszaki ellenőrzés</t>
  </si>
  <si>
    <t>Sitke, Kossuth L. u. 13. szám alatti ingatlan vételára</t>
  </si>
  <si>
    <t>BERUHÁZÁSOK ÖSSZESEN:</t>
  </si>
  <si>
    <t xml:space="preserve"> 013350 Önkormányzati vagyonnal való gazdálkodással kapcsolatos feladatok</t>
  </si>
  <si>
    <t>Sitke, 379/2 hrsz-ú ingatlan vételára</t>
  </si>
  <si>
    <t>településrendezése eszközök módosítása</t>
  </si>
  <si>
    <t>Kisértékű tárgyi eszközök beszerzése</t>
  </si>
  <si>
    <t>Piaci elárusító pavilonok beszerzése</t>
  </si>
  <si>
    <t>Gyermekek természetbeni támogatása</t>
  </si>
  <si>
    <t>Gyermekvédelmi pénzbeni és természetbeni ellátása</t>
  </si>
  <si>
    <t>gyermekek természetbeni ellátása (Erzsébet utalvány)</t>
  </si>
  <si>
    <t>Egyéb működési célú átvett pénzeszközök</t>
  </si>
  <si>
    <t>Falunap i rendezvények támogatása</t>
  </si>
  <si>
    <t>Levezetés a 2014. évi költségvetési rendelet módosításához</t>
  </si>
  <si>
    <t>költségvetés módosított főösszege</t>
  </si>
  <si>
    <t>rendelet-tervezet szerinti főösszeg:</t>
  </si>
  <si>
    <t>csökkenés:</t>
  </si>
  <si>
    <t>növekedés forrásai:</t>
  </si>
  <si>
    <t>állami források</t>
  </si>
  <si>
    <t>saját bevételek növekedése</t>
  </si>
  <si>
    <t>pénzmaradvány igénybevétele</t>
  </si>
  <si>
    <t>összesen:</t>
  </si>
  <si>
    <t>Államháztartáson belüli megelőlegezések teljesítése</t>
  </si>
  <si>
    <t>ÁLLAMHÁZTARTÁSON BELÜLI MEGELŐLEGEZÉSEK</t>
  </si>
  <si>
    <t>államháztar- táson belül megelőlegezések visszafizetése</t>
  </si>
  <si>
    <t>21.</t>
  </si>
  <si>
    <t>Államháztartáson belüli megelőlegezések visszafizetése</t>
  </si>
  <si>
    <t xml:space="preserve">           állanháztartáson belüli megelőlegezések visszatérítése</t>
  </si>
  <si>
    <t>államháztartáson belül megelőlegezések visszatérítése</t>
  </si>
  <si>
    <t>1. melléklet a 1/2015. (II. 10.) önkormányzati rendelethez</t>
  </si>
  <si>
    <t>2. melléklet a 1/2015. (II. 10.) önkormányzati rendelethez</t>
  </si>
  <si>
    <t>3. melléklet a 1/2015. (II. 10.) önkormányzati rendelethez</t>
  </si>
  <si>
    <t>4. melléklet a 1/2015. (II. 10.) önkormányzati rendelethez</t>
  </si>
  <si>
    <t>5. melléklet a 1/2015. (II. 10.) önkormányzati rendelethez</t>
  </si>
  <si>
    <t>6. melléklet a 1/2015. (II. 10.) önkormányzati rendelethez</t>
  </si>
  <si>
    <t>"7. melléklet a 2/2014. (II. 11.) önkormányzati rendelethez</t>
  </si>
  <si>
    <t>7. melléklet a 1/2015. (II. 10.) önkormányzati rendelethez</t>
  </si>
  <si>
    <t>8. melléklet a 1/2015. (II. 10.) önkormányzati rendelethez</t>
  </si>
  <si>
    <t>9. melléklet a 1/2015. (II. 10.) önkormányzati rendelethez</t>
  </si>
  <si>
    <t>10. melléklet a 1/2015. (II. 10.) önkormányzati rendelethez</t>
  </si>
  <si>
    <t>11. melléklet a 1/2015. (II. 10.)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</si>
</sst>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\ _F_t_-;_-@_-"/>
    <numFmt numFmtId="178" formatCode="_-* #,##0.00\ _F_t_-;\-* #,##0.00\ _F_t_-;_-* &quot;-&quot;\ _F_t_-;_-@_-"/>
    <numFmt numFmtId="179" formatCode="_-* #,##0.000\ _F_t_-;\-* #,##0.000\ _F_t_-;_-* &quot;-&quot;\ _F_t_-;_-@_-"/>
    <numFmt numFmtId="180" formatCode="_-* #,##0.0000\ _F_t_-;\-* #,##0.0000\ _F_t_-;_-* &quot;-&quot;\ _F_t_-;_-@_-"/>
  </numFmts>
  <fonts count="48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color indexed="8"/>
      <name val="Times"/>
      <family val="0"/>
    </font>
    <font>
      <sz val="12"/>
      <name val="Arial CE"/>
      <family val="0"/>
    </font>
    <font>
      <sz val="9"/>
      <name val="Times New Roman"/>
      <family val="1"/>
    </font>
    <font>
      <sz val="14"/>
      <name val="Times New Roman"/>
      <family val="1"/>
    </font>
    <font>
      <u val="singleAccounting"/>
      <sz val="12"/>
      <name val="Times New Roman"/>
      <family val="1"/>
    </font>
    <font>
      <b/>
      <sz val="10"/>
      <name val="Arial CE"/>
      <family val="2"/>
    </font>
    <font>
      <sz val="13"/>
      <name val="Times New Roman"/>
      <family val="1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2" borderId="1" applyNumberFormat="0" applyAlignment="0" applyProtection="0"/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164" fontId="12" fillId="0" borderId="0" xfId="56" applyNumberFormat="1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1" xfId="56" applyFont="1" applyBorder="1">
      <alignment/>
      <protection/>
    </xf>
    <xf numFmtId="0" fontId="12" fillId="0" borderId="12" xfId="56" applyFont="1" applyBorder="1" applyAlignment="1">
      <alignment horizontal="center"/>
      <protection/>
    </xf>
    <xf numFmtId="1" fontId="12" fillId="0" borderId="0" xfId="56" applyNumberFormat="1" applyFont="1">
      <alignment/>
      <protection/>
    </xf>
    <xf numFmtId="1" fontId="14" fillId="0" borderId="0" xfId="56" applyNumberFormat="1" applyFont="1">
      <alignment/>
      <protection/>
    </xf>
    <xf numFmtId="0" fontId="17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58" applyFont="1">
      <alignment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168" fontId="14" fillId="0" borderId="0" xfId="40" applyNumberFormat="1" applyFont="1" applyAlignment="1">
      <alignment wrapText="1"/>
    </xf>
    <xf numFmtId="0" fontId="12" fillId="0" borderId="0" xfId="0" applyFont="1" applyAlignment="1">
      <alignment horizontal="left" wrapText="1"/>
    </xf>
    <xf numFmtId="168" fontId="14" fillId="0" borderId="0" xfId="40" applyNumberFormat="1" applyFont="1" applyAlignment="1">
      <alignment/>
    </xf>
    <xf numFmtId="168" fontId="12" fillId="0" borderId="10" xfId="40" applyNumberFormat="1" applyFont="1" applyBorder="1" applyAlignment="1">
      <alignment horizontal="center"/>
    </xf>
    <xf numFmtId="0" fontId="11" fillId="0" borderId="1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168" fontId="12" fillId="0" borderId="11" xfId="40" applyNumberFormat="1" applyFont="1" applyBorder="1" applyAlignment="1">
      <alignment horizontal="center"/>
    </xf>
    <xf numFmtId="168" fontId="12" fillId="0" borderId="12" xfId="40" applyNumberFormat="1" applyFont="1" applyBorder="1" applyAlignment="1">
      <alignment horizontal="center"/>
    </xf>
    <xf numFmtId="0" fontId="6" fillId="0" borderId="0" xfId="56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168" fontId="12" fillId="0" borderId="0" xfId="40" applyNumberFormat="1" applyFont="1" applyAlignment="1">
      <alignment horizontal="left" wrapText="1"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12" fillId="0" borderId="0" xfId="56" applyNumberFormat="1" applyFont="1">
      <alignment/>
      <protection/>
    </xf>
    <xf numFmtId="168" fontId="12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1" fillId="0" borderId="0" xfId="56" applyFont="1">
      <alignment/>
      <protection/>
    </xf>
    <xf numFmtId="0" fontId="11" fillId="0" borderId="13" xfId="58" applyFont="1" applyBorder="1" applyAlignment="1" quotePrefix="1">
      <alignment horizontal="center" vertical="center" wrapText="1"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16" xfId="59" applyFont="1" applyBorder="1">
      <alignment/>
      <protection/>
    </xf>
    <xf numFmtId="0" fontId="11" fillId="0" borderId="17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19" xfId="59" applyFont="1" applyBorder="1">
      <alignment/>
      <protection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40" applyNumberFormat="1" applyFont="1" applyAlignment="1">
      <alignment horizontal="right"/>
    </xf>
    <xf numFmtId="0" fontId="14" fillId="0" borderId="0" xfId="56" applyFont="1">
      <alignment/>
      <protection/>
    </xf>
    <xf numFmtId="0" fontId="19" fillId="0" borderId="0" xfId="59" applyFont="1">
      <alignment/>
      <protection/>
    </xf>
    <xf numFmtId="0" fontId="19" fillId="0" borderId="0" xfId="0" applyFont="1" applyAlignment="1">
      <alignment/>
    </xf>
    <xf numFmtId="0" fontId="21" fillId="0" borderId="10" xfId="56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11" fillId="0" borderId="21" xfId="59" applyFont="1" applyBorder="1">
      <alignment/>
      <protection/>
    </xf>
    <xf numFmtId="0" fontId="11" fillId="0" borderId="22" xfId="59" applyFont="1" applyBorder="1">
      <alignment/>
      <protection/>
    </xf>
    <xf numFmtId="0" fontId="11" fillId="0" borderId="23" xfId="59" applyFont="1" applyBorder="1">
      <alignment/>
      <protection/>
    </xf>
    <xf numFmtId="0" fontId="12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1" xfId="56" applyFont="1" applyBorder="1">
      <alignment/>
      <protection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9" xfId="56" applyFont="1" applyBorder="1" applyAlignment="1">
      <alignment horizontal="right"/>
      <protection/>
    </xf>
    <xf numFmtId="0" fontId="6" fillId="0" borderId="19" xfId="56" applyFont="1" applyBorder="1">
      <alignment/>
      <protection/>
    </xf>
    <xf numFmtId="168" fontId="14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0" xfId="56" applyFont="1" applyBorder="1" applyAlignment="1">
      <alignment/>
      <protection/>
    </xf>
    <xf numFmtId="168" fontId="6" fillId="0" borderId="10" xfId="40" applyNumberFormat="1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0" fontId="6" fillId="0" borderId="12" xfId="56" applyFont="1" applyBorder="1" applyAlignment="1">
      <alignment horizontal="center"/>
      <protection/>
    </xf>
    <xf numFmtId="168" fontId="6" fillId="0" borderId="12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6" xfId="56" applyFont="1" applyBorder="1" applyAlignment="1">
      <alignment horizontal="right"/>
      <protection/>
    </xf>
    <xf numFmtId="0" fontId="12" fillId="0" borderId="16" xfId="56" applyFont="1" applyBorder="1" applyAlignment="1">
      <alignment/>
      <protection/>
    </xf>
    <xf numFmtId="168" fontId="12" fillId="0" borderId="16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168" fontId="6" fillId="0" borderId="19" xfId="40" applyNumberFormat="1" applyFont="1" applyBorder="1" applyAlignment="1">
      <alignment/>
    </xf>
    <xf numFmtId="0" fontId="12" fillId="0" borderId="0" xfId="57" applyFont="1">
      <alignment/>
      <protection/>
    </xf>
    <xf numFmtId="0" fontId="23" fillId="0" borderId="16" xfId="0" applyFont="1" applyBorder="1" applyAlignment="1">
      <alignment/>
    </xf>
    <xf numFmtId="168" fontId="6" fillId="0" borderId="16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57" applyNumberFormat="1" applyFont="1" applyBorder="1" applyAlignment="1">
      <alignment/>
      <protection/>
    </xf>
    <xf numFmtId="168" fontId="6" fillId="0" borderId="0" xfId="57" applyNumberFormat="1" applyFont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168" fontId="6" fillId="0" borderId="10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6" fillId="0" borderId="26" xfId="40" applyNumberFormat="1" applyFont="1" applyBorder="1" applyAlignment="1">
      <alignment/>
    </xf>
    <xf numFmtId="168" fontId="12" fillId="0" borderId="26" xfId="40" applyNumberFormat="1" applyFont="1" applyBorder="1" applyAlignment="1">
      <alignment/>
    </xf>
    <xf numFmtId="168" fontId="12" fillId="0" borderId="25" xfId="40" applyNumberFormat="1" applyFont="1" applyBorder="1" applyAlignment="1">
      <alignment/>
    </xf>
    <xf numFmtId="168" fontId="12" fillId="0" borderId="10" xfId="4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7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168" fontId="12" fillId="0" borderId="30" xfId="4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31" xfId="0" applyFont="1" applyBorder="1" applyAlignment="1">
      <alignment/>
    </xf>
    <xf numFmtId="168" fontId="12" fillId="0" borderId="12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168" fontId="12" fillId="0" borderId="16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168" fontId="12" fillId="0" borderId="16" xfId="40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24" fillId="0" borderId="16" xfId="40" applyNumberFormat="1" applyFont="1" applyFill="1" applyBorder="1" applyAlignment="1">
      <alignment/>
    </xf>
    <xf numFmtId="168" fontId="24" fillId="0" borderId="23" xfId="40" applyNumberFormat="1" applyFont="1" applyFill="1" applyBorder="1" applyAlignment="1">
      <alignment/>
    </xf>
    <xf numFmtId="168" fontId="12" fillId="0" borderId="16" xfId="40" applyNumberFormat="1" applyFont="1" applyFill="1" applyBorder="1" applyAlignment="1">
      <alignment/>
    </xf>
    <xf numFmtId="168" fontId="12" fillId="0" borderId="23" xfId="40" applyNumberFormat="1" applyFont="1" applyFill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38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9" xfId="0" applyFont="1" applyBorder="1" applyAlignment="1">
      <alignment/>
    </xf>
    <xf numFmtId="0" fontId="6" fillId="0" borderId="18" xfId="0" applyFont="1" applyBorder="1" applyAlignment="1">
      <alignment/>
    </xf>
    <xf numFmtId="168" fontId="12" fillId="0" borderId="42" xfId="40" applyNumberFormat="1" applyFont="1" applyBorder="1" applyAlignment="1">
      <alignment/>
    </xf>
    <xf numFmtId="168" fontId="12" fillId="0" borderId="43" xfId="40" applyNumberFormat="1" applyFont="1" applyBorder="1" applyAlignment="1">
      <alignment/>
    </xf>
    <xf numFmtId="0" fontId="12" fillId="0" borderId="44" xfId="56" applyFont="1" applyBorder="1" applyAlignment="1">
      <alignment horizontal="right"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168" fontId="25" fillId="0" borderId="0" xfId="40" applyNumberFormat="1" applyFont="1" applyAlignment="1">
      <alignment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1" fillId="0" borderId="0" xfId="56" applyFont="1" applyAlignment="1">
      <alignment horizontal="center"/>
      <protection/>
    </xf>
    <xf numFmtId="168" fontId="21" fillId="0" borderId="0" xfId="40" applyNumberFormat="1" applyFont="1" applyAlignment="1">
      <alignment horizontal="centerContinuous"/>
    </xf>
    <xf numFmtId="168" fontId="21" fillId="0" borderId="0" xfId="40" applyNumberFormat="1" applyFont="1" applyAlignment="1">
      <alignment/>
    </xf>
    <xf numFmtId="168" fontId="21" fillId="0" borderId="45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14" xfId="58" applyFont="1" applyBorder="1" applyAlignment="1">
      <alignment horizontal="left" wrapText="1"/>
      <protection/>
    </xf>
    <xf numFmtId="168" fontId="4" fillId="0" borderId="16" xfId="40" applyNumberFormat="1" applyFont="1" applyBorder="1" applyAlignment="1">
      <alignment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46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19" xfId="59" applyFont="1" applyBorder="1">
      <alignment/>
      <protection/>
    </xf>
    <xf numFmtId="168" fontId="4" fillId="0" borderId="19" xfId="40" applyNumberFormat="1" applyFont="1" applyBorder="1" applyAlignment="1">
      <alignment/>
    </xf>
    <xf numFmtId="168" fontId="4" fillId="0" borderId="35" xfId="40" applyNumberFormat="1" applyFont="1" applyBorder="1" applyAlignment="1">
      <alignment/>
    </xf>
    <xf numFmtId="0" fontId="11" fillId="0" borderId="47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168" fontId="4" fillId="0" borderId="40" xfId="40" applyNumberFormat="1" applyFont="1" applyBorder="1" applyAlignment="1">
      <alignment/>
    </xf>
    <xf numFmtId="168" fontId="4" fillId="0" borderId="48" xfId="40" applyNumberFormat="1" applyFont="1" applyBorder="1" applyAlignment="1">
      <alignment/>
    </xf>
    <xf numFmtId="0" fontId="19" fillId="0" borderId="47" xfId="58" applyFont="1" applyBorder="1" applyAlignment="1" quotePrefix="1">
      <alignment horizontal="center" vertical="center" wrapText="1"/>
      <protection/>
    </xf>
    <xf numFmtId="0" fontId="19" fillId="0" borderId="46" xfId="59" applyFont="1" applyBorder="1">
      <alignment/>
      <protection/>
    </xf>
    <xf numFmtId="168" fontId="18" fillId="0" borderId="40" xfId="40" applyNumberFormat="1" applyFont="1" applyBorder="1" applyAlignment="1">
      <alignment/>
    </xf>
    <xf numFmtId="168" fontId="18" fillId="0" borderId="48" xfId="40" applyNumberFormat="1" applyFont="1" applyBorder="1" applyAlignment="1">
      <alignment/>
    </xf>
    <xf numFmtId="0" fontId="18" fillId="0" borderId="0" xfId="0" applyFont="1" applyAlignment="1">
      <alignment/>
    </xf>
    <xf numFmtId="168" fontId="18" fillId="0" borderId="16" xfId="40" applyNumberFormat="1" applyFont="1" applyBorder="1" applyAlignment="1">
      <alignment/>
    </xf>
    <xf numFmtId="0" fontId="19" fillId="0" borderId="16" xfId="59" applyFont="1" applyBorder="1">
      <alignment/>
      <protection/>
    </xf>
    <xf numFmtId="0" fontId="19" fillId="0" borderId="23" xfId="59" applyFont="1" applyBorder="1">
      <alignment/>
      <protection/>
    </xf>
    <xf numFmtId="14" fontId="16" fillId="0" borderId="0" xfId="0" applyNumberFormat="1" applyFont="1" applyAlignment="1">
      <alignment/>
    </xf>
    <xf numFmtId="0" fontId="4" fillId="0" borderId="46" xfId="59" applyFont="1" applyBorder="1">
      <alignment/>
      <protection/>
    </xf>
    <xf numFmtId="0" fontId="4" fillId="0" borderId="0" xfId="0" applyFont="1" applyAlignment="1">
      <alignment horizontal="right"/>
    </xf>
    <xf numFmtId="0" fontId="11" fillId="0" borderId="0" xfId="59" applyFont="1" applyAlignment="1">
      <alignment horizontal="right"/>
      <protection/>
    </xf>
    <xf numFmtId="0" fontId="12" fillId="0" borderId="0" xfId="56" applyFont="1" applyAlignment="1">
      <alignment horizontal="left" wrapText="1"/>
      <protection/>
    </xf>
    <xf numFmtId="0" fontId="19" fillId="0" borderId="0" xfId="58" applyFont="1">
      <alignment/>
      <protection/>
    </xf>
    <xf numFmtId="0" fontId="12" fillId="0" borderId="0" xfId="59" applyFont="1">
      <alignment/>
      <protection/>
    </xf>
    <xf numFmtId="0" fontId="7" fillId="0" borderId="0" xfId="58" applyFont="1" applyAlignment="1">
      <alignment/>
      <protection/>
    </xf>
    <xf numFmtId="0" fontId="11" fillId="0" borderId="0" xfId="58" applyFont="1">
      <alignment/>
      <protection/>
    </xf>
    <xf numFmtId="0" fontId="18" fillId="0" borderId="0" xfId="0" applyFont="1" applyAlignment="1">
      <alignment horizontal="left"/>
    </xf>
    <xf numFmtId="0" fontId="6" fillId="0" borderId="0" xfId="59" applyFont="1" applyAlignment="1">
      <alignment horizontal="centerContinuous"/>
      <protection/>
    </xf>
    <xf numFmtId="0" fontId="26" fillId="0" borderId="0" xfId="59" applyFont="1">
      <alignment/>
      <protection/>
    </xf>
    <xf numFmtId="0" fontId="6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2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quotePrefix="1">
      <alignment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1" applyFont="1" applyAlignment="1">
      <alignment horizontal="left" wrapText="1"/>
    </xf>
    <xf numFmtId="168" fontId="12" fillId="0" borderId="0" xfId="40" applyNumberFormat="1" applyFont="1" applyAlignment="1">
      <alignment wrapText="1"/>
    </xf>
    <xf numFmtId="44" fontId="12" fillId="0" borderId="0" xfId="61" applyFont="1" applyAlignment="1">
      <alignment wrapText="1"/>
    </xf>
    <xf numFmtId="0" fontId="12" fillId="0" borderId="0" xfId="59" applyFont="1" applyBorder="1">
      <alignment/>
      <protection/>
    </xf>
    <xf numFmtId="168" fontId="27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0" fontId="12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6" fillId="0" borderId="10" xfId="56" applyFont="1" applyBorder="1">
      <alignment/>
      <protection/>
    </xf>
    <xf numFmtId="0" fontId="6" fillId="0" borderId="20" xfId="56" applyFont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12" fillId="0" borderId="40" xfId="56" applyFont="1" applyBorder="1" applyAlignment="1">
      <alignment horizontal="right" vertical="center"/>
      <protection/>
    </xf>
    <xf numFmtId="0" fontId="4" fillId="0" borderId="0" xfId="59" applyFont="1" applyBorder="1" applyAlignment="1">
      <alignment horizontal="left" wrapText="1"/>
      <protection/>
    </xf>
    <xf numFmtId="168" fontId="12" fillId="0" borderId="37" xfId="40" applyNumberFormat="1" applyFont="1" applyBorder="1" applyAlignment="1">
      <alignment/>
    </xf>
    <xf numFmtId="0" fontId="6" fillId="0" borderId="19" xfId="56" applyFont="1" applyBorder="1" applyAlignment="1">
      <alignment wrapText="1"/>
      <protection/>
    </xf>
    <xf numFmtId="168" fontId="6" fillId="0" borderId="19" xfId="40" applyNumberFormat="1" applyFont="1" applyBorder="1" applyAlignment="1">
      <alignment/>
    </xf>
    <xf numFmtId="0" fontId="7" fillId="0" borderId="0" xfId="56" applyFont="1">
      <alignment/>
      <protection/>
    </xf>
    <xf numFmtId="0" fontId="12" fillId="0" borderId="19" xfId="56" applyFont="1" applyBorder="1">
      <alignment/>
      <protection/>
    </xf>
    <xf numFmtId="0" fontId="6" fillId="0" borderId="49" xfId="56" applyFont="1" applyBorder="1">
      <alignment/>
      <protection/>
    </xf>
    <xf numFmtId="0" fontId="6" fillId="0" borderId="44" xfId="56" applyFont="1" applyBorder="1">
      <alignment/>
      <protection/>
    </xf>
    <xf numFmtId="168" fontId="6" fillId="0" borderId="12" xfId="40" applyNumberFormat="1" applyFont="1" applyBorder="1" applyAlignment="1">
      <alignment/>
    </xf>
    <xf numFmtId="0" fontId="6" fillId="0" borderId="0" xfId="56" applyFont="1">
      <alignment/>
      <protection/>
    </xf>
    <xf numFmtId="0" fontId="4" fillId="0" borderId="40" xfId="59" applyFont="1" applyBorder="1" applyAlignment="1">
      <alignment horizontal="left" wrapText="1"/>
      <protection/>
    </xf>
    <xf numFmtId="168" fontId="12" fillId="0" borderId="40" xfId="40" applyNumberFormat="1" applyFont="1" applyBorder="1" applyAlignment="1">
      <alignment/>
    </xf>
    <xf numFmtId="0" fontId="6" fillId="0" borderId="31" xfId="56" applyFont="1" applyBorder="1" applyAlignment="1">
      <alignment horizontal="center"/>
      <protection/>
    </xf>
    <xf numFmtId="0" fontId="11" fillId="0" borderId="14" xfId="59" applyFont="1" applyBorder="1">
      <alignment/>
      <protection/>
    </xf>
    <xf numFmtId="0" fontId="11" fillId="0" borderId="14" xfId="59" applyFont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3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28" fillId="0" borderId="0" xfId="0" applyFont="1" applyAlignment="1">
      <alignment/>
    </xf>
    <xf numFmtId="41" fontId="28" fillId="0" borderId="0" xfId="0" applyNumberFormat="1" applyFont="1" applyAlignment="1">
      <alignment/>
    </xf>
    <xf numFmtId="168" fontId="28" fillId="0" borderId="0" xfId="40" applyNumberFormat="1" applyFont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16" fontId="0" fillId="0" borderId="0" xfId="0" applyNumberFormat="1" applyAlignment="1" quotePrefix="1">
      <alignment/>
    </xf>
    <xf numFmtId="4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6" fontId="0" fillId="0" borderId="0" xfId="0" applyNumberFormat="1" applyAlignment="1">
      <alignment horizontal="right"/>
    </xf>
    <xf numFmtId="4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168" fontId="12" fillId="0" borderId="0" xfId="40" applyNumberFormat="1" applyFont="1" applyAlignment="1">
      <alignment horizontal="centerContinuous"/>
    </xf>
    <xf numFmtId="0" fontId="12" fillId="0" borderId="0" xfId="58" applyFont="1">
      <alignment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8" applyFont="1" applyAlignment="1">
      <alignment horizontal="center"/>
      <protection/>
    </xf>
    <xf numFmtId="168" fontId="12" fillId="0" borderId="0" xfId="40" applyNumberFormat="1" applyFont="1" applyAlignment="1">
      <alignment horizontal="center"/>
    </xf>
    <xf numFmtId="0" fontId="10" fillId="0" borderId="20" xfId="58" applyFont="1" applyBorder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168" fontId="6" fillId="0" borderId="10" xfId="40" applyNumberFormat="1" applyFont="1" applyBorder="1" applyAlignment="1">
      <alignment horizontal="center" wrapText="1"/>
    </xf>
    <xf numFmtId="0" fontId="10" fillId="0" borderId="27" xfId="58" applyFont="1" applyBorder="1" applyAlignment="1">
      <alignment horizontal="center"/>
      <protection/>
    </xf>
    <xf numFmtId="0" fontId="11" fillId="0" borderId="11" xfId="58" applyFont="1" applyBorder="1">
      <alignment/>
      <protection/>
    </xf>
    <xf numFmtId="168" fontId="6" fillId="0" borderId="11" xfId="40" applyNumberFormat="1" applyFont="1" applyBorder="1" applyAlignment="1">
      <alignment horizontal="center" wrapText="1"/>
    </xf>
    <xf numFmtId="0" fontId="10" fillId="0" borderId="3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168" fontId="6" fillId="0" borderId="12" xfId="40" applyNumberFormat="1" applyFont="1" applyBorder="1" applyAlignment="1">
      <alignment horizontal="center" wrapText="1"/>
    </xf>
    <xf numFmtId="0" fontId="6" fillId="0" borderId="0" xfId="58" applyFont="1">
      <alignment/>
      <protection/>
    </xf>
    <xf numFmtId="168" fontId="11" fillId="0" borderId="0" xfId="40" applyNumberFormat="1" applyFont="1" applyAlignment="1">
      <alignment horizontal="right"/>
    </xf>
    <xf numFmtId="168" fontId="11" fillId="0" borderId="0" xfId="40" applyNumberFormat="1" applyFont="1" applyAlignment="1">
      <alignment/>
    </xf>
    <xf numFmtId="0" fontId="10" fillId="0" borderId="0" xfId="58" applyFont="1">
      <alignment/>
      <protection/>
    </xf>
    <xf numFmtId="0" fontId="11" fillId="0" borderId="0" xfId="58" applyFont="1" applyBorder="1">
      <alignment/>
      <protection/>
    </xf>
    <xf numFmtId="168" fontId="11" fillId="0" borderId="0" xfId="40" applyNumberFormat="1" applyFont="1" applyBorder="1" applyAlignment="1">
      <alignment/>
    </xf>
    <xf numFmtId="0" fontId="13" fillId="0" borderId="0" xfId="58" applyFont="1">
      <alignment/>
      <protection/>
    </xf>
    <xf numFmtId="168" fontId="29" fillId="0" borderId="0" xfId="40" applyNumberFormat="1" applyFont="1" applyAlignment="1">
      <alignment/>
    </xf>
    <xf numFmtId="0" fontId="29" fillId="0" borderId="0" xfId="58" applyFont="1">
      <alignment/>
      <protection/>
    </xf>
    <xf numFmtId="168" fontId="13" fillId="0" borderId="0" xfId="40" applyNumberFormat="1" applyFont="1" applyAlignment="1">
      <alignment/>
    </xf>
    <xf numFmtId="0" fontId="6" fillId="0" borderId="0" xfId="59" applyFont="1" applyBorder="1" applyAlignment="1" quotePrefix="1">
      <alignment wrapText="1"/>
      <protection/>
    </xf>
    <xf numFmtId="168" fontId="12" fillId="0" borderId="0" xfId="40" applyNumberFormat="1" applyFont="1" applyAlignment="1">
      <alignment horizontal="left" wrapText="1"/>
    </xf>
    <xf numFmtId="0" fontId="10" fillId="0" borderId="0" xfId="58" applyFont="1" applyBorder="1" applyAlignment="1">
      <alignment horizontal="left" wrapText="1"/>
      <protection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68" fontId="0" fillId="0" borderId="50" xfId="40" applyNumberFormat="1" applyFont="1" applyBorder="1" applyAlignment="1">
      <alignment/>
    </xf>
    <xf numFmtId="41" fontId="28" fillId="0" borderId="0" xfId="0" applyNumberFormat="1" applyFont="1" applyAlignment="1">
      <alignment/>
    </xf>
    <xf numFmtId="0" fontId="30" fillId="0" borderId="0" xfId="0" applyFont="1" applyAlignment="1">
      <alignment/>
    </xf>
    <xf numFmtId="168" fontId="0" fillId="0" borderId="0" xfId="40" applyNumberFormat="1" applyFont="1" applyAlignment="1">
      <alignment/>
    </xf>
    <xf numFmtId="168" fontId="0" fillId="0" borderId="50" xfId="40" applyNumberFormat="1" applyFont="1" applyBorder="1" applyAlignment="1">
      <alignment/>
    </xf>
    <xf numFmtId="168" fontId="28" fillId="0" borderId="0" xfId="40" applyNumberFormat="1" applyFont="1" applyAlignment="1">
      <alignment/>
    </xf>
    <xf numFmtId="16" fontId="0" fillId="0" borderId="0" xfId="0" applyNumberFormat="1" applyAlignment="1">
      <alignment/>
    </xf>
    <xf numFmtId="0" fontId="6" fillId="0" borderId="0" xfId="56" applyFont="1" applyAlignment="1">
      <alignment horizontal="center"/>
      <protection/>
    </xf>
    <xf numFmtId="168" fontId="12" fillId="0" borderId="28" xfId="40" applyNumberFormat="1" applyFont="1" applyBorder="1" applyAlignment="1">
      <alignment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12" fillId="0" borderId="44" xfId="56" applyFont="1" applyBorder="1" applyAlignment="1">
      <alignment horizontal="center"/>
      <protection/>
    </xf>
    <xf numFmtId="0" fontId="12" fillId="0" borderId="51" xfId="56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1" fillId="0" borderId="10" xfId="58" applyFont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center"/>
      <protection/>
    </xf>
    <xf numFmtId="0" fontId="12" fillId="0" borderId="52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12" fillId="0" borderId="45" xfId="56" applyFont="1" applyBorder="1" applyAlignment="1">
      <alignment horizontal="center"/>
      <protection/>
    </xf>
    <xf numFmtId="0" fontId="12" fillId="0" borderId="27" xfId="56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12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4" fillId="0" borderId="0" xfId="0" applyFont="1" applyAlignment="1">
      <alignment horizontal="left" wrapText="1"/>
    </xf>
    <xf numFmtId="0" fontId="12" fillId="0" borderId="0" xfId="56" applyFont="1" applyAlignment="1">
      <alignment horizontal="right"/>
      <protection/>
    </xf>
    <xf numFmtId="0" fontId="10" fillId="0" borderId="0" xfId="0" applyFont="1" applyAlignment="1">
      <alignment horizontal="left" wrapText="1"/>
    </xf>
    <xf numFmtId="0" fontId="6" fillId="0" borderId="0" xfId="56" applyFont="1" applyAlignment="1">
      <alignment horizontal="center"/>
      <protection/>
    </xf>
    <xf numFmtId="0" fontId="12" fillId="0" borderId="20" xfId="56" applyFont="1" applyBorder="1" applyAlignment="1">
      <alignment horizontal="center" vertical="center"/>
      <protection/>
    </xf>
    <xf numFmtId="0" fontId="12" fillId="0" borderId="53" xfId="56" applyFont="1" applyBorder="1" applyAlignment="1">
      <alignment horizontal="center" vertical="center"/>
      <protection/>
    </xf>
    <xf numFmtId="0" fontId="12" fillId="0" borderId="45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52" xfId="56" applyFont="1" applyBorder="1" applyAlignment="1">
      <alignment horizontal="center" vertical="center"/>
      <protection/>
    </xf>
    <xf numFmtId="0" fontId="12" fillId="0" borderId="31" xfId="56" applyFont="1" applyBorder="1" applyAlignment="1">
      <alignment horizontal="center" vertical="center"/>
      <protection/>
    </xf>
    <xf numFmtId="0" fontId="12" fillId="0" borderId="44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20" xfId="56" applyFont="1" applyBorder="1" applyAlignment="1">
      <alignment horizontal="center"/>
      <protection/>
    </xf>
    <xf numFmtId="0" fontId="12" fillId="0" borderId="53" xfId="56" applyFont="1" applyBorder="1" applyAlignment="1">
      <alignment horizontal="center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168" fontId="21" fillId="0" borderId="20" xfId="40" applyNumberFormat="1" applyFont="1" applyBorder="1" applyAlignment="1">
      <alignment horizontal="center"/>
    </xf>
    <xf numFmtId="168" fontId="21" fillId="0" borderId="53" xfId="40" applyNumberFormat="1" applyFont="1" applyBorder="1" applyAlignment="1">
      <alignment horizontal="center"/>
    </xf>
    <xf numFmtId="168" fontId="21" fillId="0" borderId="45" xfId="40" applyNumberFormat="1" applyFont="1" applyBorder="1" applyAlignment="1">
      <alignment horizontal="center"/>
    </xf>
    <xf numFmtId="168" fontId="21" fillId="0" borderId="27" xfId="40" applyNumberFormat="1" applyFont="1" applyBorder="1" applyAlignment="1">
      <alignment horizontal="center"/>
    </xf>
    <xf numFmtId="168" fontId="21" fillId="0" borderId="0" xfId="40" applyNumberFormat="1" applyFont="1" applyBorder="1" applyAlignment="1">
      <alignment horizontal="center"/>
    </xf>
    <xf numFmtId="168" fontId="21" fillId="0" borderId="52" xfId="40" applyNumberFormat="1" applyFont="1" applyBorder="1" applyAlignment="1">
      <alignment horizontal="center"/>
    </xf>
    <xf numFmtId="168" fontId="21" fillId="0" borderId="31" xfId="40" applyNumberFormat="1" applyFont="1" applyBorder="1" applyAlignment="1">
      <alignment horizontal="center"/>
    </xf>
    <xf numFmtId="168" fontId="21" fillId="0" borderId="44" xfId="40" applyNumberFormat="1" applyFont="1" applyBorder="1" applyAlignment="1">
      <alignment horizontal="center"/>
    </xf>
    <xf numFmtId="168" fontId="21" fillId="0" borderId="51" xfId="40" applyNumberFormat="1" applyFont="1" applyBorder="1" applyAlignment="1">
      <alignment horizontal="center"/>
    </xf>
    <xf numFmtId="168" fontId="21" fillId="0" borderId="49" xfId="40" applyNumberFormat="1" applyFont="1" applyBorder="1" applyAlignment="1">
      <alignment horizontal="center"/>
    </xf>
    <xf numFmtId="168" fontId="21" fillId="0" borderId="54" xfId="40" applyNumberFormat="1" applyFont="1" applyBorder="1" applyAlignment="1">
      <alignment horizontal="center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9" fillId="0" borderId="27" xfId="56" applyFont="1" applyBorder="1" applyAlignment="1">
      <alignment horizontal="center" vertical="center" wrapText="1"/>
      <protection/>
    </xf>
    <xf numFmtId="0" fontId="19" fillId="0" borderId="31" xfId="56" applyFont="1" applyBorder="1" applyAlignment="1">
      <alignment horizontal="center" vertical="center" wrapText="1"/>
      <protection/>
    </xf>
    <xf numFmtId="0" fontId="10" fillId="0" borderId="0" xfId="59" applyFont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49" xfId="56" applyFont="1" applyBorder="1" applyAlignment="1">
      <alignment horizontal="center"/>
      <protection/>
    </xf>
    <xf numFmtId="0" fontId="11" fillId="0" borderId="54" xfId="56" applyFont="1" applyBorder="1" applyAlignment="1">
      <alignment horizontal="center"/>
      <protection/>
    </xf>
    <xf numFmtId="44" fontId="11" fillId="0" borderId="18" xfId="61" applyFont="1" applyBorder="1" applyAlignment="1">
      <alignment horizontal="center"/>
    </xf>
    <xf numFmtId="44" fontId="11" fillId="0" borderId="49" xfId="61" applyFont="1" applyBorder="1" applyAlignment="1">
      <alignment horizontal="center"/>
    </xf>
    <xf numFmtId="44" fontId="11" fillId="0" borderId="54" xfId="61" applyFont="1" applyBorder="1" applyAlignment="1">
      <alignment horizontal="center"/>
    </xf>
    <xf numFmtId="0" fontId="11" fillId="0" borderId="10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0" xfId="59" applyFont="1" applyAlignment="1">
      <alignment horizontal="right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center"/>
      <protection/>
    </xf>
    <xf numFmtId="0" fontId="7" fillId="0" borderId="49" xfId="56" applyFont="1" applyBorder="1" applyAlignment="1">
      <alignment horizontal="center"/>
      <protection/>
    </xf>
    <xf numFmtId="0" fontId="7" fillId="0" borderId="54" xfId="56" applyFont="1" applyBorder="1" applyAlignment="1">
      <alignment horizontal="center"/>
      <protection/>
    </xf>
    <xf numFmtId="0" fontId="7" fillId="0" borderId="31" xfId="56" applyFont="1" applyBorder="1" applyAlignment="1">
      <alignment horizontal="center"/>
      <protection/>
    </xf>
    <xf numFmtId="0" fontId="7" fillId="0" borderId="44" xfId="56" applyFont="1" applyBorder="1" applyAlignment="1">
      <alignment horizontal="center"/>
      <protection/>
    </xf>
    <xf numFmtId="0" fontId="22" fillId="0" borderId="18" xfId="56" applyFont="1" applyBorder="1" applyAlignment="1">
      <alignment horizontal="center"/>
      <protection/>
    </xf>
    <xf numFmtId="0" fontId="22" fillId="0" borderId="54" xfId="56" applyFont="1" applyBorder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55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50" xfId="56" applyFont="1" applyBorder="1" applyAlignment="1">
      <alignment horizontal="center"/>
      <protection/>
    </xf>
    <xf numFmtId="0" fontId="7" fillId="0" borderId="56" xfId="56" applyFont="1" applyBorder="1" applyAlignment="1">
      <alignment horizontal="center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wrapText="1"/>
      <protection/>
    </xf>
    <xf numFmtId="0" fontId="11" fillId="0" borderId="49" xfId="56" applyFont="1" applyBorder="1" applyAlignment="1">
      <alignment horizontal="center" wrapText="1"/>
      <protection/>
    </xf>
    <xf numFmtId="0" fontId="11" fillId="0" borderId="54" xfId="56" applyFont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1" fillId="0" borderId="0" xfId="58" applyFont="1" applyAlignment="1">
      <alignment horizontal="right"/>
      <protection/>
    </xf>
    <xf numFmtId="0" fontId="12" fillId="0" borderId="0" xfId="56" applyFont="1" applyAlignment="1">
      <alignment horizontal="right"/>
      <protection/>
    </xf>
    <xf numFmtId="0" fontId="2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5" fillId="0" borderId="53" xfId="56" applyFont="1" applyBorder="1" applyAlignment="1">
      <alignment horizontal="center"/>
      <protection/>
    </xf>
    <xf numFmtId="168" fontId="12" fillId="0" borderId="0" xfId="4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2">
      <selection activeCell="N45" sqref="N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3" width="9.125" style="1" customWidth="1"/>
    <col min="14" max="14" width="10.75390625" style="1" customWidth="1"/>
    <col min="15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27"/>
      <c r="J39" s="2"/>
      <c r="N39" s="347" t="s">
        <v>3</v>
      </c>
      <c r="O39" s="347"/>
      <c r="P39" s="347"/>
      <c r="Q39" s="347"/>
      <c r="R39" s="347"/>
      <c r="S39" s="347"/>
      <c r="T39" s="347"/>
      <c r="U39" s="347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22"/>
      <c r="J41" s="2"/>
      <c r="N41" s="347" t="s">
        <v>60</v>
      </c>
      <c r="O41" s="347"/>
      <c r="P41" s="347"/>
      <c r="Q41" s="347"/>
      <c r="R41" s="347"/>
      <c r="S41" s="347"/>
      <c r="T41" s="347"/>
      <c r="U41" s="347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22"/>
      <c r="J43" s="2"/>
      <c r="N43" s="347" t="s">
        <v>341</v>
      </c>
      <c r="O43" s="347"/>
      <c r="P43" s="347"/>
      <c r="Q43" s="347"/>
      <c r="R43" s="347"/>
      <c r="S43" s="347"/>
      <c r="T43" s="347"/>
      <c r="U43" s="347"/>
    </row>
    <row r="44" spans="9:21" ht="27.75">
      <c r="I44" s="22"/>
      <c r="J44" s="2"/>
      <c r="N44" s="347" t="s">
        <v>395</v>
      </c>
      <c r="O44" s="347"/>
      <c r="P44" s="347"/>
      <c r="Q44" s="347"/>
      <c r="R44" s="347"/>
      <c r="S44" s="347"/>
      <c r="T44" s="347"/>
      <c r="U44" s="347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N46" s="223"/>
      <c r="O46" s="97"/>
    </row>
    <row r="47" spans="1:10" ht="27.75">
      <c r="A47" s="28"/>
      <c r="B47" s="29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9" customWidth="1"/>
    <col min="2" max="2" width="74.00390625" style="9" customWidth="1"/>
    <col min="3" max="3" width="21.00390625" style="117" customWidth="1"/>
    <col min="4" max="4" width="9.125" style="9" customWidth="1"/>
    <col min="5" max="5" width="12.625" style="9" bestFit="1" customWidth="1"/>
    <col min="6" max="6" width="14.25390625" style="9" bestFit="1" customWidth="1"/>
    <col min="7" max="16384" width="9.125" style="9" customWidth="1"/>
  </cols>
  <sheetData>
    <row r="1" spans="1:3" ht="15.75">
      <c r="A1" s="358" t="s">
        <v>488</v>
      </c>
      <c r="B1" s="358"/>
      <c r="C1" s="358"/>
    </row>
    <row r="3" spans="1:3" s="101" customFormat="1" ht="15.75">
      <c r="A3" s="101" t="s">
        <v>351</v>
      </c>
      <c r="C3" s="116"/>
    </row>
    <row r="4" spans="1:3" ht="15.75">
      <c r="A4" s="358"/>
      <c r="B4" s="358"/>
      <c r="C4" s="358"/>
    </row>
    <row r="5" spans="1:3" ht="15.75">
      <c r="A5" s="439"/>
      <c r="B5" s="439"/>
      <c r="C5" s="439"/>
    </row>
    <row r="6" spans="1:3" s="5" customFormat="1" ht="12.75">
      <c r="A6" s="447"/>
      <c r="B6" s="447"/>
      <c r="C6" s="447"/>
    </row>
    <row r="7" spans="1:3" s="84" customFormat="1" ht="15.75">
      <c r="A7" s="83"/>
      <c r="B7" s="40"/>
      <c r="C7" s="40"/>
    </row>
    <row r="8" spans="1:3" s="84" customFormat="1" ht="15.75">
      <c r="A8" s="83"/>
      <c r="B8" s="40"/>
      <c r="C8" s="40"/>
    </row>
    <row r="9" spans="1:3" ht="15.75">
      <c r="A9" s="439" t="s">
        <v>26</v>
      </c>
      <c r="B9" s="439"/>
      <c r="C9" s="439"/>
    </row>
    <row r="10" spans="1:3" ht="15.75">
      <c r="A10" s="360" t="s">
        <v>236</v>
      </c>
      <c r="B10" s="360"/>
      <c r="C10" s="360"/>
    </row>
    <row r="11" spans="1:3" ht="15.75">
      <c r="A11" s="360" t="s">
        <v>237</v>
      </c>
      <c r="B11" s="360"/>
      <c r="C11" s="360"/>
    </row>
    <row r="12" spans="1:3" ht="15.75">
      <c r="A12" s="360" t="s">
        <v>48</v>
      </c>
      <c r="B12" s="360"/>
      <c r="C12" s="360"/>
    </row>
    <row r="13" ht="16.5" thickBot="1"/>
    <row r="14" spans="1:3" ht="15.75">
      <c r="A14" s="119" t="s">
        <v>27</v>
      </c>
      <c r="B14" s="110"/>
      <c r="C14" s="120" t="s">
        <v>13</v>
      </c>
    </row>
    <row r="15" spans="1:3" ht="15.75">
      <c r="A15" s="111"/>
      <c r="B15" s="112" t="s">
        <v>0</v>
      </c>
      <c r="C15" s="121"/>
    </row>
    <row r="16" spans="1:3" ht="34.5" customHeight="1" thickBot="1">
      <c r="A16" s="113" t="s">
        <v>28</v>
      </c>
      <c r="B16" s="122"/>
      <c r="C16" s="123" t="s">
        <v>8</v>
      </c>
    </row>
    <row r="17" spans="1:3" ht="20.25" customHeight="1">
      <c r="A17" s="449" t="s">
        <v>238</v>
      </c>
      <c r="B17" s="449"/>
      <c r="C17" s="449"/>
    </row>
    <row r="18" spans="1:3" ht="20.25" customHeight="1">
      <c r="A18" s="124" t="s">
        <v>29</v>
      </c>
      <c r="B18" s="125" t="s">
        <v>239</v>
      </c>
      <c r="C18" s="126"/>
    </row>
    <row r="19" spans="1:3" ht="20.25" customHeight="1">
      <c r="A19" s="124"/>
      <c r="B19" s="14" t="s">
        <v>240</v>
      </c>
      <c r="C19" s="126">
        <f>24093+47+215-326+67+143+95+195+249-55-120+72</f>
        <v>24675</v>
      </c>
    </row>
    <row r="20" spans="1:5" ht="20.25" customHeight="1">
      <c r="A20" s="124"/>
      <c r="B20" s="56" t="s">
        <v>241</v>
      </c>
      <c r="C20" s="126">
        <f>7870+260+576+394+46</f>
        <v>9146</v>
      </c>
      <c r="D20" s="53"/>
      <c r="E20" s="53"/>
    </row>
    <row r="21" spans="1:3" ht="20.25" customHeight="1">
      <c r="A21" s="124" t="s">
        <v>19</v>
      </c>
      <c r="B21" s="125" t="s">
        <v>49</v>
      </c>
      <c r="C21" s="126">
        <f>8797+153-108-588-80-266-99</f>
        <v>7809</v>
      </c>
    </row>
    <row r="22" spans="1:3" ht="20.25" customHeight="1">
      <c r="A22" s="124" t="s">
        <v>30</v>
      </c>
      <c r="B22" s="125" t="s">
        <v>242</v>
      </c>
      <c r="C22" s="126">
        <f>9268+826+1271</f>
        <v>11365</v>
      </c>
    </row>
    <row r="23" spans="1:3" ht="20.25" customHeight="1">
      <c r="A23" s="124" t="s">
        <v>116</v>
      </c>
      <c r="B23" s="127" t="s">
        <v>243</v>
      </c>
      <c r="C23" s="126"/>
    </row>
    <row r="24" spans="1:5" ht="36" customHeight="1">
      <c r="A24" s="124"/>
      <c r="B24" s="56" t="s">
        <v>244</v>
      </c>
      <c r="C24" s="126">
        <f>100+80</f>
        <v>180</v>
      </c>
      <c r="D24" s="56"/>
      <c r="E24" s="56"/>
    </row>
    <row r="25" spans="1:3" ht="20.25" customHeight="1">
      <c r="A25" s="124"/>
      <c r="B25" s="14" t="s">
        <v>245</v>
      </c>
      <c r="C25" s="126"/>
    </row>
    <row r="26" spans="1:3" ht="36" customHeight="1">
      <c r="A26" s="128"/>
      <c r="B26" s="129" t="s">
        <v>246</v>
      </c>
      <c r="C26" s="130">
        <f>SUM(C19:C25)</f>
        <v>53175</v>
      </c>
    </row>
    <row r="27" spans="1:3" ht="21" customHeight="1">
      <c r="A27" s="118" t="s">
        <v>113</v>
      </c>
      <c r="B27" s="125" t="s">
        <v>247</v>
      </c>
      <c r="C27" s="15">
        <f>11750+37+175+53-257+113+229+75+97+507+52+140+419</f>
        <v>13390</v>
      </c>
    </row>
    <row r="28" spans="1:3" ht="21" customHeight="1">
      <c r="A28" s="118" t="s">
        <v>120</v>
      </c>
      <c r="B28" s="125" t="s">
        <v>248</v>
      </c>
      <c r="C28" s="15">
        <f>20+3390+50+69+20+38+56</f>
        <v>3643</v>
      </c>
    </row>
    <row r="29" spans="1:3" ht="21" customHeight="1">
      <c r="A29" s="118" t="s">
        <v>126</v>
      </c>
      <c r="B29" s="131" t="s">
        <v>249</v>
      </c>
      <c r="C29" s="15">
        <f>27386+1163+360+67+1303+560+98+267+325-55+635+1271-10</f>
        <v>33370</v>
      </c>
    </row>
    <row r="30" spans="1:3" ht="21" customHeight="1">
      <c r="A30" s="118" t="s">
        <v>250</v>
      </c>
      <c r="B30" s="131" t="s">
        <v>251</v>
      </c>
      <c r="C30" s="15">
        <f>2722-303+183+46</f>
        <v>2648</v>
      </c>
    </row>
    <row r="31" spans="1:3" ht="21" customHeight="1">
      <c r="A31" s="118" t="s">
        <v>252</v>
      </c>
      <c r="B31" s="131" t="s">
        <v>253</v>
      </c>
      <c r="C31" s="15"/>
    </row>
    <row r="32" spans="1:3" ht="15.75">
      <c r="A32" s="118"/>
      <c r="B32" s="132" t="s">
        <v>254</v>
      </c>
      <c r="C32" s="15">
        <f>112+55</f>
        <v>167</v>
      </c>
    </row>
    <row r="33" spans="1:3" ht="32.25" customHeight="1">
      <c r="A33" s="118"/>
      <c r="B33" s="56" t="s">
        <v>255</v>
      </c>
      <c r="C33" s="133"/>
    </row>
    <row r="34" spans="1:3" ht="15.75">
      <c r="A34" s="118"/>
      <c r="B34" s="132" t="s">
        <v>256</v>
      </c>
      <c r="C34" s="133">
        <f>675+135+325</f>
        <v>1135</v>
      </c>
    </row>
    <row r="35" spans="1:5" ht="15.75">
      <c r="A35" s="118"/>
      <c r="B35" s="132" t="s">
        <v>257</v>
      </c>
      <c r="C35" s="117">
        <f>4862+20000-600-360-560-78-62+100+118+485+826-100-19738-325+2200-178-635-165-762-81-151-790</f>
        <v>4006</v>
      </c>
      <c r="E35" s="81"/>
    </row>
    <row r="36" spans="1:6" ht="33.75" customHeight="1">
      <c r="A36" s="128"/>
      <c r="B36" s="129" t="s">
        <v>258</v>
      </c>
      <c r="C36" s="130">
        <f>SUM(C27:C35)</f>
        <v>58359</v>
      </c>
      <c r="E36" s="81"/>
      <c r="F36" s="81"/>
    </row>
    <row r="37" spans="1:3" ht="15.75">
      <c r="A37" s="124"/>
      <c r="B37" s="125"/>
      <c r="C37" s="126"/>
    </row>
    <row r="38" spans="1:3" ht="15.75">
      <c r="A38" s="124"/>
      <c r="B38" s="125"/>
      <c r="C38" s="126"/>
    </row>
    <row r="39" spans="1:3" ht="15.75">
      <c r="A39" s="124"/>
      <c r="B39" s="125"/>
      <c r="C39" s="126"/>
    </row>
    <row r="40" spans="1:3" ht="15.75">
      <c r="A40" s="124"/>
      <c r="B40" s="125"/>
      <c r="C40" s="126"/>
    </row>
    <row r="41" spans="1:3" ht="15.75">
      <c r="A41" s="124"/>
      <c r="B41" s="125"/>
      <c r="C41" s="126"/>
    </row>
    <row r="42" spans="1:3" ht="9.75" customHeight="1">
      <c r="A42" s="124"/>
      <c r="B42" s="125"/>
      <c r="C42" s="126"/>
    </row>
    <row r="43" spans="1:3" ht="11.25" customHeight="1" thickBot="1">
      <c r="A43" s="442">
        <v>2</v>
      </c>
      <c r="B43" s="442"/>
      <c r="C43" s="442"/>
    </row>
    <row r="44" spans="1:3" ht="15.75">
      <c r="A44" s="119" t="s">
        <v>27</v>
      </c>
      <c r="B44" s="110"/>
      <c r="C44" s="120" t="s">
        <v>13</v>
      </c>
    </row>
    <row r="45" spans="1:3" ht="15.75">
      <c r="A45" s="111"/>
      <c r="B45" s="112" t="s">
        <v>0</v>
      </c>
      <c r="C45" s="121"/>
    </row>
    <row r="46" spans="1:3" ht="31.5" customHeight="1" thickBot="1">
      <c r="A46" s="113" t="s">
        <v>28</v>
      </c>
      <c r="B46" s="122"/>
      <c r="C46" s="123" t="s">
        <v>8</v>
      </c>
    </row>
    <row r="47" spans="1:3" ht="21" customHeight="1">
      <c r="A47" s="443" t="s">
        <v>259</v>
      </c>
      <c r="B47" s="443"/>
      <c r="C47" s="443"/>
    </row>
    <row r="48" spans="1:3" ht="21" customHeight="1">
      <c r="A48" s="118" t="s">
        <v>260</v>
      </c>
      <c r="B48" s="31" t="s">
        <v>261</v>
      </c>
      <c r="C48" s="117">
        <f>4390+10000+12559</f>
        <v>26949</v>
      </c>
    </row>
    <row r="49" spans="1:3" ht="21" customHeight="1">
      <c r="A49" s="118" t="s">
        <v>262</v>
      </c>
      <c r="B49" s="31" t="s">
        <v>263</v>
      </c>
      <c r="C49" s="117">
        <f>485+2200</f>
        <v>2685</v>
      </c>
    </row>
    <row r="50" spans="1:2" ht="21" customHeight="1">
      <c r="A50" s="118" t="s">
        <v>264</v>
      </c>
      <c r="B50" s="127" t="s">
        <v>265</v>
      </c>
    </row>
    <row r="51" spans="1:3" ht="31.5" customHeight="1">
      <c r="A51" s="118"/>
      <c r="B51" s="49" t="s">
        <v>266</v>
      </c>
      <c r="C51" s="117">
        <f>93+20000-78-62</f>
        <v>19953</v>
      </c>
    </row>
    <row r="52" spans="1:3" ht="21" customHeight="1">
      <c r="A52" s="118"/>
      <c r="B52" s="20" t="s">
        <v>267</v>
      </c>
      <c r="C52" s="117">
        <f>1500+118+118</f>
        <v>1736</v>
      </c>
    </row>
    <row r="53" spans="1:5" ht="39.75" customHeight="1">
      <c r="A53" s="128"/>
      <c r="B53" s="129" t="s">
        <v>268</v>
      </c>
      <c r="C53" s="130">
        <f>SUM(C48:C52)</f>
        <v>51323</v>
      </c>
      <c r="E53" s="81"/>
    </row>
    <row r="54" spans="1:3" ht="21" customHeight="1">
      <c r="A54" s="118" t="s">
        <v>269</v>
      </c>
      <c r="B54" s="31" t="s">
        <v>270</v>
      </c>
      <c r="C54" s="117">
        <f>4390+12559+1500+8+165+762+151</f>
        <v>19535</v>
      </c>
    </row>
    <row r="55" spans="1:3" ht="21" customHeight="1">
      <c r="A55" s="118" t="s">
        <v>271</v>
      </c>
      <c r="B55" s="31" t="s">
        <v>272</v>
      </c>
      <c r="C55" s="117">
        <f>10000+100</f>
        <v>10100</v>
      </c>
    </row>
    <row r="56" spans="1:2" ht="21" customHeight="1">
      <c r="A56" s="118" t="s">
        <v>273</v>
      </c>
      <c r="B56" s="127" t="s">
        <v>274</v>
      </c>
    </row>
    <row r="57" spans="1:3" ht="40.5" customHeight="1">
      <c r="A57" s="118"/>
      <c r="B57" s="49" t="s">
        <v>275</v>
      </c>
      <c r="C57" s="117">
        <f>20000-20+30000</f>
        <v>49980</v>
      </c>
    </row>
    <row r="58" spans="1:3" ht="21" customHeight="1">
      <c r="A58" s="118"/>
      <c r="B58" s="132" t="s">
        <v>276</v>
      </c>
      <c r="C58" s="117">
        <v>600</v>
      </c>
    </row>
    <row r="59" spans="1:6" s="10" customFormat="1" ht="42" customHeight="1" thickBot="1">
      <c r="A59" s="128"/>
      <c r="B59" s="129" t="s">
        <v>277</v>
      </c>
      <c r="C59" s="130">
        <f>SUM(C54:C58)</f>
        <v>80215</v>
      </c>
      <c r="E59" s="134"/>
      <c r="F59" s="134"/>
    </row>
    <row r="60" spans="1:3" s="10" customFormat="1" ht="35.25" customHeight="1" thickBot="1">
      <c r="A60" s="114"/>
      <c r="B60" s="115" t="s">
        <v>278</v>
      </c>
      <c r="C60" s="135">
        <f>C26+C53</f>
        <v>104498</v>
      </c>
    </row>
    <row r="61" spans="1:6" s="10" customFormat="1" ht="35.25" customHeight="1" thickBot="1">
      <c r="A61" s="114"/>
      <c r="B61" s="115" t="s">
        <v>279</v>
      </c>
      <c r="C61" s="135">
        <f>C36+C59</f>
        <v>138574</v>
      </c>
      <c r="F61" s="134"/>
    </row>
    <row r="62" spans="1:3" s="136" customFormat="1" ht="19.5" customHeight="1">
      <c r="A62" s="119" t="s">
        <v>27</v>
      </c>
      <c r="B62" s="444" t="s">
        <v>0</v>
      </c>
      <c r="C62" s="120" t="s">
        <v>13</v>
      </c>
    </row>
    <row r="63" spans="1:3" s="136" customFormat="1" ht="15.75">
      <c r="A63" s="111"/>
      <c r="B63" s="445"/>
      <c r="C63" s="121"/>
    </row>
    <row r="64" spans="1:3" s="136" customFormat="1" ht="16.5" thickBot="1">
      <c r="A64" s="113" t="s">
        <v>28</v>
      </c>
      <c r="B64" s="446"/>
      <c r="C64" s="123" t="s">
        <v>8</v>
      </c>
    </row>
    <row r="65" spans="1:3" ht="20.25" customHeight="1">
      <c r="A65" s="448" t="s">
        <v>280</v>
      </c>
      <c r="B65" s="448"/>
      <c r="C65" s="448"/>
    </row>
    <row r="66" spans="1:3" ht="20.25" customHeight="1">
      <c r="A66" s="128" t="s">
        <v>281</v>
      </c>
      <c r="B66" s="275" t="s">
        <v>397</v>
      </c>
      <c r="C66" s="130">
        <v>11174</v>
      </c>
    </row>
    <row r="67" spans="1:3" ht="20.25" customHeight="1">
      <c r="A67" s="128" t="s">
        <v>284</v>
      </c>
      <c r="B67" s="137" t="s">
        <v>282</v>
      </c>
      <c r="C67" s="130">
        <f>1167+20000+1243+1303-20-11174+50+18+10262+45+8</f>
        <v>22902</v>
      </c>
    </row>
    <row r="68" spans="1:3" ht="20.25" customHeight="1">
      <c r="A68" s="128" t="s">
        <v>286</v>
      </c>
      <c r="B68" s="137" t="s">
        <v>472</v>
      </c>
      <c r="C68" s="130">
        <v>943</v>
      </c>
    </row>
    <row r="69" spans="1:3" ht="21" customHeight="1">
      <c r="A69" s="128"/>
      <c r="B69" s="129" t="s">
        <v>283</v>
      </c>
      <c r="C69" s="138">
        <f>SUM(C66:C68)</f>
        <v>35019</v>
      </c>
    </row>
    <row r="70" spans="1:3" ht="15.75">
      <c r="A70" s="124" t="s">
        <v>326</v>
      </c>
      <c r="B70" s="137" t="s">
        <v>285</v>
      </c>
      <c r="C70" s="130"/>
    </row>
    <row r="71" spans="1:3" ht="15.75">
      <c r="A71" s="118" t="s">
        <v>328</v>
      </c>
      <c r="B71" s="137" t="s">
        <v>287</v>
      </c>
      <c r="C71" s="130"/>
    </row>
    <row r="72" spans="1:3" ht="15.75">
      <c r="A72" s="118" t="s">
        <v>475</v>
      </c>
      <c r="B72" s="137" t="s">
        <v>476</v>
      </c>
      <c r="C72" s="130">
        <v>943</v>
      </c>
    </row>
    <row r="73" spans="1:3" s="139" customFormat="1" ht="30" customHeight="1" thickBot="1">
      <c r="A73" s="128"/>
      <c r="B73" s="129" t="s">
        <v>288</v>
      </c>
      <c r="C73" s="138">
        <f>SUM(C70:C72)</f>
        <v>943</v>
      </c>
    </row>
    <row r="74" spans="1:5" s="139" customFormat="1" ht="30" customHeight="1" thickBot="1">
      <c r="A74" s="140"/>
      <c r="B74" s="141" t="s">
        <v>289</v>
      </c>
      <c r="C74" s="142">
        <f>C60+C69</f>
        <v>139517</v>
      </c>
      <c r="E74" s="143"/>
    </row>
    <row r="75" spans="1:5" ht="35.25" customHeight="1" thickBot="1">
      <c r="A75" s="140"/>
      <c r="B75" s="141" t="s">
        <v>290</v>
      </c>
      <c r="C75" s="142">
        <f>C61+C73</f>
        <v>139517</v>
      </c>
      <c r="E75" s="143"/>
    </row>
    <row r="76" ht="15.75">
      <c r="C76" s="133" t="s">
        <v>348</v>
      </c>
    </row>
  </sheetData>
  <sheetProtection password="DB7F" sheet="1" selectLockedCells="1" selectUnlockedCells="1"/>
  <mergeCells count="13">
    <mergeCell ref="A65:C65"/>
    <mergeCell ref="A10:C10"/>
    <mergeCell ref="A11:C11"/>
    <mergeCell ref="A12:C12"/>
    <mergeCell ref="A17:C17"/>
    <mergeCell ref="A1:C1"/>
    <mergeCell ref="A43:C43"/>
    <mergeCell ref="A47:C47"/>
    <mergeCell ref="B62:B64"/>
    <mergeCell ref="A4:C4"/>
    <mergeCell ref="A5:C5"/>
    <mergeCell ref="A6:C6"/>
    <mergeCell ref="A9:C9"/>
  </mergeCells>
  <printOptions horizontalCentered="1"/>
  <pageMargins left="0" right="0" top="0.35433070866141736" bottom="0.35433070866141736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F1">
      <selection activeCell="K1" sqref="K1:O1"/>
    </sheetView>
  </sheetViews>
  <sheetFormatPr defaultColWidth="9.00390625" defaultRowHeight="12.75"/>
  <cols>
    <col min="1" max="1" width="5.125" style="20" customWidth="1"/>
    <col min="2" max="2" width="43.625" style="20" customWidth="1"/>
    <col min="3" max="15" width="15.375" style="15" customWidth="1"/>
    <col min="16" max="16" width="11.375" style="20" bestFit="1" customWidth="1"/>
    <col min="17" max="16384" width="9.125" style="20" customWidth="1"/>
  </cols>
  <sheetData>
    <row r="1" spans="11:15" ht="15.75">
      <c r="K1" s="450" t="s">
        <v>489</v>
      </c>
      <c r="L1" s="450"/>
      <c r="M1" s="450"/>
      <c r="N1" s="450"/>
      <c r="O1" s="450"/>
    </row>
    <row r="2" spans="1:15" s="58" customFormat="1" ht="15.75">
      <c r="A2" s="58" t="s">
        <v>352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2:15" ht="15.75"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2:15" ht="15.75"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</row>
    <row r="6" spans="2:15" ht="15.75">
      <c r="B6" s="351" t="s">
        <v>26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</row>
    <row r="7" spans="2:15" ht="15.75">
      <c r="B7" s="351" t="s">
        <v>354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2:15" ht="15.75">
      <c r="B8" s="351" t="s">
        <v>48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</row>
    <row r="9" spans="3:15" ht="16.5" thickBot="1">
      <c r="C9" s="16"/>
      <c r="D9" s="16"/>
      <c r="E9" s="16"/>
      <c r="F9" s="144"/>
      <c r="G9" s="16"/>
      <c r="H9" s="16"/>
      <c r="I9" s="16"/>
      <c r="J9" s="16"/>
      <c r="O9" s="145" t="s">
        <v>6</v>
      </c>
    </row>
    <row r="10" spans="1:15" ht="15.75">
      <c r="A10" s="146" t="s">
        <v>27</v>
      </c>
      <c r="B10" s="147"/>
      <c r="C10" s="148"/>
      <c r="D10" s="149"/>
      <c r="E10" s="150"/>
      <c r="F10" s="151"/>
      <c r="G10" s="151"/>
      <c r="H10" s="151"/>
      <c r="I10" s="151"/>
      <c r="J10" s="151"/>
      <c r="K10" s="152"/>
      <c r="L10" s="152"/>
      <c r="M10" s="152"/>
      <c r="N10" s="153"/>
      <c r="O10" s="154"/>
    </row>
    <row r="11" spans="1:15" ht="15.75">
      <c r="A11" s="155"/>
      <c r="B11" s="156" t="s">
        <v>0</v>
      </c>
      <c r="C11" s="67" t="s">
        <v>291</v>
      </c>
      <c r="D11" s="157" t="s">
        <v>292</v>
      </c>
      <c r="E11" s="158" t="s">
        <v>293</v>
      </c>
      <c r="F11" s="159" t="s">
        <v>294</v>
      </c>
      <c r="G11" s="159" t="s">
        <v>295</v>
      </c>
      <c r="H11" s="159" t="s">
        <v>296</v>
      </c>
      <c r="I11" s="159" t="s">
        <v>297</v>
      </c>
      <c r="J11" s="159" t="s">
        <v>298</v>
      </c>
      <c r="K11" s="159" t="s">
        <v>299</v>
      </c>
      <c r="L11" s="159" t="s">
        <v>300</v>
      </c>
      <c r="M11" s="159" t="s">
        <v>301</v>
      </c>
      <c r="N11" s="158" t="s">
        <v>302</v>
      </c>
      <c r="O11" s="121" t="s">
        <v>303</v>
      </c>
    </row>
    <row r="12" spans="1:15" ht="16.5" thickBot="1">
      <c r="A12" s="160" t="s">
        <v>28</v>
      </c>
      <c r="B12" s="161"/>
      <c r="C12" s="162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4"/>
      <c r="O12" s="162"/>
    </row>
    <row r="13" spans="1:15" ht="28.5" customHeight="1">
      <c r="A13" s="166"/>
      <c r="B13" s="169" t="s">
        <v>304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</row>
    <row r="14" spans="1:15" ht="28.5" customHeight="1">
      <c r="A14" s="166" t="s">
        <v>29</v>
      </c>
      <c r="B14" s="169" t="s">
        <v>305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</row>
    <row r="15" spans="1:15" ht="28.5" customHeight="1">
      <c r="A15" s="166"/>
      <c r="B15" s="169" t="s">
        <v>306</v>
      </c>
      <c r="C15" s="167">
        <f>2862+47+43</f>
        <v>2952</v>
      </c>
      <c r="D15" s="167">
        <f>1930+43</f>
        <v>1973</v>
      </c>
      <c r="E15" s="167">
        <f>1930+43</f>
        <v>1973</v>
      </c>
      <c r="F15" s="167">
        <f>1930+43</f>
        <v>1973</v>
      </c>
      <c r="G15" s="167">
        <f>1930+43</f>
        <v>1973</v>
      </c>
      <c r="H15" s="167">
        <f>1930+48</f>
        <v>1978</v>
      </c>
      <c r="I15" s="167">
        <f>1930-190+48</f>
        <v>1788</v>
      </c>
      <c r="J15" s="167">
        <f>-27+1930+13+47</f>
        <v>1963</v>
      </c>
      <c r="K15" s="167">
        <f>-27+1930+13+47+195</f>
        <v>2158</v>
      </c>
      <c r="L15" s="167">
        <f>-27+1930+13+48</f>
        <v>1964</v>
      </c>
      <c r="M15" s="167">
        <f>-27+1930+13+249</f>
        <v>2165</v>
      </c>
      <c r="N15" s="167">
        <f>-27+1930+15-55-120+72</f>
        <v>1815</v>
      </c>
      <c r="O15" s="168">
        <f>SUM(C15:N15)</f>
        <v>24675</v>
      </c>
    </row>
    <row r="16" spans="1:15" ht="28.5" customHeight="1">
      <c r="A16" s="166"/>
      <c r="B16" s="169" t="s">
        <v>307</v>
      </c>
      <c r="C16" s="167">
        <v>86</v>
      </c>
      <c r="D16" s="167">
        <v>87</v>
      </c>
      <c r="E16" s="167">
        <v>88</v>
      </c>
      <c r="F16" s="167">
        <v>88</v>
      </c>
      <c r="G16" s="167">
        <v>88</v>
      </c>
      <c r="H16" s="167">
        <f>3716+130</f>
        <v>3846</v>
      </c>
      <c r="I16" s="167">
        <v>130</v>
      </c>
      <c r="J16" s="167">
        <f>140+23</f>
        <v>163</v>
      </c>
      <c r="K16" s="167">
        <v>295</v>
      </c>
      <c r="L16" s="167">
        <v>141</v>
      </c>
      <c r="M16" s="167">
        <f>23</f>
        <v>23</v>
      </c>
      <c r="N16" s="167">
        <f>3717+394</f>
        <v>4111</v>
      </c>
      <c r="O16" s="168">
        <f>SUM(C16:N16)</f>
        <v>9146</v>
      </c>
    </row>
    <row r="17" spans="1:15" ht="28.5" customHeight="1">
      <c r="A17" s="166" t="s">
        <v>19</v>
      </c>
      <c r="B17" s="169" t="s">
        <v>308</v>
      </c>
      <c r="C17" s="167"/>
      <c r="D17" s="167"/>
      <c r="E17" s="167"/>
      <c r="F17" s="167">
        <f>10000</f>
        <v>10000</v>
      </c>
      <c r="G17" s="167">
        <f>12559</f>
        <v>12559</v>
      </c>
      <c r="H17" s="167"/>
      <c r="I17" s="167"/>
      <c r="J17" s="167"/>
      <c r="K17" s="167"/>
      <c r="L17" s="167"/>
      <c r="M17" s="167"/>
      <c r="N17" s="167">
        <v>4390</v>
      </c>
      <c r="O17" s="168">
        <f aca="true" t="shared" si="0" ref="O17:O28">SUM(C17:N17)</f>
        <v>26949</v>
      </c>
    </row>
    <row r="18" spans="1:15" ht="15.75">
      <c r="A18" s="166" t="s">
        <v>30</v>
      </c>
      <c r="B18" s="169" t="s">
        <v>309</v>
      </c>
      <c r="C18" s="167">
        <v>56</v>
      </c>
      <c r="D18" s="167">
        <v>383</v>
      </c>
      <c r="E18" s="167">
        <v>2379</v>
      </c>
      <c r="F18" s="167">
        <v>214</v>
      </c>
      <c r="G18" s="167">
        <v>1339</v>
      </c>
      <c r="H18" s="167">
        <v>182</v>
      </c>
      <c r="I18" s="167">
        <v>313</v>
      </c>
      <c r="J18" s="167">
        <v>1289</v>
      </c>
      <c r="K18" s="167">
        <f>1149-588</f>
        <v>561</v>
      </c>
      <c r="L18" s="167">
        <v>320</v>
      </c>
      <c r="M18" s="167">
        <v>219</v>
      </c>
      <c r="N18" s="167">
        <f>954+153-108-80-266-99</f>
        <v>554</v>
      </c>
      <c r="O18" s="168">
        <f t="shared" si="0"/>
        <v>7809</v>
      </c>
    </row>
    <row r="19" spans="1:15" ht="15.75">
      <c r="A19" s="166" t="s">
        <v>116</v>
      </c>
      <c r="B19" s="169" t="s">
        <v>310</v>
      </c>
      <c r="C19" s="167">
        <v>1959</v>
      </c>
      <c r="D19" s="167">
        <v>276</v>
      </c>
      <c r="E19" s="167">
        <v>946</v>
      </c>
      <c r="F19" s="167">
        <v>253</v>
      </c>
      <c r="G19" s="167">
        <f>320+826</f>
        <v>1146</v>
      </c>
      <c r="H19" s="167">
        <v>957</v>
      </c>
      <c r="I19" s="167">
        <v>1958</v>
      </c>
      <c r="J19" s="167">
        <v>275</v>
      </c>
      <c r="K19" s="167">
        <v>869</v>
      </c>
      <c r="L19" s="167">
        <v>287</v>
      </c>
      <c r="M19" s="167">
        <f>289+1271</f>
        <v>1560</v>
      </c>
      <c r="N19" s="167">
        <v>879</v>
      </c>
      <c r="O19" s="168">
        <f t="shared" si="0"/>
        <v>11365</v>
      </c>
    </row>
    <row r="20" spans="1:15" ht="15.75">
      <c r="A20" s="166" t="s">
        <v>113</v>
      </c>
      <c r="B20" s="171" t="s">
        <v>311</v>
      </c>
      <c r="C20" s="170"/>
      <c r="D20" s="170">
        <v>485</v>
      </c>
      <c r="E20" s="170"/>
      <c r="F20" s="170"/>
      <c r="G20" s="170"/>
      <c r="H20" s="170"/>
      <c r="I20" s="170"/>
      <c r="J20" s="170"/>
      <c r="K20" s="170">
        <v>2200</v>
      </c>
      <c r="L20" s="170"/>
      <c r="M20" s="170"/>
      <c r="N20" s="170"/>
      <c r="O20" s="168">
        <f t="shared" si="0"/>
        <v>2685</v>
      </c>
    </row>
    <row r="21" spans="1:15" ht="15.75">
      <c r="A21" s="166" t="s">
        <v>120</v>
      </c>
      <c r="B21" s="171" t="s">
        <v>243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3"/>
      <c r="O21" s="168">
        <f t="shared" si="0"/>
        <v>0</v>
      </c>
    </row>
    <row r="22" spans="1:15" ht="31.5">
      <c r="A22" s="166"/>
      <c r="B22" s="169" t="s">
        <v>312</v>
      </c>
      <c r="C22" s="174"/>
      <c r="D22" s="174">
        <v>100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5"/>
      <c r="O22" s="168">
        <f t="shared" si="0"/>
        <v>100</v>
      </c>
    </row>
    <row r="23" spans="1:15" ht="17.25" customHeight="1">
      <c r="A23" s="166"/>
      <c r="B23" s="169" t="s">
        <v>313</v>
      </c>
      <c r="C23" s="174"/>
      <c r="D23" s="174"/>
      <c r="E23" s="174"/>
      <c r="F23" s="174"/>
      <c r="G23" s="174"/>
      <c r="H23" s="174"/>
      <c r="I23" s="174">
        <v>20</v>
      </c>
      <c r="J23" s="174"/>
      <c r="K23" s="174"/>
      <c r="L23" s="174"/>
      <c r="M23" s="174">
        <v>60</v>
      </c>
      <c r="N23" s="175"/>
      <c r="O23" s="168">
        <f t="shared" si="0"/>
        <v>80</v>
      </c>
    </row>
    <row r="24" spans="1:15" ht="15.75">
      <c r="A24" s="166" t="s">
        <v>126</v>
      </c>
      <c r="B24" s="171" t="s">
        <v>314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  <c r="O24" s="168">
        <f t="shared" si="0"/>
        <v>0</v>
      </c>
    </row>
    <row r="25" spans="1:15" ht="15.75">
      <c r="A25" s="166"/>
      <c r="B25" s="171" t="s">
        <v>315</v>
      </c>
      <c r="C25" s="174">
        <v>8</v>
      </c>
      <c r="D25" s="174">
        <v>8</v>
      </c>
      <c r="E25" s="174">
        <v>7</v>
      </c>
      <c r="F25" s="174">
        <v>8</v>
      </c>
      <c r="G25" s="174">
        <v>8</v>
      </c>
      <c r="H25" s="174">
        <v>7</v>
      </c>
      <c r="I25" s="174">
        <v>8</v>
      </c>
      <c r="J25" s="174">
        <v>7</v>
      </c>
      <c r="K25" s="174">
        <v>8</v>
      </c>
      <c r="L25" s="174">
        <f>8+10000-78</f>
        <v>9930</v>
      </c>
      <c r="M25" s="174">
        <f>8+10000-62</f>
        <v>9946</v>
      </c>
      <c r="N25" s="175">
        <v>8</v>
      </c>
      <c r="O25" s="168">
        <f t="shared" si="0"/>
        <v>19953</v>
      </c>
    </row>
    <row r="26" spans="1:15" ht="15.75">
      <c r="A26" s="166"/>
      <c r="B26" s="169" t="s">
        <v>316</v>
      </c>
      <c r="C26" s="174"/>
      <c r="D26" s="174"/>
      <c r="E26" s="174"/>
      <c r="F26" s="174"/>
      <c r="G26" s="174">
        <v>1500</v>
      </c>
      <c r="H26" s="174">
        <v>118</v>
      </c>
      <c r="I26" s="174"/>
      <c r="J26" s="174"/>
      <c r="K26" s="174"/>
      <c r="L26" s="174"/>
      <c r="M26" s="174"/>
      <c r="N26" s="175">
        <v>118</v>
      </c>
      <c r="O26" s="168">
        <f t="shared" si="0"/>
        <v>1736</v>
      </c>
    </row>
    <row r="27" spans="1:15" ht="15.75">
      <c r="A27" s="166" t="s">
        <v>250</v>
      </c>
      <c r="B27" s="171" t="s">
        <v>65</v>
      </c>
      <c r="C27" s="174">
        <f>1167+20000+1243+1303-20-11174+50+18+10262+45+8+943</f>
        <v>23845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  <c r="O27" s="168">
        <f t="shared" si="0"/>
        <v>23845</v>
      </c>
    </row>
    <row r="28" spans="1:15" ht="31.5">
      <c r="A28" s="166" t="s">
        <v>252</v>
      </c>
      <c r="B28" s="275" t="s">
        <v>397</v>
      </c>
      <c r="C28" s="174"/>
      <c r="D28" s="174"/>
      <c r="E28" s="174"/>
      <c r="F28" s="174"/>
      <c r="G28" s="174">
        <v>11174</v>
      </c>
      <c r="H28" s="174"/>
      <c r="I28" s="174"/>
      <c r="J28" s="174"/>
      <c r="K28" s="174"/>
      <c r="L28" s="174"/>
      <c r="M28" s="174"/>
      <c r="N28" s="175"/>
      <c r="O28" s="168">
        <f t="shared" si="0"/>
        <v>11174</v>
      </c>
    </row>
    <row r="29" spans="1:15" ht="16.5" thickBot="1">
      <c r="A29" s="166" t="s">
        <v>260</v>
      </c>
      <c r="B29" s="177" t="s">
        <v>317</v>
      </c>
      <c r="C29" s="174"/>
      <c r="D29" s="174">
        <f>C51</f>
        <v>23144</v>
      </c>
      <c r="E29" s="174">
        <f aca="true" t="shared" si="1" ref="E29:N29">D51</f>
        <v>22603</v>
      </c>
      <c r="F29" s="174">
        <f t="shared" si="1"/>
        <v>14671</v>
      </c>
      <c r="G29" s="174">
        <f t="shared" si="1"/>
        <v>12856</v>
      </c>
      <c r="H29" s="174">
        <f t="shared" si="1"/>
        <v>24953</v>
      </c>
      <c r="I29" s="174">
        <f t="shared" si="1"/>
        <v>16502</v>
      </c>
      <c r="J29" s="174">
        <f t="shared" si="1"/>
        <v>15349</v>
      </c>
      <c r="K29" s="174">
        <f t="shared" si="1"/>
        <v>14546</v>
      </c>
      <c r="L29" s="174">
        <f t="shared" si="1"/>
        <v>15302</v>
      </c>
      <c r="M29" s="174">
        <f t="shared" si="1"/>
        <v>22968</v>
      </c>
      <c r="N29" s="174">
        <f t="shared" si="1"/>
        <v>31723</v>
      </c>
      <c r="O29" s="168"/>
    </row>
    <row r="30" spans="1:15" s="12" customFormat="1" ht="27.75" customHeight="1" thickBot="1">
      <c r="A30" s="178"/>
      <c r="B30" s="178" t="s">
        <v>318</v>
      </c>
      <c r="C30" s="179">
        <f aca="true" t="shared" si="2" ref="C30:N30">SUM(C15:C29)</f>
        <v>28906</v>
      </c>
      <c r="D30" s="179">
        <f t="shared" si="2"/>
        <v>26456</v>
      </c>
      <c r="E30" s="179">
        <f t="shared" si="2"/>
        <v>27996</v>
      </c>
      <c r="F30" s="179">
        <f t="shared" si="2"/>
        <v>27207</v>
      </c>
      <c r="G30" s="179">
        <f t="shared" si="2"/>
        <v>42643</v>
      </c>
      <c r="H30" s="179">
        <f t="shared" si="2"/>
        <v>32041</v>
      </c>
      <c r="I30" s="179">
        <f t="shared" si="2"/>
        <v>20719</v>
      </c>
      <c r="J30" s="179">
        <f t="shared" si="2"/>
        <v>19046</v>
      </c>
      <c r="K30" s="179">
        <f t="shared" si="2"/>
        <v>20637</v>
      </c>
      <c r="L30" s="179">
        <f t="shared" si="2"/>
        <v>27944</v>
      </c>
      <c r="M30" s="179">
        <f t="shared" si="2"/>
        <v>36941</v>
      </c>
      <c r="N30" s="179">
        <f t="shared" si="2"/>
        <v>43598</v>
      </c>
      <c r="O30" s="180">
        <f>SUM(O14:O29)</f>
        <v>139517</v>
      </c>
    </row>
    <row r="31" spans="1:15" ht="15.75">
      <c r="A31" s="181"/>
      <c r="B31" s="182" t="s">
        <v>319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83"/>
    </row>
    <row r="32" spans="1:15" ht="15.75">
      <c r="A32" s="166" t="s">
        <v>260</v>
      </c>
      <c r="B32" s="171" t="s">
        <v>180</v>
      </c>
      <c r="C32" s="167">
        <f>979+37+35+53</f>
        <v>1104</v>
      </c>
      <c r="D32" s="167">
        <f>979+35</f>
        <v>1014</v>
      </c>
      <c r="E32" s="167">
        <f>979+35</f>
        <v>1014</v>
      </c>
      <c r="F32" s="167">
        <f>979+35</f>
        <v>1014</v>
      </c>
      <c r="G32" s="167">
        <f>980+35</f>
        <v>1015</v>
      </c>
      <c r="H32" s="167">
        <f>979+38+114</f>
        <v>1131</v>
      </c>
      <c r="I32" s="167">
        <f>979-150+38+115</f>
        <v>982</v>
      </c>
      <c r="J32" s="167">
        <f>979-21+37+169</f>
        <v>1164</v>
      </c>
      <c r="K32" s="167">
        <f>979-21+37+169+140</f>
        <v>1304</v>
      </c>
      <c r="L32" s="167">
        <f>979-21+38+97+169+140</f>
        <v>1402</v>
      </c>
      <c r="M32" s="167">
        <f>979-21+140</f>
        <v>1098</v>
      </c>
      <c r="N32" s="167">
        <f>979-22+52+139</f>
        <v>1148</v>
      </c>
      <c r="O32" s="168">
        <f aca="true" t="shared" si="3" ref="O32:O49">SUM(C32:N32)</f>
        <v>13390</v>
      </c>
    </row>
    <row r="33" spans="1:15" ht="31.5">
      <c r="A33" s="166" t="s">
        <v>262</v>
      </c>
      <c r="B33" s="275" t="s">
        <v>320</v>
      </c>
      <c r="C33" s="167">
        <f>277+10+8+27</f>
        <v>322</v>
      </c>
      <c r="D33" s="167">
        <f>277+8</f>
        <v>285</v>
      </c>
      <c r="E33" s="167">
        <f>276+8</f>
        <v>284</v>
      </c>
      <c r="F33" s="167">
        <f>277+8</f>
        <v>285</v>
      </c>
      <c r="G33" s="167">
        <f>277+8</f>
        <v>285</v>
      </c>
      <c r="H33" s="167">
        <f>277+10+15</f>
        <v>302</v>
      </c>
      <c r="I33" s="167">
        <f>276-40+10+16</f>
        <v>262</v>
      </c>
      <c r="J33" s="167">
        <f>277-6+10+23</f>
        <v>304</v>
      </c>
      <c r="K33" s="167">
        <f>277-6+10+23+38</f>
        <v>342</v>
      </c>
      <c r="L33" s="167">
        <f>276-6+10+50+23+19</f>
        <v>372</v>
      </c>
      <c r="M33" s="167">
        <f>277-6+19</f>
        <v>290</v>
      </c>
      <c r="N33" s="167">
        <f>277-5+20+18</f>
        <v>310</v>
      </c>
      <c r="O33" s="168">
        <f t="shared" si="3"/>
        <v>3643</v>
      </c>
    </row>
    <row r="34" spans="1:15" ht="15.75">
      <c r="A34" s="166" t="s">
        <v>264</v>
      </c>
      <c r="B34" s="171" t="s">
        <v>182</v>
      </c>
      <c r="C34" s="167">
        <f>2282+1108+180</f>
        <v>3570</v>
      </c>
      <c r="D34" s="167">
        <v>2282</v>
      </c>
      <c r="E34" s="167">
        <f>2282+200</f>
        <v>2482</v>
      </c>
      <c r="F34" s="167">
        <f>2282+45</f>
        <v>2327</v>
      </c>
      <c r="G34" s="167">
        <f>2282+55</f>
        <v>2337</v>
      </c>
      <c r="H34" s="167">
        <f>2282-228+180</f>
        <v>2234</v>
      </c>
      <c r="I34" s="167">
        <f>2282-342+1303+560</f>
        <v>3803</v>
      </c>
      <c r="J34" s="167">
        <f>2282-300+13</f>
        <v>1995</v>
      </c>
      <c r="K34" s="167">
        <f>2282+316+13</f>
        <v>2611</v>
      </c>
      <c r="L34" s="167">
        <f>2284+103+13+98+325</f>
        <v>2823</v>
      </c>
      <c r="M34" s="167">
        <f>68+2282+13+1271</f>
        <v>3634</v>
      </c>
      <c r="N34" s="167">
        <f>2282+138+15+267-55+635-10</f>
        <v>3272</v>
      </c>
      <c r="O34" s="168">
        <f t="shared" si="3"/>
        <v>33370</v>
      </c>
    </row>
    <row r="35" spans="1:15" ht="15.75">
      <c r="A35" s="166" t="s">
        <v>269</v>
      </c>
      <c r="B35" s="171" t="s">
        <v>183</v>
      </c>
      <c r="C35" s="167">
        <v>173</v>
      </c>
      <c r="D35" s="167">
        <v>172</v>
      </c>
      <c r="E35" s="167">
        <v>173</v>
      </c>
      <c r="F35" s="167">
        <v>172</v>
      </c>
      <c r="G35" s="167">
        <f>173+150</f>
        <v>323</v>
      </c>
      <c r="H35" s="167">
        <v>172</v>
      </c>
      <c r="I35" s="167">
        <v>173</v>
      </c>
      <c r="J35" s="167">
        <f>172+500+23</f>
        <v>695</v>
      </c>
      <c r="K35" s="167">
        <v>173</v>
      </c>
      <c r="L35" s="167">
        <v>173</v>
      </c>
      <c r="M35" s="167">
        <f>173+23</f>
        <v>196</v>
      </c>
      <c r="N35" s="167">
        <f>173-120</f>
        <v>53</v>
      </c>
      <c r="O35" s="168">
        <f t="shared" si="3"/>
        <v>2648</v>
      </c>
    </row>
    <row r="36" spans="1:15" ht="15.75">
      <c r="A36" s="166" t="s">
        <v>271</v>
      </c>
      <c r="B36" s="171" t="s">
        <v>321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8"/>
    </row>
    <row r="37" spans="1:15" ht="15.75">
      <c r="A37" s="166"/>
      <c r="B37" s="171" t="s">
        <v>322</v>
      </c>
      <c r="C37" s="167"/>
      <c r="D37" s="167"/>
      <c r="E37" s="167">
        <f>112/2</f>
        <v>56</v>
      </c>
      <c r="F37" s="167"/>
      <c r="G37" s="167"/>
      <c r="H37" s="167"/>
      <c r="I37" s="167"/>
      <c r="J37" s="167"/>
      <c r="K37" s="167">
        <v>56</v>
      </c>
      <c r="L37" s="167">
        <v>55</v>
      </c>
      <c r="M37" s="167"/>
      <c r="N37" s="167"/>
      <c r="O37" s="168">
        <f t="shared" si="3"/>
        <v>167</v>
      </c>
    </row>
    <row r="38" spans="1:15" ht="15.75">
      <c r="A38" s="166"/>
      <c r="B38" s="171" t="s">
        <v>323</v>
      </c>
      <c r="C38" s="167">
        <f>163</f>
        <v>163</v>
      </c>
      <c r="D38" s="167"/>
      <c r="E38" s="167">
        <f>325</f>
        <v>325</v>
      </c>
      <c r="F38" s="167">
        <v>135</v>
      </c>
      <c r="G38" s="167"/>
      <c r="H38" s="167"/>
      <c r="I38" s="167"/>
      <c r="J38" s="167">
        <v>162</v>
      </c>
      <c r="K38" s="167">
        <v>350</v>
      </c>
      <c r="L38" s="167"/>
      <c r="M38" s="167"/>
      <c r="N38" s="167"/>
      <c r="O38" s="168">
        <f t="shared" si="3"/>
        <v>1135</v>
      </c>
    </row>
    <row r="39" spans="1:16" ht="15.75">
      <c r="A39" s="166" t="s">
        <v>273</v>
      </c>
      <c r="B39" s="171" t="s">
        <v>186</v>
      </c>
      <c r="C39" s="167"/>
      <c r="D39" s="167"/>
      <c r="E39" s="167"/>
      <c r="F39" s="167"/>
      <c r="G39" s="167">
        <f>12559</f>
        <v>12559</v>
      </c>
      <c r="H39" s="167">
        <v>1500</v>
      </c>
      <c r="I39" s="167"/>
      <c r="J39" s="167"/>
      <c r="K39" s="167"/>
      <c r="L39" s="167">
        <v>151</v>
      </c>
      <c r="M39" s="167"/>
      <c r="N39" s="167">
        <f>4390+8+165+762</f>
        <v>5325</v>
      </c>
      <c r="O39" s="168">
        <f t="shared" si="3"/>
        <v>19535</v>
      </c>
      <c r="P39" s="276"/>
    </row>
    <row r="40" spans="1:15" ht="15.75">
      <c r="A40" s="166" t="s">
        <v>281</v>
      </c>
      <c r="B40" s="171" t="s">
        <v>56</v>
      </c>
      <c r="C40" s="167"/>
      <c r="D40" s="167"/>
      <c r="E40" s="167"/>
      <c r="F40" s="167"/>
      <c r="G40" s="167"/>
      <c r="H40" s="167">
        <f>10000+100</f>
        <v>10100</v>
      </c>
      <c r="I40" s="167"/>
      <c r="J40" s="167"/>
      <c r="K40" s="167"/>
      <c r="L40" s="167"/>
      <c r="M40" s="167"/>
      <c r="N40" s="167"/>
      <c r="O40" s="168">
        <f t="shared" si="3"/>
        <v>10100</v>
      </c>
    </row>
    <row r="41" spans="1:15" ht="20.25" customHeight="1">
      <c r="A41" s="166" t="s">
        <v>284</v>
      </c>
      <c r="B41" s="171" t="s">
        <v>274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>
        <f t="shared" si="3"/>
        <v>0</v>
      </c>
    </row>
    <row r="42" spans="1:15" ht="20.25" customHeight="1">
      <c r="A42" s="166"/>
      <c r="B42" s="171" t="s">
        <v>322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8">
        <f t="shared" si="3"/>
        <v>0</v>
      </c>
    </row>
    <row r="43" spans="1:15" ht="15.75">
      <c r="A43" s="166"/>
      <c r="B43" s="171" t="s">
        <v>323</v>
      </c>
      <c r="C43" s="167"/>
      <c r="D43" s="167"/>
      <c r="E43" s="167">
        <v>8991</v>
      </c>
      <c r="F43" s="167">
        <f>600+9818</f>
        <v>10418</v>
      </c>
      <c r="G43" s="167">
        <v>1171</v>
      </c>
      <c r="H43" s="167"/>
      <c r="I43" s="167"/>
      <c r="J43" s="167"/>
      <c r="K43" s="167"/>
      <c r="L43" s="167"/>
      <c r="M43" s="167"/>
      <c r="N43" s="167">
        <v>30000</v>
      </c>
      <c r="O43" s="168">
        <f t="shared" si="3"/>
        <v>50580</v>
      </c>
    </row>
    <row r="44" spans="1:15" ht="15.75">
      <c r="A44" s="166" t="s">
        <v>286</v>
      </c>
      <c r="B44" s="171" t="s">
        <v>179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8">
        <f t="shared" si="3"/>
        <v>0</v>
      </c>
    </row>
    <row r="45" spans="1:15" ht="15.75">
      <c r="A45" s="166"/>
      <c r="B45" s="171" t="s">
        <v>324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8">
        <f t="shared" si="3"/>
        <v>0</v>
      </c>
    </row>
    <row r="46" spans="1:15" ht="15.75">
      <c r="A46" s="166"/>
      <c r="B46" s="171" t="s">
        <v>325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8">
        <f t="shared" si="3"/>
        <v>0</v>
      </c>
    </row>
    <row r="47" spans="1:15" ht="15.75">
      <c r="A47" s="166" t="s">
        <v>326</v>
      </c>
      <c r="B47" s="171" t="s">
        <v>327</v>
      </c>
      <c r="C47" s="167"/>
      <c r="D47" s="167"/>
      <c r="E47" s="167"/>
      <c r="F47" s="167"/>
      <c r="G47" s="167"/>
      <c r="H47" s="167">
        <v>100</v>
      </c>
      <c r="I47" s="167">
        <v>150</v>
      </c>
      <c r="J47" s="167">
        <v>180</v>
      </c>
      <c r="K47" s="167">
        <f>2200-178-762-151-790</f>
        <v>319</v>
      </c>
      <c r="L47" s="167"/>
      <c r="M47" s="167"/>
      <c r="N47" s="167">
        <f>20000-78-62+100+118+485+826-100-19738-635-165-81</f>
        <v>670</v>
      </c>
      <c r="O47" s="168">
        <f t="shared" si="3"/>
        <v>1419</v>
      </c>
    </row>
    <row r="48" spans="1:16" ht="15.75">
      <c r="A48" s="176" t="s">
        <v>328</v>
      </c>
      <c r="B48" s="177" t="s">
        <v>329</v>
      </c>
      <c r="C48" s="167">
        <f>180+250</f>
        <v>430</v>
      </c>
      <c r="D48" s="167">
        <v>100</v>
      </c>
      <c r="E48" s="167"/>
      <c r="F48" s="167"/>
      <c r="G48" s="167"/>
      <c r="H48" s="167"/>
      <c r="I48" s="167"/>
      <c r="J48" s="167"/>
      <c r="K48" s="167">
        <v>180</v>
      </c>
      <c r="L48" s="167"/>
      <c r="M48" s="167"/>
      <c r="N48" s="167">
        <f>2202-325</f>
        <v>1877</v>
      </c>
      <c r="O48" s="168">
        <f t="shared" si="3"/>
        <v>2587</v>
      </c>
      <c r="P48" s="276"/>
    </row>
    <row r="49" spans="1:16" ht="32.25" thickBot="1">
      <c r="A49" s="156" t="s">
        <v>475</v>
      </c>
      <c r="B49" s="275" t="s">
        <v>478</v>
      </c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>
        <v>943</v>
      </c>
      <c r="O49" s="168">
        <f t="shared" si="3"/>
        <v>943</v>
      </c>
      <c r="P49" s="276"/>
    </row>
    <row r="50" spans="1:19" s="12" customFormat="1" ht="24" customHeight="1" thickBot="1">
      <c r="A50" s="178"/>
      <c r="B50" s="178" t="s">
        <v>330</v>
      </c>
      <c r="C50" s="179">
        <f>SUM(C32:C48)</f>
        <v>5762</v>
      </c>
      <c r="D50" s="179">
        <f aca="true" t="shared" si="4" ref="D50:N50">SUM(D32:D48)</f>
        <v>3853</v>
      </c>
      <c r="E50" s="179">
        <f t="shared" si="4"/>
        <v>13325</v>
      </c>
      <c r="F50" s="179">
        <f t="shared" si="4"/>
        <v>14351</v>
      </c>
      <c r="G50" s="179">
        <f t="shared" si="4"/>
        <v>17690</v>
      </c>
      <c r="H50" s="179">
        <f t="shared" si="4"/>
        <v>15539</v>
      </c>
      <c r="I50" s="179">
        <f t="shared" si="4"/>
        <v>5370</v>
      </c>
      <c r="J50" s="179">
        <f t="shared" si="4"/>
        <v>4500</v>
      </c>
      <c r="K50" s="179">
        <f t="shared" si="4"/>
        <v>5335</v>
      </c>
      <c r="L50" s="179">
        <f t="shared" si="4"/>
        <v>4976</v>
      </c>
      <c r="M50" s="179">
        <f t="shared" si="4"/>
        <v>5218</v>
      </c>
      <c r="N50" s="179">
        <f t="shared" si="4"/>
        <v>42655</v>
      </c>
      <c r="O50" s="180">
        <f>SUM(O32:O49)</f>
        <v>139517</v>
      </c>
      <c r="S50" s="184"/>
    </row>
    <row r="51" spans="1:15" ht="26.25" customHeight="1" thickBot="1">
      <c r="A51" s="185"/>
      <c r="B51" s="186" t="s">
        <v>331</v>
      </c>
      <c r="C51" s="187">
        <f>C30-C50</f>
        <v>23144</v>
      </c>
      <c r="D51" s="187">
        <f aca="true" t="shared" si="5" ref="D51:M51">D30-D50</f>
        <v>22603</v>
      </c>
      <c r="E51" s="187">
        <f t="shared" si="5"/>
        <v>14671</v>
      </c>
      <c r="F51" s="187">
        <f t="shared" si="5"/>
        <v>12856</v>
      </c>
      <c r="G51" s="187">
        <f t="shared" si="5"/>
        <v>24953</v>
      </c>
      <c r="H51" s="187">
        <f t="shared" si="5"/>
        <v>16502</v>
      </c>
      <c r="I51" s="187">
        <f t="shared" si="5"/>
        <v>15349</v>
      </c>
      <c r="J51" s="187">
        <f t="shared" si="5"/>
        <v>14546</v>
      </c>
      <c r="K51" s="187">
        <f t="shared" si="5"/>
        <v>15302</v>
      </c>
      <c r="L51" s="187">
        <f t="shared" si="5"/>
        <v>22968</v>
      </c>
      <c r="M51" s="187">
        <f t="shared" si="5"/>
        <v>31723</v>
      </c>
      <c r="N51" s="187"/>
      <c r="O51" s="188"/>
    </row>
    <row r="52" ht="15.75">
      <c r="O52" s="133" t="s">
        <v>348</v>
      </c>
    </row>
  </sheetData>
  <sheetProtection password="DB7F" sheet="1" selectLockedCells="1" selectUnlockedCells="1"/>
  <mergeCells count="6">
    <mergeCell ref="B8:O8"/>
    <mergeCell ref="B7:O7"/>
    <mergeCell ref="K1:O1"/>
    <mergeCell ref="B4:O4"/>
    <mergeCell ref="B5:O5"/>
    <mergeCell ref="B6:O6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75.75390625" style="229" customWidth="1"/>
    <col min="2" max="2" width="20.00390625" style="229" customWidth="1"/>
    <col min="3" max="16384" width="9.125" style="229" customWidth="1"/>
  </cols>
  <sheetData>
    <row r="1" spans="1:5" s="228" customFormat="1" ht="15.75">
      <c r="A1" s="450" t="s">
        <v>490</v>
      </c>
      <c r="B1" s="450"/>
      <c r="C1" s="117"/>
      <c r="D1" s="117"/>
      <c r="E1" s="117"/>
    </row>
    <row r="3" spans="1:2" ht="15.75">
      <c r="A3" s="349" t="s">
        <v>365</v>
      </c>
      <c r="B3" s="349"/>
    </row>
    <row r="4" spans="1:3" s="231" customFormat="1" ht="15.75" customHeight="1">
      <c r="A4" s="437"/>
      <c r="B4" s="437"/>
      <c r="C4" s="230"/>
    </row>
    <row r="5" spans="1:2" ht="15.75">
      <c r="A5" s="232"/>
      <c r="B5" s="232"/>
    </row>
    <row r="6" spans="1:2" s="234" customFormat="1" ht="18.75">
      <c r="A6" s="233" t="s">
        <v>361</v>
      </c>
      <c r="B6" s="233"/>
    </row>
    <row r="7" spans="1:2" s="234" customFormat="1" ht="18.75">
      <c r="A7" s="439" t="s">
        <v>366</v>
      </c>
      <c r="B7" s="439"/>
    </row>
    <row r="8" spans="1:2" s="234" customFormat="1" ht="18.75">
      <c r="A8" s="439" t="s">
        <v>48</v>
      </c>
      <c r="B8" s="439"/>
    </row>
    <row r="9" ht="16.5" thickBot="1"/>
    <row r="10" spans="1:2" ht="15.75">
      <c r="A10" s="235"/>
      <c r="B10" s="236" t="s">
        <v>8</v>
      </c>
    </row>
    <row r="11" spans="1:2" ht="15.75">
      <c r="A11" s="237" t="s">
        <v>362</v>
      </c>
      <c r="B11" s="237"/>
    </row>
    <row r="12" spans="1:2" ht="16.5" thickBot="1">
      <c r="A12" s="238"/>
      <c r="B12" s="239" t="s">
        <v>363</v>
      </c>
    </row>
    <row r="13" spans="1:2" ht="15.75">
      <c r="A13" s="240"/>
      <c r="B13" s="241"/>
    </row>
    <row r="14" spans="1:2" ht="15.75">
      <c r="A14" s="242" t="s">
        <v>367</v>
      </c>
      <c r="B14" s="243"/>
    </row>
    <row r="15" spans="1:2" ht="13.5" customHeight="1">
      <c r="A15" s="240"/>
      <c r="B15" s="244"/>
    </row>
    <row r="16" spans="1:6" ht="43.5" customHeight="1">
      <c r="A16" s="245" t="s">
        <v>400</v>
      </c>
      <c r="B16" s="246">
        <v>7874</v>
      </c>
      <c r="C16" s="247"/>
      <c r="D16" s="247"/>
      <c r="E16" s="247"/>
      <c r="F16" s="247"/>
    </row>
    <row r="17" spans="1:2" ht="18">
      <c r="A17" s="248" t="s">
        <v>364</v>
      </c>
      <c r="B17" s="249">
        <v>2126</v>
      </c>
    </row>
    <row r="18" spans="1:2" ht="15.75">
      <c r="A18" s="240" t="s">
        <v>1</v>
      </c>
      <c r="B18" s="250">
        <f>SUM(B15:B17)</f>
        <v>10000</v>
      </c>
    </row>
    <row r="20" spans="1:2" ht="47.25">
      <c r="A20" s="245" t="s">
        <v>401</v>
      </c>
      <c r="B20" s="250">
        <v>100</v>
      </c>
    </row>
    <row r="21" spans="1:2" ht="13.5" customHeight="1">
      <c r="A21" s="240"/>
      <c r="B21" s="241"/>
    </row>
    <row r="22" spans="1:2" ht="15.75">
      <c r="A22" s="242" t="s">
        <v>406</v>
      </c>
      <c r="B22" s="243"/>
    </row>
    <row r="23" spans="1:2" ht="13.5" customHeight="1">
      <c r="A23" s="240"/>
      <c r="B23" s="244"/>
    </row>
    <row r="24" spans="1:6" ht="15.75">
      <c r="A24" s="245" t="s">
        <v>407</v>
      </c>
      <c r="B24" s="54">
        <v>0</v>
      </c>
      <c r="C24" s="247"/>
      <c r="D24" s="247"/>
      <c r="E24" s="247"/>
      <c r="F24" s="247"/>
    </row>
    <row r="25" spans="1:2" ht="13.5" customHeight="1">
      <c r="A25" s="240"/>
      <c r="B25" s="241"/>
    </row>
    <row r="26" spans="1:2" ht="15.75">
      <c r="A26" s="240" t="s">
        <v>368</v>
      </c>
      <c r="B26" s="250">
        <f>B18+B20+B24</f>
        <v>10100</v>
      </c>
    </row>
  </sheetData>
  <sheetProtection password="DB7F" sheet="1" selectLockedCells="1" selectUnlockedCells="1"/>
  <mergeCells count="5">
    <mergeCell ref="A8:B8"/>
    <mergeCell ref="A1:B1"/>
    <mergeCell ref="A3:B3"/>
    <mergeCell ref="A4:B4"/>
    <mergeCell ref="A7:B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I38" sqref="I38"/>
    </sheetView>
  </sheetViews>
  <sheetFormatPr defaultColWidth="9.00390625" defaultRowHeight="12.75"/>
  <cols>
    <col min="3" max="3" width="10.125" style="0" bestFit="1" customWidth="1"/>
    <col min="6" max="6" width="11.00390625" style="0" bestFit="1" customWidth="1"/>
    <col min="8" max="8" width="12.625" style="0" bestFit="1" customWidth="1"/>
    <col min="10" max="10" width="12.625" style="0" bestFit="1" customWidth="1"/>
    <col min="11" max="11" width="11.00390625" style="0" bestFit="1" customWidth="1"/>
    <col min="12" max="12" width="12.625" style="0" bestFit="1" customWidth="1"/>
    <col min="13" max="13" width="10.00390625" style="0" bestFit="1" customWidth="1"/>
  </cols>
  <sheetData>
    <row r="1" spans="1:9" ht="12.75">
      <c r="A1" s="451" t="s">
        <v>410</v>
      </c>
      <c r="B1" s="451"/>
      <c r="C1" s="451"/>
      <c r="D1" s="451"/>
      <c r="E1" s="451"/>
      <c r="F1" s="451"/>
      <c r="G1" s="451"/>
      <c r="H1" s="451"/>
      <c r="I1" s="451"/>
    </row>
    <row r="6" spans="1:9" s="277" customFormat="1" ht="12.75">
      <c r="A6" s="277" t="s">
        <v>411</v>
      </c>
      <c r="H6" s="278">
        <v>556878</v>
      </c>
      <c r="I6" s="277" t="s">
        <v>5</v>
      </c>
    </row>
    <row r="7" spans="1:11" s="277" customFormat="1" ht="12.75">
      <c r="A7" s="277" t="s">
        <v>423</v>
      </c>
      <c r="H7" s="279">
        <v>95678</v>
      </c>
      <c r="I7" s="277" t="s">
        <v>5</v>
      </c>
      <c r="K7" s="278"/>
    </row>
    <row r="8" spans="1:11" s="277" customFormat="1" ht="12.75">
      <c r="A8" s="277" t="s">
        <v>424</v>
      </c>
      <c r="H8" s="279">
        <v>121242</v>
      </c>
      <c r="I8" s="277" t="s">
        <v>5</v>
      </c>
      <c r="K8" s="278"/>
    </row>
    <row r="9" spans="1:9" s="277" customFormat="1" ht="12.75">
      <c r="A9" s="277" t="s">
        <v>425</v>
      </c>
      <c r="H9" s="278">
        <v>124058</v>
      </c>
      <c r="I9" s="277" t="s">
        <v>5</v>
      </c>
    </row>
    <row r="10" spans="1:9" s="277" customFormat="1" ht="12.75">
      <c r="A10" s="277" t="s">
        <v>426</v>
      </c>
      <c r="H10" s="278">
        <v>137748</v>
      </c>
      <c r="I10" s="277" t="s">
        <v>5</v>
      </c>
    </row>
    <row r="11" s="277" customFormat="1" ht="12.75">
      <c r="H11" s="278"/>
    </row>
    <row r="12" s="277" customFormat="1" ht="12.75">
      <c r="H12" s="278"/>
    </row>
    <row r="13" spans="1:8" ht="12.75">
      <c r="A13" t="s">
        <v>412</v>
      </c>
      <c r="H13" s="280"/>
    </row>
    <row r="14" ht="12.75">
      <c r="H14" s="280"/>
    </row>
    <row r="15" spans="1:10" ht="12.75">
      <c r="A15" s="281" t="s">
        <v>29</v>
      </c>
      <c r="B15" s="282" t="s">
        <v>413</v>
      </c>
      <c r="C15" t="s">
        <v>415</v>
      </c>
      <c r="H15" s="283">
        <v>-55</v>
      </c>
      <c r="I15" t="s">
        <v>5</v>
      </c>
      <c r="J15" s="280"/>
    </row>
    <row r="16" spans="1:12" ht="12.75">
      <c r="A16" s="281"/>
      <c r="B16" s="282" t="s">
        <v>413</v>
      </c>
      <c r="C16" t="s">
        <v>416</v>
      </c>
      <c r="H16" s="283">
        <v>-120</v>
      </c>
      <c r="I16" t="s">
        <v>5</v>
      </c>
      <c r="J16" s="280"/>
      <c r="L16" s="280"/>
    </row>
    <row r="17" spans="1:12" ht="12.75">
      <c r="A17" s="281"/>
      <c r="B17" s="282" t="s">
        <v>414</v>
      </c>
      <c r="H17" s="283">
        <v>72</v>
      </c>
      <c r="I17" t="s">
        <v>5</v>
      </c>
      <c r="J17" s="280"/>
      <c r="L17" s="280"/>
    </row>
    <row r="18" spans="1:12" ht="12.75">
      <c r="A18" s="281" t="s">
        <v>19</v>
      </c>
      <c r="B18" s="282" t="s">
        <v>417</v>
      </c>
      <c r="H18" s="283">
        <v>0</v>
      </c>
      <c r="I18" s="284" t="s">
        <v>5</v>
      </c>
      <c r="J18" s="280"/>
      <c r="L18" s="280"/>
    </row>
    <row r="19" spans="1:12" ht="12.75">
      <c r="A19" s="281"/>
      <c r="B19" s="282" t="s">
        <v>418</v>
      </c>
      <c r="H19" s="283">
        <v>8</v>
      </c>
      <c r="I19" s="284" t="s">
        <v>5</v>
      </c>
      <c r="J19" s="280"/>
      <c r="L19" s="280"/>
    </row>
    <row r="20" spans="1:12" ht="12.75">
      <c r="A20" s="281"/>
      <c r="B20" s="282" t="s">
        <v>419</v>
      </c>
      <c r="H20" s="283">
        <v>0</v>
      </c>
      <c r="I20" s="285" t="s">
        <v>5</v>
      </c>
      <c r="J20" s="280"/>
      <c r="L20" s="280"/>
    </row>
    <row r="21" spans="1:12" ht="12.75">
      <c r="A21" s="281"/>
      <c r="B21" s="282" t="s">
        <v>420</v>
      </c>
      <c r="H21" s="283">
        <v>0</v>
      </c>
      <c r="I21" s="285" t="s">
        <v>5</v>
      </c>
      <c r="J21" s="280"/>
      <c r="L21" s="280"/>
    </row>
    <row r="22" spans="1:12" ht="12.75">
      <c r="A22" s="281"/>
      <c r="B22" s="282" t="s">
        <v>421</v>
      </c>
      <c r="H22" s="283">
        <v>0</v>
      </c>
      <c r="I22" s="285" t="s">
        <v>5</v>
      </c>
      <c r="J22" s="280"/>
      <c r="L22" s="280"/>
    </row>
    <row r="23" spans="1:14" ht="12.75">
      <c r="A23" s="281" t="s">
        <v>30</v>
      </c>
      <c r="B23" s="329" t="s">
        <v>29</v>
      </c>
      <c r="H23" s="283">
        <v>394</v>
      </c>
      <c r="I23" s="285" t="s">
        <v>5</v>
      </c>
      <c r="J23" s="280"/>
      <c r="L23" s="280"/>
      <c r="N23" s="280"/>
    </row>
    <row r="24" spans="1:14" ht="12.75">
      <c r="A24" s="281"/>
      <c r="B24" s="329" t="s">
        <v>19</v>
      </c>
      <c r="H24" s="283">
        <v>0</v>
      </c>
      <c r="I24" s="285" t="s">
        <v>5</v>
      </c>
      <c r="J24" s="280"/>
      <c r="L24" s="280"/>
      <c r="N24" s="280"/>
    </row>
    <row r="25" spans="1:12" ht="12.75">
      <c r="A25" s="281"/>
      <c r="B25" s="329" t="s">
        <v>30</v>
      </c>
      <c r="H25" s="283">
        <v>1271</v>
      </c>
      <c r="I25" s="285" t="s">
        <v>5</v>
      </c>
      <c r="J25" s="280"/>
      <c r="L25" s="280"/>
    </row>
    <row r="26" spans="1:12" ht="12.75">
      <c r="A26" s="286"/>
      <c r="B26" s="329" t="s">
        <v>116</v>
      </c>
      <c r="H26" s="283">
        <v>46</v>
      </c>
      <c r="I26" s="284" t="s">
        <v>5</v>
      </c>
      <c r="J26" s="280"/>
      <c r="K26" s="280"/>
      <c r="L26" s="280"/>
    </row>
    <row r="27" spans="1:12" ht="12.75">
      <c r="A27" s="286"/>
      <c r="B27" s="329" t="s">
        <v>113</v>
      </c>
      <c r="H27" s="287">
        <v>-790</v>
      </c>
      <c r="I27" s="284" t="s">
        <v>5</v>
      </c>
      <c r="J27" s="280"/>
      <c r="L27" s="280"/>
    </row>
    <row r="28" spans="1:12" ht="12.75">
      <c r="A28" s="286"/>
      <c r="B28" s="329" t="s">
        <v>120</v>
      </c>
      <c r="H28" s="283">
        <v>0</v>
      </c>
      <c r="I28" s="284" t="s">
        <v>5</v>
      </c>
      <c r="J28" s="280"/>
      <c r="L28" s="280"/>
    </row>
    <row r="29" spans="1:12" ht="12.75">
      <c r="A29" s="286"/>
      <c r="B29" s="329" t="s">
        <v>126</v>
      </c>
      <c r="H29" s="283">
        <v>0</v>
      </c>
      <c r="I29" s="285" t="s">
        <v>5</v>
      </c>
      <c r="J29" s="280"/>
      <c r="L29" s="280"/>
    </row>
    <row r="30" spans="1:12" ht="12.75">
      <c r="A30" s="286"/>
      <c r="B30" s="329" t="s">
        <v>250</v>
      </c>
      <c r="H30" s="283">
        <v>943</v>
      </c>
      <c r="I30" s="285" t="s">
        <v>5</v>
      </c>
      <c r="J30" s="280"/>
      <c r="L30" s="280"/>
    </row>
    <row r="31" spans="1:12" ht="12.75">
      <c r="A31" s="286"/>
      <c r="B31" s="282"/>
      <c r="H31" s="283"/>
      <c r="I31" s="285"/>
      <c r="J31" s="280"/>
      <c r="L31" s="280"/>
    </row>
    <row r="32" spans="1:10" ht="11.25" customHeight="1">
      <c r="A32" s="286"/>
      <c r="F32" s="280"/>
      <c r="H32" s="283"/>
      <c r="I32" s="284"/>
      <c r="J32" s="280"/>
    </row>
    <row r="33" spans="1:10" s="277" customFormat="1" ht="12.75">
      <c r="A33" s="277" t="s">
        <v>422</v>
      </c>
      <c r="H33" s="278">
        <f>SUM(H10:H31)</f>
        <v>139517</v>
      </c>
      <c r="I33" s="277" t="s">
        <v>5</v>
      </c>
      <c r="J33" s="278"/>
    </row>
    <row r="34" ht="12.75">
      <c r="H34" s="280"/>
    </row>
    <row r="35" ht="12.75">
      <c r="H35" s="280"/>
    </row>
    <row r="36" ht="12.75">
      <c r="H36" s="280"/>
    </row>
    <row r="37" ht="12.75">
      <c r="J37" s="288"/>
    </row>
    <row r="38" ht="12.75">
      <c r="J38" s="288"/>
    </row>
    <row r="41" ht="12.75">
      <c r="H41" s="288"/>
    </row>
    <row r="42" ht="12.75">
      <c r="H42" s="288"/>
    </row>
  </sheetData>
  <sheetProtection password="DB7F" sheet="1" selectLockedCells="1" selectUnlockedCells="1"/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H9" sqref="H9:H10"/>
    </sheetView>
  </sheetViews>
  <sheetFormatPr defaultColWidth="9.00390625" defaultRowHeight="12.75"/>
  <cols>
    <col min="5" max="5" width="10.125" style="0" bestFit="1" customWidth="1"/>
    <col min="7" max="7" width="6.25390625" style="0" customWidth="1"/>
    <col min="8" max="8" width="14.625" style="0" customWidth="1"/>
    <col min="10" max="10" width="11.00390625" style="0" bestFit="1" customWidth="1"/>
  </cols>
  <sheetData>
    <row r="2" spans="1:9" s="319" customFormat="1" ht="12.75">
      <c r="A2" s="452" t="s">
        <v>463</v>
      </c>
      <c r="B2" s="452"/>
      <c r="C2" s="452"/>
      <c r="D2" s="452"/>
      <c r="E2" s="452"/>
      <c r="F2" s="452"/>
      <c r="G2" s="452"/>
      <c r="H2" s="452"/>
      <c r="I2" s="452"/>
    </row>
    <row r="3" spans="1:9" s="319" customFormat="1" ht="12.75">
      <c r="A3" s="453">
        <v>42045</v>
      </c>
      <c r="B3" s="452"/>
      <c r="C3" s="452"/>
      <c r="D3" s="452"/>
      <c r="E3" s="452"/>
      <c r="F3" s="452"/>
      <c r="G3" s="452"/>
      <c r="H3" s="452"/>
      <c r="I3" s="452"/>
    </row>
    <row r="4" spans="1:9" ht="12.75">
      <c r="A4" s="320"/>
      <c r="B4" s="320"/>
      <c r="C4" s="320"/>
      <c r="D4" s="320"/>
      <c r="E4" s="320"/>
      <c r="F4" s="320"/>
      <c r="G4" s="320"/>
      <c r="H4" s="320"/>
      <c r="I4" s="320"/>
    </row>
    <row r="5" spans="1:9" ht="12.75">
      <c r="A5" s="320"/>
      <c r="B5" s="320"/>
      <c r="C5" s="320"/>
      <c r="D5" s="320"/>
      <c r="E5" s="320"/>
      <c r="F5" s="320"/>
      <c r="G5" s="320"/>
      <c r="H5" s="320"/>
      <c r="I5" s="320"/>
    </row>
    <row r="6" spans="1:9" ht="12.75">
      <c r="A6" s="320"/>
      <c r="B6" s="320"/>
      <c r="C6" s="320"/>
      <c r="D6" s="320"/>
      <c r="E6" s="320"/>
      <c r="F6" s="320"/>
      <c r="G6" s="320"/>
      <c r="H6" s="320"/>
      <c r="I6" s="320"/>
    </row>
    <row r="7" spans="1:9" ht="12.75">
      <c r="A7" s="320"/>
      <c r="B7" s="320"/>
      <c r="C7" s="320"/>
      <c r="D7" s="320"/>
      <c r="E7" s="320"/>
      <c r="F7" s="320"/>
      <c r="G7" s="320"/>
      <c r="H7" s="320"/>
      <c r="I7" s="320"/>
    </row>
    <row r="9" spans="1:9" s="284" customFormat="1" ht="12.75">
      <c r="A9" s="284" t="s">
        <v>464</v>
      </c>
      <c r="E9" s="321">
        <v>41968</v>
      </c>
      <c r="H9" s="322">
        <v>137748</v>
      </c>
      <c r="I9" s="284" t="s">
        <v>5</v>
      </c>
    </row>
    <row r="10" spans="1:9" s="284" customFormat="1" ht="12" customHeight="1">
      <c r="A10" s="284" t="s">
        <v>465</v>
      </c>
      <c r="H10" s="323">
        <v>139517</v>
      </c>
      <c r="I10" s="284" t="s">
        <v>5</v>
      </c>
    </row>
    <row r="11" spans="1:9" s="319" customFormat="1" ht="12.75">
      <c r="A11" s="319" t="s">
        <v>466</v>
      </c>
      <c r="H11" s="324">
        <f>H10-H9</f>
        <v>1769</v>
      </c>
      <c r="I11" s="319" t="s">
        <v>5</v>
      </c>
    </row>
    <row r="14" ht="12.75">
      <c r="A14" s="325" t="s">
        <v>467</v>
      </c>
    </row>
    <row r="16" spans="1:9" ht="12.75">
      <c r="A16" t="s">
        <v>468</v>
      </c>
      <c r="H16" s="326">
        <f>-55-120+72+46+943</f>
        <v>886</v>
      </c>
      <c r="I16" t="s">
        <v>5</v>
      </c>
    </row>
    <row r="17" spans="1:9" ht="12.75">
      <c r="A17" t="s">
        <v>469</v>
      </c>
      <c r="H17" s="326">
        <f>394+1271-790</f>
        <v>875</v>
      </c>
      <c r="I17" t="s">
        <v>5</v>
      </c>
    </row>
    <row r="18" spans="1:9" ht="12.75">
      <c r="A18" t="s">
        <v>470</v>
      </c>
      <c r="H18" s="327">
        <v>8</v>
      </c>
      <c r="I18" t="s">
        <v>5</v>
      </c>
    </row>
    <row r="19" spans="1:9" s="319" customFormat="1" ht="12.75">
      <c r="A19" s="319" t="s">
        <v>471</v>
      </c>
      <c r="H19" s="328">
        <f>SUM(H16:H18)</f>
        <v>1769</v>
      </c>
      <c r="I19" s="319" t="s">
        <v>5</v>
      </c>
    </row>
    <row r="20" ht="12.75">
      <c r="H20" s="326"/>
    </row>
    <row r="21" spans="8:10" ht="12.75">
      <c r="H21" s="326"/>
      <c r="J21" s="280"/>
    </row>
    <row r="22" ht="12.75">
      <c r="H22" s="326"/>
    </row>
    <row r="23" ht="12.75">
      <c r="H23" s="326"/>
    </row>
    <row r="24" ht="12.75">
      <c r="H24" s="326"/>
    </row>
    <row r="25" ht="12.75">
      <c r="H25" s="326"/>
    </row>
    <row r="26" ht="12.75">
      <c r="H26" s="326"/>
    </row>
    <row r="27" ht="12.75">
      <c r="H27" s="326"/>
    </row>
    <row r="28" ht="12.75">
      <c r="H28" s="326"/>
    </row>
  </sheetData>
  <sheetProtection password="DB7F" sheet="1" selectLockedCells="1" selectUnlockedCells="1"/>
  <mergeCells count="2">
    <mergeCell ref="A2:I2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75.25390625" style="4" customWidth="1"/>
    <col min="2" max="2" width="13.375" style="23" customWidth="1"/>
    <col min="3" max="3" width="4.875" style="4" customWidth="1"/>
    <col min="4" max="4" width="14.25390625" style="19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348" t="s">
        <v>479</v>
      </c>
      <c r="B1" s="348"/>
      <c r="C1" s="348"/>
      <c r="D1" s="348"/>
      <c r="E1" s="348"/>
    </row>
    <row r="2" spans="1:5" ht="15">
      <c r="A2" s="349" t="s">
        <v>345</v>
      </c>
      <c r="B2" s="349"/>
      <c r="C2" s="349"/>
      <c r="D2" s="349"/>
      <c r="E2" s="349"/>
    </row>
    <row r="3" spans="1:5" ht="15">
      <c r="A3" s="47"/>
      <c r="B3" s="47"/>
      <c r="C3" s="47"/>
      <c r="D3" s="96"/>
      <c r="E3" s="47"/>
    </row>
    <row r="4" spans="1:5" s="20" customFormat="1" ht="15.75">
      <c r="A4" s="352"/>
      <c r="B4" s="352"/>
      <c r="C4" s="352"/>
      <c r="D4" s="352"/>
      <c r="E4" s="352"/>
    </row>
    <row r="5" spans="1:5" s="20" customFormat="1" ht="15.75">
      <c r="A5" s="351" t="s">
        <v>26</v>
      </c>
      <c r="B5" s="351"/>
      <c r="C5" s="351"/>
      <c r="D5" s="351"/>
      <c r="E5" s="351"/>
    </row>
    <row r="6" spans="1:5" ht="15.75">
      <c r="A6" s="351" t="s">
        <v>225</v>
      </c>
      <c r="B6" s="351"/>
      <c r="C6" s="351"/>
      <c r="D6" s="351"/>
      <c r="E6" s="351"/>
    </row>
    <row r="7" spans="1:5" ht="12.75" customHeight="1">
      <c r="A7" s="350" t="s">
        <v>58</v>
      </c>
      <c r="B7" s="350"/>
      <c r="C7" s="350"/>
      <c r="D7" s="350"/>
      <c r="E7" s="350"/>
    </row>
    <row r="8" spans="1:5" s="1" customFormat="1" ht="15">
      <c r="A8" s="4"/>
      <c r="B8" s="23"/>
      <c r="C8" s="4"/>
      <c r="D8" s="19"/>
      <c r="E8" s="4"/>
    </row>
    <row r="9" spans="1:4" s="1" customFormat="1" ht="18.75">
      <c r="A9" s="48" t="s">
        <v>70</v>
      </c>
      <c r="B9" s="24"/>
      <c r="D9" s="97"/>
    </row>
    <row r="10" spans="1:5" ht="15.75">
      <c r="A10" s="7" t="s">
        <v>71</v>
      </c>
      <c r="B10" s="24"/>
      <c r="C10" s="1"/>
      <c r="D10" s="95">
        <f>B11+B12</f>
        <v>33821</v>
      </c>
      <c r="E10" s="1" t="s">
        <v>5</v>
      </c>
    </row>
    <row r="11" spans="1:7" ht="15.75">
      <c r="A11" s="49" t="s">
        <v>72</v>
      </c>
      <c r="B11" s="23">
        <f>bevétel!H68</f>
        <v>24675</v>
      </c>
      <c r="C11" s="4" t="s">
        <v>5</v>
      </c>
      <c r="G11" s="42"/>
    </row>
    <row r="12" spans="1:5" s="1" customFormat="1" ht="15.75" customHeight="1">
      <c r="A12" s="49" t="s">
        <v>73</v>
      </c>
      <c r="B12" s="23">
        <f>bevétel!H75</f>
        <v>9146</v>
      </c>
      <c r="C12" s="4" t="s">
        <v>5</v>
      </c>
      <c r="D12" s="19"/>
      <c r="E12" s="4"/>
    </row>
    <row r="13" spans="1:4" s="1" customFormat="1" ht="15.75">
      <c r="A13" s="7"/>
      <c r="B13" s="24"/>
      <c r="D13" s="95"/>
    </row>
    <row r="14" spans="1:5" s="1" customFormat="1" ht="15.75">
      <c r="A14" s="7" t="s">
        <v>74</v>
      </c>
      <c r="B14" s="24"/>
      <c r="D14" s="95">
        <f>bevétel!H92</f>
        <v>26949</v>
      </c>
      <c r="E14" s="1" t="s">
        <v>5</v>
      </c>
    </row>
    <row r="15" spans="1:4" s="1" customFormat="1" ht="15.75">
      <c r="A15" s="7"/>
      <c r="B15" s="24"/>
      <c r="D15" s="95"/>
    </row>
    <row r="16" spans="1:5" s="1" customFormat="1" ht="15.75">
      <c r="A16" s="7" t="s">
        <v>75</v>
      </c>
      <c r="B16" s="24"/>
      <c r="D16" s="95">
        <f>bevétel!H111</f>
        <v>7809</v>
      </c>
      <c r="E16" s="1" t="s">
        <v>5</v>
      </c>
    </row>
    <row r="17" spans="1:7" s="1" customFormat="1" ht="15.75">
      <c r="A17" s="7"/>
      <c r="B17" s="24"/>
      <c r="D17" s="95"/>
      <c r="G17" s="43"/>
    </row>
    <row r="18" spans="1:5" s="1" customFormat="1" ht="15.75">
      <c r="A18" s="7" t="s">
        <v>41</v>
      </c>
      <c r="B18" s="24"/>
      <c r="D18" s="95">
        <f>bevétel!H140</f>
        <v>11365</v>
      </c>
      <c r="E18" s="1" t="s">
        <v>5</v>
      </c>
    </row>
    <row r="19" spans="1:4" s="1" customFormat="1" ht="15.75">
      <c r="A19" s="9"/>
      <c r="B19" s="25"/>
      <c r="D19" s="95"/>
    </row>
    <row r="20" spans="1:5" s="1" customFormat="1" ht="15.75">
      <c r="A20" s="7" t="s">
        <v>76</v>
      </c>
      <c r="B20" s="24"/>
      <c r="D20" s="95">
        <f>bevétel!H146</f>
        <v>2685</v>
      </c>
      <c r="E20" s="1" t="s">
        <v>5</v>
      </c>
    </row>
    <row r="21" spans="1:4" s="1" customFormat="1" ht="15.75">
      <c r="A21" s="9"/>
      <c r="B21" s="24"/>
      <c r="D21" s="95"/>
    </row>
    <row r="22" spans="1:5" s="1" customFormat="1" ht="15.75">
      <c r="A22" s="7" t="s">
        <v>77</v>
      </c>
      <c r="D22" s="95">
        <f>B23+B24</f>
        <v>180</v>
      </c>
      <c r="E22" s="1" t="s">
        <v>5</v>
      </c>
    </row>
    <row r="23" spans="1:7" s="6" customFormat="1" ht="32.25">
      <c r="A23" s="49" t="s">
        <v>78</v>
      </c>
      <c r="B23" s="25">
        <f>bevétel!H150</f>
        <v>100</v>
      </c>
      <c r="C23" s="1" t="s">
        <v>5</v>
      </c>
      <c r="D23" s="95"/>
      <c r="E23" s="1"/>
      <c r="F23" s="1"/>
      <c r="G23" s="44"/>
    </row>
    <row r="24" spans="1:7" ht="18.75">
      <c r="A24" s="20" t="s">
        <v>79</v>
      </c>
      <c r="B24" s="24">
        <v>80</v>
      </c>
      <c r="C24" s="1" t="s">
        <v>5</v>
      </c>
      <c r="D24" s="95"/>
      <c r="E24" s="1"/>
      <c r="F24" s="6"/>
      <c r="G24" s="45"/>
    </row>
    <row r="25" spans="1:7" s="1" customFormat="1" ht="18.75">
      <c r="A25" s="32"/>
      <c r="B25" s="23"/>
      <c r="C25" s="4"/>
      <c r="D25" s="98"/>
      <c r="E25" s="6"/>
      <c r="G25" s="46"/>
    </row>
    <row r="26" spans="1:5" s="1" customFormat="1" ht="15.75">
      <c r="A26" s="7" t="s">
        <v>80</v>
      </c>
      <c r="B26" s="24"/>
      <c r="D26" s="95">
        <f>B27+B28</f>
        <v>21689</v>
      </c>
      <c r="E26" s="1" t="s">
        <v>5</v>
      </c>
    </row>
    <row r="27" spans="1:4" s="1" customFormat="1" ht="31.5">
      <c r="A27" s="49" t="s">
        <v>81</v>
      </c>
      <c r="B27" s="24">
        <f>bevétel!H158+bevétel!H159</f>
        <v>19953</v>
      </c>
      <c r="C27" s="1" t="s">
        <v>5</v>
      </c>
      <c r="D27" s="95"/>
    </row>
    <row r="28" spans="1:4" s="1" customFormat="1" ht="15.75">
      <c r="A28" s="20" t="s">
        <v>82</v>
      </c>
      <c r="B28" s="24">
        <f>bevétel!H163+bevétel!H161</f>
        <v>1736</v>
      </c>
      <c r="C28" s="1" t="s">
        <v>5</v>
      </c>
      <c r="D28" s="95"/>
    </row>
    <row r="29" spans="1:4" s="1" customFormat="1" ht="15.75">
      <c r="A29" s="32"/>
      <c r="D29" s="97"/>
    </row>
    <row r="30" spans="1:5" s="1" customFormat="1" ht="15.75">
      <c r="A30" s="7" t="s">
        <v>31</v>
      </c>
      <c r="D30" s="99">
        <f>SUM(D10:D29)</f>
        <v>104498</v>
      </c>
      <c r="E30" s="1" t="s">
        <v>5</v>
      </c>
    </row>
    <row r="31" spans="1:4" s="1" customFormat="1" ht="15.75">
      <c r="A31" s="20"/>
      <c r="D31" s="97"/>
    </row>
    <row r="32" spans="1:4" s="1" customFormat="1" ht="18.75">
      <c r="A32" s="48" t="s">
        <v>83</v>
      </c>
      <c r="D32" s="97"/>
    </row>
    <row r="33" spans="1:5" s="1" customFormat="1" ht="15.75">
      <c r="A33" s="10" t="s">
        <v>10</v>
      </c>
      <c r="B33" s="24"/>
      <c r="D33" s="95">
        <f>B35+B36+B37+B38+B39</f>
        <v>58359</v>
      </c>
      <c r="E33" s="1" t="s">
        <v>5</v>
      </c>
    </row>
    <row r="34" spans="1:4" s="1" customFormat="1" ht="15.75">
      <c r="A34" s="9" t="s">
        <v>9</v>
      </c>
      <c r="B34" s="24"/>
      <c r="D34" s="95"/>
    </row>
    <row r="35" spans="1:4" s="1" customFormat="1" ht="15.75">
      <c r="A35" s="20" t="s">
        <v>84</v>
      </c>
      <c r="B35" s="24">
        <f>'kiad.szakf.'!D49</f>
        <v>13390</v>
      </c>
      <c r="C35" s="1" t="s">
        <v>5</v>
      </c>
      <c r="D35" s="95"/>
    </row>
    <row r="36" spans="1:4" s="1" customFormat="1" ht="15.75">
      <c r="A36" s="20" t="s">
        <v>85</v>
      </c>
      <c r="B36" s="24">
        <f>'kiad.szakf.'!E49</f>
        <v>3643</v>
      </c>
      <c r="C36" s="1" t="s">
        <v>5</v>
      </c>
      <c r="D36" s="95"/>
    </row>
    <row r="37" spans="1:4" s="1" customFormat="1" ht="15.75">
      <c r="A37" s="20" t="s">
        <v>86</v>
      </c>
      <c r="B37" s="24">
        <f>'kiad.szakf.'!F49</f>
        <v>33370</v>
      </c>
      <c r="C37" s="1" t="s">
        <v>5</v>
      </c>
      <c r="D37" s="95"/>
    </row>
    <row r="38" spans="1:4" s="1" customFormat="1" ht="15.75">
      <c r="A38" s="50" t="s">
        <v>226</v>
      </c>
      <c r="B38" s="24">
        <f>'kiad.szakf.'!G49</f>
        <v>2648</v>
      </c>
      <c r="C38" s="1" t="s">
        <v>5</v>
      </c>
      <c r="D38" s="95"/>
    </row>
    <row r="39" spans="1:4" s="1" customFormat="1" ht="15.75">
      <c r="A39" s="20" t="s">
        <v>62</v>
      </c>
      <c r="B39" s="24">
        <f>'kiad.szakf.'!H49</f>
        <v>5308</v>
      </c>
      <c r="C39" s="1" t="s">
        <v>5</v>
      </c>
      <c r="D39" s="95"/>
    </row>
    <row r="40" spans="1:4" s="1" customFormat="1" ht="15.75">
      <c r="A40" s="20"/>
      <c r="B40" s="25"/>
      <c r="D40" s="95"/>
    </row>
    <row r="41" spans="1:5" s="1" customFormat="1" ht="15.75">
      <c r="A41" s="10" t="s">
        <v>11</v>
      </c>
      <c r="B41" s="24"/>
      <c r="D41" s="100">
        <f>B43+B44+B45</f>
        <v>80215</v>
      </c>
      <c r="E41" s="1" t="s">
        <v>5</v>
      </c>
    </row>
    <row r="42" spans="1:4" s="1" customFormat="1" ht="15.75">
      <c r="A42" s="9" t="s">
        <v>9</v>
      </c>
      <c r="B42" s="24"/>
      <c r="D42" s="95"/>
    </row>
    <row r="43" spans="1:4" s="1" customFormat="1" ht="15.75">
      <c r="A43" s="20" t="s">
        <v>87</v>
      </c>
      <c r="B43" s="25">
        <f>'kiad.szakf.'!J49</f>
        <v>19535</v>
      </c>
      <c r="C43" s="1" t="s">
        <v>5</v>
      </c>
      <c r="D43" s="95"/>
    </row>
    <row r="44" spans="1:4" s="1" customFormat="1" ht="15.75">
      <c r="A44" s="20" t="s">
        <v>88</v>
      </c>
      <c r="B44" s="25">
        <f>'kiad.szakf.'!K49</f>
        <v>10100</v>
      </c>
      <c r="C44" s="1" t="s">
        <v>5</v>
      </c>
      <c r="D44" s="95"/>
    </row>
    <row r="45" spans="1:6" ht="15.75">
      <c r="A45" s="20" t="s">
        <v>63</v>
      </c>
      <c r="B45" s="25">
        <f>20000+600-20+30000</f>
        <v>50580</v>
      </c>
      <c r="C45" s="1" t="s">
        <v>5</v>
      </c>
      <c r="D45" s="95"/>
      <c r="E45" s="1"/>
      <c r="F45" s="1"/>
    </row>
    <row r="46" spans="1:4" s="1" customFormat="1" ht="15.75">
      <c r="A46" s="20"/>
      <c r="B46" s="25"/>
      <c r="D46" s="95"/>
    </row>
    <row r="47" spans="1:5" s="1" customFormat="1" ht="15.75">
      <c r="A47" s="20" t="s">
        <v>89</v>
      </c>
      <c r="B47" s="25"/>
      <c r="D47" s="95">
        <v>943</v>
      </c>
      <c r="E47" s="1" t="s">
        <v>5</v>
      </c>
    </row>
    <row r="48" spans="1:4" s="1" customFormat="1" ht="15.75">
      <c r="A48" s="20" t="s">
        <v>90</v>
      </c>
      <c r="B48" s="24"/>
      <c r="C48" s="1" t="s">
        <v>5</v>
      </c>
      <c r="D48" s="95"/>
    </row>
    <row r="49" spans="1:6" s="6" customFormat="1" ht="18.75">
      <c r="A49" s="20" t="s">
        <v>91</v>
      </c>
      <c r="B49" s="24"/>
      <c r="C49" s="1" t="s">
        <v>5</v>
      </c>
      <c r="D49" s="95"/>
      <c r="E49" s="1"/>
      <c r="F49" s="4"/>
    </row>
    <row r="50" spans="1:6" s="6" customFormat="1" ht="18.75">
      <c r="A50" s="20" t="s">
        <v>477</v>
      </c>
      <c r="B50" s="24">
        <v>943</v>
      </c>
      <c r="C50" s="1" t="s">
        <v>5</v>
      </c>
      <c r="D50" s="95"/>
      <c r="E50" s="1"/>
      <c r="F50" s="4"/>
    </row>
    <row r="51" spans="1:6" ht="15.75">
      <c r="A51" s="20"/>
      <c r="B51" s="25"/>
      <c r="C51" s="1"/>
      <c r="D51" s="95"/>
      <c r="E51" s="1"/>
      <c r="F51" s="1"/>
    </row>
    <row r="52" spans="1:6" ht="15.75">
      <c r="A52" s="7" t="s">
        <v>32</v>
      </c>
      <c r="B52" s="25"/>
      <c r="C52" s="1"/>
      <c r="D52" s="19">
        <f>SUM(D33:D51)</f>
        <v>139517</v>
      </c>
      <c r="E52" s="4" t="s">
        <v>5</v>
      </c>
      <c r="F52" s="1"/>
    </row>
    <row r="53" spans="1:6" ht="15.75">
      <c r="A53" s="20"/>
      <c r="B53" s="24"/>
      <c r="C53" s="1"/>
      <c r="D53" s="100"/>
      <c r="E53" s="1"/>
      <c r="F53" s="1"/>
    </row>
    <row r="54" spans="1:6" ht="18.75">
      <c r="A54" s="7" t="s">
        <v>33</v>
      </c>
      <c r="B54" s="24"/>
      <c r="C54" s="1"/>
      <c r="D54" s="19">
        <f>D30-D52</f>
        <v>-35019</v>
      </c>
      <c r="E54" s="4" t="s">
        <v>5</v>
      </c>
      <c r="F54" s="6"/>
    </row>
    <row r="55" spans="1:3" ht="15.75">
      <c r="A55" s="20"/>
      <c r="B55" s="24"/>
      <c r="C55" s="1"/>
    </row>
    <row r="56" spans="1:5" ht="32.25">
      <c r="A56" s="51" t="s">
        <v>92</v>
      </c>
      <c r="B56" s="26"/>
      <c r="C56" s="6"/>
      <c r="D56" s="19">
        <v>1167</v>
      </c>
      <c r="E56" s="4" t="s">
        <v>5</v>
      </c>
    </row>
    <row r="57" spans="1:5" ht="18.75">
      <c r="A57" s="51" t="s">
        <v>342</v>
      </c>
      <c r="B57" s="26"/>
      <c r="C57" s="6"/>
      <c r="D57" s="19">
        <f>20000+1243+1303-20-11174+50+18+10262+45+8+943</f>
        <v>22678</v>
      </c>
      <c r="E57" s="4" t="s">
        <v>5</v>
      </c>
    </row>
    <row r="58" spans="1:5" ht="18.75">
      <c r="A58" s="51" t="s">
        <v>473</v>
      </c>
      <c r="B58" s="26"/>
      <c r="C58" s="6"/>
      <c r="D58" s="19">
        <v>943</v>
      </c>
      <c r="E58" s="4" t="s">
        <v>5</v>
      </c>
    </row>
    <row r="59" spans="1:5" ht="32.25">
      <c r="A59" s="51" t="s">
        <v>398</v>
      </c>
      <c r="B59" s="26"/>
      <c r="C59" s="6"/>
      <c r="D59" s="19">
        <v>11174</v>
      </c>
      <c r="E59" s="4" t="s">
        <v>5</v>
      </c>
    </row>
    <row r="60" spans="1:4" ht="15.75">
      <c r="A60" s="20"/>
      <c r="D60" s="4"/>
    </row>
    <row r="61" spans="1:5" ht="15.75">
      <c r="A61" s="7" t="s">
        <v>59</v>
      </c>
      <c r="D61" s="19">
        <f>D54+D56+D57+D59</f>
        <v>0</v>
      </c>
      <c r="E61" s="4" t="s">
        <v>346</v>
      </c>
    </row>
  </sheetData>
  <sheetProtection password="DB7F" sheet="1" selectLockedCells="1" selectUnlockedCells="1"/>
  <mergeCells count="6">
    <mergeCell ref="A1:E1"/>
    <mergeCell ref="A2:E2"/>
    <mergeCell ref="A7:E7"/>
    <mergeCell ref="A5:E5"/>
    <mergeCell ref="A4:E4"/>
    <mergeCell ref="A6:E6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4.25390625" style="31" customWidth="1"/>
    <col min="2" max="5" width="3.125" style="30" customWidth="1"/>
    <col min="6" max="6" width="44.875" style="9" customWidth="1"/>
    <col min="7" max="7" width="15.625" style="9" customWidth="1"/>
    <col min="8" max="8" width="15.25390625" style="9" customWidth="1"/>
    <col min="9" max="9" width="8.875" style="9" customWidth="1"/>
    <col min="10" max="10" width="9.125" style="9" customWidth="1"/>
    <col min="11" max="11" width="11.375" style="9" bestFit="1" customWidth="1"/>
    <col min="12" max="16384" width="9.125" style="9" customWidth="1"/>
  </cols>
  <sheetData>
    <row r="1" spans="1:9" ht="15.75">
      <c r="A1" s="358" t="s">
        <v>480</v>
      </c>
      <c r="B1" s="358"/>
      <c r="C1" s="358"/>
      <c r="D1" s="358"/>
      <c r="E1" s="358"/>
      <c r="F1" s="358"/>
      <c r="G1" s="358"/>
      <c r="H1" s="358"/>
      <c r="I1" s="358"/>
    </row>
    <row r="2" spans="1:9" s="101" customFormat="1" ht="15.75">
      <c r="A2" s="349" t="s">
        <v>347</v>
      </c>
      <c r="B2" s="349"/>
      <c r="C2" s="349"/>
      <c r="D2" s="349"/>
      <c r="E2" s="349"/>
      <c r="F2" s="349"/>
      <c r="G2" s="349"/>
      <c r="H2" s="349"/>
      <c r="I2" s="349"/>
    </row>
    <row r="3" spans="5:9" ht="15.75">
      <c r="E3" s="47"/>
      <c r="F3" s="47"/>
      <c r="G3" s="47"/>
      <c r="H3" s="47"/>
      <c r="I3" s="47"/>
    </row>
    <row r="4" spans="1:9" ht="15.75">
      <c r="A4" s="360"/>
      <c r="B4" s="360"/>
      <c r="C4" s="360"/>
      <c r="D4" s="360"/>
      <c r="E4" s="360"/>
      <c r="F4" s="360"/>
      <c r="G4" s="360"/>
      <c r="H4" s="360"/>
      <c r="I4" s="360"/>
    </row>
    <row r="5" spans="1:9" s="10" customFormat="1" ht="15.75">
      <c r="A5" s="360" t="s">
        <v>26</v>
      </c>
      <c r="B5" s="360"/>
      <c r="C5" s="360"/>
      <c r="D5" s="360"/>
      <c r="E5" s="360"/>
      <c r="F5" s="360"/>
      <c r="G5" s="360"/>
      <c r="H5" s="360"/>
      <c r="I5" s="360"/>
    </row>
    <row r="6" spans="1:9" s="10" customFormat="1" ht="15.75">
      <c r="A6" s="360" t="s">
        <v>227</v>
      </c>
      <c r="B6" s="360"/>
      <c r="C6" s="360"/>
      <c r="D6" s="360"/>
      <c r="E6" s="360"/>
      <c r="F6" s="360"/>
      <c r="G6" s="360"/>
      <c r="H6" s="360"/>
      <c r="I6" s="360"/>
    </row>
    <row r="7" spans="1:9" ht="15.75">
      <c r="A7" s="360" t="s">
        <v>48</v>
      </c>
      <c r="B7" s="360"/>
      <c r="C7" s="360"/>
      <c r="D7" s="360"/>
      <c r="E7" s="360"/>
      <c r="F7" s="360"/>
      <c r="G7" s="360"/>
      <c r="H7" s="360"/>
      <c r="I7" s="360"/>
    </row>
    <row r="8" ht="15.75" hidden="1"/>
    <row r="9" spans="8:9" ht="16.5" thickBot="1">
      <c r="H9" s="189"/>
      <c r="I9" s="189" t="s">
        <v>4</v>
      </c>
    </row>
    <row r="10" spans="1:9" ht="15.75">
      <c r="A10" s="370" t="s">
        <v>15</v>
      </c>
      <c r="B10" s="371"/>
      <c r="C10" s="371"/>
      <c r="D10" s="371"/>
      <c r="E10" s="371"/>
      <c r="F10" s="345"/>
      <c r="G10" s="33" t="s">
        <v>13</v>
      </c>
      <c r="H10" s="33" t="s">
        <v>13</v>
      </c>
      <c r="I10" s="33" t="s">
        <v>14</v>
      </c>
    </row>
    <row r="11" spans="1:9" ht="15.75">
      <c r="A11" s="346"/>
      <c r="B11" s="342"/>
      <c r="C11" s="342"/>
      <c r="D11" s="342"/>
      <c r="E11" s="342"/>
      <c r="F11" s="343"/>
      <c r="G11" s="34" t="s">
        <v>8</v>
      </c>
      <c r="H11" s="35" t="s">
        <v>8</v>
      </c>
      <c r="I11" s="34"/>
    </row>
    <row r="12" spans="1:9" ht="16.5" thickBot="1">
      <c r="A12" s="344"/>
      <c r="B12" s="338"/>
      <c r="C12" s="338"/>
      <c r="D12" s="338"/>
      <c r="E12" s="338"/>
      <c r="F12" s="339"/>
      <c r="G12" s="36" t="s">
        <v>34</v>
      </c>
      <c r="H12" s="36" t="s">
        <v>48</v>
      </c>
      <c r="I12" s="36" t="s">
        <v>16</v>
      </c>
    </row>
    <row r="13" spans="1:9" ht="12.7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15.75">
      <c r="A14" s="12" t="s">
        <v>35</v>
      </c>
      <c r="B14" s="353" t="s">
        <v>93</v>
      </c>
      <c r="C14" s="353"/>
      <c r="D14" s="353"/>
      <c r="E14" s="353"/>
      <c r="F14" s="353"/>
      <c r="G14" s="53"/>
      <c r="H14" s="54"/>
      <c r="I14" s="53"/>
    </row>
    <row r="15" spans="1:9" ht="15.75">
      <c r="A15" s="12"/>
      <c r="B15" s="12" t="s">
        <v>35</v>
      </c>
      <c r="C15" s="12" t="s">
        <v>94</v>
      </c>
      <c r="D15" s="12"/>
      <c r="E15" s="12"/>
      <c r="F15" s="12"/>
      <c r="G15" s="18"/>
      <c r="H15" s="18"/>
      <c r="I15" s="12"/>
    </row>
    <row r="16" spans="1:9" ht="33" customHeight="1">
      <c r="A16" s="12"/>
      <c r="B16" s="12"/>
      <c r="C16" s="12" t="s">
        <v>29</v>
      </c>
      <c r="D16" s="353" t="s">
        <v>95</v>
      </c>
      <c r="E16" s="353"/>
      <c r="F16" s="353"/>
      <c r="G16" s="54"/>
      <c r="H16" s="54"/>
      <c r="I16" s="53"/>
    </row>
    <row r="17" spans="1:9" ht="33.75" customHeight="1">
      <c r="A17" s="12"/>
      <c r="B17" s="12"/>
      <c r="C17" s="12"/>
      <c r="D17" s="12" t="s">
        <v>29</v>
      </c>
      <c r="E17" s="353" t="s">
        <v>96</v>
      </c>
      <c r="F17" s="353"/>
      <c r="G17" s="54"/>
      <c r="H17" s="54"/>
      <c r="I17" s="53"/>
    </row>
    <row r="18" spans="1:9" ht="15.75">
      <c r="A18" s="14"/>
      <c r="B18" s="14"/>
      <c r="C18" s="14"/>
      <c r="D18" s="14"/>
      <c r="E18" s="14" t="s">
        <v>42</v>
      </c>
      <c r="F18" s="14" t="s">
        <v>36</v>
      </c>
      <c r="G18" s="17">
        <v>7372</v>
      </c>
      <c r="H18" s="17"/>
      <c r="I18" s="55"/>
    </row>
    <row r="19" spans="1:9" ht="15.75">
      <c r="A19" s="14"/>
      <c r="B19" s="14"/>
      <c r="C19" s="14"/>
      <c r="D19" s="14"/>
      <c r="E19" s="14"/>
      <c r="F19" s="14" t="s">
        <v>97</v>
      </c>
      <c r="G19" s="17">
        <v>-2123</v>
      </c>
      <c r="H19" s="17"/>
      <c r="I19" s="55"/>
    </row>
    <row r="20" spans="1:9" ht="31.5">
      <c r="A20" s="14"/>
      <c r="B20" s="14"/>
      <c r="C20" s="14"/>
      <c r="D20" s="14"/>
      <c r="E20" s="14" t="s">
        <v>43</v>
      </c>
      <c r="F20" s="56" t="s">
        <v>37</v>
      </c>
      <c r="G20" s="57"/>
      <c r="H20" s="57"/>
      <c r="I20" s="55"/>
    </row>
    <row r="21" spans="1:9" ht="31.5">
      <c r="A21" s="14"/>
      <c r="B21" s="14"/>
      <c r="C21" s="14"/>
      <c r="D21" s="14"/>
      <c r="E21" s="14" t="s">
        <v>98</v>
      </c>
      <c r="F21" s="56" t="s">
        <v>99</v>
      </c>
      <c r="G21" s="17">
        <v>2535</v>
      </c>
      <c r="H21" s="17">
        <v>2540</v>
      </c>
      <c r="I21" s="55">
        <f>H21/G21*100</f>
        <v>100.19723865877712</v>
      </c>
    </row>
    <row r="22" spans="1:9" ht="15.75">
      <c r="A22" s="14"/>
      <c r="B22" s="14"/>
      <c r="C22" s="14"/>
      <c r="D22" s="14"/>
      <c r="E22" s="14"/>
      <c r="F22" s="14" t="s">
        <v>97</v>
      </c>
      <c r="G22" s="17"/>
      <c r="H22" s="17"/>
      <c r="I22" s="55"/>
    </row>
    <row r="23" spans="1:9" ht="15.75">
      <c r="A23" s="14"/>
      <c r="B23" s="14"/>
      <c r="C23" s="14"/>
      <c r="D23" s="14"/>
      <c r="E23" s="14" t="s">
        <v>100</v>
      </c>
      <c r="F23" s="56" t="s">
        <v>101</v>
      </c>
      <c r="G23" s="17">
        <v>1903</v>
      </c>
      <c r="H23" s="17">
        <v>3002</v>
      </c>
      <c r="I23" s="55">
        <f>H23/G23*100</f>
        <v>157.7509196006306</v>
      </c>
    </row>
    <row r="24" spans="1:9" ht="15.75">
      <c r="A24" s="14"/>
      <c r="B24" s="14"/>
      <c r="C24" s="14"/>
      <c r="D24" s="14"/>
      <c r="E24" s="14"/>
      <c r="F24" s="14" t="s">
        <v>97</v>
      </c>
      <c r="G24" s="17"/>
      <c r="H24" s="17"/>
      <c r="I24" s="55"/>
    </row>
    <row r="25" spans="1:9" ht="33" customHeight="1">
      <c r="A25" s="14"/>
      <c r="B25" s="14"/>
      <c r="C25" s="14"/>
      <c r="D25" s="14"/>
      <c r="E25" s="14" t="s">
        <v>102</v>
      </c>
      <c r="F25" s="56" t="s">
        <v>103</v>
      </c>
      <c r="G25" s="17">
        <v>123</v>
      </c>
      <c r="H25" s="17">
        <v>372</v>
      </c>
      <c r="I25" s="55">
        <f>H25/G25*100</f>
        <v>302.4390243902439</v>
      </c>
    </row>
    <row r="26" spans="1:9" ht="15.75">
      <c r="A26" s="14"/>
      <c r="B26" s="14"/>
      <c r="C26" s="14"/>
      <c r="D26" s="14"/>
      <c r="E26" s="14"/>
      <c r="F26" s="14" t="s">
        <v>97</v>
      </c>
      <c r="G26" s="17"/>
      <c r="H26" s="17"/>
      <c r="I26" s="55"/>
    </row>
    <row r="27" spans="1:11" ht="15.75">
      <c r="A27" s="14"/>
      <c r="B27" s="14"/>
      <c r="C27" s="14"/>
      <c r="D27" s="14"/>
      <c r="E27" s="14" t="s">
        <v>104</v>
      </c>
      <c r="F27" s="56" t="s">
        <v>105</v>
      </c>
      <c r="G27" s="17">
        <v>3476</v>
      </c>
      <c r="H27" s="17">
        <v>7507</v>
      </c>
      <c r="I27" s="55">
        <f>H27/G27*100</f>
        <v>215.9666283084005</v>
      </c>
      <c r="K27" s="81"/>
    </row>
    <row r="28" spans="1:9" s="21" customFormat="1" ht="15.75">
      <c r="A28" s="14"/>
      <c r="B28" s="14"/>
      <c r="C28" s="14"/>
      <c r="D28" s="14"/>
      <c r="E28" s="14"/>
      <c r="F28" s="14" t="s">
        <v>97</v>
      </c>
      <c r="G28" s="17"/>
      <c r="H28" s="17"/>
      <c r="I28" s="55"/>
    </row>
    <row r="29" spans="1:9" ht="15.75">
      <c r="A29" s="14"/>
      <c r="B29" s="14"/>
      <c r="C29" s="14"/>
      <c r="D29" s="14" t="s">
        <v>44</v>
      </c>
      <c r="E29" s="14" t="s">
        <v>106</v>
      </c>
      <c r="F29" s="14"/>
      <c r="G29" s="17">
        <v>3000</v>
      </c>
      <c r="H29" s="17">
        <v>4000</v>
      </c>
      <c r="I29" s="55">
        <f>H29/G29*100</f>
        <v>133.33333333333331</v>
      </c>
    </row>
    <row r="30" spans="1:9" ht="15.75">
      <c r="A30" s="14"/>
      <c r="B30" s="14"/>
      <c r="C30" s="14"/>
      <c r="D30" s="14"/>
      <c r="E30" s="14"/>
      <c r="F30" s="14" t="s">
        <v>97</v>
      </c>
      <c r="G30" s="17"/>
      <c r="H30" s="17">
        <v>-69</v>
      </c>
      <c r="I30" s="55"/>
    </row>
    <row r="31" spans="1:11" s="21" customFormat="1" ht="15.75">
      <c r="A31" s="14"/>
      <c r="B31" s="14"/>
      <c r="C31" s="14"/>
      <c r="D31" s="14" t="s">
        <v>19</v>
      </c>
      <c r="E31" s="14" t="s">
        <v>107</v>
      </c>
      <c r="F31" s="14"/>
      <c r="G31" s="17">
        <v>870</v>
      </c>
      <c r="H31" s="17">
        <v>842</v>
      </c>
      <c r="I31" s="55">
        <f>H31/G31*100</f>
        <v>96.7816091954023</v>
      </c>
      <c r="K31" s="38"/>
    </row>
    <row r="32" spans="1:9" ht="15.75">
      <c r="A32" s="14"/>
      <c r="B32" s="14"/>
      <c r="C32" s="14"/>
      <c r="D32" s="14"/>
      <c r="E32" s="14"/>
      <c r="F32" s="14" t="s">
        <v>97</v>
      </c>
      <c r="G32" s="17"/>
      <c r="H32" s="17">
        <v>-421</v>
      </c>
      <c r="I32" s="55"/>
    </row>
    <row r="33" spans="1:9" ht="33" customHeight="1">
      <c r="A33" s="14"/>
      <c r="B33" s="14"/>
      <c r="C33" s="12" t="s">
        <v>19</v>
      </c>
      <c r="D33" s="353" t="s">
        <v>108</v>
      </c>
      <c r="E33" s="353"/>
      <c r="F33" s="353"/>
      <c r="G33" s="17"/>
      <c r="H33" s="17">
        <v>5</v>
      </c>
      <c r="I33" s="55"/>
    </row>
    <row r="34" spans="1:9" ht="31.5" customHeight="1">
      <c r="A34" s="58"/>
      <c r="B34" s="58"/>
      <c r="C34" s="59"/>
      <c r="D34" s="357" t="s">
        <v>109</v>
      </c>
      <c r="E34" s="357"/>
      <c r="F34" s="357"/>
      <c r="G34" s="61">
        <f>SUM(G18:G33)</f>
        <v>17156</v>
      </c>
      <c r="H34" s="61">
        <f>SUM(H18:H33)</f>
        <v>17778</v>
      </c>
      <c r="I34" s="55">
        <f>H34/G34*100</f>
        <v>103.62555374213103</v>
      </c>
    </row>
    <row r="35" spans="1:9" s="21" customFormat="1" ht="15.75">
      <c r="A35" s="12"/>
      <c r="B35" s="12"/>
      <c r="C35" s="12"/>
      <c r="D35" s="52"/>
      <c r="E35" s="52"/>
      <c r="F35" s="52"/>
      <c r="G35" s="54"/>
      <c r="H35" s="54"/>
      <c r="I35" s="55"/>
    </row>
    <row r="36" spans="1:9" ht="15.75">
      <c r="A36" s="14"/>
      <c r="B36" s="14"/>
      <c r="C36" s="12" t="s">
        <v>30</v>
      </c>
      <c r="D36" s="353" t="s">
        <v>110</v>
      </c>
      <c r="E36" s="353"/>
      <c r="F36" s="353"/>
      <c r="G36" s="54"/>
      <c r="H36" s="54"/>
      <c r="I36" s="55"/>
    </row>
    <row r="37" spans="1:9" ht="15.75">
      <c r="A37" s="14"/>
      <c r="B37" s="14"/>
      <c r="C37" s="14"/>
      <c r="D37" s="14" t="s">
        <v>29</v>
      </c>
      <c r="E37" s="14" t="s">
        <v>111</v>
      </c>
      <c r="F37" s="14"/>
      <c r="G37" s="17">
        <v>1187</v>
      </c>
      <c r="H37" s="17">
        <f>782-119</f>
        <v>663</v>
      </c>
      <c r="I37" s="55">
        <f>H37/G37*100</f>
        <v>55.85509688289806</v>
      </c>
    </row>
    <row r="38" spans="1:9" ht="15.75">
      <c r="A38" s="14"/>
      <c r="B38" s="14"/>
      <c r="C38" s="14"/>
      <c r="D38" s="14" t="s">
        <v>30</v>
      </c>
      <c r="E38" s="14" t="s">
        <v>112</v>
      </c>
      <c r="F38" s="14"/>
      <c r="G38" s="17">
        <v>1668</v>
      </c>
      <c r="H38" s="17">
        <f>280+830-55</f>
        <v>1055</v>
      </c>
      <c r="I38" s="55">
        <f>H38/G38*100</f>
        <v>63.249400479616305</v>
      </c>
    </row>
    <row r="39" spans="1:11" ht="15.75">
      <c r="A39" s="14"/>
      <c r="B39" s="14"/>
      <c r="C39" s="14"/>
      <c r="D39" s="14" t="s">
        <v>116</v>
      </c>
      <c r="E39" s="14" t="s">
        <v>154</v>
      </c>
      <c r="F39" s="14"/>
      <c r="G39" s="17"/>
      <c r="H39" s="17">
        <v>709</v>
      </c>
      <c r="I39" s="55"/>
      <c r="K39" s="81"/>
    </row>
    <row r="40" spans="1:9" ht="15.75">
      <c r="A40" s="14"/>
      <c r="B40" s="14"/>
      <c r="C40" s="14"/>
      <c r="D40" s="14" t="s">
        <v>113</v>
      </c>
      <c r="E40" s="14" t="s">
        <v>114</v>
      </c>
      <c r="F40" s="14"/>
      <c r="G40" s="17"/>
      <c r="H40" s="17">
        <f>2605-326+67</f>
        <v>2346</v>
      </c>
      <c r="I40" s="55"/>
    </row>
    <row r="41" spans="1:13" ht="33.75" customHeight="1">
      <c r="A41" s="58"/>
      <c r="B41" s="58"/>
      <c r="C41" s="357" t="s">
        <v>115</v>
      </c>
      <c r="D41" s="357"/>
      <c r="E41" s="357"/>
      <c r="F41" s="357"/>
      <c r="G41" s="63">
        <f>SUM(G37:G40)</f>
        <v>2855</v>
      </c>
      <c r="H41" s="63">
        <f>SUM(H37:H40)</f>
        <v>4773</v>
      </c>
      <c r="I41" s="55">
        <f>H41/G41*100</f>
        <v>167.18038528896673</v>
      </c>
      <c r="K41" s="37"/>
      <c r="L41" s="37"/>
      <c r="M41" s="37"/>
    </row>
    <row r="42" spans="1:13" ht="33.75" customHeight="1">
      <c r="A42" s="58"/>
      <c r="B42" s="58"/>
      <c r="C42" s="60"/>
      <c r="D42" s="60"/>
      <c r="E42" s="60"/>
      <c r="F42" s="60"/>
      <c r="G42" s="63"/>
      <c r="H42" s="63"/>
      <c r="I42" s="55"/>
      <c r="K42" s="37"/>
      <c r="L42" s="37"/>
      <c r="M42" s="37"/>
    </row>
    <row r="43" spans="1:9" ht="16.5" thickBot="1">
      <c r="A43" s="58"/>
      <c r="B43" s="58"/>
      <c r="C43" s="60"/>
      <c r="D43" s="60"/>
      <c r="E43" s="60"/>
      <c r="F43" s="60"/>
      <c r="G43" s="63"/>
      <c r="H43" s="63"/>
      <c r="I43" s="55"/>
    </row>
    <row r="44" spans="1:9" ht="15.75">
      <c r="A44" s="361" t="s">
        <v>15</v>
      </c>
      <c r="B44" s="362"/>
      <c r="C44" s="362"/>
      <c r="D44" s="362"/>
      <c r="E44" s="362"/>
      <c r="F44" s="363"/>
      <c r="G44" s="64" t="s">
        <v>13</v>
      </c>
      <c r="H44" s="64" t="s">
        <v>13</v>
      </c>
      <c r="I44" s="65" t="s">
        <v>14</v>
      </c>
    </row>
    <row r="45" spans="1:9" ht="15.75">
      <c r="A45" s="364"/>
      <c r="B45" s="365"/>
      <c r="C45" s="365"/>
      <c r="D45" s="365"/>
      <c r="E45" s="365"/>
      <c r="F45" s="366"/>
      <c r="G45" s="67" t="s">
        <v>8</v>
      </c>
      <c r="H45" s="67" t="s">
        <v>8</v>
      </c>
      <c r="I45" s="34"/>
    </row>
    <row r="46" spans="1:9" ht="16.5" thickBot="1">
      <c r="A46" s="367"/>
      <c r="B46" s="368"/>
      <c r="C46" s="368"/>
      <c r="D46" s="368"/>
      <c r="E46" s="368"/>
      <c r="F46" s="369"/>
      <c r="G46" s="68" t="s">
        <v>34</v>
      </c>
      <c r="H46" s="68" t="s">
        <v>61</v>
      </c>
      <c r="I46" s="36" t="s">
        <v>16</v>
      </c>
    </row>
    <row r="47" spans="1:9" ht="12" customHeight="1">
      <c r="A47" s="14"/>
      <c r="B47" s="14"/>
      <c r="C47" s="14"/>
      <c r="D47" s="14"/>
      <c r="E47" s="14"/>
      <c r="F47" s="14"/>
      <c r="G47" s="17"/>
      <c r="H47" s="17"/>
      <c r="I47" s="55"/>
    </row>
    <row r="48" spans="1:13" ht="31.5" customHeight="1">
      <c r="A48" s="14"/>
      <c r="B48" s="14"/>
      <c r="C48" s="12" t="s">
        <v>116</v>
      </c>
      <c r="D48" s="353" t="s">
        <v>117</v>
      </c>
      <c r="E48" s="353"/>
      <c r="F48" s="353"/>
      <c r="G48" s="54"/>
      <c r="H48" s="54"/>
      <c r="I48" s="53"/>
      <c r="K48" s="37"/>
      <c r="L48" s="37"/>
      <c r="M48" s="37"/>
    </row>
    <row r="49" spans="1:13" ht="30" customHeight="1">
      <c r="A49" s="14"/>
      <c r="B49" s="14"/>
      <c r="C49" s="14"/>
      <c r="D49" s="14" t="s">
        <v>29</v>
      </c>
      <c r="E49" s="355" t="s">
        <v>40</v>
      </c>
      <c r="F49" s="355"/>
      <c r="G49" s="57"/>
      <c r="H49" s="57"/>
      <c r="I49" s="56"/>
      <c r="K49" s="37"/>
      <c r="L49" s="37"/>
      <c r="M49" s="37"/>
    </row>
    <row r="50" spans="1:13" ht="31.5">
      <c r="A50" s="14"/>
      <c r="B50" s="14"/>
      <c r="C50" s="14"/>
      <c r="D50" s="14"/>
      <c r="E50" s="14" t="s">
        <v>45</v>
      </c>
      <c r="F50" s="56" t="s">
        <v>118</v>
      </c>
      <c r="G50" s="17">
        <v>796</v>
      </c>
      <c r="H50" s="57">
        <v>808</v>
      </c>
      <c r="I50" s="55">
        <f>H50/G50*100</f>
        <v>101.50753768844221</v>
      </c>
      <c r="L50" s="37"/>
      <c r="M50" s="37"/>
    </row>
    <row r="51" spans="1:13" ht="15.75">
      <c r="A51" s="14"/>
      <c r="B51" s="14"/>
      <c r="C51" s="14"/>
      <c r="D51" s="14"/>
      <c r="E51" s="14"/>
      <c r="F51" s="56"/>
      <c r="G51" s="17"/>
      <c r="H51" s="57"/>
      <c r="I51" s="55"/>
      <c r="L51" s="37"/>
      <c r="M51" s="37"/>
    </row>
    <row r="52" spans="1:9" ht="34.5" customHeight="1">
      <c r="A52" s="58"/>
      <c r="B52" s="58"/>
      <c r="C52" s="357" t="s">
        <v>119</v>
      </c>
      <c r="D52" s="357"/>
      <c r="E52" s="357"/>
      <c r="F52" s="357"/>
      <c r="G52" s="63">
        <f>SUM(G50:G50)</f>
        <v>796</v>
      </c>
      <c r="H52" s="63">
        <f>SUM(H50:H50)</f>
        <v>808</v>
      </c>
      <c r="I52" s="55">
        <f>H52/G52*100</f>
        <v>101.50753768844221</v>
      </c>
    </row>
    <row r="53" spans="1:9" ht="12" customHeight="1">
      <c r="A53" s="14"/>
      <c r="B53" s="14"/>
      <c r="C53" s="14"/>
      <c r="D53" s="14"/>
      <c r="E53" s="14"/>
      <c r="F53" s="14"/>
      <c r="G53" s="17"/>
      <c r="H53" s="17"/>
      <c r="I53" s="55"/>
    </row>
    <row r="54" spans="1:9" ht="15.75">
      <c r="A54" s="66"/>
      <c r="B54" s="66"/>
      <c r="C54" s="69" t="s">
        <v>120</v>
      </c>
      <c r="D54" s="12" t="s">
        <v>121</v>
      </c>
      <c r="E54" s="66"/>
      <c r="F54" s="66"/>
      <c r="G54" s="70"/>
      <c r="H54" s="70"/>
      <c r="I54" s="55"/>
    </row>
    <row r="55" spans="1:9" ht="15.75">
      <c r="A55" s="66"/>
      <c r="B55" s="66"/>
      <c r="C55" s="66"/>
      <c r="D55" s="66" t="s">
        <v>29</v>
      </c>
      <c r="E55" s="356" t="s">
        <v>122</v>
      </c>
      <c r="F55" s="356"/>
      <c r="G55" s="70">
        <v>167</v>
      </c>
      <c r="H55" s="70">
        <v>280</v>
      </c>
      <c r="I55" s="55">
        <f>H55/G55*100</f>
        <v>167.6646706586826</v>
      </c>
    </row>
    <row r="56" spans="1:9" ht="15.75">
      <c r="A56" s="66"/>
      <c r="B56" s="66"/>
      <c r="C56" s="9"/>
      <c r="D56" s="66" t="s">
        <v>19</v>
      </c>
      <c r="E56" s="71" t="s">
        <v>123</v>
      </c>
      <c r="F56" s="66"/>
      <c r="G56" s="70"/>
      <c r="H56" s="70">
        <v>20</v>
      </c>
      <c r="I56" s="55"/>
    </row>
    <row r="57" spans="1:9" ht="15.75">
      <c r="A57" s="66"/>
      <c r="B57" s="66"/>
      <c r="C57" s="9"/>
      <c r="D57" s="66" t="s">
        <v>30</v>
      </c>
      <c r="E57" s="71" t="s">
        <v>355</v>
      </c>
      <c r="F57" s="66"/>
      <c r="G57" s="70"/>
      <c r="H57" s="70">
        <v>47</v>
      </c>
      <c r="I57" s="55"/>
    </row>
    <row r="58" spans="1:9" ht="15.75">
      <c r="A58" s="66"/>
      <c r="B58" s="66"/>
      <c r="C58" s="9"/>
      <c r="D58" s="66"/>
      <c r="E58" s="71"/>
      <c r="F58" s="66"/>
      <c r="G58" s="70"/>
      <c r="H58" s="70"/>
      <c r="I58" s="55"/>
    </row>
    <row r="59" spans="1:9" ht="15.75">
      <c r="A59" s="58"/>
      <c r="B59" s="58"/>
      <c r="C59" s="357" t="s">
        <v>356</v>
      </c>
      <c r="D59" s="357"/>
      <c r="E59" s="357"/>
      <c r="F59" s="357"/>
      <c r="G59" s="63"/>
      <c r="H59" s="63">
        <f>SUM(H55:H57)</f>
        <v>347</v>
      </c>
      <c r="I59" s="55"/>
    </row>
    <row r="60" spans="1:9" ht="12" customHeight="1">
      <c r="A60" s="14"/>
      <c r="B60" s="14"/>
      <c r="C60" s="14"/>
      <c r="D60" s="14"/>
      <c r="E60" s="14"/>
      <c r="F60" s="14"/>
      <c r="G60" s="17"/>
      <c r="H60" s="17"/>
      <c r="I60" s="55"/>
    </row>
    <row r="61" spans="1:9" ht="15.75">
      <c r="A61" s="66"/>
      <c r="B61" s="66"/>
      <c r="C61" s="69" t="s">
        <v>126</v>
      </c>
      <c r="D61" s="12" t="s">
        <v>385</v>
      </c>
      <c r="E61" s="66"/>
      <c r="F61" s="66"/>
      <c r="G61" s="70"/>
      <c r="H61" s="70"/>
      <c r="I61" s="55"/>
    </row>
    <row r="62" spans="1:9" ht="15.75">
      <c r="A62" s="14"/>
      <c r="B62" s="14"/>
      <c r="C62" s="14"/>
      <c r="D62" s="14" t="s">
        <v>29</v>
      </c>
      <c r="E62" s="14" t="s">
        <v>369</v>
      </c>
      <c r="F62" s="14"/>
      <c r="G62" s="17"/>
      <c r="H62" s="17">
        <f>215+143+95+72</f>
        <v>525</v>
      </c>
      <c r="I62" s="55"/>
    </row>
    <row r="63" spans="1:9" ht="30" customHeight="1">
      <c r="A63" s="14"/>
      <c r="B63" s="14"/>
      <c r="C63" s="14"/>
      <c r="D63" s="14" t="s">
        <v>19</v>
      </c>
      <c r="E63" s="355" t="s">
        <v>404</v>
      </c>
      <c r="F63" s="355"/>
      <c r="G63" s="17"/>
      <c r="H63" s="17">
        <v>195</v>
      </c>
      <c r="I63" s="55"/>
    </row>
    <row r="64" spans="1:9" ht="15.75">
      <c r="A64" s="14"/>
      <c r="B64" s="14"/>
      <c r="C64" s="14"/>
      <c r="D64" s="14" t="s">
        <v>30</v>
      </c>
      <c r="E64" s="355" t="s">
        <v>405</v>
      </c>
      <c r="F64" s="355"/>
      <c r="G64" s="17"/>
      <c r="H64" s="17">
        <v>249</v>
      </c>
      <c r="I64" s="55"/>
    </row>
    <row r="65" spans="1:9" ht="15.75">
      <c r="A65" s="14"/>
      <c r="B65" s="14"/>
      <c r="C65" s="14"/>
      <c r="D65" s="14"/>
      <c r="E65" s="14"/>
      <c r="F65" s="14"/>
      <c r="G65" s="17"/>
      <c r="H65" s="17"/>
      <c r="I65" s="55"/>
    </row>
    <row r="66" spans="1:9" ht="30" customHeight="1">
      <c r="A66" s="58"/>
      <c r="B66" s="58"/>
      <c r="C66" s="357" t="s">
        <v>386</v>
      </c>
      <c r="D66" s="357"/>
      <c r="E66" s="357"/>
      <c r="F66" s="357"/>
      <c r="G66" s="63"/>
      <c r="H66" s="63">
        <f>H62+H63+H64</f>
        <v>969</v>
      </c>
      <c r="I66" s="55"/>
    </row>
    <row r="67" spans="1:9" ht="12" customHeight="1">
      <c r="A67" s="14"/>
      <c r="B67" s="14"/>
      <c r="C67" s="14"/>
      <c r="D67" s="14"/>
      <c r="E67" s="14"/>
      <c r="F67" s="14"/>
      <c r="G67" s="17"/>
      <c r="H67" s="17"/>
      <c r="I67" s="55"/>
    </row>
    <row r="68" spans="1:9" ht="31.5" customHeight="1">
      <c r="A68" s="66"/>
      <c r="B68" s="353" t="s">
        <v>124</v>
      </c>
      <c r="C68" s="353"/>
      <c r="D68" s="353"/>
      <c r="E68" s="353"/>
      <c r="F68" s="353"/>
      <c r="G68" s="72">
        <f>G34+G41+G52+G55+G56</f>
        <v>20974</v>
      </c>
      <c r="H68" s="72">
        <f>H34+H41+H52+H59+H66</f>
        <v>24675</v>
      </c>
      <c r="I68" s="73">
        <f>H68/G68*100</f>
        <v>117.64565652712882</v>
      </c>
    </row>
    <row r="69" spans="1:9" ht="12" customHeight="1">
      <c r="A69" s="14"/>
      <c r="B69" s="14"/>
      <c r="C69" s="14"/>
      <c r="D69" s="14"/>
      <c r="E69" s="14"/>
      <c r="F69" s="14"/>
      <c r="G69" s="17"/>
      <c r="H69" s="17"/>
      <c r="I69" s="55"/>
    </row>
    <row r="70" spans="1:9" ht="15.75">
      <c r="A70" s="66"/>
      <c r="B70" s="12" t="s">
        <v>38</v>
      </c>
      <c r="C70" s="353" t="s">
        <v>125</v>
      </c>
      <c r="D70" s="353"/>
      <c r="E70" s="353"/>
      <c r="F70" s="353"/>
      <c r="G70" s="53"/>
      <c r="H70" s="54"/>
      <c r="I70" s="55"/>
    </row>
    <row r="71" spans="1:9" ht="31.5" customHeight="1">
      <c r="A71" s="66"/>
      <c r="B71" s="66"/>
      <c r="C71" s="9" t="s">
        <v>29</v>
      </c>
      <c r="D71" s="354" t="s">
        <v>68</v>
      </c>
      <c r="E71" s="354"/>
      <c r="F71" s="354"/>
      <c r="G71" s="70"/>
      <c r="H71" s="70">
        <v>7433</v>
      </c>
      <c r="I71" s="55"/>
    </row>
    <row r="72" spans="1:9" ht="15.75">
      <c r="A72" s="14"/>
      <c r="B72" s="14"/>
      <c r="C72" s="14" t="s">
        <v>19</v>
      </c>
      <c r="D72" s="14" t="s">
        <v>332</v>
      </c>
      <c r="E72" s="14"/>
      <c r="F72" s="14"/>
      <c r="G72" s="14"/>
      <c r="H72" s="17">
        <f>437+260+576+394</f>
        <v>1667</v>
      </c>
      <c r="I72" s="55"/>
    </row>
    <row r="73" spans="1:9" ht="15.75">
      <c r="A73" s="14"/>
      <c r="B73" s="14"/>
      <c r="C73" s="14" t="s">
        <v>30</v>
      </c>
      <c r="D73" s="14" t="s">
        <v>458</v>
      </c>
      <c r="E73" s="14"/>
      <c r="F73" s="14"/>
      <c r="G73" s="14"/>
      <c r="H73" s="17">
        <v>46</v>
      </c>
      <c r="I73" s="55"/>
    </row>
    <row r="74" spans="1:9" ht="12" customHeight="1">
      <c r="A74" s="14"/>
      <c r="B74" s="14"/>
      <c r="C74" s="14"/>
      <c r="D74" s="14"/>
      <c r="E74" s="14"/>
      <c r="F74" s="14"/>
      <c r="G74" s="17"/>
      <c r="H74" s="17"/>
      <c r="I74" s="55"/>
    </row>
    <row r="75" spans="1:9" ht="31.5" customHeight="1">
      <c r="A75" s="66"/>
      <c r="B75" s="353" t="s">
        <v>127</v>
      </c>
      <c r="C75" s="353"/>
      <c r="D75" s="353"/>
      <c r="E75" s="353"/>
      <c r="F75" s="353"/>
      <c r="G75" s="72">
        <f>SUM(G71:G74)</f>
        <v>0</v>
      </c>
      <c r="H75" s="72">
        <f>SUM(H71:H74)</f>
        <v>9146</v>
      </c>
      <c r="I75" s="73"/>
    </row>
    <row r="76" spans="1:9" ht="12" customHeight="1">
      <c r="A76" s="14"/>
      <c r="B76" s="14"/>
      <c r="C76" s="14"/>
      <c r="D76" s="14"/>
      <c r="E76" s="14"/>
      <c r="F76" s="14"/>
      <c r="G76" s="17"/>
      <c r="H76" s="17"/>
      <c r="I76" s="55"/>
    </row>
    <row r="77" spans="1:9" ht="36" customHeight="1">
      <c r="A77" s="353" t="s">
        <v>128</v>
      </c>
      <c r="B77" s="353"/>
      <c r="C77" s="353"/>
      <c r="D77" s="353"/>
      <c r="E77" s="353"/>
      <c r="F77" s="353"/>
      <c r="G77" s="74">
        <f>G75+G68</f>
        <v>20974</v>
      </c>
      <c r="H77" s="74">
        <f>H75+H68</f>
        <v>33821</v>
      </c>
      <c r="I77" s="55">
        <f>H77/G77*100</f>
        <v>161.25202631829885</v>
      </c>
    </row>
    <row r="78" spans="1:9" ht="12" customHeight="1">
      <c r="A78" s="14"/>
      <c r="B78" s="14"/>
      <c r="C78" s="14"/>
      <c r="D78" s="14"/>
      <c r="E78" s="14"/>
      <c r="F78" s="14"/>
      <c r="G78" s="17"/>
      <c r="H78" s="17"/>
      <c r="I78" s="55"/>
    </row>
    <row r="79" spans="1:9" s="39" customFormat="1" ht="15.75" customHeight="1">
      <c r="A79" s="12" t="s">
        <v>38</v>
      </c>
      <c r="B79" s="353" t="s">
        <v>129</v>
      </c>
      <c r="C79" s="353"/>
      <c r="D79" s="353"/>
      <c r="E79" s="353"/>
      <c r="F79" s="353"/>
      <c r="G79" s="53"/>
      <c r="H79" s="54"/>
      <c r="I79" s="55"/>
    </row>
    <row r="80" spans="1:9" ht="12" customHeight="1">
      <c r="A80" s="14"/>
      <c r="B80" s="14"/>
      <c r="C80" s="14"/>
      <c r="D80" s="14"/>
      <c r="E80" s="14"/>
      <c r="F80" s="14"/>
      <c r="G80" s="17"/>
      <c r="H80" s="17"/>
      <c r="I80" s="55"/>
    </row>
    <row r="81" spans="1:9" s="39" customFormat="1" ht="27.75" customHeight="1">
      <c r="A81" s="14"/>
      <c r="B81" s="12" t="s">
        <v>29</v>
      </c>
      <c r="C81" s="353" t="s">
        <v>130</v>
      </c>
      <c r="D81" s="353"/>
      <c r="E81" s="353"/>
      <c r="F81" s="353"/>
      <c r="G81" s="53"/>
      <c r="H81" s="54"/>
      <c r="I81" s="55"/>
    </row>
    <row r="82" spans="1:9" ht="31.5" customHeight="1">
      <c r="A82" s="52"/>
      <c r="B82" s="52"/>
      <c r="C82" s="52" t="s">
        <v>29</v>
      </c>
      <c r="D82" s="354" t="s">
        <v>53</v>
      </c>
      <c r="E82" s="354"/>
      <c r="F82" s="354"/>
      <c r="G82" s="82">
        <v>6439</v>
      </c>
      <c r="H82" s="74"/>
      <c r="I82" s="55"/>
    </row>
    <row r="83" spans="3:9" ht="48" customHeight="1" thickBot="1">
      <c r="C83" s="30" t="s">
        <v>19</v>
      </c>
      <c r="D83" s="354" t="s">
        <v>67</v>
      </c>
      <c r="E83" s="354"/>
      <c r="F83" s="354"/>
      <c r="H83" s="82">
        <v>4390</v>
      </c>
      <c r="I83" s="11"/>
    </row>
    <row r="84" spans="1:9" ht="15.75" customHeight="1">
      <c r="A84" s="361" t="s">
        <v>15</v>
      </c>
      <c r="B84" s="362"/>
      <c r="C84" s="362"/>
      <c r="D84" s="362"/>
      <c r="E84" s="362"/>
      <c r="F84" s="363"/>
      <c r="G84" s="64" t="s">
        <v>13</v>
      </c>
      <c r="H84" s="64" t="s">
        <v>13</v>
      </c>
      <c r="I84" s="65" t="s">
        <v>14</v>
      </c>
    </row>
    <row r="85" spans="1:9" ht="15.75">
      <c r="A85" s="364"/>
      <c r="B85" s="365"/>
      <c r="C85" s="365"/>
      <c r="D85" s="365"/>
      <c r="E85" s="365"/>
      <c r="F85" s="366"/>
      <c r="G85" s="67" t="s">
        <v>8</v>
      </c>
      <c r="H85" s="67" t="s">
        <v>8</v>
      </c>
      <c r="I85" s="34"/>
    </row>
    <row r="86" spans="1:9" s="39" customFormat="1" ht="15.75" customHeight="1" thickBot="1">
      <c r="A86" s="367"/>
      <c r="B86" s="368"/>
      <c r="C86" s="368"/>
      <c r="D86" s="368"/>
      <c r="E86" s="368"/>
      <c r="F86" s="369"/>
      <c r="G86" s="68" t="s">
        <v>34</v>
      </c>
      <c r="H86" s="68" t="s">
        <v>61</v>
      </c>
      <c r="I86" s="36" t="s">
        <v>16</v>
      </c>
    </row>
    <row r="87" spans="4:9" ht="15.75">
      <c r="D87" s="227"/>
      <c r="E87" s="227"/>
      <c r="F87" s="227"/>
      <c r="H87" s="82"/>
      <c r="I87" s="11"/>
    </row>
    <row r="88" spans="3:9" ht="28.5" customHeight="1">
      <c r="C88" s="30" t="s">
        <v>30</v>
      </c>
      <c r="D88" s="354" t="s">
        <v>358</v>
      </c>
      <c r="E88" s="354"/>
      <c r="F88" s="354"/>
      <c r="H88" s="82">
        <v>10000</v>
      </c>
      <c r="I88" s="11"/>
    </row>
    <row r="89" spans="3:9" ht="44.25" customHeight="1">
      <c r="C89" s="30" t="s">
        <v>116</v>
      </c>
      <c r="D89" s="354" t="s">
        <v>370</v>
      </c>
      <c r="E89" s="354"/>
      <c r="F89" s="354"/>
      <c r="H89" s="82">
        <v>12559</v>
      </c>
      <c r="I89" s="11"/>
    </row>
    <row r="90" spans="1:9" ht="28.5" customHeight="1">
      <c r="A90" s="66"/>
      <c r="B90" s="353" t="s">
        <v>131</v>
      </c>
      <c r="C90" s="353"/>
      <c r="D90" s="353"/>
      <c r="E90" s="353"/>
      <c r="F90" s="353"/>
      <c r="G90" s="75">
        <f>SUM(G82:G89)</f>
        <v>6439</v>
      </c>
      <c r="H90" s="75">
        <f>SUM(H82:H89)</f>
        <v>26949</v>
      </c>
      <c r="I90" s="55">
        <f>H90/G90*100</f>
        <v>418.5277216959155</v>
      </c>
    </row>
    <row r="91" spans="1:9" ht="12" customHeight="1">
      <c r="A91" s="14"/>
      <c r="B91" s="14"/>
      <c r="C91" s="14"/>
      <c r="D91" s="14"/>
      <c r="E91" s="14"/>
      <c r="F91" s="14"/>
      <c r="G91" s="17"/>
      <c r="H91" s="17"/>
      <c r="I91" s="55"/>
    </row>
    <row r="92" spans="1:11" ht="34.5" customHeight="1">
      <c r="A92" s="353" t="s">
        <v>132</v>
      </c>
      <c r="B92" s="353"/>
      <c r="C92" s="353"/>
      <c r="D92" s="353"/>
      <c r="E92" s="353"/>
      <c r="F92" s="353"/>
      <c r="G92" s="72">
        <f>G90</f>
        <v>6439</v>
      </c>
      <c r="H92" s="72">
        <f>H90</f>
        <v>26949</v>
      </c>
      <c r="I92" s="73">
        <f>H92/G92*100</f>
        <v>418.5277216959155</v>
      </c>
      <c r="K92" s="81"/>
    </row>
    <row r="93" spans="1:9" ht="12" customHeight="1">
      <c r="A93" s="14"/>
      <c r="B93" s="14"/>
      <c r="C93" s="14"/>
      <c r="D93" s="14"/>
      <c r="E93" s="14"/>
      <c r="F93" s="14"/>
      <c r="G93" s="17"/>
      <c r="H93" s="17"/>
      <c r="I93" s="55"/>
    </row>
    <row r="94" spans="1:9" ht="15.75">
      <c r="A94" s="12" t="s">
        <v>39</v>
      </c>
      <c r="B94" s="12" t="s">
        <v>75</v>
      </c>
      <c r="C94" s="12"/>
      <c r="D94" s="12"/>
      <c r="E94" s="12"/>
      <c r="F94" s="12"/>
      <c r="G94" s="12"/>
      <c r="H94" s="18"/>
      <c r="I94" s="55"/>
    </row>
    <row r="95" spans="1:9" ht="12" customHeight="1">
      <c r="A95" s="14"/>
      <c r="B95" s="14"/>
      <c r="C95" s="14"/>
      <c r="D95" s="14"/>
      <c r="E95" s="14"/>
      <c r="F95" s="14"/>
      <c r="G95" s="17"/>
      <c r="H95" s="17"/>
      <c r="I95" s="55"/>
    </row>
    <row r="96" spans="1:9" ht="15.75">
      <c r="A96" s="14"/>
      <c r="B96" s="14" t="s">
        <v>29</v>
      </c>
      <c r="C96" s="14" t="s">
        <v>155</v>
      </c>
      <c r="D96" s="14"/>
      <c r="E96" s="14"/>
      <c r="F96" s="14"/>
      <c r="G96" s="14"/>
      <c r="H96" s="17"/>
      <c r="I96" s="55"/>
    </row>
    <row r="97" spans="1:9" ht="15.75">
      <c r="A97" s="14"/>
      <c r="B97" s="14"/>
      <c r="C97" s="14" t="s">
        <v>29</v>
      </c>
      <c r="D97" s="14" t="s">
        <v>156</v>
      </c>
      <c r="E97" s="14"/>
      <c r="F97" s="14"/>
      <c r="G97" s="70">
        <v>1750</v>
      </c>
      <c r="H97" s="17">
        <f>1600-108</f>
        <v>1492</v>
      </c>
      <c r="I97" s="55">
        <f>H97/G97*100</f>
        <v>85.25714285714285</v>
      </c>
    </row>
    <row r="98" spans="1:9" ht="15.75">
      <c r="A98" s="12"/>
      <c r="B98" s="12" t="s">
        <v>19</v>
      </c>
      <c r="C98" s="12" t="s">
        <v>133</v>
      </c>
      <c r="D98" s="12"/>
      <c r="E98" s="12"/>
      <c r="F98" s="12"/>
      <c r="G98" s="12"/>
      <c r="H98" s="18"/>
      <c r="I98" s="55"/>
    </row>
    <row r="99" spans="1:9" s="10" customFormat="1" ht="15.75">
      <c r="A99" s="14"/>
      <c r="B99" s="14"/>
      <c r="C99" s="14" t="s">
        <v>29</v>
      </c>
      <c r="D99" s="14" t="s">
        <v>134</v>
      </c>
      <c r="E99" s="14"/>
      <c r="F99" s="14"/>
      <c r="G99" s="70">
        <v>4200</v>
      </c>
      <c r="H99" s="17">
        <f>4500-588</f>
        <v>3912</v>
      </c>
      <c r="I99" s="55">
        <f>H99/G99*100</f>
        <v>93.14285714285714</v>
      </c>
    </row>
    <row r="100" spans="1:9" ht="15.75">
      <c r="A100" s="12"/>
      <c r="B100" s="12" t="s">
        <v>30</v>
      </c>
      <c r="C100" s="12" t="s">
        <v>135</v>
      </c>
      <c r="D100" s="12"/>
      <c r="E100" s="12"/>
      <c r="F100" s="12"/>
      <c r="G100" s="70"/>
      <c r="H100" s="18"/>
      <c r="I100" s="55"/>
    </row>
    <row r="101" spans="1:9" ht="15.75">
      <c r="A101" s="14"/>
      <c r="B101" s="14"/>
      <c r="C101" s="14" t="s">
        <v>29</v>
      </c>
      <c r="D101" s="14" t="s">
        <v>136</v>
      </c>
      <c r="E101" s="14"/>
      <c r="F101" s="14"/>
      <c r="G101" s="70">
        <v>1720</v>
      </c>
      <c r="H101" s="17">
        <f>1760+153</f>
        <v>1913</v>
      </c>
      <c r="I101" s="55">
        <f>H101/G101*100</f>
        <v>111.22093023255815</v>
      </c>
    </row>
    <row r="102" spans="1:9" ht="15.75">
      <c r="A102" s="14"/>
      <c r="B102" s="12" t="s">
        <v>116</v>
      </c>
      <c r="C102" s="12" t="s">
        <v>137</v>
      </c>
      <c r="D102" s="14"/>
      <c r="E102" s="14"/>
      <c r="F102" s="14"/>
      <c r="G102" s="70"/>
      <c r="H102" s="17"/>
      <c r="I102" s="55"/>
    </row>
    <row r="103" spans="1:9" ht="15.75">
      <c r="A103" s="14"/>
      <c r="B103" s="14"/>
      <c r="C103" s="14" t="s">
        <v>29</v>
      </c>
      <c r="D103" s="14" t="s">
        <v>138</v>
      </c>
      <c r="E103" s="14"/>
      <c r="F103" s="14"/>
      <c r="G103" s="70">
        <v>185</v>
      </c>
      <c r="H103" s="17">
        <f>400-266</f>
        <v>134</v>
      </c>
      <c r="I103" s="55">
        <f>H103/G103*100</f>
        <v>72.43243243243244</v>
      </c>
    </row>
    <row r="104" spans="1:9" ht="15.75">
      <c r="A104" s="14"/>
      <c r="B104" s="14"/>
      <c r="C104" s="12" t="s">
        <v>19</v>
      </c>
      <c r="D104" s="14" t="s">
        <v>66</v>
      </c>
      <c r="E104" s="14"/>
      <c r="F104" s="14"/>
      <c r="G104" s="70"/>
      <c r="H104" s="17">
        <f>357-80</f>
        <v>277</v>
      </c>
      <c r="I104" s="55"/>
    </row>
    <row r="105" spans="1:9" ht="15.75">
      <c r="A105" s="12"/>
      <c r="B105" s="12" t="s">
        <v>113</v>
      </c>
      <c r="C105" s="12" t="s">
        <v>139</v>
      </c>
      <c r="D105" s="12"/>
      <c r="E105" s="12"/>
      <c r="F105" s="12"/>
      <c r="G105" s="70"/>
      <c r="H105" s="18"/>
      <c r="I105" s="55"/>
    </row>
    <row r="106" spans="1:9" ht="15.75">
      <c r="A106" s="14"/>
      <c r="B106" s="14"/>
      <c r="C106" s="12" t="s">
        <v>29</v>
      </c>
      <c r="D106" s="14" t="s">
        <v>140</v>
      </c>
      <c r="E106" s="14"/>
      <c r="F106" s="14"/>
      <c r="G106" s="70"/>
      <c r="H106" s="17">
        <f>30-25</f>
        <v>5</v>
      </c>
      <c r="I106" s="55"/>
    </row>
    <row r="107" spans="1:9" ht="15.75">
      <c r="A107" s="14"/>
      <c r="B107" s="14"/>
      <c r="C107" s="12" t="s">
        <v>19</v>
      </c>
      <c r="D107" s="14" t="s">
        <v>141</v>
      </c>
      <c r="E107" s="14"/>
      <c r="F107" s="14"/>
      <c r="G107" s="70">
        <v>45</v>
      </c>
      <c r="H107" s="17"/>
      <c r="I107" s="55"/>
    </row>
    <row r="108" spans="1:9" ht="15.75" customHeight="1">
      <c r="A108" s="66"/>
      <c r="B108" s="66"/>
      <c r="C108" s="66" t="s">
        <v>30</v>
      </c>
      <c r="D108" s="71" t="s">
        <v>139</v>
      </c>
      <c r="E108" s="66"/>
      <c r="F108" s="66"/>
      <c r="G108" s="70"/>
      <c r="H108" s="70"/>
      <c r="I108" s="55"/>
    </row>
    <row r="109" spans="1:9" ht="15.75">
      <c r="A109" s="14"/>
      <c r="B109" s="14"/>
      <c r="C109" s="12" t="s">
        <v>116</v>
      </c>
      <c r="D109" s="14" t="s">
        <v>142</v>
      </c>
      <c r="E109" s="14"/>
      <c r="F109" s="14"/>
      <c r="G109" s="70">
        <v>100</v>
      </c>
      <c r="H109" s="17">
        <f>120-44</f>
        <v>76</v>
      </c>
      <c r="I109" s="55">
        <f>H109/G109*100</f>
        <v>76</v>
      </c>
    </row>
    <row r="110" spans="1:9" ht="9" customHeight="1">
      <c r="A110" s="66"/>
      <c r="B110" s="66"/>
      <c r="C110" s="66"/>
      <c r="D110" s="66"/>
      <c r="E110" s="66"/>
      <c r="F110" s="66"/>
      <c r="G110" s="70"/>
      <c r="H110" s="70"/>
      <c r="I110" s="55"/>
    </row>
    <row r="111" spans="1:9" s="10" customFormat="1" ht="15.75">
      <c r="A111" s="12" t="s">
        <v>50</v>
      </c>
      <c r="B111" s="66"/>
      <c r="C111" s="66"/>
      <c r="D111" s="66"/>
      <c r="E111" s="66"/>
      <c r="F111" s="66"/>
      <c r="G111" s="72">
        <f>G97+G99+G101+G103+G104+G106+G107+G109</f>
        <v>8000</v>
      </c>
      <c r="H111" s="72">
        <f>H97+H99+H101+H103+H104+H106+H107+H109+H108</f>
        <v>7809</v>
      </c>
      <c r="I111" s="73">
        <f>H111/G111*100</f>
        <v>97.6125</v>
      </c>
    </row>
    <row r="112" spans="1:9" ht="9" customHeight="1">
      <c r="A112" s="66"/>
      <c r="B112" s="66"/>
      <c r="C112" s="66"/>
      <c r="D112" s="66"/>
      <c r="E112" s="66"/>
      <c r="F112" s="66"/>
      <c r="G112" s="70"/>
      <c r="H112" s="70"/>
      <c r="I112" s="55"/>
    </row>
    <row r="113" spans="1:9" ht="15.75">
      <c r="A113" s="12" t="s">
        <v>143</v>
      </c>
      <c r="B113" s="12" t="s">
        <v>41</v>
      </c>
      <c r="C113" s="12"/>
      <c r="D113" s="12"/>
      <c r="E113" s="12"/>
      <c r="F113" s="12"/>
      <c r="G113" s="12"/>
      <c r="H113" s="18"/>
      <c r="I113" s="55"/>
    </row>
    <row r="114" spans="1:9" ht="9" customHeight="1">
      <c r="A114" s="66"/>
      <c r="B114" s="66"/>
      <c r="C114" s="66"/>
      <c r="D114" s="66"/>
      <c r="E114" s="66"/>
      <c r="F114" s="66"/>
      <c r="G114" s="70"/>
      <c r="H114" s="70"/>
      <c r="I114" s="55"/>
    </row>
    <row r="115" spans="1:9" ht="15.75">
      <c r="A115" s="66"/>
      <c r="B115" s="66" t="s">
        <v>29</v>
      </c>
      <c r="C115" s="356" t="s">
        <v>157</v>
      </c>
      <c r="D115" s="356"/>
      <c r="E115" s="356"/>
      <c r="F115" s="356"/>
      <c r="G115" s="70"/>
      <c r="H115" s="70"/>
      <c r="I115" s="55"/>
    </row>
    <row r="116" spans="1:9" ht="15.75">
      <c r="A116" s="66"/>
      <c r="B116" s="66"/>
      <c r="C116" s="66" t="s">
        <v>29</v>
      </c>
      <c r="D116" s="71" t="s">
        <v>158</v>
      </c>
      <c r="E116" s="66"/>
      <c r="F116" s="66"/>
      <c r="G116" s="70">
        <v>15</v>
      </c>
      <c r="H116" s="70">
        <v>2</v>
      </c>
      <c r="I116" s="55">
        <f>H116/G116*100</f>
        <v>13.333333333333334</v>
      </c>
    </row>
    <row r="117" spans="1:9" ht="15.75">
      <c r="A117" s="66"/>
      <c r="B117" s="66"/>
      <c r="C117" s="66" t="s">
        <v>19</v>
      </c>
      <c r="D117" s="71" t="s">
        <v>159</v>
      </c>
      <c r="E117" s="71"/>
      <c r="F117" s="71"/>
      <c r="G117" s="70">
        <v>2295</v>
      </c>
      <c r="H117" s="70">
        <v>1690</v>
      </c>
      <c r="I117" s="55">
        <f aca="true" t="shared" si="0" ref="I117:I130">H117/G117*100</f>
        <v>73.63834422657952</v>
      </c>
    </row>
    <row r="118" spans="1:9" ht="15.75">
      <c r="A118" s="66"/>
      <c r="B118" s="66"/>
      <c r="C118" s="66" t="s">
        <v>30</v>
      </c>
      <c r="D118" s="71" t="s">
        <v>160</v>
      </c>
      <c r="E118" s="71"/>
      <c r="F118" s="71"/>
      <c r="G118" s="70"/>
      <c r="H118" s="70"/>
      <c r="I118" s="55"/>
    </row>
    <row r="119" spans="1:9" ht="15.75">
      <c r="A119" s="66"/>
      <c r="B119" s="66"/>
      <c r="C119" s="66"/>
      <c r="D119" s="71" t="s">
        <v>29</v>
      </c>
      <c r="E119" s="71" t="s">
        <v>161</v>
      </c>
      <c r="F119" s="71"/>
      <c r="G119" s="70">
        <f>233+26</f>
        <v>259</v>
      </c>
      <c r="H119" s="70">
        <f>38+38</f>
        <v>76</v>
      </c>
      <c r="I119" s="55">
        <f t="shared" si="0"/>
        <v>29.343629343629345</v>
      </c>
    </row>
    <row r="120" spans="1:9" ht="15.75">
      <c r="A120" s="66"/>
      <c r="B120" s="66"/>
      <c r="C120" s="66"/>
      <c r="D120" s="71" t="s">
        <v>19</v>
      </c>
      <c r="E120" s="71" t="s">
        <v>162</v>
      </c>
      <c r="F120" s="71"/>
      <c r="G120" s="70">
        <v>300</v>
      </c>
      <c r="H120" s="70">
        <v>381</v>
      </c>
      <c r="I120" s="55">
        <f t="shared" si="0"/>
        <v>127</v>
      </c>
    </row>
    <row r="121" spans="1:9" ht="15.75">
      <c r="A121" s="66"/>
      <c r="B121" s="66"/>
      <c r="C121" s="66"/>
      <c r="D121" s="71" t="s">
        <v>30</v>
      </c>
      <c r="E121" s="71" t="s">
        <v>403</v>
      </c>
      <c r="F121" s="71"/>
      <c r="G121" s="70">
        <v>10</v>
      </c>
      <c r="H121" s="70">
        <v>10</v>
      </c>
      <c r="I121" s="55">
        <f t="shared" si="0"/>
        <v>100</v>
      </c>
    </row>
    <row r="122" spans="1:9" ht="15.75">
      <c r="A122" s="66"/>
      <c r="B122" s="66"/>
      <c r="C122" s="66"/>
      <c r="D122" s="71" t="s">
        <v>116</v>
      </c>
      <c r="E122" s="71" t="s">
        <v>51</v>
      </c>
      <c r="F122" s="71"/>
      <c r="G122" s="70">
        <v>8</v>
      </c>
      <c r="H122" s="70">
        <v>8</v>
      </c>
      <c r="I122" s="55">
        <f t="shared" si="0"/>
        <v>100</v>
      </c>
    </row>
    <row r="123" spans="1:9" ht="15.75">
      <c r="A123" s="66"/>
      <c r="B123" s="66"/>
      <c r="C123" s="66"/>
      <c r="D123" s="71" t="s">
        <v>113</v>
      </c>
      <c r="E123" s="71" t="s">
        <v>387</v>
      </c>
      <c r="F123" s="71"/>
      <c r="G123" s="70">
        <v>35</v>
      </c>
      <c r="H123" s="70">
        <v>35</v>
      </c>
      <c r="I123" s="55">
        <f t="shared" si="0"/>
        <v>100</v>
      </c>
    </row>
    <row r="124" spans="1:9" ht="15.75">
      <c r="A124" s="66"/>
      <c r="B124" s="66" t="s">
        <v>19</v>
      </c>
      <c r="C124" s="71" t="s">
        <v>163</v>
      </c>
      <c r="D124" s="71"/>
      <c r="E124" s="71"/>
      <c r="F124" s="71"/>
      <c r="G124" s="70"/>
      <c r="H124" s="70"/>
      <c r="I124" s="55"/>
    </row>
    <row r="125" spans="1:9" ht="15.75">
      <c r="A125" s="66"/>
      <c r="B125" s="66"/>
      <c r="C125" s="66" t="s">
        <v>29</v>
      </c>
      <c r="D125" s="71" t="s">
        <v>388</v>
      </c>
      <c r="E125" s="71"/>
      <c r="F125" s="71"/>
      <c r="G125" s="70">
        <v>2399</v>
      </c>
      <c r="H125" s="70">
        <f>2652+1001</f>
        <v>3653</v>
      </c>
      <c r="I125" s="55">
        <f t="shared" si="0"/>
        <v>152.27177990829512</v>
      </c>
    </row>
    <row r="126" spans="1:9" ht="15.75">
      <c r="A126" s="66"/>
      <c r="B126" s="66" t="s">
        <v>30</v>
      </c>
      <c r="C126" s="71" t="s">
        <v>164</v>
      </c>
      <c r="D126" s="71"/>
      <c r="E126" s="71"/>
      <c r="F126" s="71"/>
      <c r="G126" s="70"/>
      <c r="H126" s="70"/>
      <c r="I126" s="55"/>
    </row>
    <row r="127" spans="1:9" ht="15.75">
      <c r="A127" s="66"/>
      <c r="B127" s="66"/>
      <c r="C127" s="66" t="s">
        <v>29</v>
      </c>
      <c r="D127" s="71" t="s">
        <v>64</v>
      </c>
      <c r="E127" s="71"/>
      <c r="F127" s="71"/>
      <c r="G127" s="70">
        <v>1553</v>
      </c>
      <c r="H127" s="70">
        <v>1307</v>
      </c>
      <c r="I127" s="55">
        <f t="shared" si="0"/>
        <v>84.15969092079845</v>
      </c>
    </row>
    <row r="128" spans="1:9" ht="15.75">
      <c r="A128" s="66"/>
      <c r="B128" s="66"/>
      <c r="C128" s="66" t="s">
        <v>19</v>
      </c>
      <c r="D128" s="71" t="s">
        <v>52</v>
      </c>
      <c r="E128" s="71"/>
      <c r="F128" s="71"/>
      <c r="G128" s="70">
        <v>653</v>
      </c>
      <c r="H128" s="70">
        <v>460</v>
      </c>
      <c r="I128" s="55">
        <f t="shared" si="0"/>
        <v>70.44410413476263</v>
      </c>
    </row>
    <row r="129" spans="1:9" ht="15.75">
      <c r="A129" s="66"/>
      <c r="B129" s="66"/>
      <c r="C129" s="66" t="s">
        <v>30</v>
      </c>
      <c r="D129" s="71" t="s">
        <v>165</v>
      </c>
      <c r="E129" s="71"/>
      <c r="F129" s="71"/>
      <c r="G129" s="70">
        <v>152</v>
      </c>
      <c r="H129" s="70">
        <v>183</v>
      </c>
      <c r="I129" s="55">
        <f t="shared" si="0"/>
        <v>120.39473684210526</v>
      </c>
    </row>
    <row r="130" spans="1:9" ht="15.75">
      <c r="A130" s="66"/>
      <c r="B130" s="66" t="s">
        <v>116</v>
      </c>
      <c r="C130" s="71" t="s">
        <v>166</v>
      </c>
      <c r="D130" s="66"/>
      <c r="E130" s="66"/>
      <c r="F130" s="66"/>
      <c r="G130" s="70">
        <v>1989</v>
      </c>
      <c r="H130" s="70">
        <f>716+1006+270</f>
        <v>1992</v>
      </c>
      <c r="I130" s="55">
        <f t="shared" si="0"/>
        <v>100.15082956259427</v>
      </c>
    </row>
    <row r="132" ht="16.5" thickBot="1"/>
    <row r="133" spans="1:9" ht="15.75" customHeight="1">
      <c r="A133" s="361" t="s">
        <v>15</v>
      </c>
      <c r="B133" s="362"/>
      <c r="C133" s="362"/>
      <c r="D133" s="362"/>
      <c r="E133" s="362"/>
      <c r="F133" s="363"/>
      <c r="G133" s="64" t="s">
        <v>13</v>
      </c>
      <c r="H133" s="64" t="s">
        <v>13</v>
      </c>
      <c r="I133" s="65" t="s">
        <v>14</v>
      </c>
    </row>
    <row r="134" spans="1:9" ht="15.75">
      <c r="A134" s="364"/>
      <c r="B134" s="365"/>
      <c r="C134" s="365"/>
      <c r="D134" s="365"/>
      <c r="E134" s="365"/>
      <c r="F134" s="366"/>
      <c r="G134" s="67" t="s">
        <v>8</v>
      </c>
      <c r="H134" s="67" t="s">
        <v>8</v>
      </c>
      <c r="I134" s="34"/>
    </row>
    <row r="135" spans="1:9" s="39" customFormat="1" ht="15.75" customHeight="1" thickBot="1">
      <c r="A135" s="367"/>
      <c r="B135" s="368"/>
      <c r="C135" s="368"/>
      <c r="D135" s="368"/>
      <c r="E135" s="368"/>
      <c r="F135" s="369"/>
      <c r="G135" s="68" t="s">
        <v>34</v>
      </c>
      <c r="H135" s="68" t="s">
        <v>61</v>
      </c>
      <c r="I135" s="36" t="s">
        <v>16</v>
      </c>
    </row>
    <row r="136" spans="1:9" ht="9" customHeight="1">
      <c r="A136" s="66"/>
      <c r="B136" s="66"/>
      <c r="C136" s="66"/>
      <c r="D136" s="66"/>
      <c r="E136" s="66"/>
      <c r="F136" s="66"/>
      <c r="G136" s="70"/>
      <c r="H136" s="70"/>
      <c r="I136" s="55"/>
    </row>
    <row r="137" spans="1:9" ht="15.75">
      <c r="A137" s="66"/>
      <c r="B137" s="66" t="s">
        <v>113</v>
      </c>
      <c r="C137" s="71" t="s">
        <v>167</v>
      </c>
      <c r="D137" s="66"/>
      <c r="E137" s="66"/>
      <c r="F137" s="66"/>
      <c r="G137" s="70">
        <v>719</v>
      </c>
      <c r="H137" s="70">
        <v>642</v>
      </c>
      <c r="I137" s="55">
        <f>H137/G137*100</f>
        <v>89.29068150208623</v>
      </c>
    </row>
    <row r="138" spans="1:9" ht="15.75">
      <c r="A138" s="66"/>
      <c r="B138" s="66" t="s">
        <v>120</v>
      </c>
      <c r="C138" s="71" t="s">
        <v>168</v>
      </c>
      <c r="D138" s="66"/>
      <c r="E138" s="66"/>
      <c r="F138" s="66"/>
      <c r="G138" s="70">
        <v>185</v>
      </c>
      <c r="H138" s="70">
        <f>100+826</f>
        <v>926</v>
      </c>
      <c r="I138" s="55">
        <f>H138/G138*100</f>
        <v>500.5405405405406</v>
      </c>
    </row>
    <row r="139" spans="1:9" ht="9" customHeight="1">
      <c r="A139" s="66"/>
      <c r="B139" s="66"/>
      <c r="C139" s="66"/>
      <c r="D139" s="66"/>
      <c r="E139" s="66"/>
      <c r="F139" s="66"/>
      <c r="G139" s="70"/>
      <c r="H139" s="70"/>
      <c r="I139" s="55"/>
    </row>
    <row r="140" spans="1:9" ht="15.75">
      <c r="A140" s="12" t="s">
        <v>17</v>
      </c>
      <c r="B140" s="66"/>
      <c r="C140" s="66"/>
      <c r="D140" s="66"/>
      <c r="E140" s="66"/>
      <c r="F140" s="66"/>
      <c r="G140" s="72">
        <f>SUM(G116:G139)</f>
        <v>10572</v>
      </c>
      <c r="H140" s="72">
        <f>SUM(H116:H139)</f>
        <v>11365</v>
      </c>
      <c r="I140" s="73">
        <f>H140/G140*100</f>
        <v>107.5009458948165</v>
      </c>
    </row>
    <row r="141" spans="1:9" ht="9" customHeight="1">
      <c r="A141" s="66"/>
      <c r="B141" s="66"/>
      <c r="C141" s="66"/>
      <c r="D141" s="66"/>
      <c r="E141" s="66"/>
      <c r="F141" s="66"/>
      <c r="G141" s="70"/>
      <c r="H141" s="70"/>
      <c r="I141" s="55"/>
    </row>
    <row r="142" spans="1:9" ht="15.75">
      <c r="A142" s="267" t="s">
        <v>395</v>
      </c>
      <c r="B142" s="273" t="s">
        <v>76</v>
      </c>
      <c r="C142" s="273"/>
      <c r="D142" s="273"/>
      <c r="E142" s="273"/>
      <c r="F142" s="273"/>
      <c r="G142" s="273"/>
      <c r="I142" s="55"/>
    </row>
    <row r="143" spans="1:9" ht="15.75">
      <c r="A143" s="9"/>
      <c r="B143" s="274"/>
      <c r="C143" s="274" t="s">
        <v>29</v>
      </c>
      <c r="D143" s="274" t="s">
        <v>392</v>
      </c>
      <c r="E143" s="274"/>
      <c r="F143" s="274"/>
      <c r="G143" s="274"/>
      <c r="I143" s="55"/>
    </row>
    <row r="144" spans="1:9" ht="15.75">
      <c r="A144" s="9"/>
      <c r="B144" s="274"/>
      <c r="C144" s="274"/>
      <c r="D144" s="274" t="s">
        <v>42</v>
      </c>
      <c r="E144" s="274" t="s">
        <v>393</v>
      </c>
      <c r="F144" s="274"/>
      <c r="G144" s="274"/>
      <c r="H144" s="77">
        <f>485+2200</f>
        <v>2685</v>
      </c>
      <c r="I144" s="55"/>
    </row>
    <row r="145" spans="1:9" ht="9" customHeight="1">
      <c r="A145" s="14"/>
      <c r="B145" s="14"/>
      <c r="C145" s="14"/>
      <c r="D145" s="14"/>
      <c r="E145" s="14"/>
      <c r="F145" s="14"/>
      <c r="G145" s="70"/>
      <c r="H145" s="70"/>
      <c r="I145" s="55"/>
    </row>
    <row r="146" spans="1:9" ht="15.75">
      <c r="A146" s="12" t="s">
        <v>394</v>
      </c>
      <c r="B146" s="66"/>
      <c r="C146" s="66"/>
      <c r="D146" s="66"/>
      <c r="E146" s="66"/>
      <c r="F146" s="66"/>
      <c r="G146" s="70"/>
      <c r="H146" s="72">
        <f>H144</f>
        <v>2685</v>
      </c>
      <c r="I146" s="55"/>
    </row>
    <row r="147" spans="1:9" ht="9" customHeight="1">
      <c r="A147" s="14"/>
      <c r="B147" s="14"/>
      <c r="C147" s="14"/>
      <c r="D147" s="14"/>
      <c r="E147" s="14"/>
      <c r="F147" s="14"/>
      <c r="G147" s="70"/>
      <c r="H147" s="70"/>
      <c r="I147" s="55"/>
    </row>
    <row r="148" spans="1:9" ht="15.75">
      <c r="A148" s="12" t="s">
        <v>47</v>
      </c>
      <c r="B148" s="12" t="s">
        <v>77</v>
      </c>
      <c r="C148" s="12"/>
      <c r="D148" s="12"/>
      <c r="E148" s="12"/>
      <c r="F148" s="12"/>
      <c r="G148" s="12"/>
      <c r="H148" s="18"/>
      <c r="I148" s="55"/>
    </row>
    <row r="149" spans="1:9" ht="27.75" customHeight="1">
      <c r="A149" s="14"/>
      <c r="B149" s="14" t="s">
        <v>29</v>
      </c>
      <c r="C149" s="355" t="s">
        <v>396</v>
      </c>
      <c r="D149" s="355"/>
      <c r="E149" s="355"/>
      <c r="F149" s="355"/>
      <c r="G149" s="56"/>
      <c r="H149" s="57"/>
      <c r="I149" s="55"/>
    </row>
    <row r="150" spans="1:9" ht="30.75" customHeight="1">
      <c r="A150" s="14"/>
      <c r="B150" s="14"/>
      <c r="C150" s="62" t="s">
        <v>29</v>
      </c>
      <c r="D150" s="355" t="s">
        <v>391</v>
      </c>
      <c r="E150" s="355"/>
      <c r="F150" s="355"/>
      <c r="G150" s="70"/>
      <c r="H150" s="77">
        <v>100</v>
      </c>
      <c r="I150" s="55"/>
    </row>
    <row r="151" spans="1:9" ht="15.75">
      <c r="A151" s="14"/>
      <c r="B151" s="14" t="s">
        <v>19</v>
      </c>
      <c r="C151" s="355" t="s">
        <v>461</v>
      </c>
      <c r="D151" s="355"/>
      <c r="E151" s="355"/>
      <c r="F151" s="355"/>
      <c r="G151" s="70"/>
      <c r="H151" s="77"/>
      <c r="I151" s="55"/>
    </row>
    <row r="152" spans="1:9" ht="15.75">
      <c r="A152" s="14"/>
      <c r="B152" s="14"/>
      <c r="C152" s="62" t="s">
        <v>29</v>
      </c>
      <c r="D152" s="355" t="s">
        <v>462</v>
      </c>
      <c r="E152" s="355"/>
      <c r="F152" s="355"/>
      <c r="G152" s="70"/>
      <c r="H152" s="77">
        <v>80</v>
      </c>
      <c r="I152" s="55"/>
    </row>
    <row r="153" spans="1:9" ht="9" customHeight="1">
      <c r="A153" s="14"/>
      <c r="B153" s="14"/>
      <c r="C153" s="14"/>
      <c r="D153" s="14"/>
      <c r="E153" s="14"/>
      <c r="F153" s="14"/>
      <c r="G153" s="70"/>
      <c r="H153" s="70"/>
      <c r="I153" s="55"/>
    </row>
    <row r="154" spans="1:9" ht="15.75">
      <c r="A154" s="12" t="s">
        <v>77</v>
      </c>
      <c r="B154" s="14"/>
      <c r="C154" s="14"/>
      <c r="D154" s="14"/>
      <c r="E154" s="14"/>
      <c r="F154" s="14"/>
      <c r="G154" s="70"/>
      <c r="H154" s="72">
        <f>H150+H152</f>
        <v>180</v>
      </c>
      <c r="I154" s="55"/>
    </row>
    <row r="155" spans="1:9" ht="9" customHeight="1">
      <c r="A155" s="14"/>
      <c r="B155" s="14"/>
      <c r="C155" s="14"/>
      <c r="D155" s="14"/>
      <c r="E155" s="14"/>
      <c r="F155" s="14"/>
      <c r="G155" s="70"/>
      <c r="H155" s="70"/>
      <c r="I155" s="55"/>
    </row>
    <row r="156" spans="1:9" ht="15.75">
      <c r="A156" s="12" t="s">
        <v>47</v>
      </c>
      <c r="B156" s="12" t="s">
        <v>80</v>
      </c>
      <c r="C156" s="12"/>
      <c r="D156" s="12"/>
      <c r="E156" s="12"/>
      <c r="F156" s="12"/>
      <c r="G156" s="12"/>
      <c r="H156" s="18"/>
      <c r="I156" s="55"/>
    </row>
    <row r="157" spans="1:9" ht="27.75" customHeight="1">
      <c r="A157" s="14"/>
      <c r="B157" s="14" t="s">
        <v>29</v>
      </c>
      <c r="C157" s="355" t="s">
        <v>144</v>
      </c>
      <c r="D157" s="355"/>
      <c r="E157" s="355"/>
      <c r="F157" s="355"/>
      <c r="G157" s="56"/>
      <c r="H157" s="57"/>
      <c r="I157" s="55"/>
    </row>
    <row r="158" spans="1:9" ht="33" customHeight="1">
      <c r="A158" s="14"/>
      <c r="B158" s="14"/>
      <c r="C158" s="62" t="s">
        <v>29</v>
      </c>
      <c r="D158" s="355" t="s">
        <v>145</v>
      </c>
      <c r="E158" s="355"/>
      <c r="F158" s="355"/>
      <c r="G158" s="70">
        <v>65</v>
      </c>
      <c r="H158" s="77">
        <v>93</v>
      </c>
      <c r="I158" s="55">
        <f>H158/G158*100</f>
        <v>143.07692307692307</v>
      </c>
    </row>
    <row r="159" spans="1:9" ht="48" customHeight="1">
      <c r="A159" s="14"/>
      <c r="B159" s="14"/>
      <c r="C159" s="62" t="s">
        <v>19</v>
      </c>
      <c r="D159" s="355" t="s">
        <v>353</v>
      </c>
      <c r="E159" s="355"/>
      <c r="F159" s="355"/>
      <c r="G159" s="70"/>
      <c r="H159" s="77">
        <f>20000-78-62</f>
        <v>19860</v>
      </c>
      <c r="I159" s="55"/>
    </row>
    <row r="160" spans="1:9" s="10" customFormat="1" ht="15.75">
      <c r="A160" s="14"/>
      <c r="B160" s="14" t="s">
        <v>19</v>
      </c>
      <c r="C160" s="14" t="s">
        <v>146</v>
      </c>
      <c r="D160" s="14"/>
      <c r="E160" s="14"/>
      <c r="F160" s="14"/>
      <c r="G160" s="14"/>
      <c r="H160" s="17"/>
      <c r="I160" s="55"/>
    </row>
    <row r="161" spans="1:9" ht="15.75">
      <c r="A161" s="14"/>
      <c r="B161" s="14"/>
      <c r="C161" s="14" t="s">
        <v>29</v>
      </c>
      <c r="D161" s="32" t="s">
        <v>46</v>
      </c>
      <c r="G161" s="70">
        <v>410</v>
      </c>
      <c r="H161" s="17">
        <f>118+118</f>
        <v>236</v>
      </c>
      <c r="I161" s="55">
        <f>H161/G161*100</f>
        <v>57.56097560975609</v>
      </c>
    </row>
    <row r="162" spans="1:9" ht="29.25" customHeight="1">
      <c r="A162" s="14"/>
      <c r="B162" s="14"/>
      <c r="C162" s="14" t="s">
        <v>19</v>
      </c>
      <c r="D162" s="354" t="s">
        <v>389</v>
      </c>
      <c r="E162" s="354"/>
      <c r="F162" s="354"/>
      <c r="G162" s="70">
        <v>2767</v>
      </c>
      <c r="H162" s="17"/>
      <c r="I162" s="55"/>
    </row>
    <row r="163" spans="1:9" ht="15.75">
      <c r="A163" s="14"/>
      <c r="B163" s="14"/>
      <c r="C163" s="14" t="s">
        <v>30</v>
      </c>
      <c r="D163" s="354" t="s">
        <v>374</v>
      </c>
      <c r="E163" s="354"/>
      <c r="F163" s="354"/>
      <c r="G163" s="70"/>
      <c r="H163" s="17">
        <v>1500</v>
      </c>
      <c r="I163" s="55"/>
    </row>
    <row r="164" spans="1:9" ht="9" customHeight="1">
      <c r="A164" s="66"/>
      <c r="B164" s="66"/>
      <c r="C164" s="66"/>
      <c r="D164" s="66"/>
      <c r="E164" s="66"/>
      <c r="F164" s="66"/>
      <c r="G164" s="70"/>
      <c r="H164" s="70"/>
      <c r="I164" s="55"/>
    </row>
    <row r="165" spans="1:9" ht="15.75">
      <c r="A165" s="359" t="s">
        <v>147</v>
      </c>
      <c r="B165" s="359"/>
      <c r="C165" s="359"/>
      <c r="D165" s="359"/>
      <c r="E165" s="359"/>
      <c r="F165" s="359"/>
      <c r="G165" s="76">
        <f>SUM(G158:G164)</f>
        <v>3242</v>
      </c>
      <c r="H165" s="76">
        <f>SUM(H158:H164)</f>
        <v>21689</v>
      </c>
      <c r="I165" s="73">
        <f>H165/G165*100</f>
        <v>669.0006169031462</v>
      </c>
    </row>
    <row r="166" spans="1:9" ht="9" customHeight="1">
      <c r="A166" s="66"/>
      <c r="B166" s="66"/>
      <c r="C166" s="66"/>
      <c r="D166" s="66"/>
      <c r="E166" s="66"/>
      <c r="F166" s="66"/>
      <c r="G166" s="70"/>
      <c r="H166" s="70"/>
      <c r="I166" s="55"/>
    </row>
    <row r="167" spans="1:9" ht="18" customHeight="1">
      <c r="A167" s="78" t="s">
        <v>148</v>
      </c>
      <c r="B167" s="78"/>
      <c r="C167" s="78"/>
      <c r="D167" s="78"/>
      <c r="E167" s="78"/>
      <c r="F167" s="78"/>
      <c r="G167" s="79">
        <f>G165+G140+G111+G92+G77</f>
        <v>49227</v>
      </c>
      <c r="H167" s="79">
        <f>H165+H140+H111+H92+H77+H146+H154</f>
        <v>104498</v>
      </c>
      <c r="I167" s="73">
        <f>H167/G167*100</f>
        <v>212.27781502021247</v>
      </c>
    </row>
    <row r="168" spans="1:9" ht="9" customHeight="1">
      <c r="A168" s="66"/>
      <c r="B168" s="66"/>
      <c r="C168" s="66"/>
      <c r="D168" s="66"/>
      <c r="E168" s="66"/>
      <c r="F168" s="66"/>
      <c r="G168" s="70"/>
      <c r="H168" s="70"/>
      <c r="I168" s="55"/>
    </row>
    <row r="169" spans="1:9" ht="15.75">
      <c r="A169" s="80" t="s">
        <v>149</v>
      </c>
      <c r="B169" s="353" t="s">
        <v>150</v>
      </c>
      <c r="C169" s="353"/>
      <c r="D169" s="353"/>
      <c r="E169" s="353"/>
      <c r="F169" s="353"/>
      <c r="G169" s="12"/>
      <c r="H169" s="57"/>
      <c r="I169" s="55"/>
    </row>
    <row r="170" spans="1:9" ht="15.75">
      <c r="A170" s="80"/>
      <c r="B170" s="52" t="s">
        <v>29</v>
      </c>
      <c r="C170" s="353" t="s">
        <v>397</v>
      </c>
      <c r="D170" s="353"/>
      <c r="E170" s="353"/>
      <c r="F170" s="353"/>
      <c r="G170" s="12"/>
      <c r="H170" s="57"/>
      <c r="I170" s="55"/>
    </row>
    <row r="171" spans="1:9" ht="15.75">
      <c r="A171" s="80"/>
      <c r="B171" s="14"/>
      <c r="C171" s="14" t="s">
        <v>29</v>
      </c>
      <c r="D171" s="354" t="s">
        <v>399</v>
      </c>
      <c r="E171" s="354"/>
      <c r="F171" s="354"/>
      <c r="G171" s="12"/>
      <c r="H171" s="57">
        <v>11174</v>
      </c>
      <c r="I171" s="55"/>
    </row>
    <row r="172" spans="1:9" ht="15.75">
      <c r="A172" s="12"/>
      <c r="B172" s="52" t="s">
        <v>19</v>
      </c>
      <c r="C172" s="353" t="s">
        <v>151</v>
      </c>
      <c r="D172" s="353"/>
      <c r="E172" s="353"/>
      <c r="F172" s="353"/>
      <c r="G172" s="70"/>
      <c r="H172" s="57"/>
      <c r="I172" s="55"/>
    </row>
    <row r="173" spans="1:9" ht="15.75">
      <c r="A173" s="12"/>
      <c r="B173" s="52"/>
      <c r="C173" s="62" t="s">
        <v>29</v>
      </c>
      <c r="D173" s="355" t="s">
        <v>152</v>
      </c>
      <c r="E173" s="355"/>
      <c r="F173" s="355"/>
      <c r="G173" s="70">
        <v>53</v>
      </c>
      <c r="H173" s="57">
        <f>1167+20000+1243+1303-20-11174+50+18+10262+45+8</f>
        <v>22902</v>
      </c>
      <c r="I173" s="55">
        <f>H173/G173*100</f>
        <v>43211.32075471698</v>
      </c>
    </row>
    <row r="174" spans="1:9" ht="15.75">
      <c r="A174" s="14"/>
      <c r="B174" s="12" t="s">
        <v>19</v>
      </c>
      <c r="C174" s="12" t="s">
        <v>472</v>
      </c>
      <c r="D174" s="330"/>
      <c r="E174" s="12"/>
      <c r="F174" s="12"/>
      <c r="G174" s="14"/>
      <c r="H174" s="17">
        <v>943</v>
      </c>
      <c r="I174" s="55"/>
    </row>
    <row r="175" spans="1:9" ht="9" customHeight="1">
      <c r="A175" s="66"/>
      <c r="B175" s="66"/>
      <c r="C175" s="66"/>
      <c r="D175" s="66"/>
      <c r="E175" s="66"/>
      <c r="F175" s="66"/>
      <c r="G175" s="70"/>
      <c r="H175" s="70"/>
      <c r="I175" s="55"/>
    </row>
    <row r="176" spans="1:9" ht="16.5">
      <c r="A176" s="78" t="s">
        <v>150</v>
      </c>
      <c r="B176" s="78"/>
      <c r="C176" s="78"/>
      <c r="D176" s="78"/>
      <c r="E176" s="78"/>
      <c r="F176" s="78"/>
      <c r="G176" s="79">
        <f>G173</f>
        <v>53</v>
      </c>
      <c r="H176" s="79">
        <f>SUM(H171:H174)</f>
        <v>35019</v>
      </c>
      <c r="I176" s="55">
        <f>H176/G176*100</f>
        <v>66073.58490566038</v>
      </c>
    </row>
    <row r="177" spans="1:9" ht="13.5" customHeight="1">
      <c r="A177" s="14"/>
      <c r="B177" s="14"/>
      <c r="C177" s="14"/>
      <c r="D177" s="14"/>
      <c r="E177" s="14"/>
      <c r="F177" s="14"/>
      <c r="G177" s="14"/>
      <c r="H177" s="14"/>
      <c r="I177" s="55"/>
    </row>
    <row r="178" spans="1:9" ht="18.75">
      <c r="A178" s="13" t="s">
        <v>153</v>
      </c>
      <c r="B178" s="13"/>
      <c r="C178" s="13"/>
      <c r="D178" s="13"/>
      <c r="E178" s="13"/>
      <c r="F178" s="13"/>
      <c r="G178" s="76">
        <f>G167+G176</f>
        <v>49280</v>
      </c>
      <c r="H178" s="76">
        <f>H167+H176</f>
        <v>139517</v>
      </c>
      <c r="I178" s="73">
        <f>H178/G178*100</f>
        <v>283.11079545454544</v>
      </c>
    </row>
    <row r="179" ht="15.75">
      <c r="I179" s="118" t="s">
        <v>348</v>
      </c>
    </row>
  </sheetData>
  <sheetProtection password="DB7F" sheet="1" selectLockedCells="1" selectUnlockedCells="1"/>
  <mergeCells count="54">
    <mergeCell ref="A10:F12"/>
    <mergeCell ref="A44:F46"/>
    <mergeCell ref="D150:F150"/>
    <mergeCell ref="C149:F149"/>
    <mergeCell ref="D36:F36"/>
    <mergeCell ref="C52:F52"/>
    <mergeCell ref="D48:F48"/>
    <mergeCell ref="E49:F49"/>
    <mergeCell ref="C59:F59"/>
    <mergeCell ref="C41:F41"/>
    <mergeCell ref="D171:F171"/>
    <mergeCell ref="B75:F75"/>
    <mergeCell ref="D88:F88"/>
    <mergeCell ref="D159:F159"/>
    <mergeCell ref="A133:F135"/>
    <mergeCell ref="A84:F86"/>
    <mergeCell ref="C151:F151"/>
    <mergeCell ref="D152:F152"/>
    <mergeCell ref="A2:I2"/>
    <mergeCell ref="C81:F81"/>
    <mergeCell ref="A4:I4"/>
    <mergeCell ref="A5:I5"/>
    <mergeCell ref="A6:I6"/>
    <mergeCell ref="A7:I7"/>
    <mergeCell ref="E17:F17"/>
    <mergeCell ref="D33:F33"/>
    <mergeCell ref="B14:F14"/>
    <mergeCell ref="D16:F16"/>
    <mergeCell ref="E55:F55"/>
    <mergeCell ref="B68:F68"/>
    <mergeCell ref="C70:F70"/>
    <mergeCell ref="C66:F66"/>
    <mergeCell ref="E63:F63"/>
    <mergeCell ref="E64:F64"/>
    <mergeCell ref="D34:F34"/>
    <mergeCell ref="A1:I1"/>
    <mergeCell ref="D173:F173"/>
    <mergeCell ref="D71:F71"/>
    <mergeCell ref="D82:F82"/>
    <mergeCell ref="D83:F83"/>
    <mergeCell ref="D158:F158"/>
    <mergeCell ref="D162:F162"/>
    <mergeCell ref="A165:F165"/>
    <mergeCell ref="B169:F169"/>
    <mergeCell ref="C172:F172"/>
    <mergeCell ref="D89:F89"/>
    <mergeCell ref="D163:F163"/>
    <mergeCell ref="A77:F77"/>
    <mergeCell ref="C157:F157"/>
    <mergeCell ref="B90:F90"/>
    <mergeCell ref="A92:F92"/>
    <mergeCell ref="C115:F115"/>
    <mergeCell ref="B79:F79"/>
    <mergeCell ref="C170:F170"/>
  </mergeCells>
  <printOptions horizontalCentered="1"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9.125" style="202" customWidth="1"/>
    <col min="2" max="2" width="61.125" style="202" customWidth="1"/>
    <col min="3" max="6" width="26.25390625" style="202" customWidth="1"/>
    <col min="7" max="16384" width="9.125" style="202" customWidth="1"/>
  </cols>
  <sheetData>
    <row r="1" spans="4:6" ht="12.75">
      <c r="D1" s="340" t="s">
        <v>481</v>
      </c>
      <c r="E1" s="340"/>
      <c r="F1" s="340"/>
    </row>
    <row r="2" spans="1:6" s="190" customFormat="1" ht="15.75">
      <c r="A2" s="83" t="s">
        <v>349</v>
      </c>
      <c r="C2" s="191"/>
      <c r="D2" s="192"/>
      <c r="E2" s="192"/>
      <c r="F2" s="192"/>
    </row>
    <row r="3" spans="2:6" s="41" customFormat="1" ht="15" customHeight="1">
      <c r="B3" s="385"/>
      <c r="C3" s="385"/>
      <c r="D3" s="385"/>
      <c r="E3" s="385"/>
      <c r="F3" s="385"/>
    </row>
    <row r="4" spans="3:6" s="193" customFormat="1" ht="15" customHeight="1">
      <c r="C4" s="194"/>
      <c r="D4" s="195"/>
      <c r="E4" s="195"/>
      <c r="F4" s="195"/>
    </row>
    <row r="5" spans="2:6" s="109" customFormat="1" ht="15" customHeight="1">
      <c r="B5" s="386" t="s">
        <v>26</v>
      </c>
      <c r="C5" s="386"/>
      <c r="D5" s="386"/>
      <c r="E5" s="386"/>
      <c r="F5" s="386"/>
    </row>
    <row r="6" spans="2:6" s="109" customFormat="1" ht="15.75">
      <c r="B6" s="387" t="s">
        <v>169</v>
      </c>
      <c r="C6" s="387"/>
      <c r="D6" s="387"/>
      <c r="E6" s="387"/>
      <c r="F6" s="387"/>
    </row>
    <row r="7" spans="2:6" s="109" customFormat="1" ht="15" customHeight="1">
      <c r="B7" s="386" t="s">
        <v>48</v>
      </c>
      <c r="C7" s="386"/>
      <c r="D7" s="386"/>
      <c r="E7" s="386"/>
      <c r="F7" s="386"/>
    </row>
    <row r="8" spans="2:6" s="190" customFormat="1" ht="12" customHeight="1" thickBot="1">
      <c r="B8" s="191"/>
      <c r="C8" s="196"/>
      <c r="D8" s="197"/>
      <c r="E8" s="197"/>
      <c r="F8" s="198"/>
    </row>
    <row r="9" spans="1:6" s="190" customFormat="1" ht="16.5" customHeight="1" thickBot="1">
      <c r="A9" s="341" t="s">
        <v>175</v>
      </c>
      <c r="B9" s="334" t="s">
        <v>176</v>
      </c>
      <c r="C9" s="337" t="s">
        <v>170</v>
      </c>
      <c r="D9" s="383" t="s">
        <v>12</v>
      </c>
      <c r="E9" s="383"/>
      <c r="F9" s="384"/>
    </row>
    <row r="10" spans="1:6" s="190" customFormat="1" ht="33" customHeight="1" thickBot="1">
      <c r="A10" s="332"/>
      <c r="B10" s="335"/>
      <c r="C10" s="372"/>
      <c r="D10" s="199" t="s">
        <v>171</v>
      </c>
      <c r="E10" s="200" t="s">
        <v>172</v>
      </c>
      <c r="F10" s="201" t="s">
        <v>173</v>
      </c>
    </row>
    <row r="11" spans="1:6" s="190" customFormat="1" ht="22.5" customHeight="1">
      <c r="A11" s="332"/>
      <c r="B11" s="335"/>
      <c r="C11" s="372"/>
      <c r="D11" s="374" t="s">
        <v>174</v>
      </c>
      <c r="E11" s="375"/>
      <c r="F11" s="376"/>
    </row>
    <row r="12" spans="1:6" ht="12.75">
      <c r="A12" s="332"/>
      <c r="B12" s="335"/>
      <c r="C12" s="372"/>
      <c r="D12" s="377"/>
      <c r="E12" s="378"/>
      <c r="F12" s="379"/>
    </row>
    <row r="13" spans="1:6" ht="3" customHeight="1" thickBot="1">
      <c r="A13" s="333"/>
      <c r="B13" s="336"/>
      <c r="C13" s="373"/>
      <c r="D13" s="380"/>
      <c r="E13" s="381"/>
      <c r="F13" s="382"/>
    </row>
    <row r="14" spans="1:6" ht="30">
      <c r="A14" s="211" t="s">
        <v>191</v>
      </c>
      <c r="B14" s="212" t="s">
        <v>192</v>
      </c>
      <c r="C14" s="213">
        <f>SUM(D14:F14)</f>
        <v>14225</v>
      </c>
      <c r="D14" s="213">
        <f>60+7+32+12559+55-78+254</f>
        <v>12889</v>
      </c>
      <c r="E14" s="213">
        <f>93+100+268+663+87-268-663+100+826+50+80</f>
        <v>1336</v>
      </c>
      <c r="F14" s="214"/>
    </row>
    <row r="15" spans="1:6" s="219" customFormat="1" ht="15">
      <c r="A15" s="215"/>
      <c r="B15" s="216" t="s">
        <v>337</v>
      </c>
      <c r="C15" s="217"/>
      <c r="D15" s="217"/>
      <c r="E15" s="217">
        <f>268-268</f>
        <v>0</v>
      </c>
      <c r="F15" s="218"/>
    </row>
    <row r="16" spans="1:6" s="219" customFormat="1" ht="15">
      <c r="A16" s="215"/>
      <c r="B16" s="216" t="s">
        <v>338</v>
      </c>
      <c r="C16" s="217"/>
      <c r="D16" s="217"/>
      <c r="E16" s="217">
        <f>663-663</f>
        <v>0</v>
      </c>
      <c r="F16" s="218"/>
    </row>
    <row r="17" spans="1:6" ht="15">
      <c r="A17" s="205" t="s">
        <v>212</v>
      </c>
      <c r="B17" s="203" t="s">
        <v>24</v>
      </c>
      <c r="C17" s="204">
        <f aca="true" t="shared" si="0" ref="C17:C35">SUM(D17:F17)</f>
        <v>10</v>
      </c>
      <c r="D17" s="204">
        <f>2+8</f>
        <v>10</v>
      </c>
      <c r="E17" s="204"/>
      <c r="F17" s="210"/>
    </row>
    <row r="18" spans="1:6" ht="15">
      <c r="A18" s="205" t="s">
        <v>198</v>
      </c>
      <c r="B18" s="203" t="s">
        <v>199</v>
      </c>
      <c r="C18" s="204">
        <f t="shared" si="0"/>
        <v>4077</v>
      </c>
      <c r="D18" s="204"/>
      <c r="E18" s="204">
        <f>76+21+381+10+3+35+858+485+2200+8</f>
        <v>4077</v>
      </c>
      <c r="F18" s="210"/>
    </row>
    <row r="19" spans="1:6" ht="15">
      <c r="A19" s="205" t="s">
        <v>335</v>
      </c>
      <c r="B19" s="203" t="s">
        <v>336</v>
      </c>
      <c r="C19" s="204">
        <f t="shared" si="0"/>
        <v>25356</v>
      </c>
      <c r="D19" s="204">
        <f>24093-782-326+67+143+95+195+249-55-120+72+943</f>
        <v>24574</v>
      </c>
      <c r="E19" s="204"/>
      <c r="F19" s="210">
        <v>782</v>
      </c>
    </row>
    <row r="20" spans="1:6" ht="15">
      <c r="A20" s="205" t="s">
        <v>343</v>
      </c>
      <c r="B20" s="203" t="s">
        <v>344</v>
      </c>
      <c r="C20" s="204">
        <f t="shared" si="0"/>
        <v>50102</v>
      </c>
      <c r="D20" s="204"/>
      <c r="E20" s="204">
        <f>20000+20000-78-20-62+10262</f>
        <v>50102</v>
      </c>
      <c r="F20" s="210"/>
    </row>
    <row r="21" spans="1:6" ht="15">
      <c r="A21" s="87" t="s">
        <v>333</v>
      </c>
      <c r="B21" s="86" t="s">
        <v>334</v>
      </c>
      <c r="C21" s="204">
        <f t="shared" si="0"/>
        <v>697</v>
      </c>
      <c r="D21" s="204"/>
      <c r="E21" s="204">
        <f>437+260</f>
        <v>697</v>
      </c>
      <c r="F21" s="210"/>
    </row>
    <row r="22" spans="1:6" ht="15">
      <c r="A22" s="87" t="s">
        <v>408</v>
      </c>
      <c r="B22" s="86" t="s">
        <v>409</v>
      </c>
      <c r="C22" s="204">
        <f t="shared" si="0"/>
        <v>970</v>
      </c>
      <c r="D22" s="204"/>
      <c r="E22" s="204">
        <f>576+394</f>
        <v>970</v>
      </c>
      <c r="F22" s="210"/>
    </row>
    <row r="23" spans="1:6" ht="15">
      <c r="A23" s="87" t="s">
        <v>359</v>
      </c>
      <c r="B23" s="86" t="s">
        <v>360</v>
      </c>
      <c r="C23" s="204">
        <f t="shared" si="0"/>
        <v>10000</v>
      </c>
      <c r="D23" s="204">
        <v>10000</v>
      </c>
      <c r="E23" s="204"/>
      <c r="F23" s="210"/>
    </row>
    <row r="24" spans="1:6" ht="15">
      <c r="A24" s="205" t="s">
        <v>193</v>
      </c>
      <c r="B24" s="203" t="s">
        <v>194</v>
      </c>
      <c r="C24" s="204">
        <f t="shared" si="0"/>
        <v>4639</v>
      </c>
      <c r="D24" s="204">
        <f>2652+716+1271</f>
        <v>4639</v>
      </c>
      <c r="E24" s="204"/>
      <c r="F24" s="210"/>
    </row>
    <row r="25" spans="1:6" ht="15">
      <c r="A25" s="87" t="s">
        <v>204</v>
      </c>
      <c r="B25" s="86" t="s">
        <v>205</v>
      </c>
      <c r="C25" s="204">
        <f t="shared" si="0"/>
        <v>190</v>
      </c>
      <c r="D25" s="204">
        <v>190</v>
      </c>
      <c r="E25" s="204"/>
      <c r="F25" s="210"/>
    </row>
    <row r="26" spans="1:6" ht="15">
      <c r="A26" s="205" t="s">
        <v>206</v>
      </c>
      <c r="B26" s="203" t="s">
        <v>207</v>
      </c>
      <c r="C26" s="204">
        <f t="shared" si="0"/>
        <v>6430</v>
      </c>
      <c r="D26" s="204">
        <f>4390+17+78+445</f>
        <v>4930</v>
      </c>
      <c r="E26" s="204">
        <f>1500+118-118</f>
        <v>1500</v>
      </c>
      <c r="F26" s="210"/>
    </row>
    <row r="27" spans="1:6" ht="15">
      <c r="A27" s="205" t="s">
        <v>209</v>
      </c>
      <c r="B27" s="203" t="s">
        <v>69</v>
      </c>
      <c r="C27" s="204">
        <f t="shared" si="0"/>
        <v>9050</v>
      </c>
      <c r="D27" s="204">
        <f>7433+1167+450</f>
        <v>9050</v>
      </c>
      <c r="E27" s="204"/>
      <c r="F27" s="210"/>
    </row>
    <row r="28" spans="1:6" ht="15">
      <c r="A28" s="87" t="s">
        <v>218</v>
      </c>
      <c r="B28" s="91" t="s">
        <v>25</v>
      </c>
      <c r="C28" s="204">
        <f t="shared" si="0"/>
        <v>15</v>
      </c>
      <c r="D28" s="204">
        <f>3+12</f>
        <v>15</v>
      </c>
      <c r="E28" s="204"/>
      <c r="F28" s="210"/>
    </row>
    <row r="29" spans="1:6" ht="15">
      <c r="A29" s="87" t="s">
        <v>221</v>
      </c>
      <c r="B29" s="86" t="s">
        <v>222</v>
      </c>
      <c r="C29" s="204">
        <f t="shared" si="0"/>
        <v>74</v>
      </c>
      <c r="D29" s="204">
        <f>5+24+45</f>
        <v>74</v>
      </c>
      <c r="E29" s="204"/>
      <c r="F29" s="210"/>
    </row>
    <row r="30" spans="1:6" ht="15">
      <c r="A30" s="205" t="s">
        <v>197</v>
      </c>
      <c r="B30" s="206" t="s">
        <v>20</v>
      </c>
      <c r="C30" s="204">
        <f t="shared" si="0"/>
        <v>2597</v>
      </c>
      <c r="D30" s="204">
        <f>1690+456+314+7+32+98</f>
        <v>2597</v>
      </c>
      <c r="E30" s="204"/>
      <c r="F30" s="210"/>
    </row>
    <row r="31" spans="1:6" ht="15">
      <c r="A31" s="87">
        <v>104051</v>
      </c>
      <c r="B31" s="271" t="s">
        <v>459</v>
      </c>
      <c r="C31" s="204">
        <f t="shared" si="0"/>
        <v>46</v>
      </c>
      <c r="D31" s="204"/>
      <c r="E31" s="204"/>
      <c r="F31" s="210">
        <v>46</v>
      </c>
    </row>
    <row r="32" spans="1:6" ht="15">
      <c r="A32" s="205" t="s">
        <v>215</v>
      </c>
      <c r="B32" s="206" t="s">
        <v>18</v>
      </c>
      <c r="C32" s="204">
        <f t="shared" si="0"/>
        <v>1977</v>
      </c>
      <c r="D32" s="204">
        <f>1307+353+213+5+24+75</f>
        <v>1977</v>
      </c>
      <c r="E32" s="204"/>
      <c r="F32" s="210"/>
    </row>
    <row r="33" spans="1:6" ht="15">
      <c r="A33" s="205">
        <v>107060</v>
      </c>
      <c r="B33" s="206" t="s">
        <v>373</v>
      </c>
      <c r="C33" s="204">
        <f t="shared" si="0"/>
        <v>266</v>
      </c>
      <c r="D33" s="204">
        <f>248+18</f>
        <v>266</v>
      </c>
      <c r="E33" s="204"/>
      <c r="F33" s="210"/>
    </row>
    <row r="34" spans="1:6" ht="15">
      <c r="A34" s="205">
        <v>900020</v>
      </c>
      <c r="B34" s="224" t="s">
        <v>339</v>
      </c>
      <c r="C34" s="204">
        <f t="shared" si="0"/>
        <v>7809</v>
      </c>
      <c r="D34" s="204">
        <f>8797-60-153+180-588-80-266-99+78</f>
        <v>7809</v>
      </c>
      <c r="E34" s="204"/>
      <c r="F34" s="210"/>
    </row>
    <row r="35" spans="1:6" ht="30.75" thickBot="1">
      <c r="A35" s="205">
        <v>900080</v>
      </c>
      <c r="B35" s="212" t="s">
        <v>357</v>
      </c>
      <c r="C35" s="204">
        <f t="shared" si="0"/>
        <v>987</v>
      </c>
      <c r="D35" s="204">
        <f>3+13+40</f>
        <v>56</v>
      </c>
      <c r="E35" s="204">
        <f>268+663</f>
        <v>931</v>
      </c>
      <c r="F35" s="210"/>
    </row>
    <row r="36" spans="1:6" ht="33" customHeight="1" thickBot="1">
      <c r="A36" s="207"/>
      <c r="B36" s="208" t="s">
        <v>1</v>
      </c>
      <c r="C36" s="209">
        <f>SUM(C14:C35)-C15-C16</f>
        <v>139517</v>
      </c>
      <c r="D36" s="209">
        <f>SUM(D14:D35)-D15-D16</f>
        <v>79076</v>
      </c>
      <c r="E36" s="209">
        <f>SUM(E14:E35)-E15-E16</f>
        <v>59613</v>
      </c>
      <c r="F36" s="209">
        <f>SUM(F14:F35)-F15-F16</f>
        <v>828</v>
      </c>
    </row>
    <row r="37" ht="12.75">
      <c r="F37" s="225" t="s">
        <v>348</v>
      </c>
    </row>
  </sheetData>
  <sheetProtection password="DB7F" sheet="1" selectLockedCells="1" selectUnlockedCells="1"/>
  <mergeCells count="10">
    <mergeCell ref="D1:F1"/>
    <mergeCell ref="A9:A13"/>
    <mergeCell ref="B9:B13"/>
    <mergeCell ref="C9:C13"/>
    <mergeCell ref="D11:F13"/>
    <mergeCell ref="D9:F9"/>
    <mergeCell ref="B3:F3"/>
    <mergeCell ref="B5:F5"/>
    <mergeCell ref="B6:F6"/>
    <mergeCell ref="B7:F7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">
      <selection activeCell="O1" sqref="O1:U1"/>
    </sheetView>
  </sheetViews>
  <sheetFormatPr defaultColWidth="24.875" defaultRowHeight="12.75"/>
  <cols>
    <col min="1" max="1" width="10.00390625" style="88" customWidth="1"/>
    <col min="2" max="2" width="36.00390625" style="88" customWidth="1"/>
    <col min="3" max="3" width="11.25390625" style="88" customWidth="1"/>
    <col min="4" max="8" width="9.25390625" style="88" customWidth="1"/>
    <col min="9" max="9" width="12.25390625" style="88" customWidth="1"/>
    <col min="10" max="10" width="11.125" style="88" customWidth="1"/>
    <col min="11" max="11" width="9.25390625" style="88" customWidth="1"/>
    <col min="12" max="12" width="11.875" style="88" customWidth="1"/>
    <col min="13" max="13" width="12.125" style="88" customWidth="1"/>
    <col min="14" max="14" width="10.625" style="88" customWidth="1"/>
    <col min="15" max="15" width="9.25390625" style="88" customWidth="1"/>
    <col min="16" max="16" width="10.25390625" style="88" customWidth="1"/>
    <col min="17" max="17" width="13.00390625" style="88" customWidth="1"/>
    <col min="18" max="27" width="9.25390625" style="88" customWidth="1"/>
    <col min="28" max="16384" width="24.875" style="88" customWidth="1"/>
  </cols>
  <sheetData>
    <row r="1" spans="15:21" ht="15">
      <c r="O1" s="407" t="s">
        <v>482</v>
      </c>
      <c r="P1" s="407"/>
      <c r="Q1" s="407"/>
      <c r="R1" s="407"/>
      <c r="S1" s="407"/>
      <c r="T1" s="407"/>
      <c r="U1" s="407"/>
    </row>
    <row r="2" spans="1:19" s="102" customFormat="1" ht="15">
      <c r="A2" s="349" t="s">
        <v>350</v>
      </c>
      <c r="B2" s="349"/>
      <c r="C2" s="349"/>
      <c r="D2" s="349"/>
      <c r="E2" s="349"/>
      <c r="F2" s="349"/>
      <c r="G2" s="349"/>
      <c r="H2" s="349"/>
      <c r="S2" s="103"/>
    </row>
    <row r="3" spans="1:16" ht="15.75" customHeight="1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21" ht="15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</row>
    <row r="5" spans="1:16" ht="15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21" ht="15.75" customHeight="1">
      <c r="A6" s="394" t="s">
        <v>26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</row>
    <row r="7" spans="1:21" ht="15.75" customHeight="1">
      <c r="A7" s="394" t="s">
        <v>390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</row>
    <row r="8" spans="1:21" ht="15.75" customHeight="1">
      <c r="A8" s="394" t="s">
        <v>58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</row>
    <row r="9" ht="15.75" thickBot="1">
      <c r="R9" s="88" t="s">
        <v>6</v>
      </c>
    </row>
    <row r="10" spans="1:21" s="84" customFormat="1" ht="20.25" customHeight="1" thickBot="1">
      <c r="A10" s="432" t="s">
        <v>175</v>
      </c>
      <c r="B10" s="401" t="s">
        <v>176</v>
      </c>
      <c r="C10" s="388" t="s">
        <v>177</v>
      </c>
      <c r="D10" s="395" t="s">
        <v>178</v>
      </c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7"/>
      <c r="R10" s="410" t="s">
        <v>2</v>
      </c>
      <c r="S10" s="411"/>
      <c r="T10" s="411"/>
      <c r="U10" s="412"/>
    </row>
    <row r="11" spans="1:21" s="84" customFormat="1" ht="38.25" customHeight="1" thickBot="1">
      <c r="A11" s="433"/>
      <c r="B11" s="402"/>
      <c r="C11" s="389"/>
      <c r="D11" s="398" t="s">
        <v>54</v>
      </c>
      <c r="E11" s="399"/>
      <c r="F11" s="399"/>
      <c r="G11" s="399"/>
      <c r="H11" s="399"/>
      <c r="I11" s="400"/>
      <c r="J11" s="395" t="s">
        <v>55</v>
      </c>
      <c r="K11" s="396"/>
      <c r="L11" s="396"/>
      <c r="M11" s="397"/>
      <c r="N11" s="426" t="s">
        <v>179</v>
      </c>
      <c r="O11" s="427"/>
      <c r="P11" s="427"/>
      <c r="Q11" s="428"/>
      <c r="R11" s="413" t="s">
        <v>7</v>
      </c>
      <c r="S11" s="414"/>
      <c r="T11" s="415" t="s">
        <v>228</v>
      </c>
      <c r="U11" s="416"/>
    </row>
    <row r="12" spans="1:21" s="84" customFormat="1" ht="21" customHeight="1">
      <c r="A12" s="433"/>
      <c r="B12" s="402"/>
      <c r="C12" s="389"/>
      <c r="D12" s="388" t="s">
        <v>180</v>
      </c>
      <c r="E12" s="388" t="s">
        <v>181</v>
      </c>
      <c r="F12" s="388" t="s">
        <v>182</v>
      </c>
      <c r="G12" s="388" t="s">
        <v>183</v>
      </c>
      <c r="H12" s="388" t="s">
        <v>184</v>
      </c>
      <c r="I12" s="429" t="s">
        <v>185</v>
      </c>
      <c r="J12" s="404" t="s">
        <v>186</v>
      </c>
      <c r="K12" s="404" t="s">
        <v>56</v>
      </c>
      <c r="L12" s="388" t="s">
        <v>187</v>
      </c>
      <c r="M12" s="391" t="s">
        <v>57</v>
      </c>
      <c r="N12" s="423" t="s">
        <v>474</v>
      </c>
      <c r="O12" s="388" t="s">
        <v>188</v>
      </c>
      <c r="P12" s="388" t="s">
        <v>189</v>
      </c>
      <c r="Q12" s="391" t="s">
        <v>190</v>
      </c>
      <c r="R12" s="104" t="s">
        <v>229</v>
      </c>
      <c r="S12" s="105" t="s">
        <v>230</v>
      </c>
      <c r="T12" s="104" t="s">
        <v>231</v>
      </c>
      <c r="U12" s="104" t="s">
        <v>232</v>
      </c>
    </row>
    <row r="13" spans="1:21" s="84" customFormat="1" ht="18.75" customHeight="1">
      <c r="A13" s="433"/>
      <c r="B13" s="402"/>
      <c r="C13" s="389"/>
      <c r="D13" s="389"/>
      <c r="E13" s="389"/>
      <c r="F13" s="389"/>
      <c r="G13" s="389"/>
      <c r="H13" s="389"/>
      <c r="I13" s="430"/>
      <c r="J13" s="405"/>
      <c r="K13" s="405"/>
      <c r="L13" s="389"/>
      <c r="M13" s="408"/>
      <c r="N13" s="424"/>
      <c r="O13" s="389"/>
      <c r="P13" s="389"/>
      <c r="Q13" s="392"/>
      <c r="R13" s="417" t="s">
        <v>233</v>
      </c>
      <c r="S13" s="418"/>
      <c r="T13" s="418"/>
      <c r="U13" s="419"/>
    </row>
    <row r="14" spans="1:21" s="84" customFormat="1" ht="20.25" customHeight="1" thickBot="1">
      <c r="A14" s="434"/>
      <c r="B14" s="403"/>
      <c r="C14" s="390"/>
      <c r="D14" s="390"/>
      <c r="E14" s="390"/>
      <c r="F14" s="390"/>
      <c r="G14" s="390"/>
      <c r="H14" s="390"/>
      <c r="I14" s="431"/>
      <c r="J14" s="406"/>
      <c r="K14" s="406"/>
      <c r="L14" s="390"/>
      <c r="M14" s="409"/>
      <c r="N14" s="425"/>
      <c r="O14" s="390"/>
      <c r="P14" s="390"/>
      <c r="Q14" s="393"/>
      <c r="R14" s="420"/>
      <c r="S14" s="421"/>
      <c r="T14" s="421"/>
      <c r="U14" s="422"/>
    </row>
    <row r="15" spans="1:21" ht="45">
      <c r="A15" s="85" t="s">
        <v>191</v>
      </c>
      <c r="B15" s="86" t="s">
        <v>192</v>
      </c>
      <c r="C15" s="90">
        <f aca="true" t="shared" si="0" ref="C15:C48">I15+M15+Q15</f>
        <v>26319</v>
      </c>
      <c r="D15" s="90">
        <f>885+3024+450+220+478+6+26+53-220-478+17+11+97+8+140+40</f>
        <v>4757</v>
      </c>
      <c r="E15" s="90">
        <f>1377+61+130+1+6+27-61-130+5+3+50+3+38</f>
        <v>1510</v>
      </c>
      <c r="F15" s="90">
        <f>3008+365+824+62-365-824+98-55+231</f>
        <v>3344</v>
      </c>
      <c r="G15" s="90"/>
      <c r="H15" s="90">
        <f>112+4862+20000-600-360-560-78-62+100+118+485+826-100-19738-325+2200-178-635-165-762-81-151-790-11</f>
        <v>4107</v>
      </c>
      <c r="I15" s="90">
        <f aca="true" t="shared" si="1" ref="I15:I48">SUM(D15:H15)</f>
        <v>13718</v>
      </c>
      <c r="J15" s="90">
        <f>12559+42</f>
        <v>12601</v>
      </c>
      <c r="K15" s="90"/>
      <c r="L15" s="90"/>
      <c r="M15" s="90">
        <f>SUM(J15:L15)</f>
        <v>12601</v>
      </c>
      <c r="N15" s="90"/>
      <c r="O15" s="90"/>
      <c r="P15" s="90"/>
      <c r="Q15" s="90"/>
      <c r="R15" s="106">
        <f>0.5+0.1+0.2-0.3</f>
        <v>0.5</v>
      </c>
      <c r="S15" s="90">
        <v>0.5</v>
      </c>
      <c r="T15" s="90"/>
      <c r="U15" s="90"/>
    </row>
    <row r="16" spans="1:21" s="102" customFormat="1" ht="15">
      <c r="A16" s="215"/>
      <c r="B16" s="216" t="s">
        <v>337</v>
      </c>
      <c r="C16" s="221">
        <f>I16+M16+Q16</f>
        <v>0</v>
      </c>
      <c r="D16" s="221"/>
      <c r="E16" s="221"/>
      <c r="F16" s="221"/>
      <c r="G16" s="221"/>
      <c r="H16" s="221"/>
      <c r="I16" s="221">
        <f>SUM(D16:H16)</f>
        <v>0</v>
      </c>
      <c r="J16" s="221"/>
      <c r="K16" s="221"/>
      <c r="L16" s="221"/>
      <c r="M16" s="221"/>
      <c r="N16" s="221"/>
      <c r="O16" s="221"/>
      <c r="P16" s="221"/>
      <c r="Q16" s="221"/>
      <c r="R16" s="222"/>
      <c r="S16" s="221"/>
      <c r="T16" s="221"/>
      <c r="U16" s="221"/>
    </row>
    <row r="17" spans="1:21" s="102" customFormat="1" ht="15">
      <c r="A17" s="215"/>
      <c r="B17" s="216" t="s">
        <v>338</v>
      </c>
      <c r="C17" s="221">
        <f>I17+M17+Q17</f>
        <v>0</v>
      </c>
      <c r="D17" s="221"/>
      <c r="E17" s="221"/>
      <c r="F17" s="221"/>
      <c r="G17" s="221"/>
      <c r="H17" s="221"/>
      <c r="I17" s="221">
        <f>SUM(D17:H17)</f>
        <v>0</v>
      </c>
      <c r="J17" s="221"/>
      <c r="K17" s="221"/>
      <c r="L17" s="221"/>
      <c r="M17" s="221"/>
      <c r="N17" s="221"/>
      <c r="O17" s="221"/>
      <c r="P17" s="221"/>
      <c r="Q17" s="221"/>
      <c r="R17" s="222"/>
      <c r="S17" s="221"/>
      <c r="T17" s="221"/>
      <c r="U17" s="221"/>
    </row>
    <row r="18" spans="1:21" ht="15">
      <c r="A18" s="87" t="s">
        <v>212</v>
      </c>
      <c r="B18" s="86" t="s">
        <v>24</v>
      </c>
      <c r="C18" s="90">
        <f t="shared" si="0"/>
        <v>51</v>
      </c>
      <c r="D18" s="90"/>
      <c r="E18" s="90"/>
      <c r="F18" s="90">
        <v>51</v>
      </c>
      <c r="G18" s="90"/>
      <c r="H18" s="90"/>
      <c r="I18" s="90">
        <f t="shared" si="1"/>
        <v>51</v>
      </c>
      <c r="J18" s="90"/>
      <c r="K18" s="90"/>
      <c r="L18" s="90"/>
      <c r="M18" s="90"/>
      <c r="N18" s="90"/>
      <c r="O18" s="90"/>
      <c r="P18" s="90"/>
      <c r="Q18" s="90"/>
      <c r="R18" s="107"/>
      <c r="S18" s="90"/>
      <c r="T18" s="90"/>
      <c r="U18" s="90"/>
    </row>
    <row r="19" spans="1:21" ht="29.25" customHeight="1">
      <c r="A19" s="87" t="s">
        <v>198</v>
      </c>
      <c r="B19" s="86" t="s">
        <v>199</v>
      </c>
      <c r="C19" s="90">
        <f t="shared" si="0"/>
        <v>4411</v>
      </c>
      <c r="D19" s="90"/>
      <c r="E19" s="90"/>
      <c r="F19" s="90">
        <f>648+858+635</f>
        <v>2141</v>
      </c>
      <c r="G19" s="90"/>
      <c r="H19" s="90"/>
      <c r="I19" s="90">
        <f t="shared" si="1"/>
        <v>2141</v>
      </c>
      <c r="J19" s="90">
        <f>1500+8+762</f>
        <v>2270</v>
      </c>
      <c r="K19" s="90"/>
      <c r="L19" s="90"/>
      <c r="M19" s="90">
        <f>SUM(J19:L19)</f>
        <v>2270</v>
      </c>
      <c r="N19" s="90"/>
      <c r="O19" s="90"/>
      <c r="P19" s="90"/>
      <c r="Q19" s="90"/>
      <c r="R19" s="108"/>
      <c r="S19" s="90"/>
      <c r="T19" s="90"/>
      <c r="U19" s="90"/>
    </row>
    <row r="20" spans="1:21" ht="29.25" customHeight="1">
      <c r="A20" s="205" t="s">
        <v>335</v>
      </c>
      <c r="B20" s="203" t="s">
        <v>336</v>
      </c>
      <c r="C20" s="90">
        <f t="shared" si="0"/>
        <v>1009</v>
      </c>
      <c r="D20" s="90"/>
      <c r="E20" s="90"/>
      <c r="F20" s="90"/>
      <c r="G20" s="90"/>
      <c r="H20" s="90">
        <f>55+11</f>
        <v>66</v>
      </c>
      <c r="I20" s="90">
        <f t="shared" si="1"/>
        <v>66</v>
      </c>
      <c r="J20" s="90"/>
      <c r="K20" s="90"/>
      <c r="L20" s="90"/>
      <c r="M20" s="90"/>
      <c r="N20" s="90">
        <v>943</v>
      </c>
      <c r="O20" s="90"/>
      <c r="P20" s="90"/>
      <c r="Q20" s="221">
        <f>SUM(N20:P20)</f>
        <v>943</v>
      </c>
      <c r="R20" s="108"/>
      <c r="S20" s="90"/>
      <c r="T20" s="90"/>
      <c r="U20" s="90"/>
    </row>
    <row r="21" spans="1:21" ht="15">
      <c r="A21" s="205" t="s">
        <v>343</v>
      </c>
      <c r="B21" s="203" t="s">
        <v>344</v>
      </c>
      <c r="C21" s="90">
        <f t="shared" si="0"/>
        <v>49980</v>
      </c>
      <c r="D21" s="90"/>
      <c r="E21" s="90"/>
      <c r="F21" s="90"/>
      <c r="G21" s="90"/>
      <c r="H21" s="90"/>
      <c r="I21" s="90"/>
      <c r="J21" s="90"/>
      <c r="K21" s="90"/>
      <c r="L21" s="90">
        <f>20000-20+30000</f>
        <v>49980</v>
      </c>
      <c r="M21" s="90">
        <f>SUM(J21:L21)</f>
        <v>49980</v>
      </c>
      <c r="N21" s="90"/>
      <c r="O21" s="90"/>
      <c r="P21" s="90"/>
      <c r="Q21" s="90"/>
      <c r="R21" s="108"/>
      <c r="S21" s="90"/>
      <c r="T21" s="90"/>
      <c r="U21" s="90"/>
    </row>
    <row r="22" spans="1:21" ht="15">
      <c r="A22" s="87" t="s">
        <v>333</v>
      </c>
      <c r="B22" s="86" t="s">
        <v>334</v>
      </c>
      <c r="C22" s="90">
        <f t="shared" si="0"/>
        <v>697</v>
      </c>
      <c r="D22" s="90">
        <f>385+229</f>
        <v>614</v>
      </c>
      <c r="E22" s="90">
        <f>52+31</f>
        <v>83</v>
      </c>
      <c r="F22" s="90"/>
      <c r="G22" s="90"/>
      <c r="H22" s="90"/>
      <c r="I22" s="90">
        <f t="shared" si="1"/>
        <v>697</v>
      </c>
      <c r="J22" s="90"/>
      <c r="K22" s="90"/>
      <c r="L22" s="90"/>
      <c r="M22" s="90"/>
      <c r="N22" s="90"/>
      <c r="O22" s="90"/>
      <c r="P22" s="90"/>
      <c r="Q22" s="90"/>
      <c r="R22" s="108"/>
      <c r="S22" s="90"/>
      <c r="T22" s="90"/>
      <c r="U22" s="90"/>
    </row>
    <row r="23" spans="1:21" ht="15">
      <c r="A23" s="87" t="s">
        <v>408</v>
      </c>
      <c r="B23" s="86" t="s">
        <v>409</v>
      </c>
      <c r="C23" s="90">
        <f t="shared" si="0"/>
        <v>1051</v>
      </c>
      <c r="D23" s="90">
        <f>507+419</f>
        <v>926</v>
      </c>
      <c r="E23" s="90">
        <f>69+56</f>
        <v>125</v>
      </c>
      <c r="F23" s="90"/>
      <c r="G23" s="90"/>
      <c r="H23" s="90"/>
      <c r="I23" s="90">
        <f t="shared" si="1"/>
        <v>1051</v>
      </c>
      <c r="J23" s="90"/>
      <c r="K23" s="90"/>
      <c r="L23" s="90"/>
      <c r="M23" s="90"/>
      <c r="N23" s="90"/>
      <c r="O23" s="90"/>
      <c r="P23" s="90"/>
      <c r="Q23" s="90"/>
      <c r="R23" s="108"/>
      <c r="S23" s="90"/>
      <c r="T23" s="90"/>
      <c r="U23" s="90"/>
    </row>
    <row r="24" spans="1:21" ht="15">
      <c r="A24" s="87" t="s">
        <v>359</v>
      </c>
      <c r="B24" s="86" t="s">
        <v>360</v>
      </c>
      <c r="C24" s="90">
        <f t="shared" si="0"/>
        <v>10100</v>
      </c>
      <c r="D24" s="90"/>
      <c r="E24" s="90"/>
      <c r="F24" s="90"/>
      <c r="G24" s="90"/>
      <c r="H24" s="90"/>
      <c r="I24" s="90">
        <f t="shared" si="1"/>
        <v>0</v>
      </c>
      <c r="J24" s="90"/>
      <c r="K24" s="90">
        <f>10000+100</f>
        <v>10100</v>
      </c>
      <c r="L24" s="90"/>
      <c r="M24" s="90">
        <f>SUM(J24:L24)</f>
        <v>10100</v>
      </c>
      <c r="N24" s="90"/>
      <c r="O24" s="90"/>
      <c r="P24" s="90"/>
      <c r="Q24" s="90"/>
      <c r="R24" s="108"/>
      <c r="S24" s="90"/>
      <c r="T24" s="90"/>
      <c r="U24" s="90"/>
    </row>
    <row r="25" spans="1:21" ht="30.75" thickBot="1">
      <c r="A25" s="87" t="s">
        <v>200</v>
      </c>
      <c r="B25" s="86" t="s">
        <v>201</v>
      </c>
      <c r="C25" s="90">
        <f t="shared" si="0"/>
        <v>1139</v>
      </c>
      <c r="D25" s="90"/>
      <c r="E25" s="90"/>
      <c r="F25" s="90">
        <f>254+560+325</f>
        <v>1139</v>
      </c>
      <c r="G25" s="90"/>
      <c r="H25" s="90"/>
      <c r="I25" s="90">
        <f t="shared" si="1"/>
        <v>1139</v>
      </c>
      <c r="J25" s="90"/>
      <c r="K25" s="90"/>
      <c r="L25" s="90"/>
      <c r="M25" s="90"/>
      <c r="N25" s="90"/>
      <c r="O25" s="90"/>
      <c r="P25" s="90"/>
      <c r="Q25" s="90"/>
      <c r="R25" s="108"/>
      <c r="S25" s="90"/>
      <c r="T25" s="90"/>
      <c r="U25" s="90"/>
    </row>
    <row r="26" spans="1:21" ht="45">
      <c r="A26" s="85" t="s">
        <v>195</v>
      </c>
      <c r="B26" s="86" t="s">
        <v>196</v>
      </c>
      <c r="C26" s="90">
        <f t="shared" si="0"/>
        <v>288</v>
      </c>
      <c r="D26" s="90"/>
      <c r="E26" s="90"/>
      <c r="F26" s="90">
        <v>288</v>
      </c>
      <c r="G26" s="90"/>
      <c r="H26" s="90"/>
      <c r="I26" s="90">
        <f t="shared" si="1"/>
        <v>288</v>
      </c>
      <c r="J26" s="90"/>
      <c r="K26" s="90"/>
      <c r="L26" s="90"/>
      <c r="M26" s="90"/>
      <c r="N26" s="90"/>
      <c r="O26" s="90"/>
      <c r="P26" s="90"/>
      <c r="Q26" s="90"/>
      <c r="R26" s="106"/>
      <c r="S26" s="90"/>
      <c r="T26" s="90"/>
      <c r="U26" s="90"/>
    </row>
    <row r="27" spans="1:21" ht="30">
      <c r="A27" s="87" t="s">
        <v>193</v>
      </c>
      <c r="B27" s="86" t="s">
        <v>194</v>
      </c>
      <c r="C27" s="90">
        <f t="shared" si="0"/>
        <v>4639</v>
      </c>
      <c r="D27" s="90"/>
      <c r="E27" s="90"/>
      <c r="F27" s="90">
        <f>3368+1271</f>
        <v>4639</v>
      </c>
      <c r="G27" s="90"/>
      <c r="H27" s="90"/>
      <c r="I27" s="90">
        <f t="shared" si="1"/>
        <v>4639</v>
      </c>
      <c r="J27" s="90"/>
      <c r="K27" s="90"/>
      <c r="L27" s="90"/>
      <c r="M27" s="90"/>
      <c r="N27" s="90"/>
      <c r="O27" s="90"/>
      <c r="P27" s="90"/>
      <c r="Q27" s="90"/>
      <c r="R27" s="108"/>
      <c r="S27" s="90"/>
      <c r="T27" s="90"/>
      <c r="U27" s="90"/>
    </row>
    <row r="28" spans="1:21" ht="15">
      <c r="A28" s="87" t="s">
        <v>371</v>
      </c>
      <c r="B28" s="86" t="s">
        <v>372</v>
      </c>
      <c r="C28" s="90">
        <f t="shared" si="0"/>
        <v>600</v>
      </c>
      <c r="D28" s="90"/>
      <c r="E28" s="90"/>
      <c r="F28" s="90"/>
      <c r="G28" s="90"/>
      <c r="H28" s="90"/>
      <c r="I28" s="90"/>
      <c r="J28" s="90"/>
      <c r="K28" s="90"/>
      <c r="L28" s="90">
        <v>600</v>
      </c>
      <c r="M28" s="90">
        <f>SUM(J28:L28)</f>
        <v>600</v>
      </c>
      <c r="N28" s="90"/>
      <c r="O28" s="90"/>
      <c r="P28" s="90"/>
      <c r="Q28" s="90"/>
      <c r="R28" s="108"/>
      <c r="S28" s="90"/>
      <c r="T28" s="90"/>
      <c r="U28" s="90"/>
    </row>
    <row r="29" spans="1:21" ht="15">
      <c r="A29" s="87" t="s">
        <v>204</v>
      </c>
      <c r="B29" s="86" t="s">
        <v>205</v>
      </c>
      <c r="C29" s="90">
        <f t="shared" si="0"/>
        <v>3174</v>
      </c>
      <c r="D29" s="90"/>
      <c r="E29" s="90"/>
      <c r="F29" s="90">
        <f>2984+190</f>
        <v>3174</v>
      </c>
      <c r="G29" s="90"/>
      <c r="H29" s="90"/>
      <c r="I29" s="90">
        <f t="shared" si="1"/>
        <v>3174</v>
      </c>
      <c r="J29" s="90"/>
      <c r="K29" s="90"/>
      <c r="L29" s="90"/>
      <c r="M29" s="90"/>
      <c r="N29" s="90"/>
      <c r="O29" s="90"/>
      <c r="P29" s="90"/>
      <c r="Q29" s="90"/>
      <c r="R29" s="108"/>
      <c r="S29" s="90"/>
      <c r="T29" s="90"/>
      <c r="U29" s="90"/>
    </row>
    <row r="30" spans="1:21" ht="15">
      <c r="A30" s="87" t="s">
        <v>202</v>
      </c>
      <c r="B30" s="86" t="s">
        <v>203</v>
      </c>
      <c r="C30" s="90">
        <f t="shared" si="0"/>
        <v>381</v>
      </c>
      <c r="D30" s="90"/>
      <c r="E30" s="90"/>
      <c r="F30" s="90">
        <v>381</v>
      </c>
      <c r="G30" s="90"/>
      <c r="H30" s="90"/>
      <c r="I30" s="90">
        <f t="shared" si="1"/>
        <v>381</v>
      </c>
      <c r="J30" s="90"/>
      <c r="K30" s="90"/>
      <c r="L30" s="90"/>
      <c r="M30" s="90"/>
      <c r="N30" s="90"/>
      <c r="O30" s="90"/>
      <c r="P30" s="90"/>
      <c r="Q30" s="90"/>
      <c r="R30" s="108"/>
      <c r="S30" s="90"/>
      <c r="T30" s="90"/>
      <c r="U30" s="90"/>
    </row>
    <row r="31" spans="1:21" ht="30">
      <c r="A31" s="87" t="s">
        <v>206</v>
      </c>
      <c r="B31" s="86" t="s">
        <v>207</v>
      </c>
      <c r="C31" s="90">
        <f t="shared" si="0"/>
        <v>6874</v>
      </c>
      <c r="D31" s="90">
        <f>637+13+63+41+27+18</f>
        <v>799</v>
      </c>
      <c r="E31" s="90">
        <f>172+4+15+11+8+8</f>
        <v>218</v>
      </c>
      <c r="F31" s="90">
        <f>1088+445-231</f>
        <v>1302</v>
      </c>
      <c r="G31" s="90"/>
      <c r="H31" s="90"/>
      <c r="I31" s="90">
        <f t="shared" si="1"/>
        <v>2319</v>
      </c>
      <c r="J31" s="90">
        <f>4390+1500-1500+165</f>
        <v>4555</v>
      </c>
      <c r="K31" s="90"/>
      <c r="L31" s="90"/>
      <c r="M31" s="90">
        <f>SUM(J31:L31)</f>
        <v>4555</v>
      </c>
      <c r="N31" s="90"/>
      <c r="O31" s="90"/>
      <c r="P31" s="90"/>
      <c r="Q31" s="90"/>
      <c r="R31" s="108">
        <v>0.5</v>
      </c>
      <c r="S31" s="90">
        <v>0.5</v>
      </c>
      <c r="T31" s="90">
        <v>1</v>
      </c>
      <c r="U31" s="90"/>
    </row>
    <row r="32" spans="1:21" ht="15">
      <c r="A32" s="87" t="s">
        <v>208</v>
      </c>
      <c r="B32" s="91" t="s">
        <v>21</v>
      </c>
      <c r="C32" s="90">
        <f t="shared" si="0"/>
        <v>60</v>
      </c>
      <c r="D32" s="90"/>
      <c r="E32" s="90"/>
      <c r="F32" s="90">
        <v>60</v>
      </c>
      <c r="G32" s="90"/>
      <c r="H32" s="90"/>
      <c r="I32" s="90">
        <f t="shared" si="1"/>
        <v>60</v>
      </c>
      <c r="J32" s="90"/>
      <c r="K32" s="90"/>
      <c r="L32" s="90"/>
      <c r="M32" s="90"/>
      <c r="N32" s="90"/>
      <c r="O32" s="90"/>
      <c r="P32" s="90"/>
      <c r="Q32" s="90"/>
      <c r="R32" s="108"/>
      <c r="S32" s="90"/>
      <c r="T32" s="90"/>
      <c r="U32" s="90"/>
    </row>
    <row r="33" spans="1:21" ht="30">
      <c r="A33" s="87" t="s">
        <v>209</v>
      </c>
      <c r="B33" s="86" t="s">
        <v>69</v>
      </c>
      <c r="C33" s="90">
        <f t="shared" si="0"/>
        <v>9050</v>
      </c>
      <c r="D33" s="90">
        <v>386</v>
      </c>
      <c r="E33" s="90">
        <v>104</v>
      </c>
      <c r="F33" s="90">
        <f>8110+450</f>
        <v>8560</v>
      </c>
      <c r="G33" s="90"/>
      <c r="H33" s="90"/>
      <c r="I33" s="90">
        <f t="shared" si="1"/>
        <v>9050</v>
      </c>
      <c r="J33" s="90"/>
      <c r="K33" s="90"/>
      <c r="L33" s="90"/>
      <c r="M33" s="90"/>
      <c r="N33" s="90"/>
      <c r="O33" s="90"/>
      <c r="P33" s="90"/>
      <c r="Q33" s="90"/>
      <c r="R33" s="108"/>
      <c r="S33" s="90"/>
      <c r="T33" s="90"/>
      <c r="U33" s="90"/>
    </row>
    <row r="34" spans="1:21" ht="33.75" customHeight="1">
      <c r="A34" s="87" t="s">
        <v>214</v>
      </c>
      <c r="B34" s="86" t="s">
        <v>213</v>
      </c>
      <c r="C34" s="90">
        <f t="shared" si="0"/>
        <v>675</v>
      </c>
      <c r="D34" s="90"/>
      <c r="E34" s="90"/>
      <c r="F34" s="90"/>
      <c r="G34" s="90"/>
      <c r="H34" s="90">
        <v>675</v>
      </c>
      <c r="I34" s="90">
        <f t="shared" si="1"/>
        <v>675</v>
      </c>
      <c r="J34" s="90"/>
      <c r="K34" s="90"/>
      <c r="L34" s="90"/>
      <c r="M34" s="90"/>
      <c r="N34" s="90"/>
      <c r="O34" s="90"/>
      <c r="P34" s="90"/>
      <c r="Q34" s="90"/>
      <c r="R34" s="108"/>
      <c r="S34" s="90"/>
      <c r="T34" s="90"/>
      <c r="U34" s="90"/>
    </row>
    <row r="35" spans="1:21" ht="15">
      <c r="A35" s="87" t="s">
        <v>218</v>
      </c>
      <c r="B35" s="91" t="s">
        <v>25</v>
      </c>
      <c r="C35" s="90">
        <f t="shared" si="0"/>
        <v>683</v>
      </c>
      <c r="D35" s="90">
        <f>354+2+10+7+4+3+92</f>
        <v>472</v>
      </c>
      <c r="E35" s="90">
        <f>95+1+2+2+1+1+26</f>
        <v>128</v>
      </c>
      <c r="F35" s="90">
        <v>83</v>
      </c>
      <c r="G35" s="90"/>
      <c r="H35" s="90"/>
      <c r="I35" s="90">
        <f t="shared" si="1"/>
        <v>683</v>
      </c>
      <c r="J35" s="90"/>
      <c r="K35" s="90"/>
      <c r="L35" s="90"/>
      <c r="M35" s="90"/>
      <c r="N35" s="90"/>
      <c r="O35" s="90"/>
      <c r="P35" s="90"/>
      <c r="Q35" s="90"/>
      <c r="R35" s="108">
        <v>0.2</v>
      </c>
      <c r="S35" s="90">
        <v>0.2</v>
      </c>
      <c r="T35" s="90"/>
      <c r="U35" s="90"/>
    </row>
    <row r="36" spans="1:21" ht="15">
      <c r="A36" s="87" t="s">
        <v>217</v>
      </c>
      <c r="B36" s="86" t="s">
        <v>23</v>
      </c>
      <c r="C36" s="90">
        <f t="shared" si="0"/>
        <v>135</v>
      </c>
      <c r="D36" s="90"/>
      <c r="E36" s="90"/>
      <c r="F36" s="90"/>
      <c r="G36" s="90"/>
      <c r="H36" s="90">
        <v>135</v>
      </c>
      <c r="I36" s="90">
        <f t="shared" si="1"/>
        <v>135</v>
      </c>
      <c r="J36" s="90"/>
      <c r="K36" s="90"/>
      <c r="L36" s="90"/>
      <c r="M36" s="90"/>
      <c r="N36" s="90"/>
      <c r="O36" s="90"/>
      <c r="P36" s="90"/>
      <c r="Q36" s="90"/>
      <c r="R36" s="108"/>
      <c r="S36" s="90"/>
      <c r="T36" s="90"/>
      <c r="U36" s="90"/>
    </row>
    <row r="37" spans="1:21" ht="30">
      <c r="A37" s="87" t="s">
        <v>221</v>
      </c>
      <c r="B37" s="86" t="s">
        <v>222</v>
      </c>
      <c r="C37" s="90">
        <f t="shared" si="0"/>
        <v>3060</v>
      </c>
      <c r="D37" s="90">
        <f>1750+4+19+13+9+7+124</f>
        <v>1926</v>
      </c>
      <c r="E37" s="90">
        <f>466+1+5+3+2+2+40</f>
        <v>519</v>
      </c>
      <c r="F37" s="90">
        <f>461+45</f>
        <v>506</v>
      </c>
      <c r="G37" s="90"/>
      <c r="H37" s="90"/>
      <c r="I37" s="90">
        <f t="shared" si="1"/>
        <v>2951</v>
      </c>
      <c r="J37" s="90">
        <f>109</f>
        <v>109</v>
      </c>
      <c r="K37" s="90"/>
      <c r="L37" s="90"/>
      <c r="M37" s="90">
        <f>SUM(J37:L37)</f>
        <v>109</v>
      </c>
      <c r="N37" s="90"/>
      <c r="O37" s="90"/>
      <c r="P37" s="90"/>
      <c r="Q37" s="90"/>
      <c r="R37" s="108">
        <f>0.3+0.75</f>
        <v>1.05</v>
      </c>
      <c r="S37" s="90">
        <v>1.05</v>
      </c>
      <c r="T37" s="90"/>
      <c r="U37" s="90"/>
    </row>
    <row r="38" spans="1:21" ht="30">
      <c r="A38" s="87" t="s">
        <v>223</v>
      </c>
      <c r="B38" s="86" t="s">
        <v>224</v>
      </c>
      <c r="C38" s="90">
        <f t="shared" si="0"/>
        <v>325</v>
      </c>
      <c r="D38" s="90"/>
      <c r="E38" s="90"/>
      <c r="F38" s="90"/>
      <c r="G38" s="90"/>
      <c r="H38" s="90">
        <v>325</v>
      </c>
      <c r="I38" s="90">
        <f t="shared" si="1"/>
        <v>325</v>
      </c>
      <c r="J38" s="90"/>
      <c r="K38" s="90"/>
      <c r="L38" s="90"/>
      <c r="M38" s="90"/>
      <c r="N38" s="90"/>
      <c r="O38" s="90"/>
      <c r="P38" s="90"/>
      <c r="Q38" s="90"/>
      <c r="R38" s="108"/>
      <c r="S38" s="90"/>
      <c r="T38" s="90"/>
      <c r="U38" s="90"/>
    </row>
    <row r="39" spans="1:21" ht="15">
      <c r="A39" s="87" t="s">
        <v>197</v>
      </c>
      <c r="B39" s="91" t="s">
        <v>20</v>
      </c>
      <c r="C39" s="90">
        <f t="shared" si="0"/>
        <v>5315</v>
      </c>
      <c r="D39" s="90">
        <f>1691+6+26-257+16+11+7</f>
        <v>1500</v>
      </c>
      <c r="E39" s="90">
        <f>462+1+6-69+4+3+3</f>
        <v>410</v>
      </c>
      <c r="F39" s="90">
        <f>3240+98+67</f>
        <v>3405</v>
      </c>
      <c r="G39" s="90"/>
      <c r="H39" s="90"/>
      <c r="I39" s="90">
        <f t="shared" si="1"/>
        <v>5315</v>
      </c>
      <c r="J39" s="90"/>
      <c r="K39" s="90"/>
      <c r="L39" s="90"/>
      <c r="M39" s="90"/>
      <c r="N39" s="90"/>
      <c r="O39" s="90"/>
      <c r="P39" s="90"/>
      <c r="Q39" s="90"/>
      <c r="R39" s="108">
        <v>0.9</v>
      </c>
      <c r="S39" s="90">
        <v>0.9</v>
      </c>
      <c r="T39" s="90"/>
      <c r="U39" s="90"/>
    </row>
    <row r="40" spans="1:21" ht="30">
      <c r="A40" s="87">
        <v>101150</v>
      </c>
      <c r="B40" s="86" t="s">
        <v>219</v>
      </c>
      <c r="C40" s="90">
        <f t="shared" si="0"/>
        <v>400</v>
      </c>
      <c r="D40" s="90"/>
      <c r="E40" s="90"/>
      <c r="F40" s="90"/>
      <c r="G40" s="90">
        <v>400</v>
      </c>
      <c r="H40" s="90"/>
      <c r="I40" s="90">
        <f t="shared" si="1"/>
        <v>400</v>
      </c>
      <c r="J40" s="90"/>
      <c r="K40" s="90"/>
      <c r="L40" s="90"/>
      <c r="M40" s="90"/>
      <c r="N40" s="90"/>
      <c r="O40" s="90"/>
      <c r="P40" s="90"/>
      <c r="Q40" s="90"/>
      <c r="R40" s="108"/>
      <c r="S40" s="90"/>
      <c r="T40" s="90"/>
      <c r="U40" s="90"/>
    </row>
    <row r="41" spans="1:21" ht="15">
      <c r="A41" s="87" t="s">
        <v>216</v>
      </c>
      <c r="B41" s="91" t="s">
        <v>22</v>
      </c>
      <c r="C41" s="90">
        <f t="shared" si="0"/>
        <v>264</v>
      </c>
      <c r="D41" s="90">
        <v>204</v>
      </c>
      <c r="E41" s="90">
        <v>50</v>
      </c>
      <c r="F41" s="90">
        <v>10</v>
      </c>
      <c r="G41" s="90"/>
      <c r="H41" s="90"/>
      <c r="I41" s="90">
        <f t="shared" si="1"/>
        <v>264</v>
      </c>
      <c r="J41" s="90"/>
      <c r="K41" s="90"/>
      <c r="L41" s="90"/>
      <c r="M41" s="90"/>
      <c r="N41" s="90"/>
      <c r="O41" s="90"/>
      <c r="P41" s="90"/>
      <c r="Q41" s="90"/>
      <c r="R41" s="108"/>
      <c r="S41" s="90"/>
      <c r="T41" s="90"/>
      <c r="U41" s="90"/>
    </row>
    <row r="42" spans="1:21" ht="30">
      <c r="A42" s="87">
        <v>104051</v>
      </c>
      <c r="B42" s="86" t="s">
        <v>459</v>
      </c>
      <c r="C42" s="90">
        <f t="shared" si="0"/>
        <v>46</v>
      </c>
      <c r="D42" s="90"/>
      <c r="E42" s="90"/>
      <c r="F42" s="90"/>
      <c r="G42" s="90">
        <v>46</v>
      </c>
      <c r="H42" s="90"/>
      <c r="I42" s="90">
        <f t="shared" si="1"/>
        <v>46</v>
      </c>
      <c r="J42" s="90"/>
      <c r="K42" s="90"/>
      <c r="L42" s="90"/>
      <c r="M42" s="90"/>
      <c r="N42" s="90"/>
      <c r="O42" s="90"/>
      <c r="P42" s="90"/>
      <c r="Q42" s="90"/>
      <c r="R42" s="108"/>
      <c r="S42" s="90"/>
      <c r="T42" s="90"/>
      <c r="U42" s="90"/>
    </row>
    <row r="43" spans="1:21" ht="15">
      <c r="A43" s="87">
        <v>105010</v>
      </c>
      <c r="B43" s="86" t="s">
        <v>210</v>
      </c>
      <c r="C43" s="90">
        <f t="shared" si="0"/>
        <v>447</v>
      </c>
      <c r="D43" s="90"/>
      <c r="E43" s="90"/>
      <c r="F43" s="90"/>
      <c r="G43" s="90">
        <f>750-303</f>
        <v>447</v>
      </c>
      <c r="H43" s="90"/>
      <c r="I43" s="90">
        <f t="shared" si="1"/>
        <v>447</v>
      </c>
      <c r="J43" s="90"/>
      <c r="K43" s="90"/>
      <c r="L43" s="90"/>
      <c r="M43" s="90"/>
      <c r="N43" s="90"/>
      <c r="O43" s="90"/>
      <c r="P43" s="90"/>
      <c r="Q43" s="90"/>
      <c r="R43" s="108"/>
      <c r="S43" s="90"/>
      <c r="T43" s="90"/>
      <c r="U43" s="90"/>
    </row>
    <row r="44" spans="1:21" ht="30">
      <c r="A44" s="87">
        <v>106020</v>
      </c>
      <c r="B44" s="86" t="s">
        <v>211</v>
      </c>
      <c r="C44" s="90">
        <f t="shared" si="0"/>
        <v>351</v>
      </c>
      <c r="D44" s="90"/>
      <c r="E44" s="90"/>
      <c r="F44" s="90"/>
      <c r="G44" s="90">
        <f>168+183</f>
        <v>351</v>
      </c>
      <c r="H44" s="90"/>
      <c r="I44" s="90">
        <f t="shared" si="1"/>
        <v>351</v>
      </c>
      <c r="J44" s="90"/>
      <c r="K44" s="90"/>
      <c r="L44" s="90"/>
      <c r="M44" s="90"/>
      <c r="N44" s="90"/>
      <c r="O44" s="90"/>
      <c r="P44" s="90"/>
      <c r="Q44" s="90"/>
      <c r="R44" s="108"/>
      <c r="S44" s="90"/>
      <c r="T44" s="90"/>
      <c r="U44" s="90"/>
    </row>
    <row r="45" spans="1:21" ht="15">
      <c r="A45" s="87" t="s">
        <v>215</v>
      </c>
      <c r="B45" s="91" t="s">
        <v>18</v>
      </c>
      <c r="C45" s="90">
        <f t="shared" si="0"/>
        <v>3561</v>
      </c>
      <c r="D45" s="90">
        <f>1286+4+20+12+8+6-256</f>
        <v>1080</v>
      </c>
      <c r="E45" s="90">
        <f>352+1+4+3+2+2-66</f>
        <v>298</v>
      </c>
      <c r="F45" s="90">
        <f>2132+31+75-55</f>
        <v>2183</v>
      </c>
      <c r="G45" s="90"/>
      <c r="H45" s="90"/>
      <c r="I45" s="90">
        <f t="shared" si="1"/>
        <v>3561</v>
      </c>
      <c r="J45" s="90"/>
      <c r="K45" s="90"/>
      <c r="L45" s="90"/>
      <c r="M45" s="90"/>
      <c r="N45" s="90"/>
      <c r="O45" s="90"/>
      <c r="P45" s="90"/>
      <c r="Q45" s="90"/>
      <c r="R45" s="108">
        <v>0.8</v>
      </c>
      <c r="S45" s="90">
        <v>0.8</v>
      </c>
      <c r="T45" s="90"/>
      <c r="U45" s="90"/>
    </row>
    <row r="46" spans="1:21" ht="15">
      <c r="A46" s="87">
        <v>107052</v>
      </c>
      <c r="B46" s="271" t="s">
        <v>384</v>
      </c>
      <c r="C46" s="90">
        <f t="shared" si="0"/>
        <v>360</v>
      </c>
      <c r="D46" s="90"/>
      <c r="E46" s="90"/>
      <c r="F46" s="90">
        <v>360</v>
      </c>
      <c r="G46" s="90"/>
      <c r="H46" s="90"/>
      <c r="I46" s="90">
        <f t="shared" si="1"/>
        <v>360</v>
      </c>
      <c r="J46" s="90"/>
      <c r="K46" s="90"/>
      <c r="L46" s="90"/>
      <c r="M46" s="90"/>
      <c r="N46" s="90"/>
      <c r="O46" s="90"/>
      <c r="P46" s="90"/>
      <c r="Q46" s="90"/>
      <c r="R46" s="108"/>
      <c r="S46" s="90"/>
      <c r="T46" s="90"/>
      <c r="U46" s="90"/>
    </row>
    <row r="47" spans="1:21" ht="30.75" thickBot="1">
      <c r="A47" s="87">
        <v>107060</v>
      </c>
      <c r="B47" s="86" t="s">
        <v>220</v>
      </c>
      <c r="C47" s="90">
        <f t="shared" si="0"/>
        <v>1919</v>
      </c>
      <c r="D47" s="90"/>
      <c r="E47" s="90"/>
      <c r="F47" s="90">
        <f>248+267</f>
        <v>515</v>
      </c>
      <c r="G47" s="90">
        <v>1404</v>
      </c>
      <c r="H47" s="90"/>
      <c r="I47" s="90">
        <f t="shared" si="1"/>
        <v>1919</v>
      </c>
      <c r="J47" s="90"/>
      <c r="K47" s="90"/>
      <c r="L47" s="90"/>
      <c r="M47" s="90"/>
      <c r="N47" s="90"/>
      <c r="O47" s="90"/>
      <c r="P47" s="90"/>
      <c r="Q47" s="90"/>
      <c r="R47" s="108"/>
      <c r="S47" s="90"/>
      <c r="T47" s="90"/>
      <c r="U47" s="90"/>
    </row>
    <row r="48" spans="1:21" ht="45.75" customHeight="1" thickBot="1">
      <c r="A48" s="85">
        <v>900080</v>
      </c>
      <c r="B48" s="86" t="s">
        <v>357</v>
      </c>
      <c r="C48" s="90">
        <f t="shared" si="0"/>
        <v>2153</v>
      </c>
      <c r="D48" s="90">
        <f>2+11+220+478+7+5+3</f>
        <v>726</v>
      </c>
      <c r="E48" s="90">
        <f>1+2+61+130+2+1+1</f>
        <v>198</v>
      </c>
      <c r="F48" s="90">
        <f>40+365+824</f>
        <v>1229</v>
      </c>
      <c r="G48" s="90"/>
      <c r="H48" s="90"/>
      <c r="I48" s="90">
        <f t="shared" si="1"/>
        <v>2153</v>
      </c>
      <c r="J48" s="90"/>
      <c r="K48" s="90"/>
      <c r="L48" s="90"/>
      <c r="M48" s="90"/>
      <c r="N48" s="90"/>
      <c r="O48" s="90"/>
      <c r="P48" s="90"/>
      <c r="Q48" s="90"/>
      <c r="R48" s="106">
        <v>0.3</v>
      </c>
      <c r="S48" s="90">
        <v>0.3</v>
      </c>
      <c r="T48" s="90"/>
      <c r="U48" s="90"/>
    </row>
    <row r="49" spans="1:21" s="94" customFormat="1" ht="30" customHeight="1" thickBot="1">
      <c r="A49" s="92"/>
      <c r="B49" s="93" t="s">
        <v>1</v>
      </c>
      <c r="C49" s="93">
        <f>SUM(C15:C48)-C16-C17</f>
        <v>139517</v>
      </c>
      <c r="D49" s="93">
        <f aca="true" t="shared" si="2" ref="D49:U49">SUM(D15:D48)-D16-D17</f>
        <v>13390</v>
      </c>
      <c r="E49" s="93">
        <f t="shared" si="2"/>
        <v>3643</v>
      </c>
      <c r="F49" s="93">
        <f t="shared" si="2"/>
        <v>33370</v>
      </c>
      <c r="G49" s="93">
        <f t="shared" si="2"/>
        <v>2648</v>
      </c>
      <c r="H49" s="93">
        <f t="shared" si="2"/>
        <v>5308</v>
      </c>
      <c r="I49" s="93">
        <f t="shared" si="2"/>
        <v>58359</v>
      </c>
      <c r="J49" s="93">
        <f t="shared" si="2"/>
        <v>19535</v>
      </c>
      <c r="K49" s="93">
        <f t="shared" si="2"/>
        <v>10100</v>
      </c>
      <c r="L49" s="93">
        <f t="shared" si="2"/>
        <v>50580</v>
      </c>
      <c r="M49" s="93">
        <f t="shared" si="2"/>
        <v>80215</v>
      </c>
      <c r="N49" s="93">
        <f t="shared" si="2"/>
        <v>943</v>
      </c>
      <c r="O49" s="93">
        <f t="shared" si="2"/>
        <v>0</v>
      </c>
      <c r="P49" s="93">
        <f t="shared" si="2"/>
        <v>0</v>
      </c>
      <c r="Q49" s="93">
        <f t="shared" si="2"/>
        <v>943</v>
      </c>
      <c r="R49" s="93">
        <f t="shared" si="2"/>
        <v>4.25</v>
      </c>
      <c r="S49" s="93">
        <f t="shared" si="2"/>
        <v>4.25</v>
      </c>
      <c r="T49" s="93">
        <f t="shared" si="2"/>
        <v>1</v>
      </c>
      <c r="U49" s="93">
        <f t="shared" si="2"/>
        <v>0</v>
      </c>
    </row>
    <row r="50" ht="15">
      <c r="U50" s="226" t="s">
        <v>348</v>
      </c>
    </row>
  </sheetData>
  <sheetProtection password="DB7F" sheet="1" selectLockedCells="1" selectUnlockedCells="1"/>
  <mergeCells count="32">
    <mergeCell ref="A2:H2"/>
    <mergeCell ref="A3:P3"/>
    <mergeCell ref="K12:K14"/>
    <mergeCell ref="L12:L14"/>
    <mergeCell ref="O12:O14"/>
    <mergeCell ref="G12:G14"/>
    <mergeCell ref="J11:M11"/>
    <mergeCell ref="A10:A14"/>
    <mergeCell ref="O1:U1"/>
    <mergeCell ref="M12:M14"/>
    <mergeCell ref="R10:U10"/>
    <mergeCell ref="R11:S11"/>
    <mergeCell ref="T11:U11"/>
    <mergeCell ref="R13:U14"/>
    <mergeCell ref="N12:N14"/>
    <mergeCell ref="N11:Q11"/>
    <mergeCell ref="A4:U4"/>
    <mergeCell ref="A6:U6"/>
    <mergeCell ref="A7:U7"/>
    <mergeCell ref="C10:C14"/>
    <mergeCell ref="D10:Q10"/>
    <mergeCell ref="D11:I11"/>
    <mergeCell ref="B10:B14"/>
    <mergeCell ref="J12:J14"/>
    <mergeCell ref="D12:D14"/>
    <mergeCell ref="E12:E14"/>
    <mergeCell ref="P12:P14"/>
    <mergeCell ref="Q12:Q14"/>
    <mergeCell ref="A8:U8"/>
    <mergeCell ref="F12:F14"/>
    <mergeCell ref="I12:I14"/>
    <mergeCell ref="H12:H14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9.125" style="202" customWidth="1"/>
    <col min="2" max="2" width="63.125" style="202" customWidth="1"/>
    <col min="3" max="6" width="26.25390625" style="202" customWidth="1"/>
    <col min="7" max="16384" width="9.125" style="202" customWidth="1"/>
  </cols>
  <sheetData>
    <row r="1" spans="4:6" ht="12.75">
      <c r="D1" s="435" t="s">
        <v>483</v>
      </c>
      <c r="E1" s="435"/>
      <c r="F1" s="435"/>
    </row>
    <row r="2" spans="1:6" s="190" customFormat="1" ht="15.75">
      <c r="A2" s="83" t="s">
        <v>340</v>
      </c>
      <c r="C2" s="191"/>
      <c r="D2" s="192"/>
      <c r="E2" s="192"/>
      <c r="F2" s="192"/>
    </row>
    <row r="3" spans="2:6" s="41" customFormat="1" ht="15" customHeight="1">
      <c r="B3" s="385"/>
      <c r="C3" s="385"/>
      <c r="D3" s="385"/>
      <c r="E3" s="385"/>
      <c r="F3" s="385"/>
    </row>
    <row r="4" spans="3:6" s="193" customFormat="1" ht="15" customHeight="1">
      <c r="C4" s="194"/>
      <c r="D4" s="195"/>
      <c r="E4" s="195"/>
      <c r="F4" s="195"/>
    </row>
    <row r="5" spans="2:6" s="109" customFormat="1" ht="15" customHeight="1">
      <c r="B5" s="386" t="s">
        <v>26</v>
      </c>
      <c r="C5" s="386"/>
      <c r="D5" s="386"/>
      <c r="E5" s="386"/>
      <c r="F5" s="386"/>
    </row>
    <row r="6" spans="2:6" s="109" customFormat="1" ht="15.75">
      <c r="B6" s="387" t="s">
        <v>234</v>
      </c>
      <c r="C6" s="387"/>
      <c r="D6" s="387"/>
      <c r="E6" s="387"/>
      <c r="F6" s="387"/>
    </row>
    <row r="7" spans="2:6" s="109" customFormat="1" ht="15" customHeight="1">
      <c r="B7" s="386" t="s">
        <v>48</v>
      </c>
      <c r="C7" s="386"/>
      <c r="D7" s="386"/>
      <c r="E7" s="386"/>
      <c r="F7" s="386"/>
    </row>
    <row r="8" spans="2:6" s="190" customFormat="1" ht="12" customHeight="1" thickBot="1">
      <c r="B8" s="191"/>
      <c r="C8" s="196"/>
      <c r="D8" s="197"/>
      <c r="E8" s="197"/>
      <c r="F8" s="198"/>
    </row>
    <row r="9" spans="1:6" s="190" customFormat="1" ht="16.5" customHeight="1" thickBot="1">
      <c r="A9" s="341" t="s">
        <v>175</v>
      </c>
      <c r="B9" s="334" t="s">
        <v>176</v>
      </c>
      <c r="C9" s="337" t="s">
        <v>235</v>
      </c>
      <c r="D9" s="383" t="s">
        <v>12</v>
      </c>
      <c r="E9" s="383"/>
      <c r="F9" s="384"/>
    </row>
    <row r="10" spans="1:6" s="190" customFormat="1" ht="33" customHeight="1" thickBot="1">
      <c r="A10" s="332"/>
      <c r="B10" s="335"/>
      <c r="C10" s="372"/>
      <c r="D10" s="199" t="s">
        <v>171</v>
      </c>
      <c r="E10" s="200" t="s">
        <v>172</v>
      </c>
      <c r="F10" s="201" t="s">
        <v>173</v>
      </c>
    </row>
    <row r="11" spans="1:6" s="190" customFormat="1" ht="22.5" customHeight="1">
      <c r="A11" s="332"/>
      <c r="B11" s="335"/>
      <c r="C11" s="372"/>
      <c r="D11" s="374" t="s">
        <v>174</v>
      </c>
      <c r="E11" s="375"/>
      <c r="F11" s="376"/>
    </row>
    <row r="12" spans="1:6" ht="12.75">
      <c r="A12" s="332"/>
      <c r="B12" s="335"/>
      <c r="C12" s="372"/>
      <c r="D12" s="377"/>
      <c r="E12" s="378"/>
      <c r="F12" s="379"/>
    </row>
    <row r="13" spans="1:6" ht="3" customHeight="1" thickBot="1">
      <c r="A13" s="333"/>
      <c r="B13" s="336"/>
      <c r="C13" s="373"/>
      <c r="D13" s="380"/>
      <c r="E13" s="381"/>
      <c r="F13" s="382"/>
    </row>
    <row r="14" spans="1:6" ht="30">
      <c r="A14" s="211" t="s">
        <v>191</v>
      </c>
      <c r="B14" s="212" t="s">
        <v>192</v>
      </c>
      <c r="C14" s="213">
        <f>SUM(D14:F14)</f>
        <v>26319</v>
      </c>
      <c r="D14" s="213">
        <f>13718-5424+7+32+12559+55+22+14+11+178+42+205</f>
        <v>21419</v>
      </c>
      <c r="E14" s="213">
        <f>450+112+4862+646+1432+20000+87-646-1432-360-600-560-78-62+100+118+485+826-100+245-19738-325+2200-178-635-165-762-81-151-790</f>
        <v>4900</v>
      </c>
      <c r="F14" s="213"/>
    </row>
    <row r="15" spans="1:6" s="219" customFormat="1" ht="15">
      <c r="A15" s="215"/>
      <c r="B15" s="216" t="s">
        <v>337</v>
      </c>
      <c r="C15" s="220">
        <f>SUM(D15:F15)</f>
        <v>0</v>
      </c>
      <c r="D15" s="220"/>
      <c r="E15" s="220"/>
      <c r="F15" s="220"/>
    </row>
    <row r="16" spans="1:6" s="219" customFormat="1" ht="15">
      <c r="A16" s="215"/>
      <c r="B16" s="216" t="s">
        <v>338</v>
      </c>
      <c r="C16" s="220">
        <f>SUM(D16:F16)</f>
        <v>0</v>
      </c>
      <c r="D16" s="220"/>
      <c r="E16" s="220"/>
      <c r="F16" s="220"/>
    </row>
    <row r="17" spans="1:6" ht="15">
      <c r="A17" s="205" t="s">
        <v>212</v>
      </c>
      <c r="B17" s="203" t="s">
        <v>24</v>
      </c>
      <c r="C17" s="204">
        <f aca="true" t="shared" si="0" ref="C17:C47">SUM(D17:F17)</f>
        <v>51</v>
      </c>
      <c r="D17" s="204">
        <v>51</v>
      </c>
      <c r="E17" s="204"/>
      <c r="F17" s="204"/>
    </row>
    <row r="18" spans="1:6" ht="15">
      <c r="A18" s="205" t="s">
        <v>198</v>
      </c>
      <c r="B18" s="203" t="s">
        <v>199</v>
      </c>
      <c r="C18" s="204">
        <f t="shared" si="0"/>
        <v>4411</v>
      </c>
      <c r="D18" s="204">
        <f>648+858+8+635+762+1500</f>
        <v>4411</v>
      </c>
      <c r="E18" s="204"/>
      <c r="F18" s="204"/>
    </row>
    <row r="19" spans="1:6" ht="15">
      <c r="A19" s="205" t="s">
        <v>335</v>
      </c>
      <c r="B19" s="203" t="s">
        <v>336</v>
      </c>
      <c r="C19" s="204">
        <f t="shared" si="0"/>
        <v>1009</v>
      </c>
      <c r="D19" s="204">
        <f>66+943</f>
        <v>1009</v>
      </c>
      <c r="E19" s="204"/>
      <c r="F19" s="204"/>
    </row>
    <row r="20" spans="1:6" ht="15">
      <c r="A20" s="205" t="s">
        <v>343</v>
      </c>
      <c r="B20" s="203" t="s">
        <v>344</v>
      </c>
      <c r="C20" s="204">
        <f t="shared" si="0"/>
        <v>49980</v>
      </c>
      <c r="D20" s="204"/>
      <c r="E20" s="204">
        <f>20000-20+30000</f>
        <v>49980</v>
      </c>
      <c r="F20" s="204"/>
    </row>
    <row r="21" spans="1:6" ht="15">
      <c r="A21" s="87" t="s">
        <v>333</v>
      </c>
      <c r="B21" s="86" t="s">
        <v>334</v>
      </c>
      <c r="C21" s="204">
        <f t="shared" si="0"/>
        <v>697</v>
      </c>
      <c r="D21" s="204"/>
      <c r="E21" s="204">
        <f>437+260</f>
        <v>697</v>
      </c>
      <c r="F21" s="204"/>
    </row>
    <row r="22" spans="1:6" ht="15">
      <c r="A22" s="87" t="s">
        <v>408</v>
      </c>
      <c r="B22" s="86" t="s">
        <v>409</v>
      </c>
      <c r="C22" s="204">
        <f t="shared" si="0"/>
        <v>1051</v>
      </c>
      <c r="D22" s="204"/>
      <c r="E22" s="204">
        <f>576+475</f>
        <v>1051</v>
      </c>
      <c r="F22" s="204"/>
    </row>
    <row r="23" spans="1:6" ht="15">
      <c r="A23" s="87" t="s">
        <v>359</v>
      </c>
      <c r="B23" s="86" t="s">
        <v>360</v>
      </c>
      <c r="C23" s="204">
        <f t="shared" si="0"/>
        <v>10100</v>
      </c>
      <c r="D23" s="204">
        <f>10000+100</f>
        <v>10100</v>
      </c>
      <c r="E23" s="204"/>
      <c r="F23" s="204"/>
    </row>
    <row r="24" spans="1:6" ht="15">
      <c r="A24" s="205" t="s">
        <v>200</v>
      </c>
      <c r="B24" s="203" t="s">
        <v>201</v>
      </c>
      <c r="C24" s="204">
        <f t="shared" si="0"/>
        <v>1139</v>
      </c>
      <c r="D24" s="204">
        <f>254+560+325</f>
        <v>1139</v>
      </c>
      <c r="E24" s="204"/>
      <c r="F24" s="204"/>
    </row>
    <row r="25" spans="1:6" ht="30">
      <c r="A25" s="205" t="s">
        <v>195</v>
      </c>
      <c r="B25" s="203" t="s">
        <v>196</v>
      </c>
      <c r="C25" s="204">
        <f t="shared" si="0"/>
        <v>288</v>
      </c>
      <c r="D25" s="204">
        <v>288</v>
      </c>
      <c r="E25" s="204"/>
      <c r="F25" s="204"/>
    </row>
    <row r="26" spans="1:6" ht="15">
      <c r="A26" s="205" t="s">
        <v>193</v>
      </c>
      <c r="B26" s="203" t="s">
        <v>194</v>
      </c>
      <c r="C26" s="204">
        <f t="shared" si="0"/>
        <v>4639</v>
      </c>
      <c r="D26" s="204">
        <f>3368+1271</f>
        <v>4639</v>
      </c>
      <c r="E26" s="204"/>
      <c r="F26" s="204"/>
    </row>
    <row r="27" spans="1:6" ht="15">
      <c r="A27" s="205" t="s">
        <v>195</v>
      </c>
      <c r="B27" s="203" t="s">
        <v>372</v>
      </c>
      <c r="C27" s="204">
        <f t="shared" si="0"/>
        <v>600</v>
      </c>
      <c r="D27" s="204">
        <v>600</v>
      </c>
      <c r="E27" s="204"/>
      <c r="F27" s="204"/>
    </row>
    <row r="28" spans="1:6" ht="15">
      <c r="A28" s="205" t="s">
        <v>204</v>
      </c>
      <c r="B28" s="203" t="s">
        <v>205</v>
      </c>
      <c r="C28" s="204">
        <f t="shared" si="0"/>
        <v>3174</v>
      </c>
      <c r="D28" s="204">
        <f>2984+190</f>
        <v>3174</v>
      </c>
      <c r="E28" s="204"/>
      <c r="F28" s="204"/>
    </row>
    <row r="29" spans="1:6" ht="15">
      <c r="A29" s="205" t="s">
        <v>202</v>
      </c>
      <c r="B29" s="203" t="s">
        <v>203</v>
      </c>
      <c r="C29" s="204">
        <f t="shared" si="0"/>
        <v>381</v>
      </c>
      <c r="D29" s="204">
        <v>381</v>
      </c>
      <c r="E29" s="204"/>
      <c r="F29" s="204"/>
    </row>
    <row r="30" spans="1:6" ht="15">
      <c r="A30" s="205" t="s">
        <v>206</v>
      </c>
      <c r="B30" s="203" t="s">
        <v>207</v>
      </c>
      <c r="C30" s="204">
        <f t="shared" si="0"/>
        <v>6874</v>
      </c>
      <c r="D30" s="204">
        <f>4390+1897+17+78+52+445+35+26+165-231</f>
        <v>6874</v>
      </c>
      <c r="E30" s="204"/>
      <c r="F30" s="204"/>
    </row>
    <row r="31" spans="1:6" ht="15">
      <c r="A31" s="205" t="s">
        <v>208</v>
      </c>
      <c r="B31" s="206" t="s">
        <v>21</v>
      </c>
      <c r="C31" s="204">
        <f t="shared" si="0"/>
        <v>60</v>
      </c>
      <c r="D31" s="204">
        <v>60</v>
      </c>
      <c r="E31" s="204"/>
      <c r="F31" s="204"/>
    </row>
    <row r="32" spans="1:6" ht="15">
      <c r="A32" s="205" t="s">
        <v>209</v>
      </c>
      <c r="B32" s="203" t="s">
        <v>69</v>
      </c>
      <c r="C32" s="204">
        <f t="shared" si="0"/>
        <v>9050</v>
      </c>
      <c r="D32" s="204">
        <f>8600+450</f>
        <v>9050</v>
      </c>
      <c r="E32" s="204"/>
      <c r="F32" s="204"/>
    </row>
    <row r="33" spans="1:6" ht="15">
      <c r="A33" s="205" t="s">
        <v>214</v>
      </c>
      <c r="B33" s="203" t="s">
        <v>213</v>
      </c>
      <c r="C33" s="204">
        <f t="shared" si="0"/>
        <v>675</v>
      </c>
      <c r="D33" s="204">
        <v>675</v>
      </c>
      <c r="E33" s="204"/>
      <c r="F33" s="204"/>
    </row>
    <row r="34" spans="1:6" ht="15">
      <c r="A34" s="205" t="s">
        <v>218</v>
      </c>
      <c r="B34" s="206" t="s">
        <v>25</v>
      </c>
      <c r="C34" s="204">
        <f t="shared" si="0"/>
        <v>683</v>
      </c>
      <c r="D34" s="204">
        <f>532+3+12+9+5+4+118</f>
        <v>683</v>
      </c>
      <c r="E34" s="204"/>
      <c r="F34" s="204"/>
    </row>
    <row r="35" spans="1:6" ht="15">
      <c r="A35" s="205" t="s">
        <v>217</v>
      </c>
      <c r="B35" s="203" t="s">
        <v>23</v>
      </c>
      <c r="C35" s="204">
        <f t="shared" si="0"/>
        <v>135</v>
      </c>
      <c r="D35" s="204"/>
      <c r="E35" s="204">
        <v>135</v>
      </c>
      <c r="F35" s="204"/>
    </row>
    <row r="36" spans="1:6" ht="15">
      <c r="A36" s="205" t="s">
        <v>221</v>
      </c>
      <c r="B36" s="203" t="s">
        <v>222</v>
      </c>
      <c r="C36" s="204">
        <f t="shared" si="0"/>
        <v>3060</v>
      </c>
      <c r="D36" s="204">
        <f>2677+5+24+16+11+45+9+109+164</f>
        <v>3060</v>
      </c>
      <c r="E36" s="204"/>
      <c r="F36" s="204"/>
    </row>
    <row r="37" spans="1:6" ht="15">
      <c r="A37" s="205" t="s">
        <v>223</v>
      </c>
      <c r="B37" s="203" t="s">
        <v>224</v>
      </c>
      <c r="C37" s="204">
        <f t="shared" si="0"/>
        <v>325</v>
      </c>
      <c r="D37" s="204"/>
      <c r="E37" s="204">
        <v>325</v>
      </c>
      <c r="F37" s="204"/>
    </row>
    <row r="38" spans="1:6" ht="15">
      <c r="A38" s="205" t="s">
        <v>197</v>
      </c>
      <c r="B38" s="206" t="s">
        <v>20</v>
      </c>
      <c r="C38" s="204">
        <f t="shared" si="0"/>
        <v>5315</v>
      </c>
      <c r="D38" s="204">
        <f>5393+7+32+98-326+67+20+14+10</f>
        <v>5315</v>
      </c>
      <c r="E38" s="204"/>
      <c r="F38" s="204"/>
    </row>
    <row r="39" spans="1:6" ht="15">
      <c r="A39" s="205">
        <v>101150</v>
      </c>
      <c r="B39" s="203" t="s">
        <v>219</v>
      </c>
      <c r="C39" s="204">
        <f t="shared" si="0"/>
        <v>400</v>
      </c>
      <c r="D39" s="204"/>
      <c r="E39" s="204"/>
      <c r="F39" s="204">
        <v>400</v>
      </c>
    </row>
    <row r="40" spans="1:6" ht="15">
      <c r="A40" s="205" t="s">
        <v>216</v>
      </c>
      <c r="B40" s="206" t="s">
        <v>22</v>
      </c>
      <c r="C40" s="204">
        <f t="shared" si="0"/>
        <v>264</v>
      </c>
      <c r="D40" s="204">
        <v>264</v>
      </c>
      <c r="E40" s="204"/>
      <c r="F40" s="204"/>
    </row>
    <row r="41" spans="1:6" ht="15">
      <c r="A41" s="87">
        <v>104051</v>
      </c>
      <c r="B41" s="86" t="s">
        <v>459</v>
      </c>
      <c r="C41" s="204">
        <f t="shared" si="0"/>
        <v>46</v>
      </c>
      <c r="D41" s="204"/>
      <c r="E41" s="204"/>
      <c r="F41" s="204">
        <v>46</v>
      </c>
    </row>
    <row r="42" spans="1:6" ht="15">
      <c r="A42" s="205">
        <v>105010</v>
      </c>
      <c r="B42" s="203" t="s">
        <v>210</v>
      </c>
      <c r="C42" s="204">
        <f t="shared" si="0"/>
        <v>447</v>
      </c>
      <c r="D42" s="204"/>
      <c r="E42" s="204"/>
      <c r="F42" s="204">
        <f>750-303</f>
        <v>447</v>
      </c>
    </row>
    <row r="43" spans="1:6" ht="15">
      <c r="A43" s="205">
        <v>106020</v>
      </c>
      <c r="B43" s="203" t="s">
        <v>211</v>
      </c>
      <c r="C43" s="204">
        <f t="shared" si="0"/>
        <v>351</v>
      </c>
      <c r="D43" s="204"/>
      <c r="E43" s="204"/>
      <c r="F43" s="204">
        <f>168+183</f>
        <v>351</v>
      </c>
    </row>
    <row r="44" spans="1:6" ht="15">
      <c r="A44" s="205" t="s">
        <v>215</v>
      </c>
      <c r="B44" s="206" t="s">
        <v>18</v>
      </c>
      <c r="C44" s="204">
        <f t="shared" si="0"/>
        <v>3561</v>
      </c>
      <c r="D44" s="204">
        <f>3801+5+24+75+15+10-55+8-322</f>
        <v>3561</v>
      </c>
      <c r="E44" s="204"/>
      <c r="F44" s="204"/>
    </row>
    <row r="45" spans="1:6" ht="15">
      <c r="A45" s="205">
        <v>107052</v>
      </c>
      <c r="B45" s="272" t="s">
        <v>384</v>
      </c>
      <c r="C45" s="204">
        <f t="shared" si="0"/>
        <v>360</v>
      </c>
      <c r="D45" s="204">
        <v>360</v>
      </c>
      <c r="E45" s="204"/>
      <c r="F45" s="204"/>
    </row>
    <row r="46" spans="1:6" ht="15">
      <c r="A46" s="205">
        <v>107060</v>
      </c>
      <c r="B46" s="203" t="s">
        <v>220</v>
      </c>
      <c r="C46" s="204">
        <f t="shared" si="0"/>
        <v>1919</v>
      </c>
      <c r="D46" s="204">
        <f>1404+248+267</f>
        <v>1919</v>
      </c>
      <c r="E46" s="204"/>
      <c r="F46" s="204"/>
    </row>
    <row r="47" spans="1:6" ht="30.75" thickBot="1">
      <c r="A47" s="87">
        <v>900080</v>
      </c>
      <c r="B47" s="86" t="s">
        <v>357</v>
      </c>
      <c r="C47" s="204">
        <f t="shared" si="0"/>
        <v>2153</v>
      </c>
      <c r="D47" s="204">
        <f>3+13+40+9+6+4</f>
        <v>75</v>
      </c>
      <c r="E47" s="204">
        <f>646+1432</f>
        <v>2078</v>
      </c>
      <c r="F47" s="204"/>
    </row>
    <row r="48" spans="1:6" ht="33" customHeight="1" thickBot="1">
      <c r="A48" s="207"/>
      <c r="B48" s="208" t="s">
        <v>1</v>
      </c>
      <c r="C48" s="209">
        <f>SUM(C14:C47)-C15-C16</f>
        <v>139517</v>
      </c>
      <c r="D48" s="209">
        <f>SUM(D14:D47)-D15-D16</f>
        <v>79107</v>
      </c>
      <c r="E48" s="209">
        <f>SUM(E14:E47)-E15-E16</f>
        <v>59166</v>
      </c>
      <c r="F48" s="209">
        <f>SUM(F14:F47)-F15-F16</f>
        <v>1244</v>
      </c>
    </row>
  </sheetData>
  <sheetProtection password="DB7F" sheet="1" selectLockedCells="1" selectUnlockedCells="1"/>
  <mergeCells count="10">
    <mergeCell ref="D1:F1"/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.7480314960629921" bottom="0.7480314960629921" header="0.31496062992125984" footer="0.31496062992125984"/>
  <pageSetup fitToHeight="1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67.875" style="231" customWidth="1"/>
    <col min="2" max="2" width="12.125" style="231" customWidth="1"/>
    <col min="3" max="3" width="16.00390625" style="17" customWidth="1"/>
    <col min="4" max="16384" width="9.125" style="231" customWidth="1"/>
  </cols>
  <sheetData>
    <row r="1" spans="1:3" ht="15">
      <c r="A1" s="435" t="s">
        <v>484</v>
      </c>
      <c r="B1" s="435"/>
      <c r="C1" s="435"/>
    </row>
    <row r="3" spans="1:4" s="228" customFormat="1" ht="15">
      <c r="A3" s="349" t="s">
        <v>485</v>
      </c>
      <c r="B3" s="349"/>
      <c r="C3" s="349"/>
      <c r="D3" s="103"/>
    </row>
    <row r="4" spans="1:4" ht="15">
      <c r="A4" s="47"/>
      <c r="B4" s="47"/>
      <c r="C4" s="47"/>
      <c r="D4" s="289"/>
    </row>
    <row r="5" spans="1:3" ht="15.75" customHeight="1">
      <c r="A5" s="437"/>
      <c r="B5" s="437"/>
      <c r="C5" s="437"/>
    </row>
    <row r="6" spans="1:3" ht="15.75">
      <c r="A6" s="290"/>
      <c r="B6" s="290"/>
      <c r="C6" s="291"/>
    </row>
    <row r="7" spans="1:3" s="292" customFormat="1" ht="15.75" customHeight="1">
      <c r="A7" s="438" t="s">
        <v>26</v>
      </c>
      <c r="B7" s="438"/>
      <c r="C7" s="438"/>
    </row>
    <row r="8" spans="1:6" s="14" customFormat="1" ht="15.75">
      <c r="A8" s="438" t="s">
        <v>427</v>
      </c>
      <c r="B8" s="438"/>
      <c r="C8" s="438"/>
      <c r="D8" s="293"/>
      <c r="E8" s="293"/>
      <c r="F8" s="293"/>
    </row>
    <row r="9" spans="1:6" s="274" customFormat="1" ht="15">
      <c r="A9" s="436" t="s">
        <v>61</v>
      </c>
      <c r="B9" s="436"/>
      <c r="C9" s="436"/>
      <c r="D9" s="294"/>
      <c r="E9" s="294"/>
      <c r="F9" s="294"/>
    </row>
    <row r="10" spans="2:3" ht="15.75" customHeight="1" thickBot="1">
      <c r="B10" s="295"/>
      <c r="C10" s="296" t="s">
        <v>4</v>
      </c>
    </row>
    <row r="11" spans="1:3" ht="15" customHeight="1">
      <c r="A11" s="297"/>
      <c r="B11" s="298" t="s">
        <v>13</v>
      </c>
      <c r="C11" s="299" t="s">
        <v>428</v>
      </c>
    </row>
    <row r="12" spans="1:3" ht="15.75" customHeight="1">
      <c r="A12" s="300" t="s">
        <v>0</v>
      </c>
      <c r="B12" s="301"/>
      <c r="C12" s="302" t="s">
        <v>429</v>
      </c>
    </row>
    <row r="13" spans="1:3" ht="32.25" thickBot="1">
      <c r="A13" s="303"/>
      <c r="B13" s="304" t="s">
        <v>8</v>
      </c>
      <c r="C13" s="305" t="s">
        <v>430</v>
      </c>
    </row>
    <row r="14" ht="11.25" customHeight="1">
      <c r="C14" s="231"/>
    </row>
    <row r="15" ht="15.75">
      <c r="A15" s="306" t="s">
        <v>431</v>
      </c>
    </row>
    <row r="16" ht="11.25" customHeight="1"/>
    <row r="17" spans="1:3" ht="15">
      <c r="A17" s="231" t="s">
        <v>432</v>
      </c>
      <c r="B17" s="307">
        <v>308</v>
      </c>
      <c r="C17" s="307">
        <f>B17*0.9</f>
        <v>277.2</v>
      </c>
    </row>
    <row r="18" spans="1:3" ht="15">
      <c r="A18" s="231" t="s">
        <v>433</v>
      </c>
      <c r="B18" s="307">
        <f>442-303</f>
        <v>139</v>
      </c>
      <c r="C18" s="307">
        <v>72</v>
      </c>
    </row>
    <row r="19" ht="11.25" customHeight="1">
      <c r="B19" s="308"/>
    </row>
    <row r="20" spans="1:3" ht="15">
      <c r="A20" s="309" t="s">
        <v>434</v>
      </c>
      <c r="B20" s="19">
        <f>SUM(B17:B19)</f>
        <v>447</v>
      </c>
      <c r="C20" s="19">
        <f>SUM(C17:C19)</f>
        <v>349.2</v>
      </c>
    </row>
    <row r="21" ht="11.25" customHeight="1">
      <c r="B21" s="308"/>
    </row>
    <row r="22" spans="1:3" ht="15.75">
      <c r="A22" s="309" t="s">
        <v>435</v>
      </c>
      <c r="B22" s="308"/>
      <c r="C22" s="17">
        <f>B21*0.9</f>
        <v>0</v>
      </c>
    </row>
    <row r="23" ht="11.25" customHeight="1">
      <c r="B23" s="308"/>
    </row>
    <row r="24" spans="1:2" ht="15.75">
      <c r="A24" s="231" t="s">
        <v>436</v>
      </c>
      <c r="B24" s="308">
        <f>100+54+200</f>
        <v>354</v>
      </c>
    </row>
    <row r="25" spans="1:3" s="310" customFormat="1" ht="15.75">
      <c r="A25" s="310" t="s">
        <v>437</v>
      </c>
      <c r="B25" s="311">
        <v>400</v>
      </c>
      <c r="C25" s="17"/>
    </row>
    <row r="26" spans="1:2" ht="15.75">
      <c r="A26" s="231" t="s">
        <v>438</v>
      </c>
      <c r="B26" s="308">
        <v>500</v>
      </c>
    </row>
    <row r="27" spans="1:3" ht="15.75">
      <c r="A27" s="231" t="s">
        <v>439</v>
      </c>
      <c r="B27" s="308">
        <f>168+183</f>
        <v>351</v>
      </c>
      <c r="C27" s="17">
        <v>314</v>
      </c>
    </row>
    <row r="28" spans="1:2" ht="15.75">
      <c r="A28" s="231" t="s">
        <v>440</v>
      </c>
      <c r="B28" s="308">
        <v>400</v>
      </c>
    </row>
    <row r="29" spans="1:2" ht="15.75">
      <c r="A29" s="231" t="s">
        <v>441</v>
      </c>
      <c r="B29" s="308">
        <v>150</v>
      </c>
    </row>
    <row r="30" spans="1:2" ht="15.75">
      <c r="A30" s="231" t="s">
        <v>460</v>
      </c>
      <c r="B30" s="308">
        <v>46</v>
      </c>
    </row>
    <row r="31" ht="11.25" customHeight="1">
      <c r="B31" s="308"/>
    </row>
    <row r="32" spans="1:3" ht="15">
      <c r="A32" s="309" t="s">
        <v>442</v>
      </c>
      <c r="B32" s="19">
        <f>SUM(B24:B31)</f>
        <v>2201</v>
      </c>
      <c r="C32" s="19">
        <f>SUM(C24:C31)</f>
        <v>314</v>
      </c>
    </row>
    <row r="33" ht="11.25" customHeight="1">
      <c r="B33" s="308"/>
    </row>
    <row r="34" spans="1:3" ht="15">
      <c r="A34" s="309" t="s">
        <v>443</v>
      </c>
      <c r="B34" s="19">
        <f>B32+B20</f>
        <v>2648</v>
      </c>
      <c r="C34" s="19">
        <f>C32+C20</f>
        <v>663.2</v>
      </c>
    </row>
    <row r="35" ht="11.25" customHeight="1">
      <c r="B35" s="308"/>
    </row>
    <row r="36" ht="11.25" customHeight="1">
      <c r="B36" s="308"/>
    </row>
    <row r="37" spans="1:3" s="314" customFormat="1" ht="16.5">
      <c r="A37" s="312"/>
      <c r="B37" s="313"/>
      <c r="C37" s="17"/>
    </row>
    <row r="38" spans="1:3" s="314" customFormat="1" ht="16.5">
      <c r="A38" s="312"/>
      <c r="B38" s="315"/>
      <c r="C38" s="315"/>
    </row>
    <row r="42" ht="15">
      <c r="C42" s="231"/>
    </row>
    <row r="43" ht="15.75">
      <c r="C43" s="292"/>
    </row>
    <row r="44" ht="15.75">
      <c r="C44" s="292"/>
    </row>
    <row r="45" ht="15.75">
      <c r="C45" s="18"/>
    </row>
  </sheetData>
  <sheetProtection password="DB7F" sheet="1" selectLockedCells="1" selectUnlockedCells="1"/>
  <mergeCells count="6">
    <mergeCell ref="A9:C9"/>
    <mergeCell ref="A1:C1"/>
    <mergeCell ref="A3:C3"/>
    <mergeCell ref="A5:C5"/>
    <mergeCell ref="A7:C7"/>
    <mergeCell ref="A8:C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4.625" style="229" customWidth="1"/>
    <col min="2" max="2" width="20.00390625" style="229" customWidth="1"/>
    <col min="3" max="16384" width="9.125" style="229" customWidth="1"/>
  </cols>
  <sheetData>
    <row r="1" spans="1:3" s="228" customFormat="1" ht="15">
      <c r="A1" s="440" t="s">
        <v>486</v>
      </c>
      <c r="B1" s="440"/>
      <c r="C1" s="103"/>
    </row>
    <row r="3" spans="1:2" ht="15.75">
      <c r="A3" s="349" t="s">
        <v>444</v>
      </c>
      <c r="B3" s="349"/>
    </row>
    <row r="4" spans="1:3" s="231" customFormat="1" ht="15.75" customHeight="1">
      <c r="A4" s="437"/>
      <c r="B4" s="437"/>
      <c r="C4" s="230"/>
    </row>
    <row r="5" spans="1:2" ht="15.75">
      <c r="A5" s="232"/>
      <c r="B5" s="232"/>
    </row>
    <row r="6" spans="1:2" s="234" customFormat="1" ht="18.75">
      <c r="A6" s="233" t="s">
        <v>361</v>
      </c>
      <c r="B6" s="233"/>
    </row>
    <row r="7" spans="1:2" s="234" customFormat="1" ht="18.75">
      <c r="A7" s="439" t="s">
        <v>445</v>
      </c>
      <c r="B7" s="439"/>
    </row>
    <row r="8" spans="1:2" s="234" customFormat="1" ht="18.75">
      <c r="A8" s="439" t="s">
        <v>48</v>
      </c>
      <c r="B8" s="439"/>
    </row>
    <row r="9" ht="16.5" thickBot="1"/>
    <row r="10" spans="1:2" ht="15.75">
      <c r="A10" s="235"/>
      <c r="B10" s="236" t="s">
        <v>8</v>
      </c>
    </row>
    <row r="11" spans="1:2" ht="15.75">
      <c r="A11" s="237" t="s">
        <v>362</v>
      </c>
      <c r="B11" s="237"/>
    </row>
    <row r="12" spans="1:2" ht="16.5" thickBot="1">
      <c r="A12" s="238"/>
      <c r="B12" s="239" t="s">
        <v>363</v>
      </c>
    </row>
    <row r="13" spans="1:2" ht="15.75">
      <c r="A13" s="240"/>
      <c r="B13" s="241"/>
    </row>
    <row r="14" spans="1:2" ht="31.5">
      <c r="A14" s="316" t="s">
        <v>446</v>
      </c>
      <c r="B14" s="243"/>
    </row>
    <row r="15" spans="1:2" ht="13.5" customHeight="1">
      <c r="A15" s="240"/>
      <c r="B15" s="244"/>
    </row>
    <row r="16" spans="1:6" ht="43.5" customHeight="1">
      <c r="A16" s="245" t="s">
        <v>447</v>
      </c>
      <c r="B16" s="246">
        <v>9928</v>
      </c>
      <c r="C16" s="247"/>
      <c r="D16" s="247"/>
      <c r="E16" s="247"/>
      <c r="F16" s="247"/>
    </row>
    <row r="17" spans="1:2" ht="18">
      <c r="A17" s="248" t="s">
        <v>364</v>
      </c>
      <c r="B17" s="249">
        <v>2631</v>
      </c>
    </row>
    <row r="18" spans="1:2" ht="15.75">
      <c r="A18" s="240" t="s">
        <v>1</v>
      </c>
      <c r="B18" s="250">
        <f>SUM(B16:B17)</f>
        <v>12559</v>
      </c>
    </row>
    <row r="19" spans="1:2" ht="15.75">
      <c r="A19" s="240"/>
      <c r="B19" s="250"/>
    </row>
    <row r="20" spans="1:2" ht="15.75">
      <c r="A20" s="248" t="s">
        <v>456</v>
      </c>
      <c r="B20" s="246">
        <v>33</v>
      </c>
    </row>
    <row r="21" spans="1:2" ht="18">
      <c r="A21" s="248" t="s">
        <v>364</v>
      </c>
      <c r="B21" s="249">
        <v>9</v>
      </c>
    </row>
    <row r="22" spans="1:2" ht="15.75">
      <c r="A22" s="240" t="s">
        <v>1</v>
      </c>
      <c r="B22" s="250">
        <f>SUM(B20:B21)</f>
        <v>42</v>
      </c>
    </row>
    <row r="23" spans="1:2" ht="15.75">
      <c r="A23" s="240"/>
      <c r="B23" s="241"/>
    </row>
    <row r="24" spans="1:2" ht="18.75" customHeight="1">
      <c r="A24" s="318" t="s">
        <v>453</v>
      </c>
      <c r="B24" s="241"/>
    </row>
    <row r="25" spans="1:2" ht="15.75">
      <c r="A25" s="240"/>
      <c r="B25" s="241"/>
    </row>
    <row r="26" spans="1:2" ht="13.5" customHeight="1">
      <c r="A26" s="240" t="s">
        <v>451</v>
      </c>
      <c r="B26" s="250">
        <v>1500</v>
      </c>
    </row>
    <row r="27" spans="1:2" ht="15.75">
      <c r="A27" s="240"/>
      <c r="B27" s="241"/>
    </row>
    <row r="28" spans="1:2" ht="15.75">
      <c r="A28" s="240" t="s">
        <v>454</v>
      </c>
      <c r="B28" s="250">
        <v>8</v>
      </c>
    </row>
    <row r="29" spans="1:2" ht="15.75">
      <c r="A29" s="240"/>
      <c r="B29" s="250"/>
    </row>
    <row r="30" spans="1:6" ht="15.75">
      <c r="A30" s="245" t="s">
        <v>457</v>
      </c>
      <c r="B30" s="246">
        <v>600</v>
      </c>
      <c r="C30" s="247"/>
      <c r="D30" s="247"/>
      <c r="E30" s="247"/>
      <c r="F30" s="247"/>
    </row>
    <row r="31" spans="1:2" ht="18">
      <c r="A31" s="248" t="s">
        <v>364</v>
      </c>
      <c r="B31" s="249">
        <v>162</v>
      </c>
    </row>
    <row r="32" spans="1:2" ht="15.75">
      <c r="A32" s="240" t="s">
        <v>1</v>
      </c>
      <c r="B32" s="250">
        <f>SUM(B30:B31)</f>
        <v>762</v>
      </c>
    </row>
    <row r="33" spans="1:2" ht="15.75">
      <c r="A33" s="240"/>
      <c r="B33" s="250"/>
    </row>
    <row r="34" spans="1:2" ht="15.75">
      <c r="A34" s="242" t="s">
        <v>448</v>
      </c>
      <c r="B34" s="243"/>
    </row>
    <row r="35" spans="1:2" ht="13.5" customHeight="1">
      <c r="A35" s="240"/>
      <c r="B35" s="244"/>
    </row>
    <row r="36" spans="1:6" ht="43.5" customHeight="1">
      <c r="A36" s="245" t="s">
        <v>449</v>
      </c>
      <c r="B36" s="246">
        <v>3403</v>
      </c>
      <c r="C36" s="247"/>
      <c r="D36" s="247"/>
      <c r="E36" s="247"/>
      <c r="F36" s="247"/>
    </row>
    <row r="37" spans="1:2" ht="18">
      <c r="A37" s="248" t="s">
        <v>364</v>
      </c>
      <c r="B37" s="249">
        <v>919</v>
      </c>
    </row>
    <row r="38" spans="1:2" ht="15.75">
      <c r="A38" s="240" t="s">
        <v>1</v>
      </c>
      <c r="B38" s="250">
        <f>SUM(B35:B37)</f>
        <v>4322</v>
      </c>
    </row>
    <row r="40" spans="1:6" ht="30" customHeight="1">
      <c r="A40" s="245" t="s">
        <v>450</v>
      </c>
      <c r="B40" s="317">
        <v>54</v>
      </c>
      <c r="C40" s="245"/>
      <c r="D40" s="245"/>
      <c r="E40" s="245"/>
      <c r="F40" s="245"/>
    </row>
    <row r="41" spans="1:2" ht="18">
      <c r="A41" s="248" t="s">
        <v>364</v>
      </c>
      <c r="B41" s="249">
        <v>14</v>
      </c>
    </row>
    <row r="42" spans="1:2" ht="15.75">
      <c r="A42" s="240" t="s">
        <v>1</v>
      </c>
      <c r="B42" s="250">
        <f>SUM(B39:B41)</f>
        <v>68</v>
      </c>
    </row>
    <row r="44" spans="1:2" ht="15.75">
      <c r="A44" s="229" t="s">
        <v>455</v>
      </c>
      <c r="B44" s="317">
        <v>130</v>
      </c>
    </row>
    <row r="45" spans="1:2" ht="13.5" customHeight="1">
      <c r="A45" s="248" t="s">
        <v>364</v>
      </c>
      <c r="B45" s="249">
        <v>35</v>
      </c>
    </row>
    <row r="46" spans="1:2" ht="13.5" customHeight="1">
      <c r="A46" s="240" t="s">
        <v>1</v>
      </c>
      <c r="B46" s="250">
        <f>SUM(B44:B45)</f>
        <v>165</v>
      </c>
    </row>
    <row r="47" spans="1:2" ht="13.5" customHeight="1" thickBot="1">
      <c r="A47" s="240"/>
      <c r="B47" s="250"/>
    </row>
    <row r="48" spans="1:2" ht="15.75">
      <c r="A48" s="235"/>
      <c r="B48" s="236" t="s">
        <v>8</v>
      </c>
    </row>
    <row r="49" spans="1:2" ht="15.75">
      <c r="A49" s="237" t="s">
        <v>362</v>
      </c>
      <c r="B49" s="237"/>
    </row>
    <row r="50" spans="1:2" ht="16.5" thickBot="1">
      <c r="A50" s="238"/>
      <c r="B50" s="239" t="s">
        <v>363</v>
      </c>
    </row>
    <row r="51" spans="1:2" ht="13.5" customHeight="1">
      <c r="A51" s="240"/>
      <c r="B51" s="250"/>
    </row>
    <row r="52" spans="1:2" ht="13.5" customHeight="1">
      <c r="A52" s="318" t="s">
        <v>406</v>
      </c>
      <c r="B52" s="250"/>
    </row>
    <row r="53" spans="1:2" ht="13.5" customHeight="1">
      <c r="A53" s="240"/>
      <c r="B53" s="250"/>
    </row>
    <row r="54" spans="1:2" ht="15.75">
      <c r="A54" s="248" t="s">
        <v>456</v>
      </c>
      <c r="B54" s="246">
        <v>86</v>
      </c>
    </row>
    <row r="55" spans="1:2" ht="18">
      <c r="A55" s="248" t="s">
        <v>364</v>
      </c>
      <c r="B55" s="249">
        <v>23</v>
      </c>
    </row>
    <row r="56" spans="1:2" ht="15.75">
      <c r="A56" s="240" t="s">
        <v>1</v>
      </c>
      <c r="B56" s="250">
        <f>SUM(B54:B55)</f>
        <v>109</v>
      </c>
    </row>
    <row r="57" spans="1:2" ht="13.5" customHeight="1">
      <c r="A57" s="240"/>
      <c r="B57" s="250"/>
    </row>
    <row r="58" spans="1:2" ht="13.5" customHeight="1">
      <c r="A58" s="240"/>
      <c r="B58" s="250"/>
    </row>
    <row r="59" spans="1:2" ht="15.75">
      <c r="A59" s="240"/>
      <c r="B59" s="243"/>
    </row>
    <row r="60" spans="1:2" ht="15.75">
      <c r="A60" s="240" t="s">
        <v>452</v>
      </c>
      <c r="B60" s="250">
        <f>B38+B42+B18+B26+8+B46+B22+B56+B32</f>
        <v>19535</v>
      </c>
    </row>
  </sheetData>
  <sheetProtection password="DB7F" sheet="1" selectLockedCells="1" selectUnlockedCells="1"/>
  <mergeCells count="5">
    <mergeCell ref="A8:B8"/>
    <mergeCell ref="A1:B1"/>
    <mergeCell ref="A3:B3"/>
    <mergeCell ref="A4:B4"/>
    <mergeCell ref="A7:B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5.75390625" style="109" customWidth="1"/>
    <col min="2" max="2" width="74.375" style="109" customWidth="1"/>
    <col min="3" max="3" width="19.875" style="109" customWidth="1"/>
    <col min="4" max="16384" width="9.125" style="109" customWidth="1"/>
  </cols>
  <sheetData>
    <row r="1" spans="1:3" ht="15.75">
      <c r="A1" s="441" t="s">
        <v>487</v>
      </c>
      <c r="B1" s="441"/>
      <c r="C1" s="441"/>
    </row>
    <row r="2" ht="15.75">
      <c r="C2" s="251"/>
    </row>
    <row r="3" ht="15.75">
      <c r="C3" s="251"/>
    </row>
    <row r="4" ht="15.75">
      <c r="C4" s="251"/>
    </row>
    <row r="5" spans="1:3" s="101" customFormat="1" ht="15.75">
      <c r="A5" s="101" t="s">
        <v>402</v>
      </c>
      <c r="C5" s="252"/>
    </row>
    <row r="7" spans="1:3" ht="15.75">
      <c r="A7" s="439"/>
      <c r="B7" s="439"/>
      <c r="C7" s="439"/>
    </row>
    <row r="8" spans="1:3" ht="15.75">
      <c r="A8" s="83"/>
      <c r="B8" s="83"/>
      <c r="C8" s="83"/>
    </row>
    <row r="9" spans="1:3" ht="15.75">
      <c r="A9" s="439" t="s">
        <v>26</v>
      </c>
      <c r="B9" s="439"/>
      <c r="C9" s="439"/>
    </row>
    <row r="10" spans="1:3" ht="15.75">
      <c r="A10" s="439" t="s">
        <v>375</v>
      </c>
      <c r="B10" s="439"/>
      <c r="C10" s="439"/>
    </row>
    <row r="11" spans="1:3" ht="15.75">
      <c r="A11" s="439" t="s">
        <v>48</v>
      </c>
      <c r="B11" s="439"/>
      <c r="C11" s="439"/>
    </row>
    <row r="12" ht="16.5" thickBot="1"/>
    <row r="13" spans="1:3" s="5" customFormat="1" ht="15.75">
      <c r="A13" s="253" t="s">
        <v>376</v>
      </c>
      <c r="B13" s="254"/>
      <c r="C13" s="110" t="s">
        <v>13</v>
      </c>
    </row>
    <row r="14" spans="1:3" s="5" customFormat="1" ht="15.75">
      <c r="A14" s="111"/>
      <c r="B14" s="255" t="s">
        <v>377</v>
      </c>
      <c r="C14" s="112" t="s">
        <v>8</v>
      </c>
    </row>
    <row r="15" spans="1:3" s="5" customFormat="1" ht="16.5" thickBot="1">
      <c r="A15" s="113" t="s">
        <v>28</v>
      </c>
      <c r="B15" s="270"/>
      <c r="C15" s="256" t="s">
        <v>378</v>
      </c>
    </row>
    <row r="16" spans="1:3" s="5" customFormat="1" ht="45.75" customHeight="1">
      <c r="A16" s="257" t="s">
        <v>29</v>
      </c>
      <c r="B16" s="268" t="s">
        <v>379</v>
      </c>
      <c r="C16" s="269">
        <v>0</v>
      </c>
    </row>
    <row r="17" spans="1:3" s="5" customFormat="1" ht="40.5" customHeight="1" thickBot="1">
      <c r="A17" s="257" t="s">
        <v>19</v>
      </c>
      <c r="B17" s="258" t="s">
        <v>380</v>
      </c>
      <c r="C17" s="259">
        <f>4072-600-560-325</f>
        <v>2587</v>
      </c>
    </row>
    <row r="18" spans="1:3" s="262" customFormat="1" ht="41.25" customHeight="1" thickBot="1">
      <c r="A18" s="114"/>
      <c r="B18" s="260" t="s">
        <v>381</v>
      </c>
      <c r="C18" s="261">
        <f>SUM(C16:C17)</f>
        <v>2587</v>
      </c>
    </row>
    <row r="19" spans="1:3" s="5" customFormat="1" ht="42" customHeight="1" thickBot="1">
      <c r="A19" s="263"/>
      <c r="B19" s="264" t="s">
        <v>382</v>
      </c>
      <c r="C19" s="261">
        <v>0</v>
      </c>
    </row>
    <row r="20" spans="1:3" s="5" customFormat="1" ht="42" customHeight="1" thickBot="1">
      <c r="A20" s="113"/>
      <c r="B20" s="265" t="s">
        <v>383</v>
      </c>
      <c r="C20" s="266">
        <f>C18+C19</f>
        <v>2587</v>
      </c>
    </row>
    <row r="24" ht="15.75">
      <c r="A24" s="267"/>
    </row>
    <row r="25" ht="15.75">
      <c r="A25" s="267"/>
    </row>
    <row r="113" ht="15.75">
      <c r="A113" s="267"/>
    </row>
  </sheetData>
  <sheetProtection password="DB7F" sheet="1" selectLockedCells="1" selectUnlockedCells="1"/>
  <mergeCells count="5">
    <mergeCell ref="A11:C11"/>
    <mergeCell ref="A1:C1"/>
    <mergeCell ref="A7:C7"/>
    <mergeCell ref="A9:C9"/>
    <mergeCell ref="A10:C1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2015-02-06T07:53:43Z</cp:lastPrinted>
  <dcterms:created xsi:type="dcterms:W3CDTF">2002-11-26T17:22:50Z</dcterms:created>
  <dcterms:modified xsi:type="dcterms:W3CDTF">2015-02-12T09:23:23Z</dcterms:modified>
  <cp:category/>
  <cp:version/>
  <cp:contentType/>
  <cp:contentStatus/>
</cp:coreProperties>
</file>