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360" windowWidth="10785" windowHeight="8430" tabRatio="903" firstSheet="2" activeTab="5"/>
  </bookViews>
  <sheets>
    <sheet name="1. info tábla" sheetId="1" r:id="rId1"/>
    <sheet name="2. info tábla  " sheetId="2" r:id="rId2"/>
    <sheet name="3. info tábla " sheetId="3" r:id="rId3"/>
    <sheet name="4. info tábla" sheetId="4" r:id="rId4"/>
    <sheet name="5. info tábla" sheetId="5" r:id="rId5"/>
    <sheet name="6. info tábla" sheetId="6" r:id="rId6"/>
  </sheets>
  <definedNames>
    <definedName name="_xlnm.Print_Titles" localSheetId="0">'1. info tábla'!$A:$A,'1. info tábla'!$4:$4</definedName>
    <definedName name="_xlnm.Print_Titles" localSheetId="1">'2. info tábla  '!$5:$6</definedName>
    <definedName name="_xlnm.Print_Area" localSheetId="1">'2. info tábla  '!$A$1:$J$440</definedName>
    <definedName name="_xlnm.Print_Area" localSheetId="2">'3. info tábla '!$A$1:$L$56</definedName>
  </definedNames>
  <calcPr fullCalcOnLoad="1" refMode="R1C1"/>
</workbook>
</file>

<file path=xl/sharedStrings.xml><?xml version="1.0" encoding="utf-8"?>
<sst xmlns="http://schemas.openxmlformats.org/spreadsheetml/2006/main" count="987" uniqueCount="452">
  <si>
    <t>Jogcím</t>
  </si>
  <si>
    <t>Összesen:</t>
  </si>
  <si>
    <t>1.</t>
  </si>
  <si>
    <t>Összesen</t>
  </si>
  <si>
    <t>fő</t>
  </si>
  <si>
    <t>Ft</t>
  </si>
  <si>
    <t>KIMUTATÁS</t>
  </si>
  <si>
    <t>Telekadó</t>
  </si>
  <si>
    <t>Kommunális adó</t>
  </si>
  <si>
    <t>Építményadó</t>
  </si>
  <si>
    <t>Kőszeg Város Önkormányzata</t>
  </si>
  <si>
    <t>Megnevezés</t>
  </si>
  <si>
    <t>TÁMOGATÁSOK</t>
  </si>
  <si>
    <t>Fitt Boksz Klub Kőszeg</t>
  </si>
  <si>
    <t>Önkormányzati programok működtetése</t>
  </si>
  <si>
    <t>Munkavédelmi feladatok</t>
  </si>
  <si>
    <t>Tűzvédelmi feladatok</t>
  </si>
  <si>
    <t>Pénzügyi szolgáltatások díja</t>
  </si>
  <si>
    <t>Iparűzési adó</t>
  </si>
  <si>
    <t>Talajterhelési díj</t>
  </si>
  <si>
    <t>Bölcsőde</t>
  </si>
  <si>
    <t>Központi Óvoda</t>
  </si>
  <si>
    <t>Újvárosi Óvoda</t>
  </si>
  <si>
    <t>Chernel Kálmán Városi Könyvtár</t>
  </si>
  <si>
    <t>I.) TELEPÜLÉSI ÖNKORMÁNYZATOK MŰKÖDÉSÉNEK TÁMOGATÁSA</t>
  </si>
  <si>
    <t>1. a) Önkormányzati hivatal működésének támogatása</t>
  </si>
  <si>
    <t>II.) TELEPÜLÉSI ÖNKORMÁNYZATOK EGYES KÖZNEVELÉSI FELADATAINAK TÁMOGATÁSA</t>
  </si>
  <si>
    <t>Felsővárosi Óvoda</t>
  </si>
  <si>
    <t>Kőszegfalvi Óvoda</t>
  </si>
  <si>
    <t>Kőszeg Város Önkormányzata által igényelhető állami támogatások</t>
  </si>
  <si>
    <t>Kőszegi Közös Önkormányzati Hivatal</t>
  </si>
  <si>
    <t>Jurisics-vár  Művelődési Központ és Várszínház</t>
  </si>
  <si>
    <t>Kőszegi Városi Múzeum</t>
  </si>
  <si>
    <t>Horvátzsidányi Óvoda</t>
  </si>
  <si>
    <t>Peresznyei Óvoda</t>
  </si>
  <si>
    <t>Bölcsöde</t>
  </si>
  <si>
    <t>Központi Óvdoda összesen:</t>
  </si>
  <si>
    <t>Velemi Óvoda</t>
  </si>
  <si>
    <t xml:space="preserve">Újvárosi Óvoda összesen: </t>
  </si>
  <si>
    <t xml:space="preserve">Szociális Gondozási Központ </t>
  </si>
  <si>
    <t>2. MELLÉKLET ÁLTALÁNOS MŰKÖDÉSI ÉS ÁGAZATI FELADATOK TÁMOGATÁSA</t>
  </si>
  <si>
    <t>Közös hivatal működésének támogatása)(4 580 000 Ft/fő)</t>
  </si>
  <si>
    <t xml:space="preserve">1.   Óvodapedagógusok átlagbérének és közterheinek  </t>
  </si>
  <si>
    <t xml:space="preserve">1.  Óvodapedagógusok átlagbérének és közterheinek </t>
  </si>
  <si>
    <t xml:space="preserve">1.  Óvodapedagógusok munkáját közvetlenül segítők      </t>
  </si>
  <si>
    <t>III.) TELEPÜLÉSI ÖNKORMÁNYZATOK SZOCIÁLIS, GYERMEKJÓLÉTI ÉS GYERMEKÉTKEZTETÉSI FELADATAINAK TÁMOGATÁSA</t>
  </si>
  <si>
    <t xml:space="preserve">2.        Hozzájárulás pénzbeli szociális ellátásokhoz </t>
  </si>
  <si>
    <t>3. c.)  Szociális étkeztetés</t>
  </si>
  <si>
    <t xml:space="preserve">           (55 360  Ft/ellátott )</t>
  </si>
  <si>
    <t>3.  d.)   Házi segítségnyújtás</t>
  </si>
  <si>
    <t>3.  f. )   Időskorúak nappali intézményi ellátása</t>
  </si>
  <si>
    <t xml:space="preserve">           (109 000 Ft/ellátott )</t>
  </si>
  <si>
    <t>3.  i.)  Hajléktalanok nappali intézményi ellátása</t>
  </si>
  <si>
    <t xml:space="preserve">           (206 100 Ft/ellátott )</t>
  </si>
  <si>
    <t>3.  k.)   Hajléktalanok átmeneti szállása</t>
  </si>
  <si>
    <t xml:space="preserve"> 5 . a.) Gyermekétkeztetés támogatása</t>
  </si>
  <si>
    <t xml:space="preserve"> 5 .b.)   Gyermekétkeztetés </t>
  </si>
  <si>
    <t>üzemeltetési támogatása</t>
  </si>
  <si>
    <t>IV.) TELEPÜLÉSI ÖNKORMÁNYZATOK KULTURÁLIS FELADATAINAK  TÁMOGATÁSA</t>
  </si>
  <si>
    <t xml:space="preserve">1.d.  )   Nyilvános könyvtári és közművelődési </t>
  </si>
  <si>
    <t xml:space="preserve">1. e. ) Települési önkormányzatok múzeális  intézményi </t>
  </si>
  <si>
    <t xml:space="preserve">          feladatainak támogatása  (2013.évi szinten)</t>
  </si>
  <si>
    <t>V.) BESZÁMÍTÁS ÖSSZEGE</t>
  </si>
  <si>
    <t>(előző jogcímeknél levonva)</t>
  </si>
  <si>
    <t>KÖZPONTI TÁMOGATÁS MINDÖSSZESEN ÖNKORMÁNYZATI SZINTEN</t>
  </si>
  <si>
    <t>KŐSZEG</t>
  </si>
  <si>
    <t>díszvilágítás karbantartása</t>
  </si>
  <si>
    <t>Concordia Barátság Énekegyüttes</t>
  </si>
  <si>
    <t>Ataru ütősegyüttes</t>
  </si>
  <si>
    <t>Kőszegi Művészeti Egyesület</t>
  </si>
  <si>
    <t>Gyemeküdültetés</t>
  </si>
  <si>
    <t>Polgármesteri keret</t>
  </si>
  <si>
    <t>Kőszegi Vonósok Művészeti Egyesület</t>
  </si>
  <si>
    <t>Vagyonhasznosítási tartalék</t>
  </si>
  <si>
    <t xml:space="preserve">bb) Közvilágítás fenntartásának támogatása   </t>
  </si>
  <si>
    <t>bc) Köztemető fenntartásának támogatása</t>
  </si>
  <si>
    <t xml:space="preserve">d) Közutak fenntartásának támogatása </t>
  </si>
  <si>
    <t>1. c) Egyéb kötelező önkormányzati feladatok támogatása</t>
  </si>
  <si>
    <t xml:space="preserve">1.d.)  Lakott  külterülettel kapcsolatos feladatok támogatása </t>
  </si>
  <si>
    <t xml:space="preserve">1.e .)   Üdülőhelyi feladatok támogatása </t>
  </si>
  <si>
    <t>Kőszegi Testvérvárosi Egyesület</t>
  </si>
  <si>
    <t>beszámítás után</t>
  </si>
  <si>
    <t>3.a.)   család és gyermekjóléti szolgálat</t>
  </si>
  <si>
    <t xml:space="preserve">3.  b.)   család és gyermekjóléti köpont </t>
  </si>
  <si>
    <t>4.b.)   Idősek átmeneti és tartós szakosított ellátása (Idősek otthona)  intézmény-üzemeltetési támogatás</t>
  </si>
  <si>
    <t>Települési támogatás</t>
  </si>
  <si>
    <t>Rendezvények dologi kiadásai</t>
  </si>
  <si>
    <t>közvilágítás karbantartás</t>
  </si>
  <si>
    <t>Rovat</t>
  </si>
  <si>
    <t>Kötelező feladat</t>
  </si>
  <si>
    <t>Önként vállalt feladat</t>
  </si>
  <si>
    <t>Államigazgatási feladat</t>
  </si>
  <si>
    <t>Kiadási ei.</t>
  </si>
  <si>
    <t>Bevételi ei.</t>
  </si>
  <si>
    <t>B1 Mc. tám. áht-n belülről</t>
  </si>
  <si>
    <t>Államháztartáson belüli megelőlegezés visszafizetése</t>
  </si>
  <si>
    <t>B8 Finanszírozási bevételek</t>
  </si>
  <si>
    <t>K3 Dologi kiadások</t>
  </si>
  <si>
    <t>K1 személyi juttatások</t>
  </si>
  <si>
    <t>K2 munkaadót terhelő jár.</t>
  </si>
  <si>
    <t>orvosi alkalmassági vizsgálat</t>
  </si>
  <si>
    <t>GYERMEKÉTKEZTETÉS KÖZNEVELÉSI INTÉZMÉNYBEN</t>
  </si>
  <si>
    <t>Béri Balog Általános Iskola</t>
  </si>
  <si>
    <t>Bersek József Általános Iskola</t>
  </si>
  <si>
    <t>Jurisich Miklós Gimnázium</t>
  </si>
  <si>
    <t>Dr. Nagy László EGYMI</t>
  </si>
  <si>
    <t>B4 Működési bevételek</t>
  </si>
  <si>
    <t>képviselői tiszteletdíjjak</t>
  </si>
  <si>
    <t>képviselői tiszteletdíjak utáni járulék</t>
  </si>
  <si>
    <t>jogtanácsos díja</t>
  </si>
  <si>
    <t>VÁROSÜZEMELTETÉSSEL KAPCSOLATOS FELADATOK</t>
  </si>
  <si>
    <t>Közvilágítás és díszvilágítás</t>
  </si>
  <si>
    <t>Városüzemeltetési Kft szolgáltatási díjai</t>
  </si>
  <si>
    <t>KÖZHATALMI BEVÉTELEK</t>
  </si>
  <si>
    <t>Áfa befizetés</t>
  </si>
  <si>
    <t>VAGYONHASZNOSÍTÁS</t>
  </si>
  <si>
    <t>Végrehajtás költsége</t>
  </si>
  <si>
    <t>Vár vagyonkezelési díj</t>
  </si>
  <si>
    <t>Közterület-használati díj</t>
  </si>
  <si>
    <t>ORVOSI RENDELŐK</t>
  </si>
  <si>
    <t>Bírságok</t>
  </si>
  <si>
    <r>
      <t xml:space="preserve"> </t>
    </r>
    <r>
      <rPr>
        <sz val="10"/>
        <rFont val="Times New Roman"/>
        <family val="1"/>
      </rPr>
      <t>polgármester, alpolgármester illetménye ,  költségtérítés, cafetéria</t>
    </r>
  </si>
  <si>
    <t xml:space="preserve"> polgármester, alpolgármester,bére utáni járulék</t>
  </si>
  <si>
    <t>Szúnyogírtás</t>
  </si>
  <si>
    <t xml:space="preserve">       (1 Ft / idegenforgalmi adóbevétel tartozkodás után)</t>
  </si>
  <si>
    <t xml:space="preserve">1.   Pótlólagos összeg 2017/2018. tanévre óvodapedagógusok </t>
  </si>
  <si>
    <t xml:space="preserve">      átlagbéréhez és közterheihez  ( 3 hónapra) (38 200 Ft /létszám/év)</t>
  </si>
  <si>
    <t>2.   Óvodaműködtetési támogatás (8 hóra, 81 700 Ft/fő/év)</t>
  </si>
  <si>
    <t>2.   Óvodamúködtetési támogatás (4 hóra  81 700 Ft/fő/év)</t>
  </si>
  <si>
    <t xml:space="preserve">4.   Pedagógus II. kategóriába sorolt óvodapedagógusok  kiegészítő </t>
  </si>
  <si>
    <t>1. Szociális összevont ágazati pótlék</t>
  </si>
  <si>
    <t xml:space="preserve"> (5 536  Ft/ellátott )</t>
  </si>
  <si>
    <t xml:space="preserve"> (63 000 Ft/ellátott )</t>
  </si>
  <si>
    <t xml:space="preserve"> (54 500 Ft/ellátott )</t>
  </si>
  <si>
    <t xml:space="preserve"> (41 220  Ft/ellátott )</t>
  </si>
  <si>
    <t xml:space="preserve">  (46 835 Ft/ellátott )</t>
  </si>
  <si>
    <t xml:space="preserve"> kisgyermeknevelők béréhez</t>
  </si>
  <si>
    <t>ÖNKORMÁNYZATI IGAZGATÁSI TEVÉKENYSÉG</t>
  </si>
  <si>
    <t>közüzemi költségek - villany</t>
  </si>
  <si>
    <t>Közüzemi költségek - gáz</t>
  </si>
  <si>
    <t>közüzemi költségek- víz</t>
  </si>
  <si>
    <t xml:space="preserve">Önkormányzati ingatlanok gázdíja </t>
  </si>
  <si>
    <t xml:space="preserve">Vendégszobák - közüzemi költségei </t>
  </si>
  <si>
    <t>K513 TARTALÉK</t>
  </si>
  <si>
    <t>Szakrendelő veszteségének költsége</t>
  </si>
  <si>
    <t xml:space="preserve">Egyesületi tagdíjak </t>
  </si>
  <si>
    <t xml:space="preserve">Önkormányzati ingatlanok távhő díja </t>
  </si>
  <si>
    <t>Önkormányzati ingatlanok, közkutak vízdíja</t>
  </si>
  <si>
    <t>Vendégszobák- takarítási díja megbízási szerződés</t>
  </si>
  <si>
    <t>Vendégszobák- takarítási díja járulékok</t>
  </si>
  <si>
    <t>Vagyonbiztosítás és fizetendő önrészek</t>
  </si>
  <si>
    <t>Orvosi rendelők közüzemi költségeinek továbbszámlázása</t>
  </si>
  <si>
    <t>Vérszállítási szolgáltatás</t>
  </si>
  <si>
    <t>Egészségház tűzjelző rendszer karbantartása</t>
  </si>
  <si>
    <t>B3 Közhatalmi bevételek</t>
  </si>
  <si>
    <t xml:space="preserve">Idegenforgalmi adó tartozkódás utaán </t>
  </si>
  <si>
    <t>Gépjárműadó helyben maradó része</t>
  </si>
  <si>
    <t>Könyvvizsgálat díja</t>
  </si>
  <si>
    <t>PÉNZBELI ELLÁTÁSOK</t>
  </si>
  <si>
    <t>Bursa Hungarica támogatás</t>
  </si>
  <si>
    <t>Köztemetés kiadásai</t>
  </si>
  <si>
    <t>Gyvt. 20/A.§ szerinti természetbeni támogatás</t>
  </si>
  <si>
    <t>Gyvt. 20/A.§ szerinti természetbeni támogatás állami fedezete</t>
  </si>
  <si>
    <t>DIÁKSPORT TEVÉKENYSÉG KIADÁSAI</t>
  </si>
  <si>
    <t>Államtól átvett ingatlanok karbantartása</t>
  </si>
  <si>
    <t>Vendégszobák, üdülők bevételei</t>
  </si>
  <si>
    <t>K4 Ellátottak pénzbeli jutt.</t>
  </si>
  <si>
    <t>K506 Egyéb mc. Kiadás</t>
  </si>
  <si>
    <t>Semelweis nap, pedagógus nap, díszdiploma, jó tanuló, jó sportoló díjjak átadása</t>
  </si>
  <si>
    <t>Önkormányzati ingatalnokkal kapcsolatos közüzemi díjak továbbszámlázása</t>
  </si>
  <si>
    <t>Kőszegi Önkormányzati Tűzoltóság támogatás</t>
  </si>
  <si>
    <t>Kőszegi Önkéntes Tűzoltó Egyesület támogatása</t>
  </si>
  <si>
    <t>Kőszegfalvi Önkéntes Tűzoltó Egyesület támogatása</t>
  </si>
  <si>
    <t>Kőszegi Sport Egyesület támogatása</t>
  </si>
  <si>
    <t>Kőszegi Futball Club támogatása</t>
  </si>
  <si>
    <t xml:space="preserve">Kőszegfalvi Sport Egyesület </t>
  </si>
  <si>
    <t>Kőszegi Horvát Nemzetiségi Önkormányzat támogatása</t>
  </si>
  <si>
    <t>Kőszegi Német Nemzetiségi Önkormányzat támogatása</t>
  </si>
  <si>
    <t>Kőszegi Roma Nemzetiségi Önkormányzat támogatása</t>
  </si>
  <si>
    <t>Kőszegi Sporthorgász Egyesület</t>
  </si>
  <si>
    <t xml:space="preserve">KIEMELT CIVIL ALAPBÓL: </t>
  </si>
  <si>
    <t>Kőszeg Fúvószenekaráért Alapítvány</t>
  </si>
  <si>
    <t>Hajnalcsillag Néptáncegyüttes Közhasznú Alapítvány</t>
  </si>
  <si>
    <t>Csók István Művészkör Egyesület</t>
  </si>
  <si>
    <t>Kőszegi Polgárőrség</t>
  </si>
  <si>
    <t>Irottkő Naturpark támogatása (tagdíj)</t>
  </si>
  <si>
    <t>Irottkő Naturpark támogatása (támogatás tagdíj nélkül)</t>
  </si>
  <si>
    <t>Szünidei gyermekétkeztetés</t>
  </si>
  <si>
    <t>Termőföld bérbeadásából származó jövedelem</t>
  </si>
  <si>
    <t>Adóértesítések készítése</t>
  </si>
  <si>
    <t>K513 Tartalékok</t>
  </si>
  <si>
    <t>EGYÉB SZÓRAKOZTATÓ TEVÉKENYSÉG, RENDEZVÉNYEK</t>
  </si>
  <si>
    <t>TURISZTIKAI FELADATOK TÁMOGATÁS</t>
  </si>
  <si>
    <t>K512 Mc.tám áht. Kivülre</t>
  </si>
  <si>
    <t>Tartalék</t>
  </si>
  <si>
    <t>Kőszegi Közös Önkormányzati Hivatal központi irányító szervi támogatása</t>
  </si>
  <si>
    <t>Chernel Kálmán Városi Könyvtár  központi irányító szervi támogatása</t>
  </si>
  <si>
    <t>Kőszegi Városi Múzeum  központi irányító szervi támogatása</t>
  </si>
  <si>
    <t>Kőszegi Szociális Gondozási Központ központi irányító szervi támogatása</t>
  </si>
  <si>
    <t>K9 Finanszírozási kiadások</t>
  </si>
  <si>
    <t>K506 Mc.tám áht. Belülre</t>
  </si>
  <si>
    <t>Kőszeg Sportjáért Közalapítvány alapítvány támogatása</t>
  </si>
  <si>
    <t>Segítő Kéz Közalapítvány támogatása</t>
  </si>
  <si>
    <t>K512 Mc. tám. áht. kívülre</t>
  </si>
  <si>
    <t xml:space="preserve">Katasztrófavédelmi feladatok kötelező beszerzései </t>
  </si>
  <si>
    <t>Kitüntetések</t>
  </si>
  <si>
    <t>Reprezentáció</t>
  </si>
  <si>
    <t>K1 Személyi juttatások</t>
  </si>
  <si>
    <t>Személyi juttatások utáni munkáltatót terhelő adók</t>
  </si>
  <si>
    <t xml:space="preserve">PÁLYÁZATOK </t>
  </si>
  <si>
    <t xml:space="preserve">alpannónia pályázat- projektmenedzsment költségei </t>
  </si>
  <si>
    <t xml:space="preserve">alpannónia pályázat- projektmenedzsment munkáltatói jár. </t>
  </si>
  <si>
    <t>alpannónia pályázati támogatás (95 %)</t>
  </si>
  <si>
    <t>TOP-5.2..1 Helyi foglalkoztatási együttműködés pályázat (Foglalkoztatási paktum)</t>
  </si>
  <si>
    <t xml:space="preserve">Alpannónia </t>
  </si>
  <si>
    <t>Paktumiroda személyi kifizetései</t>
  </si>
  <si>
    <t>Paktumiroda személyi kifizetései utáni járulákok</t>
  </si>
  <si>
    <t xml:space="preserve">Pályázat dologi kiadásai (mühelymunkák, képzések, hirdetmények, nyilvánosság, </t>
  </si>
  <si>
    <t>Tartalék következő évek kifizetéseihez</t>
  </si>
  <si>
    <t>K513 Tartalék</t>
  </si>
  <si>
    <t>KŐSZEG VÁROS ÖNKORMÁNYZATA MŰKÖDÉSI CÉLÚ KIADÁSAI ÉS BEVÉTELEI</t>
  </si>
  <si>
    <t>KÖZTEMETŐ ÜZEMELTETÉS</t>
  </si>
  <si>
    <t>Köztemető üzemeltetés szolgáltatási díja</t>
  </si>
  <si>
    <t>K3 Dologi kiadás</t>
  </si>
  <si>
    <t xml:space="preserve">Sírhely árbevétel </t>
  </si>
  <si>
    <t>B4 Működési bevétel</t>
  </si>
  <si>
    <t>ÖSSSZESEN:</t>
  </si>
  <si>
    <t xml:space="preserve">ÖSSZESEN: </t>
  </si>
  <si>
    <t>Eszterházy oltár felújításának kiadásai</t>
  </si>
  <si>
    <t>2.</t>
  </si>
  <si>
    <t>3.</t>
  </si>
  <si>
    <t xml:space="preserve">Foglalkoztatási paktum pályázat </t>
  </si>
  <si>
    <t xml:space="preserve"> -külső forrásből</t>
  </si>
  <si>
    <t>K506 Mc.tám áht. belülre</t>
  </si>
  <si>
    <t>K512 Mc.tám áht. kivülre</t>
  </si>
  <si>
    <t xml:space="preserve">  -belős forrásból</t>
  </si>
  <si>
    <t>Közgyűjteményi, könyvtári szolgáltatások nyújtása, könyvtári állomány gyarapítása</t>
  </si>
  <si>
    <t>B8 Fnanszírozási bevételek</t>
  </si>
  <si>
    <t>JURISICS-VÁR MŰVELŐDÉSI KÖZPONT ÉS VÁRSZÍNHÁZ</t>
  </si>
  <si>
    <t>Közművelődési feladatok ellátása, művelődési központ működtetése</t>
  </si>
  <si>
    <t>Közművelődési feladatok ellátása: városi rendezvények, ünnepek szervezése</t>
  </si>
  <si>
    <t>Kőszeg és Vidéke lap kiadása</t>
  </si>
  <si>
    <t>MINDÖSSZESEN</t>
  </si>
  <si>
    <t>KŐSZEGI VÁROSI MÚZEUM</t>
  </si>
  <si>
    <t>KŐSZEGI SZOCIÁLIS GONDOZÁSI KÖZPONT</t>
  </si>
  <si>
    <t>KŐSZEGI KÖZÖS ÖNKORMÁNYZATI HIVATAL</t>
  </si>
  <si>
    <t>KŐSZEG VÁROS ÉS INTÉZMÉNYEI MINDÖSSZESEN:</t>
  </si>
  <si>
    <t>Kőszegi Szociális Gondozási Központ feladataihoz átvett pénzeszköz önkormányzatoktól</t>
  </si>
  <si>
    <t>Könyv (Kőszeg regénye) vásárlás</t>
  </si>
  <si>
    <t xml:space="preserve">Könyv kiadás támogatása Kőszeghegyalja régészeti öröksége c. könyv) </t>
  </si>
  <si>
    <t>Kőszegi Közös Önkormányzati Hivatal központi irányító szervi támogatásához átvétel Velemtől</t>
  </si>
  <si>
    <t>Kőszegi Közös Önkormányzati Hivatal központi irányító szervi támogatásához átvétel Bozsoktól</t>
  </si>
  <si>
    <t>CHERNEL KÁLMÁN VÁROSI KÖNYVTÁR MŰKÖDÉSI CÉL KIADÁSAI ÉS BEVÉTELEI</t>
  </si>
  <si>
    <t>Állami támogatások önkormányzati feladatokra</t>
  </si>
  <si>
    <t>ÖNKORMÁNYZATI FOGLALKOZTATÁS</t>
  </si>
  <si>
    <t>VIS MAIOR TARTALÉK</t>
  </si>
  <si>
    <t>BEJÓ Egyesületg támogatása</t>
  </si>
  <si>
    <t>Alpannónia pályázat kiadásai</t>
  </si>
  <si>
    <t>2022-2027. 5 éven túli</t>
  </si>
  <si>
    <t xml:space="preserve">Kőszeg Város Önkormányzata által nyútott közvetett támogatásokról </t>
  </si>
  <si>
    <t>Ellátottak térítési díjának, ill. kártérítésének méltányossági alapon történő elengedése:</t>
  </si>
  <si>
    <t xml:space="preserve">Térítési díjak </t>
  </si>
  <si>
    <t>Kedvezmények miatti csökkentés (kedvezmény jogszabályi előíráson alapul)</t>
  </si>
  <si>
    <t>Tervezett bevétel összesen:</t>
  </si>
  <si>
    <t>Térítési díj támogatás (szociális ellátás)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</si>
  <si>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</si>
  <si>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</si>
  <si>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</si>
  <si>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</si>
  <si>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</si>
  <si>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</si>
  <si>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</si>
  <si>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Közvetett támogatás összesen (gépjármű adóból 40%-a marad az önkormányzatnál):</t>
  </si>
  <si>
    <t>Helyiségek, eszközök hasznosításából származó bevételből nyújtott kedvezmény, mentesség:</t>
  </si>
  <si>
    <t>Helyiségek bérbeadása, hasznosítása (Városüzemeltető Kft. által kezelt ingatlanok):</t>
  </si>
  <si>
    <t>Egyéb nyújtott kedvezmény vagy kölcsön elengedés:</t>
  </si>
  <si>
    <t>Ingatlan értékesítés (lakások) vételára:</t>
  </si>
  <si>
    <t>KÖZVETETT TÁMOGATÁSOK MINDÖSSZESEN:</t>
  </si>
  <si>
    <t>Kőszeg Város Önkormányzata és intézményei 2018. évi működési bevételei és kiadásai feladatjelleg szerint (Ft)</t>
  </si>
  <si>
    <t>Önkormányzati ingatlanok, köztéri berendezések áramktg-e</t>
  </si>
  <si>
    <t>2018.     Összesen</t>
  </si>
  <si>
    <t>a 2018. évi költségvetési törvény szerint</t>
  </si>
  <si>
    <t>beszámítás után (lakosságszám alapján 2 700 Ft/fő)           (30 858 300-30 858 300)</t>
  </si>
  <si>
    <t>(2250 Ft/fő) (321 300-321 300)</t>
  </si>
  <si>
    <t>I. 2.  Nem közművel összegyűjtött háztartási szennyvíz ártalmatlanítása (100 Ft/km3)</t>
  </si>
  <si>
    <t>I. 6.  Polgarmesteri illetmény támogatása</t>
  </si>
  <si>
    <t xml:space="preserve">     elismert összege  ( 8 hónapra) (4 419 000 Ft /létszám/év)</t>
  </si>
  <si>
    <t xml:space="preserve">      bérének és járulékainak támogatása (8 hóra, 2 205 000 Ft /év)</t>
  </si>
  <si>
    <t xml:space="preserve">      bérének és járulékainak támogatása (4 hóra, 2 205 000 Ft /év)</t>
  </si>
  <si>
    <t xml:space="preserve">       elismert összege  ( 4 hónapra) (4 419 000 Ft /létszám/év)</t>
  </si>
  <si>
    <t xml:space="preserve">      támogatásra.  (401 000 Ft /fő/év)</t>
  </si>
  <si>
    <t xml:space="preserve"> ba) Zöldterület gazdálkodással kapcsolatos feladatok támogatása  (13 540 560-10 327 533)</t>
  </si>
  <si>
    <t>1. b) Település-üzemeltetéshez kapcsolódó feladatellátás támogatása beszámítás után (83 519 588-10 327 533)</t>
  </si>
  <si>
    <t>(3 300 000 Ft/ számított létszám)</t>
  </si>
  <si>
    <t>(3 400 000 Ft/ számított létszám)</t>
  </si>
  <si>
    <t xml:space="preserve">          (330 000 Ft/ellátott)</t>
  </si>
  <si>
    <t xml:space="preserve">           (490 000 Ft/ellátott )</t>
  </si>
  <si>
    <t>4. a.)   Idősek átmeneti és tartós szakosított ellátása (Idősek otthona)           számított intézményvezetői és a segítői munkatárs létszámához kapcsolódó bértámogatás (2 848 000 Ft/fő)</t>
  </si>
  <si>
    <t>elismerhető dolgozók bértámogatása (1 900 000 Ft/fő)</t>
  </si>
  <si>
    <t>bértámogatása</t>
  </si>
  <si>
    <t>7.a.(1). Kiegészítő támogatás a bölcsődében felsőfokú végzettségű</t>
  </si>
  <si>
    <t xml:space="preserve">7.a.(2). Finanszírozás szempontjából elismert szakmai dolgozók </t>
  </si>
  <si>
    <t>7.b.) Bölcsődei üzemeltetés támogatás</t>
  </si>
  <si>
    <t xml:space="preserve">           feladatok támogatása  (1 210 Ft/fő)</t>
  </si>
  <si>
    <t>elvárt bevétel a 2017. évi iparűzési adóalap 0,5%-ának a 70 %-a</t>
  </si>
  <si>
    <t xml:space="preserve">           (360 000 Ft/ellátott )</t>
  </si>
  <si>
    <t>3.  j.(1)  Családi Bölcsöde</t>
  </si>
  <si>
    <t>Jurisics Vár Művelődési Központ és Várszínház  központi irányító szervi támogatása</t>
  </si>
  <si>
    <t>Ilyen kedvezmény nyújtását a 2018. évi költségvetésben nem terveztük.</t>
  </si>
  <si>
    <t>Ingyenes használatba adott ingatlanok éves bérleti díja 2018-ban:</t>
  </si>
  <si>
    <t>ÚJVÁROSI ÓVODA</t>
  </si>
  <si>
    <t xml:space="preserve">KÖZPONTI ÓVODA ÉS BÖLCSŐDE </t>
  </si>
  <si>
    <t>Várszínház üzemeltetése</t>
  </si>
  <si>
    <t>Kőszegi óvodák, tagóvodák és bölcsőde</t>
  </si>
  <si>
    <t xml:space="preserve"> Önkormányzat</t>
  </si>
  <si>
    <t>Gyereklétszám</t>
  </si>
  <si>
    <t>Hozzájárulás óvodai neveléshez</t>
  </si>
  <si>
    <t>MŰKÖDÉSI  célú hozzájárulás ÖSSZESEN:</t>
  </si>
  <si>
    <t xml:space="preserve">Felhalmozási célú hozzájárulás </t>
  </si>
  <si>
    <t>ÖSSZES HOZZÁJÁRULÁS</t>
  </si>
  <si>
    <t>1 főre jutó támogatás</t>
  </si>
  <si>
    <t xml:space="preserve">Összesen: </t>
  </si>
  <si>
    <t>Horvátzsidányi tagóvoda</t>
  </si>
  <si>
    <t>Horvátzsidány</t>
  </si>
  <si>
    <t>Ólmod</t>
  </si>
  <si>
    <t>Peresznyei tagóvoda</t>
  </si>
  <si>
    <t>Gyerek- létszám</t>
  </si>
  <si>
    <t>Peresznyei</t>
  </si>
  <si>
    <t>Település</t>
  </si>
  <si>
    <t>Kőszegszerdahely</t>
  </si>
  <si>
    <t>Bozsok</t>
  </si>
  <si>
    <t>Cák</t>
  </si>
  <si>
    <t>Velem</t>
  </si>
  <si>
    <t>Kőszeg</t>
  </si>
  <si>
    <t>Önkormányzatok hozzájárulásai jogcímenként 2018. évben</t>
  </si>
  <si>
    <t>Velemi tagóvoda</t>
  </si>
  <si>
    <t>Szombathely</t>
  </si>
  <si>
    <t>Központi Óvoda Horvátzsidányi tagóvodája központi irányító szervi támogatása</t>
  </si>
  <si>
    <t>Központi Óvoda Székhely  központi irányító szervi támogatása</t>
  </si>
  <si>
    <t>Központi Óvoda Bölcsőde központi irányító szervi támogatása</t>
  </si>
  <si>
    <t>Központi Óvoda Horvátzsidányi tagóvodája feladataihoz átvett pénzeszköz önkormányzatoktól</t>
  </si>
  <si>
    <t>Központi Óvoda Peresznyei tagóvodája feladataihoz átvett pénzeszköz önkormányzatoktól</t>
  </si>
  <si>
    <t>Központi Óvoda Peresznyei tagóvodája központi irányító szervi támogatása</t>
  </si>
  <si>
    <t>Újvárosi Óvoda Székhely központi irányító szervi támogatása</t>
  </si>
  <si>
    <t>Újvárosi Óvoda Kőszegfalvi tagóvodája központi irányító szervi támogatása</t>
  </si>
  <si>
    <t>Újvárosi Óvoda Velemi tagóvodája feladataihoz átvett pénzeszköz önkormányzatoktól</t>
  </si>
  <si>
    <t>Újvárosi Óvoda Velemi tagóvodája központi irányító szervi támogatása</t>
  </si>
  <si>
    <t>Központi Óvoda Felsővárosi Tagóvodája központi irányító szervi támogatása</t>
  </si>
  <si>
    <t>ORVOSI ÜGYELET KIADÁSAI</t>
  </si>
  <si>
    <t>Kőszegi Ostromnapok Egyesület</t>
  </si>
  <si>
    <t>2017. évi maradvány</t>
  </si>
  <si>
    <t>kőszeginfo üzemeltetése szerződés szerint (Kiss András)</t>
  </si>
  <si>
    <t>Kőszegi Szociális Gondozási Központ</t>
  </si>
  <si>
    <t>Idősek Otthona</t>
  </si>
  <si>
    <t>Átmeneti szállás</t>
  </si>
  <si>
    <t>Nappali melegedő</t>
  </si>
  <si>
    <t>Házi segítságnyújtás</t>
  </si>
  <si>
    <t>IK Kőszeg</t>
  </si>
  <si>
    <t>Szociális étkezés</t>
  </si>
  <si>
    <t>IK Horvátzsidány</t>
  </si>
  <si>
    <t>Család és gyermekjóléti Szolgálat</t>
  </si>
  <si>
    <t>Család és gyermekjóléti Központ</t>
  </si>
  <si>
    <t>Védőnők</t>
  </si>
  <si>
    <t>Kiszsidány</t>
  </si>
  <si>
    <t>Peresznye</t>
  </si>
  <si>
    <t>Hulladékgazdálkodási társulás működési hozzájárulás (100 Ft/lakosság)2018 évi 11429000 +2017 évi 1160400</t>
  </si>
  <si>
    <t>92 Ft/lakosság/hó  (11429 fő)</t>
  </si>
  <si>
    <t>főépítészi feladatok díja (300.000 Ft/hó)</t>
  </si>
  <si>
    <t>főépítészi feladatok díja (járulék 19,5%)</t>
  </si>
  <si>
    <t>2016.évi beszámoló ellenőrzésének befizetési kötelezettsége</t>
  </si>
  <si>
    <t>Pályázat támogatás része - előleg maradványa</t>
  </si>
  <si>
    <t>2017.évi Társulás maradvány elszámolása</t>
  </si>
  <si>
    <t xml:space="preserve">Kőszegi Polgárőrség támogatása 2017.évi maradvány </t>
  </si>
  <si>
    <t>PARKOLÓ ÜZEMELTETÉS</t>
  </si>
  <si>
    <t>Parkoló üzemeltetés szolgáltatási díja</t>
  </si>
  <si>
    <t xml:space="preserve">Parkoló árbevétel </t>
  </si>
  <si>
    <t>Digitális közműtérkép továbbvezetése (Pécsi Geodézia)</t>
  </si>
  <si>
    <t>Belvárosi wifi hálózat üzemeltetése, karbantartása (Rege Péter)</t>
  </si>
  <si>
    <t>Kamera rendszer karbantartása (Castrumsec)</t>
  </si>
  <si>
    <t>Értékbecslések, telekalakítás, tulajdoni lap kérések költségei</t>
  </si>
  <si>
    <t>Zsilipkezelés (316.837.- Ft/név)</t>
  </si>
  <si>
    <t>Székhely Intézmény Kőszeg</t>
  </si>
  <si>
    <t>Felsővárosi Tagóvoda</t>
  </si>
  <si>
    <t>Horvátzsidányi Tagóvoda</t>
  </si>
  <si>
    <t>Peresznyei Tagóvoda</t>
  </si>
  <si>
    <t>Kőszegfalvi Tagóvoda</t>
  </si>
  <si>
    <t>Velemi Tagóvoda</t>
  </si>
  <si>
    <t>VASIVÍZ Zrt. Víz- és szennyvízhasználati díj</t>
  </si>
  <si>
    <t>Önkormányzatok részére lakosságszám szerinti visszatutalása</t>
  </si>
  <si>
    <t xml:space="preserve">TOP-1.4.1-15-VS1-2016-00023  Újvárosi Óvoda és Kőszegfalvi Óvoda pályázat </t>
  </si>
  <si>
    <t>Pályázat támogatás része maradványa</t>
  </si>
  <si>
    <t>Pályázat dologi kiadásai (Projektmenedzsmenti feladatok SZPI-vel)</t>
  </si>
  <si>
    <t>Pályázat dologi kiadásai</t>
  </si>
  <si>
    <t xml:space="preserve">TOP-1.4.1-15-VS1-2016-00021  Központi Óvoda és Felsővárosi Óvoda pályázat </t>
  </si>
  <si>
    <t xml:space="preserve">TOP-2.1.3-15-VS1-2016-00019  pályázat </t>
  </si>
  <si>
    <t>TOP előkészítő keret terhére</t>
  </si>
  <si>
    <t>Előkészítő keret 2017.évi maradványa</t>
  </si>
  <si>
    <t xml:space="preserve">dologi kiadásai </t>
  </si>
  <si>
    <t>TOP projekt</t>
  </si>
  <si>
    <t>B6 Mc. tám. áht-n kívülről</t>
  </si>
  <si>
    <t xml:space="preserve"> takarítónők bér, költségtérítés, cafetéria, Komlenecz Ildikó</t>
  </si>
  <si>
    <t>takarítónők, Komlenecz Ildikó bére utáni járulék</t>
  </si>
  <si>
    <t>Működési hozzájárulás</t>
  </si>
  <si>
    <t>Felújítási hozzájárulás</t>
  </si>
  <si>
    <t>Beruházási hozzájárulás</t>
  </si>
  <si>
    <t>Átmeneti szállás és nappali melegedő</t>
  </si>
  <si>
    <t>Kőszeg Város Önkormányzatának többéves kihatással járó kötelezettségeiről ( Ft)</t>
  </si>
  <si>
    <t>2018. évben 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</si>
  <si>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</si>
  <si>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</si>
  <si>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</si>
  <si>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</si>
  <si>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</si>
  <si>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</si>
  <si>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</si>
  <si>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</si>
  <si>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</si>
  <si>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</si>
  <si>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</si>
  <si>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</si>
  <si>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Működési c tám áht-n belülről</t>
  </si>
  <si>
    <t>2. Közhatalmi bevételek</t>
  </si>
  <si>
    <t>3. Működési bevételek</t>
  </si>
  <si>
    <t>4. Működési c átvett pénzeszközök</t>
  </si>
  <si>
    <t>5. Felhalmozási c tám áht-n belülről</t>
  </si>
  <si>
    <t>6. Felhalmozási bevételek</t>
  </si>
  <si>
    <t>7. Felhalmozási c átvett pénzeszközök</t>
  </si>
  <si>
    <t>8. Költségvetési bevételek összesen</t>
  </si>
  <si>
    <t>9. Hiány</t>
  </si>
  <si>
    <t>10. Belső fin. bevételei (Pénzmaradvány)</t>
  </si>
  <si>
    <t>11. Külső fin. Bevételei (hitelfelvétel)</t>
  </si>
  <si>
    <t>12. Külső fin. bevételei (működési hitel)</t>
  </si>
  <si>
    <t>14. BEVÉTELEK ÖSSZESEN</t>
  </si>
  <si>
    <t>13. Személyi juttatások</t>
  </si>
  <si>
    <t>14. Munkaadói járulék</t>
  </si>
  <si>
    <t>15. Dologi kiadás</t>
  </si>
  <si>
    <t>16. Ellátottak juttatásai</t>
  </si>
  <si>
    <t>17. Egyéb működési c kiadások</t>
  </si>
  <si>
    <t>18. Beruházás</t>
  </si>
  <si>
    <t>19. Felújítás</t>
  </si>
  <si>
    <t>20. Egyéb felhalmozási c kiadások</t>
  </si>
  <si>
    <t>21. Költségvetési kiadások összesen</t>
  </si>
  <si>
    <t>22. Finanszírozás kiadásai (Hiteltörlesztés)</t>
  </si>
  <si>
    <t>22. KIADÁSOK ÖSSZESEN</t>
  </si>
  <si>
    <t>Kőszeg Város Önkormányzata előirányzat felhasználási és likviditási ütemterve 2018. évben  Ft-ban</t>
  </si>
  <si>
    <t>Megbízási díj( fényképész) Ohr Tibor</t>
  </si>
  <si>
    <t>1. információs tábla a 2/2018. (II. 16.) önkormányzati rendelethez</t>
  </si>
  <si>
    <t>2. információs tábla a 2/2018. (II. 16.) önkormányzati rendelethez</t>
  </si>
  <si>
    <t>3. információs tábla a 2/2018. (II. 16.) önkormányzati rendelethez</t>
  </si>
  <si>
    <t>4. információs tábla a 2/2018. (II. 16.) önkormányzati rendelethez</t>
  </si>
  <si>
    <t>5. információs tábla a 2/2018. (II. 16.) önkormányzati rendelethez</t>
  </si>
  <si>
    <t>6. információs tábla a 2/2018. (II. 16.)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</si>
</sst>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0.0000"/>
    <numFmt numFmtId="167" formatCode="#,##0.000"/>
    <numFmt numFmtId="168" formatCode="#,##0_ ;\-#,##0\ "/>
    <numFmt numFmtId="169" formatCode="0.0"/>
    <numFmt numFmtId="170" formatCode="[$-40E]yyyy\.\ mmmm\ d\.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1"/>
    </font>
    <font>
      <b/>
      <sz val="8"/>
      <name val="Times New Roman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8" fillId="3" borderId="0" applyNumberFormat="0" applyBorder="0" applyAlignment="0" applyProtection="0"/>
    <xf numFmtId="0" fontId="16" fillId="7" borderId="1" applyNumberFormat="0" applyAlignment="0" applyProtection="0"/>
    <xf numFmtId="0" fontId="30" fillId="20" borderId="1" applyNumberFormat="0" applyAlignment="0" applyProtection="0"/>
    <xf numFmtId="0" fontId="21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6" fillId="7" borderId="1" applyNumberFormat="0" applyAlignment="0" applyProtection="0"/>
    <xf numFmtId="0" fontId="0" fillId="22" borderId="7" applyNumberFormat="0" applyFon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96" applyFont="1" applyFill="1" applyAlignment="1">
      <alignment/>
      <protection/>
    </xf>
    <xf numFmtId="0" fontId="11" fillId="0" borderId="0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3" fillId="25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vertical="top"/>
    </xf>
    <xf numFmtId="3" fontId="3" fillId="0" borderId="20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3" fontId="3" fillId="0" borderId="23" xfId="0" applyNumberFormat="1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4" fillId="20" borderId="2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right" wrapText="1"/>
    </xf>
    <xf numFmtId="0" fontId="4" fillId="5" borderId="1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 indent="4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25" borderId="24" xfId="0" applyFont="1" applyFill="1" applyBorder="1" applyAlignment="1">
      <alignment horizontal="center" wrapText="1"/>
    </xf>
    <xf numFmtId="0" fontId="4" fillId="25" borderId="26" xfId="0" applyFont="1" applyFill="1" applyBorder="1" applyAlignment="1">
      <alignment horizontal="center" wrapText="1"/>
    </xf>
    <xf numFmtId="0" fontId="4" fillId="20" borderId="24" xfId="0" applyFont="1" applyFill="1" applyBorder="1" applyAlignment="1">
      <alignment horizontal="center" wrapText="1"/>
    </xf>
    <xf numFmtId="0" fontId="4" fillId="2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25" borderId="27" xfId="0" applyFont="1" applyFill="1" applyBorder="1" applyAlignment="1">
      <alignment horizontal="center" wrapText="1"/>
    </xf>
    <xf numFmtId="0" fontId="4" fillId="25" borderId="28" xfId="0" applyFont="1" applyFill="1" applyBorder="1" applyAlignment="1">
      <alignment horizontal="center" wrapText="1"/>
    </xf>
    <xf numFmtId="0" fontId="4" fillId="20" borderId="27" xfId="0" applyFont="1" applyFill="1" applyBorder="1" applyAlignment="1">
      <alignment horizontal="center" wrapText="1"/>
    </xf>
    <xf numFmtId="0" fontId="4" fillId="20" borderId="29" xfId="0" applyFont="1" applyFill="1" applyBorder="1" applyAlignment="1">
      <alignment horizontal="center" wrapText="1"/>
    </xf>
    <xf numFmtId="0" fontId="4" fillId="24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 indent="4"/>
    </xf>
    <xf numFmtId="0" fontId="3" fillId="24" borderId="27" xfId="0" applyFont="1" applyFill="1" applyBorder="1" applyAlignment="1">
      <alignment horizontal="left" wrapText="1"/>
    </xf>
    <xf numFmtId="0" fontId="3" fillId="24" borderId="28" xfId="0" applyFont="1" applyFill="1" applyBorder="1" applyAlignment="1">
      <alignment horizontal="left" wrapText="1"/>
    </xf>
    <xf numFmtId="0" fontId="3" fillId="24" borderId="29" xfId="0" applyFont="1" applyFill="1" applyBorder="1" applyAlignment="1">
      <alignment horizontal="left" wrapText="1"/>
    </xf>
    <xf numFmtId="0" fontId="3" fillId="24" borderId="27" xfId="0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3" fontId="3" fillId="20" borderId="11" xfId="0" applyNumberFormat="1" applyFont="1" applyFill="1" applyBorder="1" applyAlignment="1">
      <alignment horizontal="right"/>
    </xf>
    <xf numFmtId="3" fontId="3" fillId="20" borderId="1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wrapText="1"/>
    </xf>
    <xf numFmtId="0" fontId="3" fillId="24" borderId="24" xfId="0" applyFont="1" applyFill="1" applyBorder="1" applyAlignment="1">
      <alignment horizontal="left" wrapText="1"/>
    </xf>
    <xf numFmtId="0" fontId="3" fillId="24" borderId="26" xfId="0" applyFont="1" applyFill="1" applyBorder="1" applyAlignment="1">
      <alignment horizontal="left" wrapText="1"/>
    </xf>
    <xf numFmtId="0" fontId="3" fillId="24" borderId="25" xfId="0" applyFont="1" applyFill="1" applyBorder="1" applyAlignment="1">
      <alignment horizontal="left" wrapText="1"/>
    </xf>
    <xf numFmtId="0" fontId="3" fillId="24" borderId="24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6" fontId="4" fillId="5" borderId="11" xfId="0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3" fontId="3" fillId="25" borderId="11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 horizontal="left" indent="3"/>
    </xf>
    <xf numFmtId="0" fontId="3" fillId="0" borderId="11" xfId="0" applyFont="1" applyFill="1" applyBorder="1" applyAlignment="1">
      <alignment horizontal="left" indent="3"/>
    </xf>
    <xf numFmtId="0" fontId="3" fillId="0" borderId="2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13" fillId="21" borderId="21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23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vertical="top"/>
    </xf>
    <xf numFmtId="0" fontId="4" fillId="11" borderId="17" xfId="0" applyFont="1" applyFill="1" applyBorder="1" applyAlignment="1">
      <alignment vertical="top"/>
    </xf>
    <xf numFmtId="0" fontId="4" fillId="11" borderId="18" xfId="0" applyFont="1" applyFill="1" applyBorder="1" applyAlignment="1">
      <alignment vertical="top"/>
    </xf>
    <xf numFmtId="3" fontId="4" fillId="11" borderId="19" xfId="0" applyNumberFormat="1" applyFont="1" applyFill="1" applyBorder="1" applyAlignment="1">
      <alignment vertical="top" wrapText="1"/>
    </xf>
    <xf numFmtId="3" fontId="4" fillId="11" borderId="23" xfId="0" applyNumberFormat="1" applyFont="1" applyFill="1" applyBorder="1" applyAlignment="1">
      <alignment vertical="top" wrapText="1"/>
    </xf>
    <xf numFmtId="0" fontId="4" fillId="11" borderId="17" xfId="0" applyFont="1" applyFill="1" applyBorder="1" applyAlignment="1">
      <alignment vertical="top" wrapText="1"/>
    </xf>
    <xf numFmtId="3" fontId="3" fillId="11" borderId="18" xfId="0" applyNumberFormat="1" applyFont="1" applyFill="1" applyBorder="1" applyAlignment="1">
      <alignment vertical="top" wrapText="1"/>
    </xf>
    <xf numFmtId="3" fontId="3" fillId="11" borderId="19" xfId="0" applyNumberFormat="1" applyFont="1" applyFill="1" applyBorder="1" applyAlignment="1">
      <alignment vertical="top" wrapText="1"/>
    </xf>
    <xf numFmtId="3" fontId="3" fillId="11" borderId="23" xfId="0" applyNumberFormat="1" applyFont="1" applyFill="1" applyBorder="1" applyAlignment="1">
      <alignment vertical="top" wrapText="1"/>
    </xf>
    <xf numFmtId="0" fontId="3" fillId="11" borderId="18" xfId="0" applyFont="1" applyFill="1" applyBorder="1" applyAlignment="1">
      <alignment vertical="top"/>
    </xf>
    <xf numFmtId="3" fontId="3" fillId="11" borderId="19" xfId="0" applyNumberFormat="1" applyFont="1" applyFill="1" applyBorder="1" applyAlignment="1">
      <alignment vertical="top"/>
    </xf>
    <xf numFmtId="3" fontId="3" fillId="11" borderId="23" xfId="0" applyNumberFormat="1" applyFont="1" applyFill="1" applyBorder="1" applyAlignment="1">
      <alignment vertical="top"/>
    </xf>
    <xf numFmtId="0" fontId="4" fillId="11" borderId="1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3" fontId="4" fillId="11" borderId="11" xfId="0" applyNumberFormat="1" applyFont="1" applyFill="1" applyBorder="1" applyAlignment="1">
      <alignment vertical="top"/>
    </xf>
    <xf numFmtId="3" fontId="4" fillId="11" borderId="12" xfId="0" applyNumberFormat="1" applyFont="1" applyFill="1" applyBorder="1" applyAlignment="1">
      <alignment vertical="top"/>
    </xf>
    <xf numFmtId="3" fontId="31" fillId="0" borderId="11" xfId="0" applyNumberFormat="1" applyFont="1" applyFill="1" applyBorder="1" applyAlignment="1">
      <alignment wrapText="1"/>
    </xf>
    <xf numFmtId="3" fontId="3" fillId="11" borderId="11" xfId="0" applyNumberFormat="1" applyFont="1" applyFill="1" applyBorder="1" applyAlignment="1">
      <alignment vertical="top"/>
    </xf>
    <xf numFmtId="3" fontId="3" fillId="11" borderId="12" xfId="0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4" fillId="11" borderId="11" xfId="0" applyNumberFormat="1" applyFont="1" applyFill="1" applyBorder="1" applyAlignment="1">
      <alignment vertical="top" wrapText="1"/>
    </xf>
    <xf numFmtId="3" fontId="4" fillId="11" borderId="12" xfId="0" applyNumberFormat="1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19" xfId="0" applyNumberFormat="1" applyFont="1" applyFill="1" applyBorder="1" applyAlignment="1">
      <alignment vertical="top"/>
    </xf>
    <xf numFmtId="0" fontId="14" fillId="11" borderId="17" xfId="0" applyFont="1" applyFill="1" applyBorder="1" applyAlignment="1">
      <alignment vertical="top"/>
    </xf>
    <xf numFmtId="0" fontId="14" fillId="11" borderId="18" xfId="0" applyFont="1" applyFill="1" applyBorder="1" applyAlignment="1">
      <alignment vertical="top"/>
    </xf>
    <xf numFmtId="3" fontId="14" fillId="11" borderId="19" xfId="0" applyNumberFormat="1" applyFont="1" applyFill="1" applyBorder="1" applyAlignment="1">
      <alignment vertical="top"/>
    </xf>
    <xf numFmtId="3" fontId="14" fillId="11" borderId="23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vertical="top" wrapText="1"/>
    </xf>
    <xf numFmtId="3" fontId="14" fillId="0" borderId="16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25" borderId="20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4" fillId="5" borderId="24" xfId="0" applyNumberFormat="1" applyFont="1" applyFill="1" applyBorder="1" applyAlignment="1">
      <alignment horizontal="right" wrapText="1"/>
    </xf>
    <xf numFmtId="0" fontId="4" fillId="5" borderId="25" xfId="0" applyFont="1" applyFill="1" applyBorder="1" applyAlignment="1">
      <alignment horizontal="center" wrapText="1"/>
    </xf>
    <xf numFmtId="3" fontId="4" fillId="5" borderId="32" xfId="0" applyNumberFormat="1" applyFont="1" applyFill="1" applyBorder="1" applyAlignment="1">
      <alignment horizontal="right" wrapText="1"/>
    </xf>
    <xf numFmtId="0" fontId="4" fillId="5" borderId="29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5" borderId="27" xfId="0" applyFont="1" applyFill="1" applyBorder="1" applyAlignment="1">
      <alignment horizontal="right" wrapText="1"/>
    </xf>
    <xf numFmtId="3" fontId="32" fillId="5" borderId="24" xfId="0" applyNumberFormat="1" applyFont="1" applyFill="1" applyBorder="1" applyAlignment="1">
      <alignment horizontal="right" wrapText="1"/>
    </xf>
    <xf numFmtId="0" fontId="32" fillId="5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right" wrapText="1"/>
    </xf>
    <xf numFmtId="0" fontId="32" fillId="5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/>
    </xf>
    <xf numFmtId="166" fontId="4" fillId="5" borderId="19" xfId="0" applyNumberFormat="1" applyFont="1" applyFill="1" applyBorder="1" applyAlignment="1">
      <alignment horizontal="right"/>
    </xf>
    <xf numFmtId="0" fontId="4" fillId="5" borderId="23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 wrapText="1"/>
    </xf>
    <xf numFmtId="3" fontId="4" fillId="5" borderId="11" xfId="0" applyNumberFormat="1" applyFont="1" applyFill="1" applyBorder="1" applyAlignment="1">
      <alignment horizontal="right" wrapText="1"/>
    </xf>
    <xf numFmtId="0" fontId="3" fillId="25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3" fontId="4" fillId="5" borderId="15" xfId="0" applyNumberFormat="1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64" fontId="4" fillId="5" borderId="19" xfId="0" applyNumberFormat="1" applyFont="1" applyFill="1" applyBorder="1" applyAlignment="1">
      <alignment/>
    </xf>
    <xf numFmtId="3" fontId="4" fillId="5" borderId="11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0" fontId="4" fillId="5" borderId="19" xfId="0" applyFont="1" applyFill="1" applyBorder="1" applyAlignment="1">
      <alignment/>
    </xf>
    <xf numFmtId="166" fontId="4" fillId="5" borderId="19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2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 vertical="top"/>
    </xf>
    <xf numFmtId="3" fontId="5" fillId="0" borderId="22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2" fillId="0" borderId="34" xfId="0" applyFont="1" applyBorder="1" applyAlignment="1">
      <alignment/>
    </xf>
    <xf numFmtId="3" fontId="2" fillId="0" borderId="35" xfId="0" applyNumberFormat="1" applyFont="1" applyBorder="1" applyAlignment="1">
      <alignment wrapText="1"/>
    </xf>
    <xf numFmtId="3" fontId="3" fillId="0" borderId="35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2" fillId="0" borderId="41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 wrapText="1"/>
    </xf>
    <xf numFmtId="3" fontId="12" fillId="0" borderId="45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31" fillId="0" borderId="0" xfId="0" applyFont="1" applyAlignment="1">
      <alignment wrapText="1"/>
    </xf>
    <xf numFmtId="3" fontId="3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4" fillId="0" borderId="0" xfId="0" applyFont="1" applyFill="1" applyAlignment="1">
      <alignment wrapText="1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31" fillId="0" borderId="0" xfId="0" applyFont="1" applyFill="1" applyAlignment="1">
      <alignment wrapText="1"/>
    </xf>
    <xf numFmtId="3" fontId="3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/>
    </xf>
    <xf numFmtId="4" fontId="3" fillId="20" borderId="1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25" borderId="32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center" wrapText="1"/>
    </xf>
    <xf numFmtId="0" fontId="4" fillId="20" borderId="32" xfId="0" applyFont="1" applyFill="1" applyBorder="1" applyAlignment="1">
      <alignment horizontal="center" wrapText="1"/>
    </xf>
    <xf numFmtId="0" fontId="4" fillId="20" borderId="46" xfId="0" applyFont="1" applyFill="1" applyBorder="1" applyAlignment="1">
      <alignment horizontal="center" wrapText="1"/>
    </xf>
    <xf numFmtId="0" fontId="6" fillId="26" borderId="27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2" fontId="3" fillId="0" borderId="27" xfId="0" applyNumberFormat="1" applyFont="1" applyFill="1" applyBorder="1" applyAlignment="1">
      <alignment/>
    </xf>
    <xf numFmtId="0" fontId="37" fillId="0" borderId="0" xfId="95" applyFont="1" applyAlignment="1">
      <alignment horizontal="left"/>
      <protection/>
    </xf>
    <xf numFmtId="0" fontId="37" fillId="0" borderId="0" xfId="95" applyFont="1">
      <alignment/>
      <protection/>
    </xf>
    <xf numFmtId="0" fontId="38" fillId="0" borderId="0" xfId="95" applyFont="1" applyAlignment="1">
      <alignment horizontal="left"/>
      <protection/>
    </xf>
    <xf numFmtId="0" fontId="39" fillId="0" borderId="0" xfId="95" applyFont="1" applyBorder="1" applyAlignment="1">
      <alignment horizontal="left" vertical="top" wrapText="1"/>
      <protection/>
    </xf>
    <xf numFmtId="0" fontId="39" fillId="0" borderId="0" xfId="95" applyFont="1" applyBorder="1" applyAlignment="1">
      <alignment horizontal="center" vertical="top" wrapText="1"/>
      <protection/>
    </xf>
    <xf numFmtId="3" fontId="39" fillId="0" borderId="0" xfId="95" applyNumberFormat="1" applyFont="1" applyBorder="1" applyAlignment="1">
      <alignment horizontal="center" vertical="top" wrapText="1"/>
      <protection/>
    </xf>
    <xf numFmtId="0" fontId="13" fillId="0" borderId="0" xfId="95" applyFont="1" applyAlignment="1">
      <alignment horizontal="left"/>
      <protection/>
    </xf>
    <xf numFmtId="0" fontId="13" fillId="25" borderId="14" xfId="95" applyFont="1" applyFill="1" applyBorder="1" applyAlignment="1">
      <alignment horizontal="left"/>
      <protection/>
    </xf>
    <xf numFmtId="0" fontId="13" fillId="25" borderId="14" xfId="95" applyFont="1" applyFill="1" applyBorder="1" applyAlignment="1">
      <alignment/>
      <protection/>
    </xf>
    <xf numFmtId="0" fontId="37" fillId="25" borderId="0" xfId="95" applyFont="1" applyFill="1">
      <alignment/>
      <protection/>
    </xf>
    <xf numFmtId="0" fontId="13" fillId="0" borderId="33" xfId="95" applyFont="1" applyBorder="1" applyAlignment="1">
      <alignment horizontal="left" vertical="top" wrapText="1"/>
      <protection/>
    </xf>
    <xf numFmtId="0" fontId="13" fillId="0" borderId="22" xfId="95" applyFont="1" applyBorder="1" applyAlignment="1">
      <alignment horizontal="center" vertical="top" wrapText="1"/>
      <protection/>
    </xf>
    <xf numFmtId="0" fontId="37" fillId="0" borderId="13" xfId="95" applyFont="1" applyBorder="1" applyAlignment="1">
      <alignment horizontal="left" vertical="top" wrapText="1"/>
      <protection/>
    </xf>
    <xf numFmtId="0" fontId="37" fillId="0" borderId="16" xfId="95" applyFont="1" applyBorder="1" applyAlignment="1">
      <alignment horizontal="center" vertical="top" wrapText="1"/>
      <protection/>
    </xf>
    <xf numFmtId="3" fontId="37" fillId="0" borderId="16" xfId="95" applyNumberFormat="1" applyFont="1" applyBorder="1" applyAlignment="1">
      <alignment horizontal="right" vertical="top" wrapText="1"/>
      <protection/>
    </xf>
    <xf numFmtId="0" fontId="13" fillId="0" borderId="13" xfId="95" applyFont="1" applyBorder="1" applyAlignment="1">
      <alignment horizontal="left" vertical="top" wrapText="1"/>
      <protection/>
    </xf>
    <xf numFmtId="0" fontId="13" fillId="0" borderId="16" xfId="95" applyFont="1" applyBorder="1" applyAlignment="1">
      <alignment horizontal="center" vertical="top" wrapText="1"/>
      <protection/>
    </xf>
    <xf numFmtId="3" fontId="13" fillId="0" borderId="16" xfId="95" applyNumberFormat="1" applyFont="1" applyBorder="1" applyAlignment="1">
      <alignment horizontal="right" vertical="top" wrapText="1"/>
      <protection/>
    </xf>
    <xf numFmtId="0" fontId="37" fillId="0" borderId="0" xfId="95" applyFont="1" applyFill="1">
      <alignment/>
      <protection/>
    </xf>
    <xf numFmtId="0" fontId="13" fillId="25" borderId="0" xfId="95" applyFont="1" applyFill="1" applyAlignment="1">
      <alignment horizontal="left"/>
      <protection/>
    </xf>
    <xf numFmtId="0" fontId="13" fillId="25" borderId="0" xfId="95" applyFont="1" applyFill="1" applyAlignment="1">
      <alignment/>
      <protection/>
    </xf>
    <xf numFmtId="3" fontId="37" fillId="0" borderId="16" xfId="95" applyNumberFormat="1" applyFont="1" applyBorder="1" applyAlignment="1">
      <alignment horizontal="center" vertical="top" wrapText="1"/>
      <protection/>
    </xf>
    <xf numFmtId="3" fontId="13" fillId="0" borderId="16" xfId="95" applyNumberFormat="1" applyFont="1" applyBorder="1" applyAlignment="1">
      <alignment horizontal="center" vertical="top" wrapText="1"/>
      <protection/>
    </xf>
    <xf numFmtId="0" fontId="13" fillId="0" borderId="0" xfId="95" applyFont="1" applyBorder="1" applyAlignment="1">
      <alignment horizontal="left" vertical="top" wrapText="1"/>
      <protection/>
    </xf>
    <xf numFmtId="0" fontId="39" fillId="0" borderId="0" xfId="95" applyFont="1" applyBorder="1" applyAlignment="1">
      <alignment horizontal="right" vertical="top" wrapText="1"/>
      <protection/>
    </xf>
    <xf numFmtId="3" fontId="39" fillId="0" borderId="0" xfId="95" applyNumberFormat="1" applyFont="1" applyBorder="1" applyAlignment="1">
      <alignment horizontal="right" vertical="top" wrapText="1"/>
      <protection/>
    </xf>
    <xf numFmtId="0" fontId="13" fillId="0" borderId="0" xfId="95" applyFont="1" applyBorder="1" applyAlignment="1">
      <alignment horizontal="center" vertical="top" wrapText="1"/>
      <protection/>
    </xf>
    <xf numFmtId="0" fontId="13" fillId="0" borderId="0" xfId="95" applyFont="1" applyBorder="1" applyAlignment="1">
      <alignment horizontal="right" vertical="top" wrapText="1"/>
      <protection/>
    </xf>
    <xf numFmtId="3" fontId="13" fillId="0" borderId="0" xfId="95" applyNumberFormat="1" applyFont="1" applyBorder="1" applyAlignment="1">
      <alignment horizontal="right" vertical="top" wrapText="1"/>
      <protection/>
    </xf>
    <xf numFmtId="0" fontId="37" fillId="25" borderId="0" xfId="95" applyFont="1" applyFill="1" applyBorder="1">
      <alignment/>
      <protection/>
    </xf>
    <xf numFmtId="0" fontId="13" fillId="0" borderId="33" xfId="95" applyFont="1" applyFill="1" applyBorder="1" applyAlignment="1">
      <alignment horizontal="left" vertical="top" wrapText="1"/>
      <protection/>
    </xf>
    <xf numFmtId="0" fontId="13" fillId="0" borderId="0" xfId="95" applyFont="1" applyFill="1" applyBorder="1" applyAlignment="1">
      <alignment horizontal="center" vertical="top" wrapText="1"/>
      <protection/>
    </xf>
    <xf numFmtId="0" fontId="37" fillId="0" borderId="13" xfId="95" applyFont="1" applyFill="1" applyBorder="1" applyAlignment="1">
      <alignment horizontal="left" vertical="top" wrapText="1"/>
      <protection/>
    </xf>
    <xf numFmtId="0" fontId="37" fillId="0" borderId="16" xfId="95" applyFont="1" applyFill="1" applyBorder="1" applyAlignment="1">
      <alignment horizontal="center" vertical="top" wrapText="1"/>
      <protection/>
    </xf>
    <xf numFmtId="0" fontId="37" fillId="27" borderId="13" xfId="95" applyFont="1" applyFill="1" applyBorder="1" applyAlignment="1">
      <alignment horizontal="left" vertical="top" wrapText="1"/>
      <protection/>
    </xf>
    <xf numFmtId="0" fontId="37" fillId="27" borderId="16" xfId="95" applyFont="1" applyFill="1" applyBorder="1" applyAlignment="1">
      <alignment horizontal="center" vertical="top" wrapText="1"/>
      <protection/>
    </xf>
    <xf numFmtId="3" fontId="37" fillId="27" borderId="16" xfId="95" applyNumberFormat="1" applyFont="1" applyFill="1" applyBorder="1" applyAlignment="1">
      <alignment horizontal="right" vertical="top" wrapText="1"/>
      <protection/>
    </xf>
    <xf numFmtId="0" fontId="13" fillId="0" borderId="13" xfId="95" applyFont="1" applyFill="1" applyBorder="1" applyAlignment="1">
      <alignment horizontal="left" vertical="top" wrapText="1"/>
      <protection/>
    </xf>
    <xf numFmtId="0" fontId="13" fillId="0" borderId="16" xfId="95" applyFont="1" applyFill="1" applyBorder="1" applyAlignment="1">
      <alignment horizontal="center" vertical="top" wrapText="1"/>
      <protection/>
    </xf>
    <xf numFmtId="3" fontId="13" fillId="0" borderId="16" xfId="95" applyNumberFormat="1" applyFont="1" applyFill="1" applyBorder="1" applyAlignment="1">
      <alignment horizontal="center" vertical="top" wrapText="1"/>
      <protection/>
    </xf>
    <xf numFmtId="3" fontId="13" fillId="0" borderId="16" xfId="95" applyNumberFormat="1" applyFont="1" applyFill="1" applyBorder="1" applyAlignment="1">
      <alignment horizontal="right" vertical="top" wrapText="1"/>
      <protection/>
    </xf>
    <xf numFmtId="3" fontId="13" fillId="0" borderId="0" xfId="95" applyNumberFormat="1" applyFont="1" applyFill="1" applyBorder="1" applyAlignment="1">
      <alignment horizontal="center" vertical="top" wrapText="1"/>
      <protection/>
    </xf>
    <xf numFmtId="0" fontId="13" fillId="0" borderId="0" xfId="95" applyFont="1" applyFill="1" applyBorder="1" applyAlignment="1">
      <alignment horizontal="left" vertical="top" wrapText="1"/>
      <protection/>
    </xf>
    <xf numFmtId="3" fontId="37" fillId="0" borderId="0" xfId="95" applyNumberFormat="1" applyFont="1" applyBorder="1" applyAlignment="1">
      <alignment horizontal="right" vertical="top" wrapText="1"/>
      <protection/>
    </xf>
    <xf numFmtId="0" fontId="13" fillId="0" borderId="0" xfId="95" applyFont="1">
      <alignment/>
      <protection/>
    </xf>
    <xf numFmtId="0" fontId="37" fillId="0" borderId="0" xfId="95" applyFont="1" applyBorder="1" applyAlignment="1">
      <alignment horizontal="left"/>
      <protection/>
    </xf>
    <xf numFmtId="0" fontId="3" fillId="0" borderId="33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left" vertical="center"/>
    </xf>
    <xf numFmtId="3" fontId="37" fillId="0" borderId="16" xfId="95" applyNumberFormat="1" applyFont="1" applyFill="1" applyBorder="1" applyAlignment="1">
      <alignment horizontal="right" vertical="top" wrapText="1"/>
      <protection/>
    </xf>
    <xf numFmtId="3" fontId="37" fillId="0" borderId="14" xfId="95" applyNumberFormat="1" applyFont="1" applyBorder="1" applyAlignment="1">
      <alignment horizontal="right" vertical="top" wrapText="1"/>
      <protection/>
    </xf>
    <xf numFmtId="3" fontId="37" fillId="0" borderId="14" xfId="95" applyNumberFormat="1" applyFont="1" applyFill="1" applyBorder="1" applyAlignment="1">
      <alignment horizontal="right" vertical="top" wrapText="1"/>
      <protection/>
    </xf>
    <xf numFmtId="3" fontId="13" fillId="0" borderId="14" xfId="95" applyNumberFormat="1" applyFont="1" applyFill="1" applyBorder="1" applyAlignment="1">
      <alignment horizontal="right" vertical="top" wrapText="1"/>
      <protection/>
    </xf>
    <xf numFmtId="0" fontId="13" fillId="0" borderId="33" xfId="95" applyFont="1" applyFill="1" applyBorder="1" applyAlignment="1">
      <alignment horizontal="center" vertical="center" wrapText="1"/>
      <protection/>
    </xf>
    <xf numFmtId="0" fontId="13" fillId="0" borderId="33" xfId="95" applyFont="1" applyFill="1" applyBorder="1" applyAlignment="1">
      <alignment horizontal="center" vertical="center"/>
      <protection/>
    </xf>
    <xf numFmtId="0" fontId="13" fillId="0" borderId="22" xfId="95" applyFont="1" applyBorder="1" applyAlignment="1">
      <alignment vertical="center" wrapText="1"/>
      <protection/>
    </xf>
    <xf numFmtId="0" fontId="13" fillId="0" borderId="20" xfId="95" applyFont="1" applyBorder="1" applyAlignment="1">
      <alignment vertical="center" wrapText="1"/>
      <protection/>
    </xf>
    <xf numFmtId="3" fontId="37" fillId="0" borderId="33" xfId="95" applyNumberFormat="1" applyFont="1" applyFill="1" applyBorder="1">
      <alignment/>
      <protection/>
    </xf>
    <xf numFmtId="3" fontId="37" fillId="0" borderId="16" xfId="95" applyNumberFormat="1" applyFont="1" applyFill="1" applyBorder="1" applyAlignment="1">
      <alignment horizontal="center" vertical="top" wrapText="1"/>
      <protection/>
    </xf>
    <xf numFmtId="3" fontId="13" fillId="0" borderId="33" xfId="95" applyNumberFormat="1" applyFont="1" applyFill="1" applyBorder="1">
      <alignment/>
      <protection/>
    </xf>
    <xf numFmtId="0" fontId="3" fillId="0" borderId="48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3" fontId="3" fillId="0" borderId="50" xfId="0" applyNumberFormat="1" applyFont="1" applyFill="1" applyBorder="1" applyAlignment="1">
      <alignment vertical="top" wrapText="1"/>
    </xf>
    <xf numFmtId="3" fontId="3" fillId="0" borderId="51" xfId="0" applyNumberFormat="1" applyFont="1" applyFill="1" applyBorder="1" applyAlignment="1">
      <alignment vertical="top" wrapText="1"/>
    </xf>
    <xf numFmtId="0" fontId="13" fillId="25" borderId="0" xfId="95" applyFont="1" applyFill="1">
      <alignment/>
      <protection/>
    </xf>
    <xf numFmtId="9" fontId="3" fillId="0" borderId="0" xfId="0" applyNumberFormat="1" applyFont="1" applyFill="1" applyAlignment="1">
      <alignment/>
    </xf>
    <xf numFmtId="0" fontId="0" fillId="0" borderId="0" xfId="93" applyFill="1">
      <alignment/>
      <protection/>
    </xf>
    <xf numFmtId="0" fontId="3" fillId="0" borderId="0" xfId="93" applyFont="1" applyFill="1">
      <alignment/>
      <protection/>
    </xf>
    <xf numFmtId="0" fontId="4" fillId="0" borderId="0" xfId="93" applyFont="1" applyFill="1">
      <alignment/>
      <protection/>
    </xf>
    <xf numFmtId="0" fontId="3" fillId="0" borderId="52" xfId="93" applyFont="1" applyFill="1" applyBorder="1" applyAlignment="1">
      <alignment horizontal="center" wrapText="1"/>
      <protection/>
    </xf>
    <xf numFmtId="0" fontId="4" fillId="0" borderId="53" xfId="93" applyFont="1" applyFill="1" applyBorder="1" applyAlignment="1">
      <alignment horizontal="center" wrapText="1"/>
      <protection/>
    </xf>
    <xf numFmtId="0" fontId="4" fillId="0" borderId="52" xfId="93" applyFont="1" applyFill="1" applyBorder="1" applyAlignment="1">
      <alignment horizontal="center" wrapText="1"/>
      <protection/>
    </xf>
    <xf numFmtId="3" fontId="3" fillId="0" borderId="52" xfId="93" applyNumberFormat="1" applyFont="1" applyFill="1" applyBorder="1">
      <alignment/>
      <protection/>
    </xf>
    <xf numFmtId="3" fontId="4" fillId="0" borderId="52" xfId="93" applyNumberFormat="1" applyFont="1" applyFill="1" applyBorder="1">
      <alignment/>
      <protection/>
    </xf>
    <xf numFmtId="3" fontId="3" fillId="0" borderId="53" xfId="93" applyNumberFormat="1" applyFont="1" applyFill="1" applyBorder="1">
      <alignment/>
      <protection/>
    </xf>
    <xf numFmtId="3" fontId="3" fillId="0" borderId="54" xfId="93" applyNumberFormat="1" applyFont="1" applyFill="1" applyBorder="1">
      <alignment/>
      <protection/>
    </xf>
    <xf numFmtId="3" fontId="4" fillId="0" borderId="0" xfId="93" applyNumberFormat="1" applyFont="1" applyFill="1" applyBorder="1">
      <alignment/>
      <protection/>
    </xf>
    <xf numFmtId="3" fontId="4" fillId="0" borderId="28" xfId="93" applyNumberFormat="1" applyFont="1" applyFill="1" applyBorder="1">
      <alignment/>
      <protection/>
    </xf>
    <xf numFmtId="0" fontId="8" fillId="0" borderId="52" xfId="93" applyFont="1" applyFill="1" applyBorder="1" applyAlignment="1">
      <alignment wrapText="1"/>
      <protection/>
    </xf>
    <xf numFmtId="0" fontId="32" fillId="0" borderId="52" xfId="93" applyFont="1" applyFill="1" applyBorder="1" applyAlignment="1">
      <alignment wrapText="1"/>
      <protection/>
    </xf>
    <xf numFmtId="0" fontId="32" fillId="0" borderId="28" xfId="93" applyFont="1" applyFill="1" applyBorder="1" applyAlignment="1">
      <alignment wrapText="1"/>
      <protection/>
    </xf>
    <xf numFmtId="3" fontId="3" fillId="0" borderId="1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 horizontal="right"/>
    </xf>
    <xf numFmtId="3" fontId="3" fillId="25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4" fillId="21" borderId="32" xfId="0" applyNumberFormat="1" applyFont="1" applyFill="1" applyBorder="1" applyAlignment="1">
      <alignment horizontal="right"/>
    </xf>
    <xf numFmtId="3" fontId="4" fillId="21" borderId="46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 horizontal="right"/>
    </xf>
    <xf numFmtId="3" fontId="3" fillId="25" borderId="2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1" fillId="0" borderId="55" xfId="0" applyNumberFormat="1" applyFont="1" applyFill="1" applyBorder="1" applyAlignment="1">
      <alignment horizontal="center"/>
    </xf>
    <xf numFmtId="3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0" borderId="59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3" fillId="20" borderId="11" xfId="0" applyNumberFormat="1" applyFont="1" applyFill="1" applyBorder="1" applyAlignment="1">
      <alignment horizontal="right"/>
    </xf>
    <xf numFmtId="3" fontId="3" fillId="2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/>
    </xf>
    <xf numFmtId="3" fontId="3" fillId="20" borderId="26" xfId="0" applyNumberFormat="1" applyFont="1" applyFill="1" applyBorder="1" applyAlignment="1">
      <alignment horizontal="right"/>
    </xf>
    <xf numFmtId="3" fontId="3" fillId="20" borderId="25" xfId="0" applyNumberFormat="1" applyFont="1" applyFill="1" applyBorder="1" applyAlignment="1">
      <alignment horizontal="right"/>
    </xf>
    <xf numFmtId="3" fontId="3" fillId="20" borderId="24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65" fontId="3" fillId="0" borderId="11" xfId="68" applyNumberFormat="1" applyFont="1" applyFill="1" applyBorder="1" applyAlignment="1">
      <alignment horizontal="center" wrapText="1"/>
    </xf>
    <xf numFmtId="165" fontId="3" fillId="0" borderId="12" xfId="68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 wrapText="1"/>
    </xf>
    <xf numFmtId="165" fontId="3" fillId="0" borderId="24" xfId="68" applyNumberFormat="1" applyFont="1" applyFill="1" applyBorder="1" applyAlignment="1">
      <alignment horizontal="center" wrapText="1"/>
    </xf>
    <xf numFmtId="165" fontId="3" fillId="0" borderId="25" xfId="68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0" fillId="0" borderId="24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 wrapText="1"/>
    </xf>
    <xf numFmtId="0" fontId="4" fillId="24" borderId="23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3" fontId="3" fillId="24" borderId="24" xfId="0" applyNumberFormat="1" applyFont="1" applyFill="1" applyBorder="1" applyAlignment="1">
      <alignment horizontal="right"/>
    </xf>
    <xf numFmtId="3" fontId="3" fillId="24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 wrapText="1"/>
    </xf>
    <xf numFmtId="0" fontId="4" fillId="25" borderId="18" xfId="0" applyFont="1" applyFill="1" applyBorder="1" applyAlignment="1">
      <alignment horizontal="center" wrapText="1"/>
    </xf>
    <xf numFmtId="0" fontId="4" fillId="20" borderId="19" xfId="0" applyFont="1" applyFill="1" applyBorder="1" applyAlignment="1">
      <alignment horizontal="center" wrapText="1"/>
    </xf>
    <xf numFmtId="0" fontId="4" fillId="20" borderId="2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 indent="4"/>
    </xf>
    <xf numFmtId="0" fontId="3" fillId="0" borderId="24" xfId="0" applyFont="1" applyFill="1" applyBorder="1" applyAlignment="1">
      <alignment horizontal="left" wrapText="1" indent="4"/>
    </xf>
    <xf numFmtId="3" fontId="4" fillId="0" borderId="27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 indent="4"/>
    </xf>
    <xf numFmtId="3" fontId="3" fillId="0" borderId="24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168" fontId="3" fillId="0" borderId="24" xfId="68" applyNumberFormat="1" applyFont="1" applyFill="1" applyBorder="1" applyAlignment="1">
      <alignment horizontal="right" wrapText="1"/>
    </xf>
    <xf numFmtId="168" fontId="3" fillId="0" borderId="25" xfId="6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4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 indent="4" shrinkToFit="1"/>
    </xf>
    <xf numFmtId="0" fontId="3" fillId="0" borderId="24" xfId="0" applyFont="1" applyFill="1" applyBorder="1" applyAlignment="1">
      <alignment horizontal="left" wrapText="1" indent="4" shrinkToFit="1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2" fillId="0" borderId="0" xfId="96" applyFont="1" applyFill="1" applyAlignment="1">
      <alignment horizontal="left"/>
      <protection/>
    </xf>
    <xf numFmtId="0" fontId="11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3" fillId="25" borderId="14" xfId="95" applyFont="1" applyFill="1" applyBorder="1" applyAlignment="1">
      <alignment horizontal="left"/>
      <protection/>
    </xf>
    <xf numFmtId="0" fontId="13" fillId="25" borderId="0" xfId="95" applyFont="1" applyFill="1" applyBorder="1" applyAlignment="1">
      <alignment horizontal="left"/>
      <protection/>
    </xf>
    <xf numFmtId="0" fontId="13" fillId="0" borderId="0" xfId="95" applyFont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 wrapText="1"/>
    </xf>
    <xf numFmtId="3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4" fillId="0" borderId="0" xfId="93" applyFont="1" applyFill="1" applyAlignment="1">
      <alignment horizontal="center"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 2 2" xfId="92"/>
    <cellStyle name="Normál 2_mellékletek 2013. III. névi rendelethez Kőszeg" xfId="93"/>
    <cellStyle name="Normál 3" xfId="94"/>
    <cellStyle name="Normál_2012.Év-Önkormányzati finanszírozás 3.sz.mell.II." xfId="95"/>
    <cellStyle name="Normál_2013. költségvetés mell Bozsok" xfId="96"/>
    <cellStyle name="Normal_KTRSZJ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0"/>
  <sheetViews>
    <sheetView zoomScaleSheetLayoutView="100" zoomScalePageLayoutView="0" workbookViewId="0" topLeftCell="A1">
      <pane xSplit="1" ySplit="6" topLeftCell="O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0.75390625" style="2" customWidth="1"/>
    <col min="2" max="2" width="10.875" style="2" customWidth="1"/>
    <col min="3" max="3" width="2.625" style="2" bestFit="1" customWidth="1"/>
    <col min="4" max="4" width="10.25390625" style="2" customWidth="1"/>
    <col min="5" max="5" width="2.875" style="2" customWidth="1"/>
    <col min="6" max="6" width="10.00390625" style="2" customWidth="1"/>
    <col min="7" max="7" width="2.875" style="2" customWidth="1"/>
    <col min="8" max="8" width="9.75390625" style="2" customWidth="1"/>
    <col min="9" max="9" width="2.25390625" style="2" customWidth="1"/>
    <col min="10" max="10" width="10.625" style="2" customWidth="1"/>
    <col min="11" max="11" width="1.875" style="2" customWidth="1"/>
    <col min="12" max="12" width="8.375" style="99" customWidth="1"/>
    <col min="13" max="13" width="2.75390625" style="2" customWidth="1"/>
    <col min="14" max="14" width="8.25390625" style="2" customWidth="1"/>
    <col min="15" max="15" width="2.625" style="2" bestFit="1" customWidth="1"/>
    <col min="16" max="16" width="8.625" style="2" customWidth="1"/>
    <col min="17" max="17" width="2.625" style="2" customWidth="1"/>
    <col min="18" max="18" width="7.375" style="2" customWidth="1"/>
    <col min="19" max="19" width="2.625" style="2" customWidth="1"/>
    <col min="20" max="20" width="7.00390625" style="2" customWidth="1"/>
    <col min="21" max="21" width="2.625" style="2" customWidth="1"/>
    <col min="22" max="22" width="7.25390625" style="2" customWidth="1"/>
    <col min="23" max="23" width="2.875" style="2" customWidth="1"/>
    <col min="24" max="24" width="8.25390625" style="2" customWidth="1"/>
    <col min="25" max="25" width="2.625" style="2" customWidth="1"/>
    <col min="26" max="26" width="8.25390625" style="2" customWidth="1"/>
    <col min="27" max="27" width="2.625" style="2" customWidth="1"/>
    <col min="28" max="28" width="8.25390625" style="2" customWidth="1"/>
    <col min="29" max="29" width="2.625" style="2" customWidth="1"/>
    <col min="30" max="30" width="7.375" style="2" customWidth="1"/>
    <col min="31" max="31" width="2.625" style="2" customWidth="1"/>
    <col min="32" max="32" width="8.00390625" style="2" customWidth="1"/>
    <col min="33" max="33" width="3.125" style="2" customWidth="1"/>
    <col min="34" max="34" width="15.00390625" style="5" bestFit="1" customWidth="1"/>
    <col min="35" max="35" width="4.00390625" style="5" customWidth="1"/>
    <col min="36" max="36" width="14.875" style="2" hidden="1" customWidth="1"/>
    <col min="37" max="37" width="0" style="2" hidden="1" customWidth="1"/>
    <col min="38" max="38" width="14.875" style="2" hidden="1" customWidth="1"/>
    <col min="39" max="39" width="10.875" style="2" bestFit="1" customWidth="1"/>
    <col min="40" max="16384" width="9.125" style="2" customWidth="1"/>
  </cols>
  <sheetData>
    <row r="1" spans="1:36" ht="15.75">
      <c r="A1" s="17" t="s">
        <v>446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8"/>
      <c r="M1" s="17"/>
      <c r="N1" s="543" t="s">
        <v>29</v>
      </c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17"/>
      <c r="AI1" s="17"/>
      <c r="AJ1" s="17"/>
    </row>
    <row r="2" spans="14:36" ht="15.75">
      <c r="N2" s="543" t="s">
        <v>281</v>
      </c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17"/>
      <c r="AI2" s="17"/>
      <c r="AJ2" s="17"/>
    </row>
    <row r="3" spans="1:34" ht="8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9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s="1" customFormat="1" ht="66.75" customHeight="1" thickBot="1">
      <c r="A4" s="100" t="s">
        <v>0</v>
      </c>
      <c r="B4" s="535" t="s">
        <v>10</v>
      </c>
      <c r="C4" s="536"/>
      <c r="D4" s="535" t="s">
        <v>30</v>
      </c>
      <c r="E4" s="537"/>
      <c r="F4" s="535" t="s">
        <v>23</v>
      </c>
      <c r="G4" s="536"/>
      <c r="H4" s="535" t="s">
        <v>31</v>
      </c>
      <c r="I4" s="536"/>
      <c r="J4" s="535" t="s">
        <v>32</v>
      </c>
      <c r="K4" s="536"/>
      <c r="L4" s="535" t="s">
        <v>39</v>
      </c>
      <c r="M4" s="536"/>
      <c r="N4" s="533" t="s">
        <v>21</v>
      </c>
      <c r="O4" s="534"/>
      <c r="P4" s="533" t="s">
        <v>27</v>
      </c>
      <c r="Q4" s="534"/>
      <c r="R4" s="533" t="s">
        <v>33</v>
      </c>
      <c r="S4" s="534"/>
      <c r="T4" s="533" t="s">
        <v>34</v>
      </c>
      <c r="U4" s="534"/>
      <c r="V4" s="533" t="s">
        <v>35</v>
      </c>
      <c r="W4" s="534"/>
      <c r="X4" s="546" t="s">
        <v>36</v>
      </c>
      <c r="Y4" s="547"/>
      <c r="Z4" s="533" t="s">
        <v>22</v>
      </c>
      <c r="AA4" s="534"/>
      <c r="AB4" s="533" t="s">
        <v>28</v>
      </c>
      <c r="AC4" s="534"/>
      <c r="AD4" s="533" t="s">
        <v>37</v>
      </c>
      <c r="AE4" s="534"/>
      <c r="AF4" s="548" t="s">
        <v>38</v>
      </c>
      <c r="AG4" s="549"/>
      <c r="AH4" s="544" t="s">
        <v>280</v>
      </c>
      <c r="AI4" s="545"/>
    </row>
    <row r="5" spans="1:35" s="1" customFormat="1" ht="20.25" customHeight="1" thickBot="1">
      <c r="A5" s="101" t="s">
        <v>40</v>
      </c>
      <c r="B5" s="259"/>
      <c r="C5" s="259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1"/>
      <c r="Y5" s="261"/>
      <c r="Z5" s="260"/>
      <c r="AA5" s="260"/>
      <c r="AB5" s="260"/>
      <c r="AC5" s="260"/>
      <c r="AD5" s="260"/>
      <c r="AE5" s="260"/>
      <c r="AF5" s="262"/>
      <c r="AG5" s="262"/>
      <c r="AH5" s="500"/>
      <c r="AI5" s="501"/>
    </row>
    <row r="6" spans="1:35" s="1" customFormat="1" ht="20.25" customHeight="1" thickBot="1">
      <c r="A6" s="101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103"/>
      <c r="Z6" s="102"/>
      <c r="AA6" s="102"/>
      <c r="AB6" s="102"/>
      <c r="AC6" s="102"/>
      <c r="AD6" s="102"/>
      <c r="AE6" s="102"/>
      <c r="AF6" s="104"/>
      <c r="AG6" s="104"/>
      <c r="AH6" s="500"/>
      <c r="AI6" s="501"/>
    </row>
    <row r="7" spans="1:35" s="1" customFormat="1" ht="12.75">
      <c r="A7" s="105" t="s">
        <v>25</v>
      </c>
      <c r="B7" s="106"/>
      <c r="C7" s="107"/>
      <c r="D7" s="263">
        <v>35.08</v>
      </c>
      <c r="E7" s="264" t="s">
        <v>4</v>
      </c>
      <c r="F7" s="108"/>
      <c r="G7" s="109"/>
      <c r="H7" s="108"/>
      <c r="I7" s="109"/>
      <c r="J7" s="108"/>
      <c r="K7" s="109"/>
      <c r="L7" s="110"/>
      <c r="M7" s="109"/>
      <c r="N7" s="111"/>
      <c r="O7" s="112"/>
      <c r="P7" s="111"/>
      <c r="Q7" s="112"/>
      <c r="R7" s="111"/>
      <c r="S7" s="112"/>
      <c r="T7" s="111"/>
      <c r="U7" s="112"/>
      <c r="V7" s="111"/>
      <c r="W7" s="112"/>
      <c r="X7" s="113"/>
      <c r="Y7" s="114"/>
      <c r="Z7" s="111"/>
      <c r="AA7" s="112"/>
      <c r="AB7" s="111"/>
      <c r="AC7" s="112"/>
      <c r="AD7" s="111"/>
      <c r="AE7" s="112"/>
      <c r="AF7" s="115"/>
      <c r="AG7" s="116"/>
      <c r="AH7" s="117"/>
      <c r="AI7" s="118"/>
    </row>
    <row r="8" spans="1:35" s="1" customFormat="1" ht="15" customHeight="1">
      <c r="A8" s="119" t="s">
        <v>41</v>
      </c>
      <c r="B8" s="120"/>
      <c r="C8" s="121"/>
      <c r="D8" s="538">
        <f>ROUND(D7*4580000,0)</f>
        <v>160666400</v>
      </c>
      <c r="E8" s="539"/>
      <c r="F8" s="122"/>
      <c r="G8" s="123"/>
      <c r="H8" s="122"/>
      <c r="I8" s="123"/>
      <c r="J8" s="122"/>
      <c r="K8" s="123"/>
      <c r="L8" s="124"/>
      <c r="M8" s="123"/>
      <c r="N8" s="531"/>
      <c r="O8" s="532"/>
      <c r="P8" s="531"/>
      <c r="Q8" s="532"/>
      <c r="R8" s="531"/>
      <c r="S8" s="532"/>
      <c r="T8" s="531"/>
      <c r="U8" s="532"/>
      <c r="V8" s="531"/>
      <c r="W8" s="532"/>
      <c r="X8" s="127"/>
      <c r="Y8" s="128"/>
      <c r="Z8" s="125"/>
      <c r="AA8" s="126"/>
      <c r="AB8" s="125"/>
      <c r="AC8" s="126"/>
      <c r="AD8" s="125"/>
      <c r="AE8" s="126"/>
      <c r="AF8" s="129"/>
      <c r="AG8" s="130"/>
      <c r="AH8" s="265">
        <f>B8+D8+F8+H8+J8+X8+AF8+L8</f>
        <v>160666400</v>
      </c>
      <c r="AI8" s="266"/>
    </row>
    <row r="9" spans="1:35" s="1" customFormat="1" ht="25.5">
      <c r="A9" s="131" t="s">
        <v>292</v>
      </c>
      <c r="B9" s="552">
        <f>B11+B13+B15+B17</f>
        <v>73192055</v>
      </c>
      <c r="C9" s="553"/>
      <c r="D9" s="132"/>
      <c r="E9" s="133"/>
      <c r="F9" s="132"/>
      <c r="G9" s="134"/>
      <c r="H9" s="132"/>
      <c r="I9" s="134"/>
      <c r="J9" s="132"/>
      <c r="K9" s="134"/>
      <c r="L9" s="135"/>
      <c r="M9" s="134"/>
      <c r="N9" s="136"/>
      <c r="O9" s="137"/>
      <c r="P9" s="136"/>
      <c r="Q9" s="137"/>
      <c r="R9" s="136"/>
      <c r="S9" s="137"/>
      <c r="T9" s="136"/>
      <c r="U9" s="137"/>
      <c r="V9" s="136"/>
      <c r="W9" s="137"/>
      <c r="X9" s="138"/>
      <c r="Y9" s="139"/>
      <c r="Z9" s="136"/>
      <c r="AA9" s="137"/>
      <c r="AB9" s="136"/>
      <c r="AC9" s="137"/>
      <c r="AD9" s="136"/>
      <c r="AE9" s="137"/>
      <c r="AF9" s="140"/>
      <c r="AG9" s="141"/>
      <c r="AH9" s="267">
        <f>B9+D9+F9+H9+J9+X9+AF9+L9</f>
        <v>73192055</v>
      </c>
      <c r="AI9" s="268"/>
    </row>
    <row r="10" spans="1:35" s="1" customFormat="1" ht="25.5" customHeight="1">
      <c r="A10" s="554" t="s">
        <v>291</v>
      </c>
      <c r="B10" s="269"/>
      <c r="C10" s="270"/>
      <c r="D10" s="108"/>
      <c r="E10" s="18"/>
      <c r="F10" s="108"/>
      <c r="G10" s="109"/>
      <c r="H10" s="108"/>
      <c r="I10" s="109"/>
      <c r="J10" s="108"/>
      <c r="K10" s="109"/>
      <c r="L10" s="110"/>
      <c r="M10" s="109"/>
      <c r="N10" s="111"/>
      <c r="O10" s="112"/>
      <c r="P10" s="111"/>
      <c r="Q10" s="112"/>
      <c r="R10" s="111"/>
      <c r="S10" s="112"/>
      <c r="T10" s="111"/>
      <c r="U10" s="112"/>
      <c r="V10" s="111"/>
      <c r="W10" s="112"/>
      <c r="X10" s="113"/>
      <c r="Y10" s="114"/>
      <c r="Z10" s="111"/>
      <c r="AA10" s="112"/>
      <c r="AB10" s="111"/>
      <c r="AC10" s="112"/>
      <c r="AD10" s="111"/>
      <c r="AE10" s="112"/>
      <c r="AF10" s="115"/>
      <c r="AG10" s="116"/>
      <c r="AH10" s="271"/>
      <c r="AI10" s="118"/>
    </row>
    <row r="11" spans="1:35" s="1" customFormat="1" ht="12.75">
      <c r="A11" s="551"/>
      <c r="B11" s="462">
        <f>13540560-10327533</f>
        <v>3213027</v>
      </c>
      <c r="C11" s="464"/>
      <c r="D11" s="541"/>
      <c r="E11" s="561"/>
      <c r="F11" s="541"/>
      <c r="G11" s="542"/>
      <c r="H11" s="541"/>
      <c r="I11" s="542"/>
      <c r="J11" s="541"/>
      <c r="K11" s="542"/>
      <c r="L11" s="541"/>
      <c r="M11" s="542"/>
      <c r="N11" s="531"/>
      <c r="O11" s="532"/>
      <c r="P11" s="531"/>
      <c r="Q11" s="532"/>
      <c r="R11" s="531"/>
      <c r="S11" s="532"/>
      <c r="T11" s="531"/>
      <c r="U11" s="532"/>
      <c r="V11" s="531"/>
      <c r="W11" s="532"/>
      <c r="X11" s="127"/>
      <c r="Y11" s="128"/>
      <c r="Z11" s="125"/>
      <c r="AA11" s="126"/>
      <c r="AB11" s="125"/>
      <c r="AC11" s="126"/>
      <c r="AD11" s="125"/>
      <c r="AE11" s="126"/>
      <c r="AF11" s="129"/>
      <c r="AG11" s="130"/>
      <c r="AH11" s="272">
        <f>B11+D11+F11+H11+J11+X11+AF11+L11</f>
        <v>3213027</v>
      </c>
      <c r="AI11" s="273"/>
    </row>
    <row r="12" spans="1:35" s="1" customFormat="1" ht="12.75">
      <c r="A12" s="550" t="s">
        <v>74</v>
      </c>
      <c r="B12" s="274"/>
      <c r="C12" s="275"/>
      <c r="D12" s="132"/>
      <c r="E12" s="133"/>
      <c r="F12" s="132"/>
      <c r="G12" s="134"/>
      <c r="H12" s="132"/>
      <c r="I12" s="134"/>
      <c r="J12" s="132"/>
      <c r="K12" s="134"/>
      <c r="L12" s="135"/>
      <c r="M12" s="134"/>
      <c r="N12" s="136"/>
      <c r="O12" s="137"/>
      <c r="P12" s="136"/>
      <c r="Q12" s="137"/>
      <c r="R12" s="136"/>
      <c r="S12" s="137"/>
      <c r="T12" s="136"/>
      <c r="U12" s="137"/>
      <c r="V12" s="136"/>
      <c r="W12" s="137"/>
      <c r="X12" s="138"/>
      <c r="Y12" s="139"/>
      <c r="Z12" s="136"/>
      <c r="AA12" s="137"/>
      <c r="AB12" s="136"/>
      <c r="AC12" s="137"/>
      <c r="AD12" s="136"/>
      <c r="AE12" s="137"/>
      <c r="AF12" s="140"/>
      <c r="AG12" s="141"/>
      <c r="AH12" s="276"/>
      <c r="AI12" s="277"/>
    </row>
    <row r="13" spans="1:35" s="1" customFormat="1" ht="12.75">
      <c r="A13" s="551"/>
      <c r="B13" s="456">
        <v>45640000</v>
      </c>
      <c r="C13" s="457"/>
      <c r="D13" s="122"/>
      <c r="E13" s="142"/>
      <c r="F13" s="122"/>
      <c r="G13" s="123"/>
      <c r="H13" s="122"/>
      <c r="I13" s="123"/>
      <c r="J13" s="122"/>
      <c r="K13" s="123"/>
      <c r="L13" s="124"/>
      <c r="M13" s="123"/>
      <c r="N13" s="531"/>
      <c r="O13" s="532"/>
      <c r="P13" s="531"/>
      <c r="Q13" s="532"/>
      <c r="R13" s="531"/>
      <c r="S13" s="532"/>
      <c r="T13" s="531"/>
      <c r="U13" s="532"/>
      <c r="V13" s="531"/>
      <c r="W13" s="532"/>
      <c r="X13" s="127"/>
      <c r="Y13" s="128"/>
      <c r="Z13" s="125"/>
      <c r="AA13" s="126"/>
      <c r="AB13" s="125"/>
      <c r="AC13" s="126"/>
      <c r="AD13" s="125"/>
      <c r="AE13" s="126"/>
      <c r="AF13" s="129"/>
      <c r="AG13" s="130"/>
      <c r="AH13" s="272">
        <f>B13+D13+F13+H13+J13+X13+AF13+L13</f>
        <v>45640000</v>
      </c>
      <c r="AI13" s="273"/>
    </row>
    <row r="14" spans="1:35" s="1" customFormat="1" ht="12.75">
      <c r="A14" s="550" t="s">
        <v>75</v>
      </c>
      <c r="B14" s="274"/>
      <c r="C14" s="275"/>
      <c r="D14" s="132"/>
      <c r="E14" s="133"/>
      <c r="F14" s="132"/>
      <c r="G14" s="134"/>
      <c r="H14" s="132"/>
      <c r="I14" s="134"/>
      <c r="J14" s="132"/>
      <c r="K14" s="134"/>
      <c r="L14" s="135"/>
      <c r="M14" s="134"/>
      <c r="N14" s="136"/>
      <c r="O14" s="137"/>
      <c r="P14" s="136"/>
      <c r="Q14" s="137"/>
      <c r="R14" s="136"/>
      <c r="S14" s="137"/>
      <c r="T14" s="136"/>
      <c r="U14" s="137"/>
      <c r="V14" s="136"/>
      <c r="W14" s="137"/>
      <c r="X14" s="138"/>
      <c r="Y14" s="139"/>
      <c r="Z14" s="136"/>
      <c r="AA14" s="137"/>
      <c r="AB14" s="136"/>
      <c r="AC14" s="137"/>
      <c r="AD14" s="136"/>
      <c r="AE14" s="137"/>
      <c r="AF14" s="140"/>
      <c r="AG14" s="141"/>
      <c r="AH14" s="276"/>
      <c r="AI14" s="277"/>
    </row>
    <row r="15" spans="1:35" s="1" customFormat="1" ht="12.75">
      <c r="A15" s="551"/>
      <c r="B15" s="456">
        <v>3588728</v>
      </c>
      <c r="C15" s="457"/>
      <c r="D15" s="122"/>
      <c r="E15" s="142"/>
      <c r="F15" s="122"/>
      <c r="G15" s="123"/>
      <c r="H15" s="122"/>
      <c r="I15" s="123"/>
      <c r="J15" s="122"/>
      <c r="K15" s="123"/>
      <c r="L15" s="124"/>
      <c r="M15" s="123"/>
      <c r="N15" s="531"/>
      <c r="O15" s="532"/>
      <c r="P15" s="531"/>
      <c r="Q15" s="532"/>
      <c r="R15" s="531"/>
      <c r="S15" s="532"/>
      <c r="T15" s="531"/>
      <c r="U15" s="532"/>
      <c r="V15" s="531"/>
      <c r="W15" s="532"/>
      <c r="X15" s="127"/>
      <c r="Y15" s="128"/>
      <c r="Z15" s="125"/>
      <c r="AA15" s="126"/>
      <c r="AB15" s="125"/>
      <c r="AC15" s="126"/>
      <c r="AD15" s="125"/>
      <c r="AE15" s="126"/>
      <c r="AF15" s="129"/>
      <c r="AG15" s="130"/>
      <c r="AH15" s="272">
        <f>B15+D15+F15+H15+J15+X15+AF15+L15</f>
        <v>3588728</v>
      </c>
      <c r="AI15" s="273"/>
    </row>
    <row r="16" spans="1:35" s="1" customFormat="1" ht="12.75" customHeight="1">
      <c r="A16" s="562" t="s">
        <v>76</v>
      </c>
      <c r="B16" s="274"/>
      <c r="C16" s="275"/>
      <c r="D16" s="132"/>
      <c r="E16" s="133"/>
      <c r="F16" s="132"/>
      <c r="G16" s="134"/>
      <c r="H16" s="132"/>
      <c r="I16" s="134"/>
      <c r="J16" s="132"/>
      <c r="K16" s="134"/>
      <c r="L16" s="135"/>
      <c r="M16" s="134"/>
      <c r="N16" s="136"/>
      <c r="O16" s="137"/>
      <c r="P16" s="136"/>
      <c r="Q16" s="137"/>
      <c r="R16" s="136"/>
      <c r="S16" s="137"/>
      <c r="T16" s="136"/>
      <c r="U16" s="137"/>
      <c r="V16" s="136"/>
      <c r="W16" s="137"/>
      <c r="X16" s="138"/>
      <c r="Y16" s="139"/>
      <c r="Z16" s="136"/>
      <c r="AA16" s="137"/>
      <c r="AB16" s="136"/>
      <c r="AC16" s="137"/>
      <c r="AD16" s="136"/>
      <c r="AE16" s="137"/>
      <c r="AF16" s="140"/>
      <c r="AG16" s="141"/>
      <c r="AH16" s="276"/>
      <c r="AI16" s="277"/>
    </row>
    <row r="17" spans="1:35" s="1" customFormat="1" ht="12.75">
      <c r="A17" s="563"/>
      <c r="B17" s="456">
        <v>20750300</v>
      </c>
      <c r="C17" s="457"/>
      <c r="D17" s="122"/>
      <c r="E17" s="142"/>
      <c r="F17" s="122"/>
      <c r="G17" s="123"/>
      <c r="H17" s="122"/>
      <c r="I17" s="123"/>
      <c r="J17" s="122"/>
      <c r="K17" s="123"/>
      <c r="L17" s="124"/>
      <c r="M17" s="123"/>
      <c r="N17" s="531"/>
      <c r="O17" s="532"/>
      <c r="P17" s="531"/>
      <c r="Q17" s="532"/>
      <c r="R17" s="531"/>
      <c r="S17" s="532"/>
      <c r="T17" s="531"/>
      <c r="U17" s="532"/>
      <c r="V17" s="531"/>
      <c r="W17" s="532"/>
      <c r="X17" s="127"/>
      <c r="Y17" s="128"/>
      <c r="Z17" s="125"/>
      <c r="AA17" s="126"/>
      <c r="AB17" s="125"/>
      <c r="AC17" s="126"/>
      <c r="AD17" s="125"/>
      <c r="AE17" s="126"/>
      <c r="AF17" s="129"/>
      <c r="AG17" s="130"/>
      <c r="AH17" s="272">
        <f>B17+D17+F17+H17+J17+X17+AF17+L17</f>
        <v>20750300</v>
      </c>
      <c r="AI17" s="273"/>
    </row>
    <row r="18" spans="1:35" s="1" customFormat="1" ht="12.75">
      <c r="A18" s="143" t="s">
        <v>77</v>
      </c>
      <c r="B18" s="149">
        <v>11429</v>
      </c>
      <c r="C18" s="278" t="s">
        <v>4</v>
      </c>
      <c r="D18" s="132"/>
      <c r="E18" s="133"/>
      <c r="F18" s="132"/>
      <c r="G18" s="134"/>
      <c r="H18" s="132"/>
      <c r="I18" s="134"/>
      <c r="J18" s="132"/>
      <c r="K18" s="134"/>
      <c r="L18" s="135"/>
      <c r="M18" s="134"/>
      <c r="N18" s="136"/>
      <c r="O18" s="137"/>
      <c r="P18" s="136"/>
      <c r="Q18" s="137"/>
      <c r="R18" s="136"/>
      <c r="S18" s="137"/>
      <c r="T18" s="136"/>
      <c r="U18" s="137"/>
      <c r="V18" s="136"/>
      <c r="W18" s="137"/>
      <c r="X18" s="138"/>
      <c r="Y18" s="139"/>
      <c r="Z18" s="136"/>
      <c r="AA18" s="137"/>
      <c r="AB18" s="136"/>
      <c r="AC18" s="137"/>
      <c r="AD18" s="136"/>
      <c r="AE18" s="137"/>
      <c r="AF18" s="140"/>
      <c r="AG18" s="141"/>
      <c r="AH18" s="271"/>
      <c r="AI18" s="268"/>
    </row>
    <row r="19" spans="1:35" s="1" customFormat="1" ht="26.25" customHeight="1" thickBot="1">
      <c r="A19" s="144" t="s">
        <v>282</v>
      </c>
      <c r="B19" s="555">
        <f>B18*2700-30858300</f>
        <v>0</v>
      </c>
      <c r="C19" s="556"/>
      <c r="D19" s="122"/>
      <c r="E19" s="142"/>
      <c r="F19" s="122"/>
      <c r="G19" s="123"/>
      <c r="H19" s="122"/>
      <c r="I19" s="123"/>
      <c r="J19" s="122"/>
      <c r="K19" s="123"/>
      <c r="L19" s="124"/>
      <c r="M19" s="123"/>
      <c r="N19" s="531"/>
      <c r="O19" s="532"/>
      <c r="P19" s="531"/>
      <c r="Q19" s="532"/>
      <c r="R19" s="531"/>
      <c r="S19" s="532"/>
      <c r="T19" s="531"/>
      <c r="U19" s="532"/>
      <c r="V19" s="531"/>
      <c r="W19" s="532"/>
      <c r="X19" s="127"/>
      <c r="Y19" s="128"/>
      <c r="Z19" s="125"/>
      <c r="AA19" s="126"/>
      <c r="AB19" s="125"/>
      <c r="AC19" s="126"/>
      <c r="AD19" s="125"/>
      <c r="AE19" s="126"/>
      <c r="AF19" s="129"/>
      <c r="AG19" s="130"/>
      <c r="AH19" s="265">
        <f>B19+D19+F19+H19+J19+X19+AF19+L19</f>
        <v>0</v>
      </c>
      <c r="AI19" s="266"/>
    </row>
    <row r="20" spans="1:35" ht="16.5" customHeight="1">
      <c r="A20" s="131" t="s">
        <v>78</v>
      </c>
      <c r="B20" s="149">
        <v>126</v>
      </c>
      <c r="C20" s="278" t="s">
        <v>4</v>
      </c>
      <c r="D20" s="145"/>
      <c r="E20" s="146"/>
      <c r="F20" s="145"/>
      <c r="G20" s="147"/>
      <c r="H20" s="145"/>
      <c r="I20" s="147"/>
      <c r="J20" s="145"/>
      <c r="K20" s="147"/>
      <c r="L20" s="148"/>
      <c r="M20" s="147"/>
      <c r="N20" s="149"/>
      <c r="O20" s="150"/>
      <c r="P20" s="149"/>
      <c r="Q20" s="150"/>
      <c r="R20" s="149"/>
      <c r="S20" s="150"/>
      <c r="T20" s="149"/>
      <c r="U20" s="150"/>
      <c r="V20" s="151"/>
      <c r="W20" s="152"/>
      <c r="X20" s="153"/>
      <c r="Y20" s="154"/>
      <c r="Z20" s="151"/>
      <c r="AA20" s="152"/>
      <c r="AB20" s="151"/>
      <c r="AC20" s="152"/>
      <c r="AD20" s="151"/>
      <c r="AE20" s="152"/>
      <c r="AF20" s="155"/>
      <c r="AG20" s="156"/>
      <c r="AH20" s="279"/>
      <c r="AI20" s="280"/>
    </row>
    <row r="21" spans="1:35" ht="16.5" customHeight="1" thickBot="1">
      <c r="A21" s="157" t="s">
        <v>283</v>
      </c>
      <c r="B21" s="557">
        <f>B20*2550-321300</f>
        <v>0</v>
      </c>
      <c r="C21" s="558"/>
      <c r="D21" s="158"/>
      <c r="E21" s="159"/>
      <c r="F21" s="158"/>
      <c r="G21" s="160"/>
      <c r="H21" s="158"/>
      <c r="I21" s="160"/>
      <c r="J21" s="158"/>
      <c r="K21" s="160"/>
      <c r="L21" s="161"/>
      <c r="M21" s="160"/>
      <c r="N21" s="531"/>
      <c r="O21" s="532"/>
      <c r="P21" s="531"/>
      <c r="Q21" s="532"/>
      <c r="R21" s="531"/>
      <c r="S21" s="532"/>
      <c r="T21" s="531"/>
      <c r="U21" s="532"/>
      <c r="V21" s="531"/>
      <c r="W21" s="532"/>
      <c r="X21" s="474"/>
      <c r="Y21" s="475"/>
      <c r="Z21" s="462"/>
      <c r="AA21" s="464"/>
      <c r="AB21" s="462"/>
      <c r="AC21" s="464"/>
      <c r="AD21" s="462"/>
      <c r="AE21" s="464"/>
      <c r="AF21" s="505"/>
      <c r="AG21" s="504"/>
      <c r="AH21" s="265">
        <f>B21+D21+F21+H21+J21+X21+AF21+L21</f>
        <v>0</v>
      </c>
      <c r="AI21" s="178"/>
    </row>
    <row r="22" spans="1:35" ht="16.5" customHeight="1">
      <c r="A22" s="131" t="s">
        <v>79</v>
      </c>
      <c r="B22" s="281">
        <v>16020640</v>
      </c>
      <c r="C22" s="181" t="s">
        <v>5</v>
      </c>
      <c r="D22" s="145"/>
      <c r="E22" s="146"/>
      <c r="F22" s="145"/>
      <c r="G22" s="147"/>
      <c r="H22" s="145"/>
      <c r="I22" s="147"/>
      <c r="J22" s="145"/>
      <c r="K22" s="147"/>
      <c r="L22" s="148"/>
      <c r="M22" s="147"/>
      <c r="N22" s="564"/>
      <c r="O22" s="565"/>
      <c r="P22" s="564"/>
      <c r="Q22" s="565"/>
      <c r="R22" s="564"/>
      <c r="S22" s="565"/>
      <c r="T22" s="564"/>
      <c r="U22" s="565"/>
      <c r="V22" s="564"/>
      <c r="W22" s="565"/>
      <c r="X22" s="153"/>
      <c r="Y22" s="154"/>
      <c r="Z22" s="151"/>
      <c r="AA22" s="152"/>
      <c r="AB22" s="151"/>
      <c r="AC22" s="152"/>
      <c r="AD22" s="151"/>
      <c r="AE22" s="152"/>
      <c r="AF22" s="155"/>
      <c r="AG22" s="156"/>
      <c r="AH22" s="279"/>
      <c r="AI22" s="280"/>
    </row>
    <row r="23" spans="1:35" ht="16.5" customHeight="1">
      <c r="A23" s="157" t="s">
        <v>124</v>
      </c>
      <c r="B23" s="513">
        <f>B22*1</f>
        <v>16020640</v>
      </c>
      <c r="C23" s="514"/>
      <c r="D23" s="158"/>
      <c r="E23" s="159"/>
      <c r="F23" s="158"/>
      <c r="G23" s="160"/>
      <c r="H23" s="158"/>
      <c r="I23" s="160"/>
      <c r="J23" s="158"/>
      <c r="K23" s="160"/>
      <c r="L23" s="161"/>
      <c r="M23" s="160"/>
      <c r="N23" s="462"/>
      <c r="O23" s="463"/>
      <c r="P23" s="462"/>
      <c r="Q23" s="463"/>
      <c r="R23" s="462"/>
      <c r="S23" s="463"/>
      <c r="T23" s="462"/>
      <c r="U23" s="463"/>
      <c r="V23" s="456"/>
      <c r="W23" s="457"/>
      <c r="X23" s="474"/>
      <c r="Y23" s="475"/>
      <c r="Z23" s="462"/>
      <c r="AA23" s="464"/>
      <c r="AB23" s="462"/>
      <c r="AC23" s="464"/>
      <c r="AD23" s="462"/>
      <c r="AE23" s="464"/>
      <c r="AF23" s="505"/>
      <c r="AG23" s="504"/>
      <c r="AH23" s="265">
        <f>B23+D23+F23+H23+J23+X23+AF23+L23</f>
        <v>16020640</v>
      </c>
      <c r="AI23" s="178"/>
    </row>
    <row r="24" spans="1:36" s="1" customFormat="1" ht="25.5">
      <c r="A24" s="143" t="s">
        <v>284</v>
      </c>
      <c r="B24" s="458">
        <v>0</v>
      </c>
      <c r="C24" s="459"/>
      <c r="D24" s="132"/>
      <c r="E24" s="133"/>
      <c r="F24" s="132"/>
      <c r="G24" s="134"/>
      <c r="H24" s="132"/>
      <c r="I24" s="134"/>
      <c r="J24" s="132"/>
      <c r="K24" s="134"/>
      <c r="L24" s="135"/>
      <c r="M24" s="134"/>
      <c r="N24" s="460"/>
      <c r="O24" s="461"/>
      <c r="P24" s="460"/>
      <c r="Q24" s="461"/>
      <c r="R24" s="460"/>
      <c r="S24" s="461"/>
      <c r="T24" s="460"/>
      <c r="U24" s="461"/>
      <c r="V24" s="460"/>
      <c r="W24" s="461"/>
      <c r="X24" s="367"/>
      <c r="Y24" s="368"/>
      <c r="Z24" s="365"/>
      <c r="AA24" s="366"/>
      <c r="AB24" s="365"/>
      <c r="AC24" s="366"/>
      <c r="AD24" s="365"/>
      <c r="AE24" s="366"/>
      <c r="AF24" s="369"/>
      <c r="AG24" s="370"/>
      <c r="AH24" s="267">
        <f>B24+D24+F24+H24+J24+X24+AF24+L24</f>
        <v>0</v>
      </c>
      <c r="AI24" s="268"/>
      <c r="AJ24" s="23">
        <f>AH7+AH8+AH18+AH20+AH22+AH24</f>
        <v>160666400</v>
      </c>
    </row>
    <row r="25" spans="1:39" s="1" customFormat="1" ht="21" customHeight="1" thickBot="1">
      <c r="A25" s="143" t="s">
        <v>285</v>
      </c>
      <c r="B25" s="458">
        <v>2048700</v>
      </c>
      <c r="C25" s="459"/>
      <c r="D25" s="132"/>
      <c r="E25" s="133"/>
      <c r="F25" s="132"/>
      <c r="G25" s="134"/>
      <c r="H25" s="132"/>
      <c r="I25" s="134"/>
      <c r="J25" s="132"/>
      <c r="K25" s="134"/>
      <c r="L25" s="135"/>
      <c r="M25" s="134"/>
      <c r="N25" s="559"/>
      <c r="O25" s="560"/>
      <c r="P25" s="559"/>
      <c r="Q25" s="560"/>
      <c r="R25" s="559"/>
      <c r="S25" s="560"/>
      <c r="T25" s="559"/>
      <c r="U25" s="560"/>
      <c r="V25" s="559"/>
      <c r="W25" s="560"/>
      <c r="X25" s="113"/>
      <c r="Y25" s="114"/>
      <c r="Z25" s="111"/>
      <c r="AA25" s="112"/>
      <c r="AB25" s="111"/>
      <c r="AC25" s="112"/>
      <c r="AD25" s="111"/>
      <c r="AE25" s="112"/>
      <c r="AF25" s="115"/>
      <c r="AG25" s="116"/>
      <c r="AH25" s="282">
        <f>B25+D25+F25+H25+J25+X25+AF25+L25</f>
        <v>2048700</v>
      </c>
      <c r="AI25" s="268"/>
      <c r="AJ25" s="23">
        <f>AH8+AH9+AH19+AH21+AH23+AH25</f>
        <v>251927795</v>
      </c>
      <c r="AM25" s="373">
        <f>AH8+AH9+AH19+AH21+AH23+AH24+AH25</f>
        <v>251927795</v>
      </c>
    </row>
    <row r="26" spans="1:35" s="1" customFormat="1" ht="20.25" customHeight="1" thickBot="1">
      <c r="A26" s="101" t="s">
        <v>26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3"/>
      <c r="Z26" s="102"/>
      <c r="AA26" s="102"/>
      <c r="AB26" s="102"/>
      <c r="AC26" s="102"/>
      <c r="AD26" s="102"/>
      <c r="AE26" s="102"/>
      <c r="AF26" s="104"/>
      <c r="AG26" s="104"/>
      <c r="AH26" s="500"/>
      <c r="AI26" s="501"/>
    </row>
    <row r="27" spans="1:35" ht="14.25" customHeight="1">
      <c r="A27" s="162" t="s">
        <v>42</v>
      </c>
      <c r="B27" s="162"/>
      <c r="C27" s="163"/>
      <c r="D27" s="162"/>
      <c r="E27" s="19"/>
      <c r="F27" s="162"/>
      <c r="G27" s="163"/>
      <c r="H27" s="162"/>
      <c r="I27" s="163"/>
      <c r="J27" s="162"/>
      <c r="K27" s="163"/>
      <c r="L27" s="164"/>
      <c r="M27" s="163"/>
      <c r="N27" s="166">
        <v>10</v>
      </c>
      <c r="O27" s="167" t="s">
        <v>4</v>
      </c>
      <c r="P27" s="166">
        <v>5.3</v>
      </c>
      <c r="Q27" s="167" t="s">
        <v>4</v>
      </c>
      <c r="R27" s="166">
        <v>2.6</v>
      </c>
      <c r="S27" s="167" t="s">
        <v>4</v>
      </c>
      <c r="T27" s="166">
        <v>1.9</v>
      </c>
      <c r="U27" s="167" t="s">
        <v>4</v>
      </c>
      <c r="V27" s="166"/>
      <c r="W27" s="167"/>
      <c r="X27" s="283">
        <f aca="true" t="shared" si="0" ref="X27:X32">V27+T27+R27+P27+N27</f>
        <v>19.8</v>
      </c>
      <c r="Y27" s="154" t="s">
        <v>4</v>
      </c>
      <c r="Z27" s="166">
        <v>11.3</v>
      </c>
      <c r="AA27" s="167" t="s">
        <v>4</v>
      </c>
      <c r="AB27" s="166">
        <v>2.1</v>
      </c>
      <c r="AC27" s="167" t="s">
        <v>4</v>
      </c>
      <c r="AD27" s="166">
        <v>1.5</v>
      </c>
      <c r="AE27" s="167" t="s">
        <v>4</v>
      </c>
      <c r="AF27" s="284">
        <f aca="true" t="shared" si="1" ref="AF27:AF42">Z27+AB27+AD27</f>
        <v>14.9</v>
      </c>
      <c r="AG27" s="285" t="s">
        <v>4</v>
      </c>
      <c r="AH27" s="286">
        <f aca="true" t="shared" si="2" ref="AH27:AH42">B27+D27+F27+H27+J27+X27+AF27+L27</f>
        <v>34.7</v>
      </c>
      <c r="AI27" s="178" t="s">
        <v>4</v>
      </c>
    </row>
    <row r="28" spans="1:35" ht="14.25" customHeight="1" thickBot="1">
      <c r="A28" s="168" t="s">
        <v>286</v>
      </c>
      <c r="B28" s="528"/>
      <c r="C28" s="529"/>
      <c r="D28" s="528"/>
      <c r="E28" s="530"/>
      <c r="F28" s="528"/>
      <c r="G28" s="529"/>
      <c r="H28" s="528"/>
      <c r="I28" s="529"/>
      <c r="J28" s="528"/>
      <c r="K28" s="529"/>
      <c r="L28" s="528"/>
      <c r="M28" s="529"/>
      <c r="N28" s="462">
        <f>ROUND(N27*4419000*8/12,0)</f>
        <v>29460000</v>
      </c>
      <c r="O28" s="464"/>
      <c r="P28" s="462">
        <f>ROUND(P27*4419000*8/12,0)</f>
        <v>15613800</v>
      </c>
      <c r="Q28" s="464"/>
      <c r="R28" s="462">
        <f>ROUND(R27*4419000*8/12,0)</f>
        <v>7659600</v>
      </c>
      <c r="S28" s="464"/>
      <c r="T28" s="462">
        <f>ROUND(T27*4419000*8/12,0)</f>
        <v>5597400</v>
      </c>
      <c r="U28" s="464"/>
      <c r="V28" s="462"/>
      <c r="W28" s="464"/>
      <c r="X28" s="474">
        <f t="shared" si="0"/>
        <v>58330800</v>
      </c>
      <c r="Y28" s="475"/>
      <c r="Z28" s="462">
        <f>ROUND(Z27*4419000*8/12,0)</f>
        <v>33289800</v>
      </c>
      <c r="AA28" s="464"/>
      <c r="AB28" s="462">
        <f>ROUND(AB27*4419000*8/12,0)</f>
        <v>6186600</v>
      </c>
      <c r="AC28" s="464"/>
      <c r="AD28" s="462">
        <f>ROUND(AD27*4419000*8/12,0)</f>
        <v>4419000</v>
      </c>
      <c r="AE28" s="464"/>
      <c r="AF28" s="505">
        <f t="shared" si="1"/>
        <v>43895400</v>
      </c>
      <c r="AG28" s="504"/>
      <c r="AH28" s="287">
        <f t="shared" si="2"/>
        <v>102226200</v>
      </c>
      <c r="AI28" s="288"/>
    </row>
    <row r="29" spans="1:35" ht="14.25" customHeight="1">
      <c r="A29" s="169" t="s">
        <v>43</v>
      </c>
      <c r="B29" s="162"/>
      <c r="C29" s="163"/>
      <c r="D29" s="162"/>
      <c r="E29" s="19"/>
      <c r="F29" s="162"/>
      <c r="G29" s="163"/>
      <c r="H29" s="162"/>
      <c r="I29" s="163"/>
      <c r="J29" s="162"/>
      <c r="K29" s="163"/>
      <c r="L29" s="164"/>
      <c r="M29" s="163"/>
      <c r="N29" s="289">
        <v>10</v>
      </c>
      <c r="O29" s="150" t="s">
        <v>4</v>
      </c>
      <c r="P29" s="290">
        <v>4.9</v>
      </c>
      <c r="Q29" s="150" t="s">
        <v>4</v>
      </c>
      <c r="R29" s="289">
        <v>2.3</v>
      </c>
      <c r="S29" s="150" t="s">
        <v>4</v>
      </c>
      <c r="T29" s="289">
        <v>1.6</v>
      </c>
      <c r="U29" s="150" t="s">
        <v>4</v>
      </c>
      <c r="V29" s="166"/>
      <c r="W29" s="167"/>
      <c r="X29" s="283">
        <f t="shared" si="0"/>
        <v>18.8</v>
      </c>
      <c r="Y29" s="154" t="s">
        <v>4</v>
      </c>
      <c r="Z29" s="289">
        <v>12.3</v>
      </c>
      <c r="AA29" s="150" t="s">
        <v>4</v>
      </c>
      <c r="AB29" s="289">
        <v>2.1</v>
      </c>
      <c r="AC29" s="150" t="s">
        <v>4</v>
      </c>
      <c r="AD29" s="289">
        <v>1.6</v>
      </c>
      <c r="AE29" s="150" t="s">
        <v>4</v>
      </c>
      <c r="AF29" s="284">
        <f t="shared" si="1"/>
        <v>16</v>
      </c>
      <c r="AG29" s="285" t="s">
        <v>4</v>
      </c>
      <c r="AH29" s="286">
        <f t="shared" si="2"/>
        <v>34.8</v>
      </c>
      <c r="AI29" s="178" t="s">
        <v>4</v>
      </c>
    </row>
    <row r="30" spans="1:35" ht="14.25" customHeight="1" thickBot="1">
      <c r="A30" s="168" t="s">
        <v>289</v>
      </c>
      <c r="B30" s="528"/>
      <c r="C30" s="529"/>
      <c r="D30" s="528"/>
      <c r="E30" s="530"/>
      <c r="F30" s="528"/>
      <c r="G30" s="529"/>
      <c r="H30" s="528"/>
      <c r="I30" s="529"/>
      <c r="J30" s="528"/>
      <c r="K30" s="529"/>
      <c r="L30" s="528"/>
      <c r="M30" s="529"/>
      <c r="N30" s="462">
        <f>ROUND(N29*4419000*4/12,0)</f>
        <v>14730000</v>
      </c>
      <c r="O30" s="464"/>
      <c r="P30" s="462">
        <f>ROUND(P29*4419000*4/12,0)</f>
        <v>7217700</v>
      </c>
      <c r="Q30" s="464"/>
      <c r="R30" s="462">
        <f>ROUND(R29*4419000*4/12,0)</f>
        <v>3387900</v>
      </c>
      <c r="S30" s="464"/>
      <c r="T30" s="462">
        <f>ROUND(T29*4419000*4/12,0)</f>
        <v>2356800</v>
      </c>
      <c r="U30" s="464"/>
      <c r="V30" s="462"/>
      <c r="W30" s="464"/>
      <c r="X30" s="474">
        <f t="shared" si="0"/>
        <v>27692400</v>
      </c>
      <c r="Y30" s="475"/>
      <c r="Z30" s="462">
        <f>ROUND(Z29*4419000*4/12,0)</f>
        <v>18117900</v>
      </c>
      <c r="AA30" s="464"/>
      <c r="AB30" s="462">
        <f>ROUND(AB29*4419000*4/12,0)</f>
        <v>3093300</v>
      </c>
      <c r="AC30" s="464"/>
      <c r="AD30" s="462">
        <f>ROUND(AD29*4419000*4/12,0)</f>
        <v>2356800</v>
      </c>
      <c r="AE30" s="464"/>
      <c r="AF30" s="505">
        <f t="shared" si="1"/>
        <v>23568000</v>
      </c>
      <c r="AG30" s="504"/>
      <c r="AH30" s="287">
        <f t="shared" si="2"/>
        <v>51260400</v>
      </c>
      <c r="AI30" s="288"/>
    </row>
    <row r="31" spans="1:35" ht="14.25" customHeight="1">
      <c r="A31" s="371" t="s">
        <v>125</v>
      </c>
      <c r="B31" s="162"/>
      <c r="C31" s="163"/>
      <c r="D31" s="162"/>
      <c r="E31" s="19"/>
      <c r="F31" s="162"/>
      <c r="G31" s="163"/>
      <c r="H31" s="162"/>
      <c r="I31" s="163"/>
      <c r="J31" s="162"/>
      <c r="K31" s="163"/>
      <c r="L31" s="164"/>
      <c r="M31" s="163"/>
      <c r="N31" s="289"/>
      <c r="O31" s="150" t="s">
        <v>4</v>
      </c>
      <c r="P31" s="291"/>
      <c r="Q31" s="150" t="s">
        <v>4</v>
      </c>
      <c r="R31" s="289"/>
      <c r="S31" s="150" t="s">
        <v>4</v>
      </c>
      <c r="T31" s="289"/>
      <c r="U31" s="150" t="s">
        <v>4</v>
      </c>
      <c r="V31" s="166"/>
      <c r="W31" s="167"/>
      <c r="X31" s="283">
        <f t="shared" si="0"/>
        <v>0</v>
      </c>
      <c r="Y31" s="154" t="s">
        <v>4</v>
      </c>
      <c r="Z31" s="289"/>
      <c r="AA31" s="150" t="s">
        <v>4</v>
      </c>
      <c r="AB31" s="289"/>
      <c r="AC31" s="150" t="s">
        <v>4</v>
      </c>
      <c r="AD31" s="289"/>
      <c r="AE31" s="150" t="s">
        <v>4</v>
      </c>
      <c r="AF31" s="284">
        <f t="shared" si="1"/>
        <v>0</v>
      </c>
      <c r="AG31" s="285" t="s">
        <v>4</v>
      </c>
      <c r="AH31" s="286">
        <f t="shared" si="2"/>
        <v>0</v>
      </c>
      <c r="AI31" s="178" t="s">
        <v>4</v>
      </c>
    </row>
    <row r="32" spans="1:35" ht="14.25" customHeight="1" thickBot="1">
      <c r="A32" s="372" t="s">
        <v>126</v>
      </c>
      <c r="B32" s="528"/>
      <c r="C32" s="529"/>
      <c r="D32" s="528"/>
      <c r="E32" s="530"/>
      <c r="F32" s="528"/>
      <c r="G32" s="529"/>
      <c r="H32" s="528"/>
      <c r="I32" s="529"/>
      <c r="J32" s="528"/>
      <c r="K32" s="529"/>
      <c r="L32" s="528"/>
      <c r="M32" s="529"/>
      <c r="N32" s="462">
        <f>ROUND(N31*38200,0)</f>
        <v>0</v>
      </c>
      <c r="O32" s="464"/>
      <c r="P32" s="462">
        <f>ROUND(P31*38200,0)</f>
        <v>0</v>
      </c>
      <c r="Q32" s="464"/>
      <c r="R32" s="462">
        <f>ROUND(R31*38200,0)</f>
        <v>0</v>
      </c>
      <c r="S32" s="464"/>
      <c r="T32" s="462">
        <f>ROUND(T31*38200,0)</f>
        <v>0</v>
      </c>
      <c r="U32" s="464"/>
      <c r="V32" s="462"/>
      <c r="W32" s="464"/>
      <c r="X32" s="474">
        <f t="shared" si="0"/>
        <v>0</v>
      </c>
      <c r="Y32" s="475"/>
      <c r="Z32" s="462">
        <f>ROUND(Z31*38200,0)</f>
        <v>0</v>
      </c>
      <c r="AA32" s="464"/>
      <c r="AB32" s="462">
        <f>ROUND(AB31*38200,0)</f>
        <v>0</v>
      </c>
      <c r="AC32" s="464"/>
      <c r="AD32" s="462">
        <f>ROUND(AD31*38200,0)</f>
        <v>0</v>
      </c>
      <c r="AE32" s="464"/>
      <c r="AF32" s="505">
        <f t="shared" si="1"/>
        <v>0</v>
      </c>
      <c r="AG32" s="504"/>
      <c r="AH32" s="287">
        <f t="shared" si="2"/>
        <v>0</v>
      </c>
      <c r="AI32" s="288"/>
    </row>
    <row r="33" spans="1:35" ht="14.25" customHeight="1">
      <c r="A33" s="170" t="s">
        <v>44</v>
      </c>
      <c r="B33" s="171"/>
      <c r="C33" s="172"/>
      <c r="D33" s="171"/>
      <c r="E33" s="14"/>
      <c r="F33" s="171"/>
      <c r="G33" s="172"/>
      <c r="H33" s="171"/>
      <c r="I33" s="172"/>
      <c r="J33" s="171"/>
      <c r="K33" s="172"/>
      <c r="L33" s="173"/>
      <c r="M33" s="172"/>
      <c r="N33" s="289">
        <v>7</v>
      </c>
      <c r="O33" s="292" t="s">
        <v>4</v>
      </c>
      <c r="P33" s="166">
        <v>4</v>
      </c>
      <c r="Q33" s="292" t="s">
        <v>4</v>
      </c>
      <c r="R33" s="166">
        <v>2</v>
      </c>
      <c r="S33" s="292" t="s">
        <v>4</v>
      </c>
      <c r="T33" s="166">
        <v>1</v>
      </c>
      <c r="U33" s="292" t="s">
        <v>4</v>
      </c>
      <c r="V33" s="293"/>
      <c r="W33" s="292"/>
      <c r="X33" s="153">
        <f>V33+T33++R33+P33+N33</f>
        <v>14</v>
      </c>
      <c r="Y33" s="154" t="s">
        <v>4</v>
      </c>
      <c r="Z33" s="166">
        <v>8</v>
      </c>
      <c r="AA33" s="292" t="s">
        <v>4</v>
      </c>
      <c r="AB33" s="166">
        <v>1</v>
      </c>
      <c r="AC33" s="292" t="s">
        <v>4</v>
      </c>
      <c r="AD33" s="166">
        <v>1</v>
      </c>
      <c r="AE33" s="292" t="s">
        <v>4</v>
      </c>
      <c r="AF33" s="284">
        <f t="shared" si="1"/>
        <v>10</v>
      </c>
      <c r="AG33" s="285" t="s">
        <v>4</v>
      </c>
      <c r="AH33" s="294">
        <f t="shared" si="2"/>
        <v>24</v>
      </c>
      <c r="AI33" s="280" t="s">
        <v>4</v>
      </c>
    </row>
    <row r="34" spans="1:35" ht="14.25" customHeight="1" thickBot="1">
      <c r="A34" s="157" t="s">
        <v>287</v>
      </c>
      <c r="B34" s="528"/>
      <c r="C34" s="529"/>
      <c r="D34" s="528"/>
      <c r="E34" s="530"/>
      <c r="F34" s="528"/>
      <c r="G34" s="529"/>
      <c r="H34" s="528"/>
      <c r="I34" s="529"/>
      <c r="J34" s="528"/>
      <c r="K34" s="529"/>
      <c r="L34" s="528"/>
      <c r="M34" s="529"/>
      <c r="N34" s="462">
        <f>ROUND(N33*2205000*8/12,0)</f>
        <v>10290000</v>
      </c>
      <c r="O34" s="464"/>
      <c r="P34" s="462">
        <f>ROUND(P33*2205000*8/12,0)</f>
        <v>5880000</v>
      </c>
      <c r="Q34" s="464"/>
      <c r="R34" s="462">
        <f>ROUND(R33*2205000*8/12,0)</f>
        <v>2940000</v>
      </c>
      <c r="S34" s="464"/>
      <c r="T34" s="462">
        <f>ROUND(T33*2205000*8/12,0)</f>
        <v>1470000</v>
      </c>
      <c r="U34" s="464"/>
      <c r="V34" s="456"/>
      <c r="W34" s="457"/>
      <c r="X34" s="474">
        <f>V34+T34+R34+P34+N34</f>
        <v>20580000</v>
      </c>
      <c r="Y34" s="475"/>
      <c r="Z34" s="462">
        <f>ROUND(Z33*2205000*8/12,0)</f>
        <v>11760000</v>
      </c>
      <c r="AA34" s="464"/>
      <c r="AB34" s="462">
        <f>ROUND(AB33*2205000*8/12,0)</f>
        <v>1470000</v>
      </c>
      <c r="AC34" s="464"/>
      <c r="AD34" s="462">
        <f>ROUND(AD33*2205000*8/12,0)</f>
        <v>1470000</v>
      </c>
      <c r="AE34" s="464"/>
      <c r="AF34" s="505">
        <f t="shared" si="1"/>
        <v>14700000</v>
      </c>
      <c r="AG34" s="504"/>
      <c r="AH34" s="295">
        <f t="shared" si="2"/>
        <v>35280000</v>
      </c>
      <c r="AI34" s="178"/>
    </row>
    <row r="35" spans="1:35" ht="14.25" customHeight="1">
      <c r="A35" s="170" t="s">
        <v>44</v>
      </c>
      <c r="B35" s="171"/>
      <c r="C35" s="172"/>
      <c r="D35" s="171"/>
      <c r="E35" s="14"/>
      <c r="F35" s="171"/>
      <c r="G35" s="172"/>
      <c r="H35" s="171"/>
      <c r="I35" s="172"/>
      <c r="J35" s="171"/>
      <c r="K35" s="172"/>
      <c r="L35" s="173"/>
      <c r="M35" s="172"/>
      <c r="N35" s="289">
        <v>7</v>
      </c>
      <c r="O35" s="292" t="s">
        <v>4</v>
      </c>
      <c r="P35" s="166">
        <v>4</v>
      </c>
      <c r="Q35" s="292" t="s">
        <v>4</v>
      </c>
      <c r="R35" s="166">
        <v>2</v>
      </c>
      <c r="S35" s="292" t="s">
        <v>4</v>
      </c>
      <c r="T35" s="166">
        <v>1</v>
      </c>
      <c r="U35" s="292" t="s">
        <v>4</v>
      </c>
      <c r="V35" s="293"/>
      <c r="W35" s="292"/>
      <c r="X35" s="153">
        <f>V35+T35++R35+P35+N35</f>
        <v>14</v>
      </c>
      <c r="Y35" s="154" t="s">
        <v>4</v>
      </c>
      <c r="Z35" s="166">
        <v>8</v>
      </c>
      <c r="AA35" s="292" t="s">
        <v>4</v>
      </c>
      <c r="AB35" s="166">
        <v>1</v>
      </c>
      <c r="AC35" s="292" t="s">
        <v>4</v>
      </c>
      <c r="AD35" s="166">
        <v>1</v>
      </c>
      <c r="AE35" s="292" t="s">
        <v>4</v>
      </c>
      <c r="AF35" s="284">
        <f t="shared" si="1"/>
        <v>10</v>
      </c>
      <c r="AG35" s="285" t="s">
        <v>4</v>
      </c>
      <c r="AH35" s="294">
        <f t="shared" si="2"/>
        <v>24</v>
      </c>
      <c r="AI35" s="280" t="s">
        <v>4</v>
      </c>
    </row>
    <row r="36" spans="1:35" ht="14.25" customHeight="1" thickBot="1">
      <c r="A36" s="157" t="s">
        <v>288</v>
      </c>
      <c r="B36" s="528"/>
      <c r="C36" s="529"/>
      <c r="D36" s="528"/>
      <c r="E36" s="530"/>
      <c r="F36" s="528"/>
      <c r="G36" s="529"/>
      <c r="H36" s="528"/>
      <c r="I36" s="529"/>
      <c r="J36" s="528"/>
      <c r="K36" s="529"/>
      <c r="L36" s="528"/>
      <c r="M36" s="529"/>
      <c r="N36" s="462">
        <f>ROUND(N35*2205000*4/12,0)</f>
        <v>5145000</v>
      </c>
      <c r="O36" s="464"/>
      <c r="P36" s="462">
        <f>ROUND(P35*2205000*4/12,0)</f>
        <v>2940000</v>
      </c>
      <c r="Q36" s="464"/>
      <c r="R36" s="462">
        <f>ROUND(R35*2205000*4/12,0)</f>
        <v>1470000</v>
      </c>
      <c r="S36" s="464"/>
      <c r="T36" s="462">
        <f>ROUND(T35*2205000*4/12,0)</f>
        <v>735000</v>
      </c>
      <c r="U36" s="464"/>
      <c r="V36" s="456"/>
      <c r="W36" s="457"/>
      <c r="X36" s="474">
        <f>V36+T36+R36+P36+N36</f>
        <v>10290000</v>
      </c>
      <c r="Y36" s="475"/>
      <c r="Z36" s="462">
        <f>ROUND(Z35*2205000*4/12,0)</f>
        <v>5880000</v>
      </c>
      <c r="AA36" s="464"/>
      <c r="AB36" s="462">
        <f>ROUND(AB35*2205000*4/12,0)</f>
        <v>735000</v>
      </c>
      <c r="AC36" s="464"/>
      <c r="AD36" s="462">
        <f>ROUND(AD35*2205000*4/12,0)</f>
        <v>735000</v>
      </c>
      <c r="AE36" s="464"/>
      <c r="AF36" s="505">
        <f t="shared" si="1"/>
        <v>7350000</v>
      </c>
      <c r="AG36" s="504"/>
      <c r="AH36" s="295">
        <f t="shared" si="2"/>
        <v>17640000</v>
      </c>
      <c r="AI36" s="178"/>
    </row>
    <row r="37" spans="1:35" ht="14.25" customHeight="1">
      <c r="A37" s="526" t="s">
        <v>127</v>
      </c>
      <c r="B37" s="175"/>
      <c r="C37" s="176"/>
      <c r="D37" s="175"/>
      <c r="E37" s="13"/>
      <c r="F37" s="175"/>
      <c r="G37" s="176"/>
      <c r="H37" s="175"/>
      <c r="I37" s="176"/>
      <c r="J37" s="175"/>
      <c r="K37" s="176"/>
      <c r="L37" s="173"/>
      <c r="M37" s="176"/>
      <c r="N37" s="289">
        <v>110</v>
      </c>
      <c r="O37" s="150" t="s">
        <v>4</v>
      </c>
      <c r="P37" s="289">
        <v>57</v>
      </c>
      <c r="Q37" s="150" t="s">
        <v>4</v>
      </c>
      <c r="R37" s="289">
        <v>30</v>
      </c>
      <c r="S37" s="150" t="s">
        <v>4</v>
      </c>
      <c r="T37" s="166">
        <v>21</v>
      </c>
      <c r="U37" s="167" t="s">
        <v>4</v>
      </c>
      <c r="V37" s="293"/>
      <c r="W37" s="292"/>
      <c r="X37" s="153">
        <f>V37+T37++R37+P37+N37</f>
        <v>218</v>
      </c>
      <c r="Y37" s="154" t="s">
        <v>4</v>
      </c>
      <c r="Z37" s="289">
        <v>127</v>
      </c>
      <c r="AA37" s="150" t="s">
        <v>4</v>
      </c>
      <c r="AB37" s="289">
        <v>24</v>
      </c>
      <c r="AC37" s="150" t="s">
        <v>4</v>
      </c>
      <c r="AD37" s="166">
        <v>16</v>
      </c>
      <c r="AE37" s="167" t="s">
        <v>4</v>
      </c>
      <c r="AF37" s="284">
        <f t="shared" si="1"/>
        <v>167</v>
      </c>
      <c r="AG37" s="285" t="s">
        <v>4</v>
      </c>
      <c r="AH37" s="294">
        <f t="shared" si="2"/>
        <v>385</v>
      </c>
      <c r="AI37" s="280" t="s">
        <v>4</v>
      </c>
    </row>
    <row r="38" spans="1:35" ht="14.25" customHeight="1" thickBot="1">
      <c r="A38" s="527"/>
      <c r="B38" s="528"/>
      <c r="C38" s="529"/>
      <c r="D38" s="528"/>
      <c r="E38" s="530"/>
      <c r="F38" s="528"/>
      <c r="G38" s="529"/>
      <c r="H38" s="528"/>
      <c r="I38" s="529"/>
      <c r="J38" s="528"/>
      <c r="K38" s="529"/>
      <c r="L38" s="528"/>
      <c r="M38" s="529"/>
      <c r="N38" s="462">
        <f>ROUND(N37*81700*8/12,0)</f>
        <v>5991333</v>
      </c>
      <c r="O38" s="464"/>
      <c r="P38" s="462">
        <f>ROUND(P37*81700*8/12,0)</f>
        <v>3104600</v>
      </c>
      <c r="Q38" s="464"/>
      <c r="R38" s="462">
        <f>ROUND(R37*81700*8/12,0)</f>
        <v>1634000</v>
      </c>
      <c r="S38" s="464"/>
      <c r="T38" s="462">
        <f>ROUND(T37*81700*8/12,0)</f>
        <v>1143800</v>
      </c>
      <c r="U38" s="464"/>
      <c r="V38" s="456"/>
      <c r="W38" s="457"/>
      <c r="X38" s="474">
        <f>V38+T38+R38+P38+N38</f>
        <v>11873733</v>
      </c>
      <c r="Y38" s="475"/>
      <c r="Z38" s="462">
        <f>ROUND(Z37*81700*8/12,0)</f>
        <v>6917267</v>
      </c>
      <c r="AA38" s="464"/>
      <c r="AB38" s="462">
        <f>ROUND(AB37*81700*8/12,0)</f>
        <v>1307200</v>
      </c>
      <c r="AC38" s="464"/>
      <c r="AD38" s="462">
        <f>ROUND(AD37*81700*8/12,0)</f>
        <v>871467</v>
      </c>
      <c r="AE38" s="464"/>
      <c r="AF38" s="505">
        <f t="shared" si="1"/>
        <v>9095934</v>
      </c>
      <c r="AG38" s="504"/>
      <c r="AH38" s="295">
        <f t="shared" si="2"/>
        <v>20969667</v>
      </c>
      <c r="AI38" s="178"/>
    </row>
    <row r="39" spans="1:35" ht="14.25" customHeight="1">
      <c r="A39" s="526" t="s">
        <v>128</v>
      </c>
      <c r="B39" s="175"/>
      <c r="C39" s="176"/>
      <c r="D39" s="175"/>
      <c r="E39" s="13"/>
      <c r="F39" s="175"/>
      <c r="G39" s="176"/>
      <c r="H39" s="175"/>
      <c r="I39" s="176"/>
      <c r="J39" s="175"/>
      <c r="K39" s="176"/>
      <c r="L39" s="173"/>
      <c r="M39" s="176"/>
      <c r="N39" s="166">
        <v>110</v>
      </c>
      <c r="O39" s="167" t="s">
        <v>4</v>
      </c>
      <c r="P39" s="166">
        <v>54</v>
      </c>
      <c r="Q39" s="167" t="s">
        <v>4</v>
      </c>
      <c r="R39" s="166">
        <v>26</v>
      </c>
      <c r="S39" s="167" t="s">
        <v>4</v>
      </c>
      <c r="T39" s="166">
        <v>18</v>
      </c>
      <c r="U39" s="167" t="s">
        <v>4</v>
      </c>
      <c r="V39" s="293"/>
      <c r="W39" s="292"/>
      <c r="X39" s="153">
        <f>V39+T39++R39+P39+N39</f>
        <v>208</v>
      </c>
      <c r="Y39" s="154" t="s">
        <v>4</v>
      </c>
      <c r="Z39" s="166">
        <v>140</v>
      </c>
      <c r="AA39" s="167" t="s">
        <v>4</v>
      </c>
      <c r="AB39" s="166">
        <v>24</v>
      </c>
      <c r="AC39" s="167" t="s">
        <v>4</v>
      </c>
      <c r="AD39" s="166">
        <v>17</v>
      </c>
      <c r="AE39" s="167" t="s">
        <v>4</v>
      </c>
      <c r="AF39" s="284">
        <f t="shared" si="1"/>
        <v>181</v>
      </c>
      <c r="AG39" s="285" t="s">
        <v>4</v>
      </c>
      <c r="AH39" s="296">
        <f t="shared" si="2"/>
        <v>389</v>
      </c>
      <c r="AI39" s="280" t="s">
        <v>4</v>
      </c>
    </row>
    <row r="40" spans="1:35" ht="14.25" customHeight="1" thickBot="1">
      <c r="A40" s="527"/>
      <c r="B40" s="528"/>
      <c r="C40" s="529"/>
      <c r="D40" s="528"/>
      <c r="E40" s="530"/>
      <c r="F40" s="528"/>
      <c r="G40" s="529"/>
      <c r="H40" s="528"/>
      <c r="I40" s="529"/>
      <c r="J40" s="528"/>
      <c r="K40" s="529"/>
      <c r="L40" s="528"/>
      <c r="M40" s="529"/>
      <c r="N40" s="462">
        <f>ROUND(N39*81700*4/12,0)</f>
        <v>2995667</v>
      </c>
      <c r="O40" s="464"/>
      <c r="P40" s="462">
        <f>ROUND(P39*81700*4/12,0)</f>
        <v>1470600</v>
      </c>
      <c r="Q40" s="464"/>
      <c r="R40" s="462">
        <f>ROUND(R39*81700*4/12,0)</f>
        <v>708067</v>
      </c>
      <c r="S40" s="464"/>
      <c r="T40" s="462">
        <f>ROUND(T39*81700*4/12,0)</f>
        <v>490200</v>
      </c>
      <c r="U40" s="464"/>
      <c r="V40" s="456"/>
      <c r="W40" s="457"/>
      <c r="X40" s="474">
        <f>V40+T40+R40+P40+N40</f>
        <v>5664534</v>
      </c>
      <c r="Y40" s="475"/>
      <c r="Z40" s="462">
        <f>ROUND(Z39*81700*4/12,0)-1</f>
        <v>3812666</v>
      </c>
      <c r="AA40" s="464"/>
      <c r="AB40" s="462">
        <f>ROUND(AB39*81700*4/12,0)</f>
        <v>653600</v>
      </c>
      <c r="AC40" s="464"/>
      <c r="AD40" s="462">
        <f>ROUND(AD39*81700*4/12,0)</f>
        <v>462967</v>
      </c>
      <c r="AE40" s="464"/>
      <c r="AF40" s="505">
        <f t="shared" si="1"/>
        <v>4929233</v>
      </c>
      <c r="AG40" s="504"/>
      <c r="AH40" s="295">
        <f t="shared" si="2"/>
        <v>10593767</v>
      </c>
      <c r="AI40" s="178"/>
    </row>
    <row r="41" spans="1:35" ht="14.25" customHeight="1">
      <c r="A41" s="169" t="s">
        <v>129</v>
      </c>
      <c r="B41" s="162"/>
      <c r="C41" s="163"/>
      <c r="D41" s="162"/>
      <c r="E41" s="19"/>
      <c r="F41" s="162"/>
      <c r="G41" s="163"/>
      <c r="H41" s="162"/>
      <c r="I41" s="163"/>
      <c r="J41" s="162"/>
      <c r="K41" s="163"/>
      <c r="L41" s="164"/>
      <c r="M41" s="163"/>
      <c r="N41" s="374">
        <v>4</v>
      </c>
      <c r="O41" s="150" t="s">
        <v>4</v>
      </c>
      <c r="P41" s="291">
        <v>4</v>
      </c>
      <c r="Q41" s="150" t="s">
        <v>4</v>
      </c>
      <c r="R41" s="289">
        <v>0</v>
      </c>
      <c r="S41" s="150" t="s">
        <v>4</v>
      </c>
      <c r="T41" s="289">
        <v>0</v>
      </c>
      <c r="U41" s="150" t="s">
        <v>4</v>
      </c>
      <c r="V41" s="166"/>
      <c r="W41" s="167"/>
      <c r="X41" s="283">
        <f>V41+T41+R41+P41+N41</f>
        <v>8</v>
      </c>
      <c r="Y41" s="154" t="s">
        <v>4</v>
      </c>
      <c r="Z41" s="374">
        <v>4</v>
      </c>
      <c r="AA41" s="150" t="s">
        <v>4</v>
      </c>
      <c r="AB41" s="291">
        <v>2</v>
      </c>
      <c r="AC41" s="150" t="s">
        <v>4</v>
      </c>
      <c r="AD41" s="289">
        <v>0</v>
      </c>
      <c r="AE41" s="150" t="s">
        <v>4</v>
      </c>
      <c r="AF41" s="364">
        <f t="shared" si="1"/>
        <v>6</v>
      </c>
      <c r="AG41" s="285" t="s">
        <v>4</v>
      </c>
      <c r="AH41" s="297">
        <f t="shared" si="2"/>
        <v>14</v>
      </c>
      <c r="AI41" s="280" t="s">
        <v>4</v>
      </c>
    </row>
    <row r="42" spans="1:39" ht="14.25" customHeight="1" thickBot="1">
      <c r="A42" s="162" t="s">
        <v>290</v>
      </c>
      <c r="B42" s="524"/>
      <c r="C42" s="525"/>
      <c r="D42" s="524"/>
      <c r="E42" s="540"/>
      <c r="F42" s="524"/>
      <c r="G42" s="525"/>
      <c r="H42" s="524"/>
      <c r="I42" s="525"/>
      <c r="J42" s="524"/>
      <c r="K42" s="525"/>
      <c r="L42" s="524"/>
      <c r="M42" s="525"/>
      <c r="N42" s="151">
        <f>ROUND(N41*401000,0)</f>
        <v>1604000</v>
      </c>
      <c r="O42" s="152"/>
      <c r="P42" s="151">
        <f>ROUND(P41*401000,0)</f>
        <v>1604000</v>
      </c>
      <c r="Q42" s="152"/>
      <c r="R42" s="465">
        <f>ROUND(R41*401000,0)</f>
        <v>0</v>
      </c>
      <c r="S42" s="467"/>
      <c r="T42" s="465">
        <f>ROUND(T41*401000,0)</f>
        <v>0</v>
      </c>
      <c r="U42" s="467"/>
      <c r="V42" s="465"/>
      <c r="W42" s="467"/>
      <c r="X42" s="468">
        <f>V42+T42+R42+P42+N42</f>
        <v>3208000</v>
      </c>
      <c r="Y42" s="469"/>
      <c r="Z42" s="465">
        <f>ROUND(Z41*401000,0)</f>
        <v>1604000</v>
      </c>
      <c r="AA42" s="467"/>
      <c r="AB42" s="465">
        <f>ROUND(AB41*401000,0)</f>
        <v>802000</v>
      </c>
      <c r="AC42" s="467"/>
      <c r="AD42" s="465">
        <f>ROUND(AD41*401000,0)</f>
        <v>0</v>
      </c>
      <c r="AE42" s="467"/>
      <c r="AF42" s="496">
        <f t="shared" si="1"/>
        <v>2406000</v>
      </c>
      <c r="AG42" s="497"/>
      <c r="AH42" s="295">
        <f t="shared" si="2"/>
        <v>5614000</v>
      </c>
      <c r="AI42" s="178"/>
      <c r="AJ42" s="3">
        <f>AH42+AH40+AH38+AH36+AH34+AH32+AH30+AH28</f>
        <v>243584034</v>
      </c>
      <c r="AM42" s="3">
        <f>AH28+AH30+AH32+AH34+AH36+AH38+AH40+AH42</f>
        <v>243584034</v>
      </c>
    </row>
    <row r="43" spans="1:35" s="1" customFormat="1" ht="20.25" customHeight="1" thickBot="1">
      <c r="A43" s="101" t="s">
        <v>45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3"/>
      <c r="Y43" s="103"/>
      <c r="Z43" s="102"/>
      <c r="AA43" s="102"/>
      <c r="AB43" s="102"/>
      <c r="AC43" s="102"/>
      <c r="AD43" s="102"/>
      <c r="AE43" s="102"/>
      <c r="AF43" s="104"/>
      <c r="AG43" s="104"/>
      <c r="AH43" s="500"/>
      <c r="AI43" s="501"/>
    </row>
    <row r="44" spans="1:35" ht="16.5" customHeight="1">
      <c r="A44" s="171" t="s">
        <v>130</v>
      </c>
      <c r="B44" s="175"/>
      <c r="C44" s="176"/>
      <c r="D44" s="175"/>
      <c r="E44" s="13"/>
      <c r="F44" s="175"/>
      <c r="G44" s="176"/>
      <c r="H44" s="175"/>
      <c r="I44" s="176"/>
      <c r="J44" s="175"/>
      <c r="K44" s="176"/>
      <c r="L44" s="151"/>
      <c r="M44" s="152"/>
      <c r="N44" s="151"/>
      <c r="O44" s="167"/>
      <c r="P44" s="151"/>
      <c r="Q44" s="167"/>
      <c r="R44" s="151"/>
      <c r="S44" s="167"/>
      <c r="T44" s="151"/>
      <c r="U44" s="167"/>
      <c r="V44" s="151"/>
      <c r="W44" s="152"/>
      <c r="X44" s="153"/>
      <c r="Y44" s="154"/>
      <c r="Z44" s="151"/>
      <c r="AA44" s="152"/>
      <c r="AB44" s="151"/>
      <c r="AC44" s="152"/>
      <c r="AD44" s="151"/>
      <c r="AE44" s="152"/>
      <c r="AF44" s="155"/>
      <c r="AG44" s="156"/>
      <c r="AH44" s="177">
        <f aca="true" t="shared" si="3" ref="AH44:AH77">B44+D44+F44+H44+J44+X44+AF44+L44</f>
        <v>0</v>
      </c>
      <c r="AI44" s="178"/>
    </row>
    <row r="45" spans="1:35" ht="16.5" customHeight="1" thickBot="1">
      <c r="A45" s="157"/>
      <c r="B45" s="513"/>
      <c r="C45" s="514"/>
      <c r="D45" s="518"/>
      <c r="E45" s="519"/>
      <c r="F45" s="518"/>
      <c r="G45" s="520"/>
      <c r="H45" s="518"/>
      <c r="I45" s="520"/>
      <c r="J45" s="518"/>
      <c r="K45" s="520"/>
      <c r="L45" s="462"/>
      <c r="M45" s="464"/>
      <c r="N45" s="462"/>
      <c r="O45" s="463"/>
      <c r="P45" s="462"/>
      <c r="Q45" s="463"/>
      <c r="R45" s="462"/>
      <c r="S45" s="463"/>
      <c r="T45" s="462"/>
      <c r="U45" s="463"/>
      <c r="V45" s="456"/>
      <c r="W45" s="457"/>
      <c r="X45" s="474"/>
      <c r="Y45" s="475"/>
      <c r="Z45" s="462"/>
      <c r="AA45" s="464"/>
      <c r="AB45" s="462"/>
      <c r="AC45" s="464"/>
      <c r="AD45" s="462"/>
      <c r="AE45" s="464"/>
      <c r="AF45" s="505"/>
      <c r="AG45" s="504"/>
      <c r="AH45" s="265">
        <f t="shared" si="3"/>
        <v>0</v>
      </c>
      <c r="AI45" s="178"/>
    </row>
    <row r="46" spans="1:35" ht="16.5" customHeight="1">
      <c r="A46" s="170" t="s">
        <v>46</v>
      </c>
      <c r="B46" s="174"/>
      <c r="C46" s="181"/>
      <c r="D46" s="174"/>
      <c r="E46" s="182"/>
      <c r="F46" s="174"/>
      <c r="G46" s="181"/>
      <c r="H46" s="174"/>
      <c r="I46" s="181"/>
      <c r="J46" s="174"/>
      <c r="K46" s="181"/>
      <c r="L46" s="151"/>
      <c r="M46" s="152"/>
      <c r="N46" s="149"/>
      <c r="O46" s="150"/>
      <c r="P46" s="149"/>
      <c r="Q46" s="150"/>
      <c r="R46" s="149"/>
      <c r="S46" s="150"/>
      <c r="T46" s="149"/>
      <c r="U46" s="150"/>
      <c r="V46" s="151"/>
      <c r="W46" s="152"/>
      <c r="X46" s="153"/>
      <c r="Y46" s="154"/>
      <c r="Z46" s="151"/>
      <c r="AA46" s="152"/>
      <c r="AB46" s="151"/>
      <c r="AC46" s="152"/>
      <c r="AD46" s="151"/>
      <c r="AE46" s="152"/>
      <c r="AF46" s="155"/>
      <c r="AG46" s="156"/>
      <c r="AH46" s="298">
        <f t="shared" si="3"/>
        <v>0</v>
      </c>
      <c r="AI46" s="280"/>
    </row>
    <row r="47" spans="1:35" ht="16.5" customHeight="1" thickBot="1">
      <c r="A47" s="157" t="s">
        <v>81</v>
      </c>
      <c r="B47" s="513">
        <v>34272000</v>
      </c>
      <c r="C47" s="514"/>
      <c r="D47" s="180"/>
      <c r="E47" s="188"/>
      <c r="F47" s="180"/>
      <c r="G47" s="189"/>
      <c r="H47" s="180"/>
      <c r="I47" s="189"/>
      <c r="J47" s="180"/>
      <c r="K47" s="189"/>
      <c r="L47" s="462"/>
      <c r="M47" s="464"/>
      <c r="N47" s="462"/>
      <c r="O47" s="463"/>
      <c r="P47" s="462"/>
      <c r="Q47" s="463"/>
      <c r="R47" s="462"/>
      <c r="S47" s="463"/>
      <c r="T47" s="462"/>
      <c r="U47" s="463"/>
      <c r="V47" s="456"/>
      <c r="W47" s="457"/>
      <c r="X47" s="474"/>
      <c r="Y47" s="475"/>
      <c r="Z47" s="462"/>
      <c r="AA47" s="464"/>
      <c r="AB47" s="462"/>
      <c r="AC47" s="464"/>
      <c r="AD47" s="462"/>
      <c r="AE47" s="464"/>
      <c r="AF47" s="505"/>
      <c r="AG47" s="504"/>
      <c r="AH47" s="265">
        <f t="shared" si="3"/>
        <v>34272000</v>
      </c>
      <c r="AI47" s="178"/>
    </row>
    <row r="48" spans="1:35" ht="16.5" customHeight="1">
      <c r="A48" s="170" t="s">
        <v>82</v>
      </c>
      <c r="B48" s="173"/>
      <c r="C48" s="176"/>
      <c r="D48" s="175"/>
      <c r="E48" s="13"/>
      <c r="F48" s="175"/>
      <c r="G48" s="176"/>
      <c r="H48" s="175"/>
      <c r="I48" s="176"/>
      <c r="J48" s="175"/>
      <c r="K48" s="176"/>
      <c r="L48" s="299">
        <v>2.5</v>
      </c>
      <c r="M48" s="300" t="s">
        <v>4</v>
      </c>
      <c r="N48" s="151"/>
      <c r="O48" s="152"/>
      <c r="P48" s="151"/>
      <c r="Q48" s="152"/>
      <c r="R48" s="151"/>
      <c r="S48" s="152"/>
      <c r="T48" s="151"/>
      <c r="U48" s="152"/>
      <c r="V48" s="151"/>
      <c r="W48" s="152"/>
      <c r="X48" s="179"/>
      <c r="Y48" s="20"/>
      <c r="Z48" s="151"/>
      <c r="AA48" s="152"/>
      <c r="AB48" s="151"/>
      <c r="AC48" s="152"/>
      <c r="AD48" s="151"/>
      <c r="AE48" s="152"/>
      <c r="AF48" s="155"/>
      <c r="AG48" s="156"/>
      <c r="AH48" s="298">
        <f t="shared" si="3"/>
        <v>2.5</v>
      </c>
      <c r="AI48" s="280" t="s">
        <v>4</v>
      </c>
    </row>
    <row r="49" spans="1:36" ht="16.5" customHeight="1" thickBot="1">
      <c r="A49" s="157" t="s">
        <v>294</v>
      </c>
      <c r="B49" s="513"/>
      <c r="C49" s="514"/>
      <c r="D49" s="518"/>
      <c r="E49" s="519"/>
      <c r="F49" s="518"/>
      <c r="G49" s="520"/>
      <c r="H49" s="518"/>
      <c r="I49" s="520"/>
      <c r="J49" s="518"/>
      <c r="K49" s="520"/>
      <c r="L49" s="456">
        <f>L48*3400000</f>
        <v>8500000</v>
      </c>
      <c r="M49" s="457"/>
      <c r="N49" s="462"/>
      <c r="O49" s="463"/>
      <c r="P49" s="462"/>
      <c r="Q49" s="463"/>
      <c r="R49" s="462"/>
      <c r="S49" s="463"/>
      <c r="T49" s="462"/>
      <c r="U49" s="463"/>
      <c r="V49" s="462"/>
      <c r="W49" s="464"/>
      <c r="X49" s="474"/>
      <c r="Y49" s="475"/>
      <c r="Z49" s="462"/>
      <c r="AA49" s="464"/>
      <c r="AB49" s="462"/>
      <c r="AC49" s="464"/>
      <c r="AD49" s="462"/>
      <c r="AE49" s="464"/>
      <c r="AF49" s="505"/>
      <c r="AG49" s="504"/>
      <c r="AH49" s="295">
        <f t="shared" si="3"/>
        <v>8500000</v>
      </c>
      <c r="AI49" s="178"/>
      <c r="AJ49" s="3"/>
    </row>
    <row r="50" spans="1:35" ht="15.75" customHeight="1">
      <c r="A50" s="170" t="s">
        <v>83</v>
      </c>
      <c r="B50" s="175"/>
      <c r="C50" s="176"/>
      <c r="D50" s="175"/>
      <c r="E50" s="13"/>
      <c r="F50" s="175"/>
      <c r="G50" s="176"/>
      <c r="H50" s="175"/>
      <c r="I50" s="176"/>
      <c r="J50" s="175"/>
      <c r="K50" s="176"/>
      <c r="L50" s="299">
        <v>3.5</v>
      </c>
      <c r="M50" s="300" t="s">
        <v>4</v>
      </c>
      <c r="N50" s="151"/>
      <c r="O50" s="152"/>
      <c r="P50" s="151"/>
      <c r="Q50" s="152"/>
      <c r="R50" s="151"/>
      <c r="S50" s="152"/>
      <c r="T50" s="151"/>
      <c r="U50" s="152"/>
      <c r="V50" s="151"/>
      <c r="W50" s="152"/>
      <c r="X50" s="179"/>
      <c r="Y50" s="20"/>
      <c r="Z50" s="151"/>
      <c r="AA50" s="152"/>
      <c r="AB50" s="151"/>
      <c r="AC50" s="152"/>
      <c r="AD50" s="151"/>
      <c r="AE50" s="152"/>
      <c r="AF50" s="155"/>
      <c r="AG50" s="156"/>
      <c r="AH50" s="294">
        <f t="shared" si="3"/>
        <v>3.5</v>
      </c>
      <c r="AI50" s="280" t="s">
        <v>4</v>
      </c>
    </row>
    <row r="51" spans="1:35" ht="16.5" customHeight="1" thickBot="1">
      <c r="A51" s="157" t="s">
        <v>293</v>
      </c>
      <c r="B51" s="513"/>
      <c r="C51" s="514"/>
      <c r="D51" s="518"/>
      <c r="E51" s="519"/>
      <c r="F51" s="518"/>
      <c r="G51" s="520"/>
      <c r="H51" s="518"/>
      <c r="I51" s="520"/>
      <c r="J51" s="518"/>
      <c r="K51" s="520"/>
      <c r="L51" s="456">
        <f>L50*3300000</f>
        <v>11550000</v>
      </c>
      <c r="M51" s="457"/>
      <c r="N51" s="462"/>
      <c r="O51" s="463"/>
      <c r="P51" s="462"/>
      <c r="Q51" s="463"/>
      <c r="R51" s="462"/>
      <c r="S51" s="463"/>
      <c r="T51" s="462"/>
      <c r="U51" s="463"/>
      <c r="V51" s="462"/>
      <c r="W51" s="464"/>
      <c r="X51" s="474"/>
      <c r="Y51" s="475"/>
      <c r="Z51" s="462"/>
      <c r="AA51" s="464"/>
      <c r="AB51" s="462"/>
      <c r="AC51" s="464"/>
      <c r="AD51" s="462"/>
      <c r="AE51" s="464"/>
      <c r="AF51" s="505"/>
      <c r="AG51" s="504"/>
      <c r="AH51" s="295">
        <f t="shared" si="3"/>
        <v>11550000</v>
      </c>
      <c r="AI51" s="178"/>
    </row>
    <row r="52" spans="1:37" ht="16.5" customHeight="1">
      <c r="A52" s="170" t="s">
        <v>47</v>
      </c>
      <c r="B52" s="175"/>
      <c r="C52" s="176"/>
      <c r="D52" s="175"/>
      <c r="E52" s="13"/>
      <c r="F52" s="175"/>
      <c r="G52" s="176"/>
      <c r="H52" s="175"/>
      <c r="I52" s="176"/>
      <c r="J52" s="175"/>
      <c r="K52" s="176"/>
      <c r="L52" s="151">
        <v>82</v>
      </c>
      <c r="M52" s="300" t="s">
        <v>4</v>
      </c>
      <c r="N52" s="151"/>
      <c r="O52" s="152"/>
      <c r="P52" s="151"/>
      <c r="Q52" s="152"/>
      <c r="R52" s="151"/>
      <c r="S52" s="152"/>
      <c r="T52" s="151"/>
      <c r="U52" s="152"/>
      <c r="V52" s="151"/>
      <c r="W52" s="152"/>
      <c r="X52" s="179"/>
      <c r="Y52" s="20"/>
      <c r="Z52" s="151"/>
      <c r="AA52" s="152"/>
      <c r="AB52" s="151"/>
      <c r="AC52" s="152"/>
      <c r="AD52" s="151"/>
      <c r="AE52" s="152"/>
      <c r="AF52" s="155"/>
      <c r="AG52" s="156"/>
      <c r="AH52" s="294">
        <f t="shared" si="3"/>
        <v>82</v>
      </c>
      <c r="AI52" s="280" t="s">
        <v>4</v>
      </c>
      <c r="AK52" s="6" t="s">
        <v>131</v>
      </c>
    </row>
    <row r="53" spans="1:37" ht="16.5" customHeight="1" thickBot="1">
      <c r="A53" s="180" t="s">
        <v>48</v>
      </c>
      <c r="B53" s="513"/>
      <c r="C53" s="514"/>
      <c r="D53" s="518"/>
      <c r="E53" s="519"/>
      <c r="F53" s="518"/>
      <c r="G53" s="520"/>
      <c r="H53" s="518"/>
      <c r="I53" s="520"/>
      <c r="J53" s="518"/>
      <c r="K53" s="520"/>
      <c r="L53" s="456">
        <f>L52*55360</f>
        <v>4539520</v>
      </c>
      <c r="M53" s="457"/>
      <c r="N53" s="462"/>
      <c r="O53" s="463"/>
      <c r="P53" s="462"/>
      <c r="Q53" s="463"/>
      <c r="R53" s="462"/>
      <c r="S53" s="463"/>
      <c r="T53" s="462"/>
      <c r="U53" s="463"/>
      <c r="V53" s="462"/>
      <c r="W53" s="464"/>
      <c r="X53" s="474"/>
      <c r="Y53" s="475"/>
      <c r="Z53" s="462"/>
      <c r="AA53" s="464"/>
      <c r="AB53" s="462"/>
      <c r="AC53" s="464"/>
      <c r="AD53" s="462"/>
      <c r="AE53" s="464"/>
      <c r="AF53" s="505"/>
      <c r="AG53" s="504"/>
      <c r="AH53" s="295">
        <f t="shared" si="3"/>
        <v>4539520</v>
      </c>
      <c r="AI53" s="178"/>
      <c r="AJ53" s="3"/>
      <c r="AK53" s="2">
        <f>AH52*5536</f>
        <v>453952</v>
      </c>
    </row>
    <row r="54" spans="1:37" ht="16.5" customHeight="1">
      <c r="A54" s="170" t="s">
        <v>49</v>
      </c>
      <c r="B54" s="175"/>
      <c r="C54" s="176"/>
      <c r="D54" s="175"/>
      <c r="E54" s="13"/>
      <c r="F54" s="175"/>
      <c r="G54" s="176"/>
      <c r="H54" s="175"/>
      <c r="I54" s="176"/>
      <c r="J54" s="175"/>
      <c r="K54" s="176"/>
      <c r="L54" s="151">
        <v>20</v>
      </c>
      <c r="M54" s="300" t="s">
        <v>4</v>
      </c>
      <c r="N54" s="151"/>
      <c r="O54" s="152"/>
      <c r="P54" s="151"/>
      <c r="Q54" s="152"/>
      <c r="R54" s="151"/>
      <c r="S54" s="152"/>
      <c r="T54" s="151"/>
      <c r="U54" s="152"/>
      <c r="V54" s="151"/>
      <c r="W54" s="152"/>
      <c r="X54" s="179"/>
      <c r="Y54" s="20"/>
      <c r="Z54" s="151"/>
      <c r="AA54" s="152"/>
      <c r="AB54" s="151"/>
      <c r="AC54" s="152"/>
      <c r="AD54" s="151"/>
      <c r="AE54" s="152"/>
      <c r="AF54" s="155"/>
      <c r="AG54" s="156"/>
      <c r="AH54" s="294">
        <f t="shared" si="3"/>
        <v>20</v>
      </c>
      <c r="AI54" s="280" t="s">
        <v>4</v>
      </c>
      <c r="AK54" s="2" t="s">
        <v>132</v>
      </c>
    </row>
    <row r="55" spans="1:37" ht="16.5" customHeight="1" thickBot="1">
      <c r="A55" s="157" t="s">
        <v>295</v>
      </c>
      <c r="B55" s="513"/>
      <c r="C55" s="514"/>
      <c r="D55" s="518"/>
      <c r="E55" s="519"/>
      <c r="F55" s="518"/>
      <c r="G55" s="520"/>
      <c r="H55" s="518"/>
      <c r="I55" s="520"/>
      <c r="J55" s="518"/>
      <c r="K55" s="520"/>
      <c r="L55" s="456">
        <f>L54*330000</f>
        <v>6600000</v>
      </c>
      <c r="M55" s="457"/>
      <c r="N55" s="462"/>
      <c r="O55" s="463"/>
      <c r="P55" s="462"/>
      <c r="Q55" s="463"/>
      <c r="R55" s="462"/>
      <c r="S55" s="463"/>
      <c r="T55" s="462"/>
      <c r="U55" s="463"/>
      <c r="V55" s="462"/>
      <c r="W55" s="464"/>
      <c r="X55" s="474"/>
      <c r="Y55" s="475"/>
      <c r="Z55" s="462"/>
      <c r="AA55" s="464"/>
      <c r="AB55" s="462"/>
      <c r="AC55" s="464"/>
      <c r="AD55" s="462"/>
      <c r="AE55" s="464"/>
      <c r="AF55" s="505"/>
      <c r="AG55" s="504"/>
      <c r="AH55" s="295">
        <f t="shared" si="3"/>
        <v>6600000</v>
      </c>
      <c r="AI55" s="178"/>
      <c r="AK55" s="2">
        <f>17*63000</f>
        <v>1071000</v>
      </c>
    </row>
    <row r="56" spans="1:37" ht="16.5" customHeight="1">
      <c r="A56" s="170" t="s">
        <v>50</v>
      </c>
      <c r="B56" s="175"/>
      <c r="C56" s="176"/>
      <c r="D56" s="175"/>
      <c r="E56" s="13"/>
      <c r="F56" s="175"/>
      <c r="G56" s="176"/>
      <c r="H56" s="175"/>
      <c r="I56" s="176"/>
      <c r="J56" s="175"/>
      <c r="K56" s="176"/>
      <c r="L56" s="151">
        <v>59</v>
      </c>
      <c r="M56" s="300" t="s">
        <v>4</v>
      </c>
      <c r="N56" s="151"/>
      <c r="O56" s="152"/>
      <c r="P56" s="151"/>
      <c r="Q56" s="152"/>
      <c r="R56" s="151"/>
      <c r="S56" s="152"/>
      <c r="T56" s="151"/>
      <c r="U56" s="152"/>
      <c r="V56" s="151"/>
      <c r="W56" s="152"/>
      <c r="X56" s="179"/>
      <c r="Y56" s="20"/>
      <c r="Z56" s="151"/>
      <c r="AA56" s="152"/>
      <c r="AB56" s="151"/>
      <c r="AC56" s="152"/>
      <c r="AD56" s="151"/>
      <c r="AE56" s="152"/>
      <c r="AF56" s="155"/>
      <c r="AG56" s="156"/>
      <c r="AH56" s="294">
        <f t="shared" si="3"/>
        <v>59</v>
      </c>
      <c r="AI56" s="280" t="s">
        <v>4</v>
      </c>
      <c r="AK56" s="2" t="s">
        <v>133</v>
      </c>
    </row>
    <row r="57" spans="1:37" ht="16.5" customHeight="1" thickBot="1">
      <c r="A57" s="180" t="s">
        <v>51</v>
      </c>
      <c r="B57" s="513"/>
      <c r="C57" s="514"/>
      <c r="D57" s="518"/>
      <c r="E57" s="519"/>
      <c r="F57" s="518"/>
      <c r="G57" s="520"/>
      <c r="H57" s="518"/>
      <c r="I57" s="520"/>
      <c r="J57" s="518"/>
      <c r="K57" s="520"/>
      <c r="L57" s="456">
        <f>L56*109000</f>
        <v>6431000</v>
      </c>
      <c r="M57" s="457"/>
      <c r="N57" s="465"/>
      <c r="O57" s="466"/>
      <c r="P57" s="465"/>
      <c r="Q57" s="466"/>
      <c r="R57" s="465"/>
      <c r="S57" s="466"/>
      <c r="T57" s="465"/>
      <c r="U57" s="466"/>
      <c r="V57" s="465"/>
      <c r="W57" s="467"/>
      <c r="X57" s="474"/>
      <c r="Y57" s="475"/>
      <c r="Z57" s="462"/>
      <c r="AA57" s="464"/>
      <c r="AB57" s="462"/>
      <c r="AC57" s="464"/>
      <c r="AD57" s="462"/>
      <c r="AE57" s="464"/>
      <c r="AF57" s="505"/>
      <c r="AG57" s="504"/>
      <c r="AH57" s="295">
        <f t="shared" si="3"/>
        <v>6431000</v>
      </c>
      <c r="AI57" s="178"/>
      <c r="AJ57" s="3"/>
      <c r="AK57" s="2">
        <f>59*54500</f>
        <v>3215500</v>
      </c>
    </row>
    <row r="58" spans="1:37" ht="16.5" customHeight="1">
      <c r="A58" s="174" t="s">
        <v>52</v>
      </c>
      <c r="B58" s="174"/>
      <c r="C58" s="181"/>
      <c r="D58" s="174"/>
      <c r="E58" s="182"/>
      <c r="F58" s="174"/>
      <c r="G58" s="181"/>
      <c r="H58" s="174"/>
      <c r="I58" s="181"/>
      <c r="J58" s="174"/>
      <c r="K58" s="181"/>
      <c r="L58" s="151">
        <v>42</v>
      </c>
      <c r="M58" s="301" t="s">
        <v>4</v>
      </c>
      <c r="N58" s="149"/>
      <c r="O58" s="150"/>
      <c r="P58" s="149"/>
      <c r="Q58" s="150"/>
      <c r="R58" s="149"/>
      <c r="S58" s="150"/>
      <c r="T58" s="149"/>
      <c r="U58" s="150"/>
      <c r="V58" s="151"/>
      <c r="W58" s="152"/>
      <c r="X58" s="179"/>
      <c r="Y58" s="20"/>
      <c r="Z58" s="151"/>
      <c r="AA58" s="152"/>
      <c r="AB58" s="151"/>
      <c r="AC58" s="152"/>
      <c r="AD58" s="151"/>
      <c r="AE58" s="152"/>
      <c r="AF58" s="155"/>
      <c r="AG58" s="156"/>
      <c r="AH58" s="294">
        <f t="shared" si="3"/>
        <v>42</v>
      </c>
      <c r="AI58" s="280" t="s">
        <v>4</v>
      </c>
      <c r="AK58" s="2" t="s">
        <v>134</v>
      </c>
    </row>
    <row r="59" spans="1:37" ht="16.5" customHeight="1" thickBot="1">
      <c r="A59" s="180" t="s">
        <v>53</v>
      </c>
      <c r="B59" s="513"/>
      <c r="C59" s="514"/>
      <c r="D59" s="518"/>
      <c r="E59" s="519"/>
      <c r="F59" s="518"/>
      <c r="G59" s="520"/>
      <c r="H59" s="518"/>
      <c r="I59" s="520"/>
      <c r="J59" s="518"/>
      <c r="K59" s="520"/>
      <c r="L59" s="456">
        <f>L58*206100</f>
        <v>8656200</v>
      </c>
      <c r="M59" s="457"/>
      <c r="N59" s="462"/>
      <c r="O59" s="464"/>
      <c r="P59" s="462"/>
      <c r="Q59" s="464"/>
      <c r="R59" s="462"/>
      <c r="S59" s="464"/>
      <c r="T59" s="462"/>
      <c r="U59" s="464"/>
      <c r="V59" s="462"/>
      <c r="W59" s="464"/>
      <c r="X59" s="474"/>
      <c r="Y59" s="475"/>
      <c r="Z59" s="462"/>
      <c r="AA59" s="464"/>
      <c r="AB59" s="462"/>
      <c r="AC59" s="464"/>
      <c r="AD59" s="462"/>
      <c r="AE59" s="464"/>
      <c r="AF59" s="505"/>
      <c r="AG59" s="504"/>
      <c r="AH59" s="295">
        <f t="shared" si="3"/>
        <v>8656200</v>
      </c>
      <c r="AI59" s="178"/>
      <c r="AK59" s="2">
        <f>43*41220</f>
        <v>1772460</v>
      </c>
    </row>
    <row r="60" spans="1:35" ht="16.5" customHeight="1">
      <c r="A60" s="170" t="s">
        <v>306</v>
      </c>
      <c r="B60" s="175"/>
      <c r="C60" s="176"/>
      <c r="D60" s="175"/>
      <c r="E60" s="13"/>
      <c r="F60" s="175"/>
      <c r="G60" s="176"/>
      <c r="H60" s="175"/>
      <c r="I60" s="176"/>
      <c r="J60" s="175"/>
      <c r="K60" s="176"/>
      <c r="L60" s="151"/>
      <c r="M60" s="301"/>
      <c r="N60" s="151"/>
      <c r="O60" s="152"/>
      <c r="P60" s="151"/>
      <c r="Q60" s="152"/>
      <c r="R60" s="151"/>
      <c r="S60" s="152"/>
      <c r="T60" s="151"/>
      <c r="U60" s="152"/>
      <c r="V60" s="151"/>
      <c r="W60" s="152" t="s">
        <v>4</v>
      </c>
      <c r="X60" s="153">
        <f>V60+T60++R60+P60+N60</f>
        <v>0</v>
      </c>
      <c r="Y60" s="154" t="s">
        <v>4</v>
      </c>
      <c r="Z60" s="151"/>
      <c r="AA60" s="152"/>
      <c r="AB60" s="151"/>
      <c r="AC60" s="152"/>
      <c r="AD60" s="151"/>
      <c r="AE60" s="152"/>
      <c r="AF60" s="155"/>
      <c r="AG60" s="156"/>
      <c r="AH60" s="294">
        <f t="shared" si="3"/>
        <v>0</v>
      </c>
      <c r="AI60" s="280" t="s">
        <v>4</v>
      </c>
    </row>
    <row r="61" spans="1:35" ht="16.5" customHeight="1" thickBot="1">
      <c r="A61" s="180" t="s">
        <v>305</v>
      </c>
      <c r="B61" s="513"/>
      <c r="C61" s="514"/>
      <c r="D61" s="518"/>
      <c r="E61" s="519"/>
      <c r="F61" s="518"/>
      <c r="G61" s="520"/>
      <c r="H61" s="518"/>
      <c r="I61" s="520"/>
      <c r="J61" s="518"/>
      <c r="K61" s="520"/>
      <c r="L61" s="462"/>
      <c r="M61" s="464"/>
      <c r="N61" s="456"/>
      <c r="O61" s="457"/>
      <c r="P61" s="462"/>
      <c r="Q61" s="463"/>
      <c r="R61" s="462"/>
      <c r="S61" s="463"/>
      <c r="T61" s="462"/>
      <c r="U61" s="463"/>
      <c r="V61" s="456">
        <f>V60*360000</f>
        <v>0</v>
      </c>
      <c r="W61" s="457"/>
      <c r="X61" s="474">
        <f>V61+T61+R61+P61+N61</f>
        <v>0</v>
      </c>
      <c r="Y61" s="475"/>
      <c r="Z61" s="462"/>
      <c r="AA61" s="464"/>
      <c r="AB61" s="462"/>
      <c r="AC61" s="464"/>
      <c r="AD61" s="462"/>
      <c r="AE61" s="464"/>
      <c r="AF61" s="505"/>
      <c r="AG61" s="504"/>
      <c r="AH61" s="295">
        <f t="shared" si="3"/>
        <v>0</v>
      </c>
      <c r="AI61" s="178"/>
    </row>
    <row r="62" spans="1:37" ht="16.5" customHeight="1">
      <c r="A62" s="174" t="s">
        <v>54</v>
      </c>
      <c r="B62" s="174"/>
      <c r="C62" s="181"/>
      <c r="D62" s="174"/>
      <c r="E62" s="182"/>
      <c r="F62" s="174"/>
      <c r="G62" s="181"/>
      <c r="H62" s="174"/>
      <c r="I62" s="181"/>
      <c r="J62" s="174"/>
      <c r="K62" s="181"/>
      <c r="L62" s="151">
        <v>25</v>
      </c>
      <c r="M62" s="300" t="s">
        <v>4</v>
      </c>
      <c r="N62" s="149"/>
      <c r="O62" s="150"/>
      <c r="P62" s="149"/>
      <c r="Q62" s="150"/>
      <c r="R62" s="149"/>
      <c r="S62" s="150"/>
      <c r="T62" s="149"/>
      <c r="U62" s="150"/>
      <c r="V62" s="151"/>
      <c r="W62" s="152"/>
      <c r="X62" s="179"/>
      <c r="Y62" s="20"/>
      <c r="Z62" s="151"/>
      <c r="AA62" s="152"/>
      <c r="AB62" s="151"/>
      <c r="AC62" s="152"/>
      <c r="AD62" s="151"/>
      <c r="AE62" s="152"/>
      <c r="AF62" s="155"/>
      <c r="AG62" s="156"/>
      <c r="AH62" s="294">
        <f t="shared" si="3"/>
        <v>25</v>
      </c>
      <c r="AI62" s="280" t="s">
        <v>4</v>
      </c>
      <c r="AK62" s="2" t="s">
        <v>135</v>
      </c>
    </row>
    <row r="63" spans="1:37" ht="16.5" customHeight="1" thickBot="1">
      <c r="A63" s="180" t="s">
        <v>296</v>
      </c>
      <c r="B63" s="513"/>
      <c r="C63" s="514"/>
      <c r="D63" s="518"/>
      <c r="E63" s="519"/>
      <c r="F63" s="518"/>
      <c r="G63" s="520"/>
      <c r="H63" s="518"/>
      <c r="I63" s="520"/>
      <c r="J63" s="518"/>
      <c r="K63" s="520"/>
      <c r="L63" s="456">
        <f>L62*490000</f>
        <v>12250000</v>
      </c>
      <c r="M63" s="457"/>
      <c r="N63" s="462"/>
      <c r="O63" s="464"/>
      <c r="P63" s="462"/>
      <c r="Q63" s="464"/>
      <c r="R63" s="462"/>
      <c r="S63" s="464"/>
      <c r="T63" s="462"/>
      <c r="U63" s="464"/>
      <c r="V63" s="462"/>
      <c r="W63" s="464"/>
      <c r="X63" s="474"/>
      <c r="Y63" s="475"/>
      <c r="Z63" s="462"/>
      <c r="AA63" s="464"/>
      <c r="AB63" s="462"/>
      <c r="AC63" s="464"/>
      <c r="AD63" s="462"/>
      <c r="AE63" s="464"/>
      <c r="AF63" s="505"/>
      <c r="AG63" s="504"/>
      <c r="AH63" s="295">
        <f t="shared" si="3"/>
        <v>12250000</v>
      </c>
      <c r="AI63" s="178"/>
      <c r="AJ63" s="3"/>
      <c r="AK63" s="2">
        <f>25*46835</f>
        <v>1170875</v>
      </c>
    </row>
    <row r="64" spans="1:35" ht="18.75" customHeight="1">
      <c r="A64" s="521" t="s">
        <v>297</v>
      </c>
      <c r="B64" s="183"/>
      <c r="C64" s="184"/>
      <c r="D64" s="183"/>
      <c r="E64" s="21"/>
      <c r="F64" s="183"/>
      <c r="G64" s="184"/>
      <c r="H64" s="183"/>
      <c r="I64" s="184"/>
      <c r="J64" s="183"/>
      <c r="K64" s="184"/>
      <c r="L64" s="151">
        <v>8</v>
      </c>
      <c r="M64" s="300" t="s">
        <v>4</v>
      </c>
      <c r="N64" s="151"/>
      <c r="O64" s="152"/>
      <c r="P64" s="151"/>
      <c r="Q64" s="152"/>
      <c r="R64" s="151"/>
      <c r="S64" s="152"/>
      <c r="T64" s="151"/>
      <c r="U64" s="152"/>
      <c r="V64" s="151"/>
      <c r="W64" s="152"/>
      <c r="X64" s="179"/>
      <c r="Y64" s="20"/>
      <c r="Z64" s="151"/>
      <c r="AA64" s="152"/>
      <c r="AB64" s="151"/>
      <c r="AC64" s="152"/>
      <c r="AD64" s="151"/>
      <c r="AE64" s="152"/>
      <c r="AF64" s="155"/>
      <c r="AG64" s="156"/>
      <c r="AH64" s="298">
        <f t="shared" si="3"/>
        <v>8</v>
      </c>
      <c r="AI64" s="280" t="s">
        <v>4</v>
      </c>
    </row>
    <row r="65" spans="1:35" ht="16.5" customHeight="1" thickBot="1">
      <c r="A65" s="522"/>
      <c r="B65" s="513"/>
      <c r="C65" s="514"/>
      <c r="D65" s="518"/>
      <c r="E65" s="519"/>
      <c r="F65" s="518"/>
      <c r="G65" s="520"/>
      <c r="H65" s="518"/>
      <c r="I65" s="520"/>
      <c r="J65" s="518"/>
      <c r="K65" s="520"/>
      <c r="L65" s="456">
        <f>L64*2848000</f>
        <v>22784000</v>
      </c>
      <c r="M65" s="457"/>
      <c r="N65" s="462"/>
      <c r="O65" s="463"/>
      <c r="P65" s="462"/>
      <c r="Q65" s="463"/>
      <c r="R65" s="462"/>
      <c r="S65" s="463"/>
      <c r="T65" s="462"/>
      <c r="U65" s="463"/>
      <c r="V65" s="462"/>
      <c r="W65" s="464"/>
      <c r="X65" s="474"/>
      <c r="Y65" s="475"/>
      <c r="Z65" s="462"/>
      <c r="AA65" s="464"/>
      <c r="AB65" s="462"/>
      <c r="AC65" s="464"/>
      <c r="AD65" s="462"/>
      <c r="AE65" s="464"/>
      <c r="AF65" s="505"/>
      <c r="AG65" s="504"/>
      <c r="AH65" s="295">
        <f t="shared" si="3"/>
        <v>22784000</v>
      </c>
      <c r="AI65" s="178"/>
    </row>
    <row r="66" spans="1:35" ht="16.5" customHeight="1">
      <c r="A66" s="521" t="s">
        <v>84</v>
      </c>
      <c r="B66" s="175"/>
      <c r="C66" s="176"/>
      <c r="D66" s="175"/>
      <c r="E66" s="13"/>
      <c r="F66" s="175"/>
      <c r="G66" s="176"/>
      <c r="H66" s="175"/>
      <c r="I66" s="176"/>
      <c r="J66" s="175"/>
      <c r="K66" s="176"/>
      <c r="L66" s="151"/>
      <c r="M66" s="300"/>
      <c r="N66" s="151"/>
      <c r="O66" s="152"/>
      <c r="P66" s="151"/>
      <c r="Q66" s="152"/>
      <c r="R66" s="151"/>
      <c r="S66" s="152"/>
      <c r="T66" s="151"/>
      <c r="U66" s="152"/>
      <c r="V66" s="151"/>
      <c r="W66" s="152"/>
      <c r="X66" s="179"/>
      <c r="Y66" s="20"/>
      <c r="Z66" s="151"/>
      <c r="AA66" s="152"/>
      <c r="AB66" s="151"/>
      <c r="AC66" s="152"/>
      <c r="AD66" s="151"/>
      <c r="AE66" s="152"/>
      <c r="AF66" s="155"/>
      <c r="AG66" s="156"/>
      <c r="AH66" s="298">
        <f t="shared" si="3"/>
        <v>0</v>
      </c>
      <c r="AI66" s="280" t="s">
        <v>4</v>
      </c>
    </row>
    <row r="67" spans="1:36" ht="16.5" customHeight="1" thickBot="1">
      <c r="A67" s="522"/>
      <c r="B67" s="513"/>
      <c r="C67" s="514"/>
      <c r="D67" s="518"/>
      <c r="E67" s="519"/>
      <c r="F67" s="518"/>
      <c r="G67" s="520"/>
      <c r="H67" s="518"/>
      <c r="I67" s="520"/>
      <c r="J67" s="518"/>
      <c r="K67" s="520"/>
      <c r="L67" s="456">
        <v>3597000</v>
      </c>
      <c r="M67" s="457"/>
      <c r="N67" s="462"/>
      <c r="O67" s="463"/>
      <c r="P67" s="462"/>
      <c r="Q67" s="463"/>
      <c r="R67" s="462"/>
      <c r="S67" s="463"/>
      <c r="T67" s="462"/>
      <c r="U67" s="463"/>
      <c r="V67" s="462"/>
      <c r="W67" s="464"/>
      <c r="X67" s="474"/>
      <c r="Y67" s="475"/>
      <c r="Z67" s="462"/>
      <c r="AA67" s="464"/>
      <c r="AB67" s="462"/>
      <c r="AC67" s="464"/>
      <c r="AD67" s="462"/>
      <c r="AE67" s="464"/>
      <c r="AF67" s="505"/>
      <c r="AG67" s="504"/>
      <c r="AH67" s="295">
        <f t="shared" si="3"/>
        <v>3597000</v>
      </c>
      <c r="AI67" s="178"/>
      <c r="AJ67" s="3"/>
    </row>
    <row r="68" spans="1:35" ht="16.5" customHeight="1">
      <c r="A68" s="185" t="s">
        <v>55</v>
      </c>
      <c r="B68" s="185"/>
      <c r="C68" s="302"/>
      <c r="D68" s="185"/>
      <c r="E68" s="303"/>
      <c r="F68" s="185"/>
      <c r="G68" s="302"/>
      <c r="H68" s="185"/>
      <c r="I68" s="302"/>
      <c r="J68" s="185"/>
      <c r="K68" s="302"/>
      <c r="L68" s="149"/>
      <c r="M68" s="292"/>
      <c r="N68" s="293"/>
      <c r="O68" s="292"/>
      <c r="P68" s="293"/>
      <c r="Q68" s="150"/>
      <c r="R68" s="293"/>
      <c r="S68" s="150"/>
      <c r="T68" s="293"/>
      <c r="U68" s="150"/>
      <c r="V68" s="293"/>
      <c r="W68" s="292"/>
      <c r="X68" s="153">
        <f>V68+T68++R68+P68+N68</f>
        <v>0</v>
      </c>
      <c r="Y68" s="154" t="s">
        <v>4</v>
      </c>
      <c r="Z68" s="293"/>
      <c r="AA68" s="292"/>
      <c r="AB68" s="293"/>
      <c r="AC68" s="292"/>
      <c r="AD68" s="293"/>
      <c r="AE68" s="292"/>
      <c r="AF68" s="304">
        <f aca="true" t="shared" si="4" ref="AF68:AF77">Z68+AB68+AD68</f>
        <v>0</v>
      </c>
      <c r="AG68" s="285" t="s">
        <v>4</v>
      </c>
      <c r="AH68" s="294">
        <f t="shared" si="3"/>
        <v>0</v>
      </c>
      <c r="AI68" s="280" t="s">
        <v>4</v>
      </c>
    </row>
    <row r="69" spans="1:35" ht="16.5" customHeight="1" thickBot="1">
      <c r="A69" s="186" t="s">
        <v>298</v>
      </c>
      <c r="B69" s="462">
        <v>58482000</v>
      </c>
      <c r="C69" s="464"/>
      <c r="D69" s="518"/>
      <c r="E69" s="519"/>
      <c r="F69" s="518"/>
      <c r="G69" s="520"/>
      <c r="H69" s="518"/>
      <c r="I69" s="520"/>
      <c r="J69" s="518"/>
      <c r="K69" s="520"/>
      <c r="L69" s="456"/>
      <c r="M69" s="457"/>
      <c r="N69" s="456"/>
      <c r="O69" s="457"/>
      <c r="P69" s="507"/>
      <c r="Q69" s="508"/>
      <c r="R69" s="507"/>
      <c r="S69" s="508"/>
      <c r="T69" s="507"/>
      <c r="U69" s="508"/>
      <c r="V69" s="456"/>
      <c r="W69" s="457"/>
      <c r="X69" s="474">
        <f>V69+T69+R69+P69+N69</f>
        <v>0</v>
      </c>
      <c r="Y69" s="475"/>
      <c r="Z69" s="456"/>
      <c r="AA69" s="457"/>
      <c r="AB69" s="456"/>
      <c r="AC69" s="457"/>
      <c r="AD69" s="456"/>
      <c r="AE69" s="457"/>
      <c r="AF69" s="505">
        <f t="shared" si="4"/>
        <v>0</v>
      </c>
      <c r="AG69" s="504"/>
      <c r="AH69" s="295">
        <f t="shared" si="3"/>
        <v>58482000</v>
      </c>
      <c r="AI69" s="178"/>
    </row>
    <row r="70" spans="1:35" ht="16.5" customHeight="1">
      <c r="A70" s="185" t="s">
        <v>56</v>
      </c>
      <c r="B70" s="293"/>
      <c r="C70" s="292"/>
      <c r="D70" s="185"/>
      <c r="E70" s="303"/>
      <c r="F70" s="185"/>
      <c r="G70" s="302"/>
      <c r="H70" s="185"/>
      <c r="I70" s="302"/>
      <c r="J70" s="185"/>
      <c r="K70" s="302"/>
      <c r="L70" s="149"/>
      <c r="M70" s="292"/>
      <c r="N70" s="293"/>
      <c r="O70" s="292"/>
      <c r="P70" s="293"/>
      <c r="Q70" s="292"/>
      <c r="R70" s="293"/>
      <c r="S70" s="292"/>
      <c r="T70" s="293"/>
      <c r="U70" s="292"/>
      <c r="V70" s="293"/>
      <c r="W70" s="292"/>
      <c r="X70" s="153">
        <f>V70+T70++R70+P70+N70</f>
        <v>0</v>
      </c>
      <c r="Y70" s="154" t="s">
        <v>4</v>
      </c>
      <c r="Z70" s="293"/>
      <c r="AA70" s="292"/>
      <c r="AB70" s="293"/>
      <c r="AC70" s="292"/>
      <c r="AD70" s="293"/>
      <c r="AE70" s="292"/>
      <c r="AF70" s="304">
        <f t="shared" si="4"/>
        <v>0</v>
      </c>
      <c r="AG70" s="285" t="s">
        <v>4</v>
      </c>
      <c r="AH70" s="296">
        <f t="shared" si="3"/>
        <v>0</v>
      </c>
      <c r="AI70" s="280" t="s">
        <v>4</v>
      </c>
    </row>
    <row r="71" spans="1:35" ht="16.5" customHeight="1" thickBot="1">
      <c r="A71" s="186" t="s">
        <v>57</v>
      </c>
      <c r="B71" s="462">
        <v>88945076</v>
      </c>
      <c r="C71" s="464"/>
      <c r="D71" s="518"/>
      <c r="E71" s="519"/>
      <c r="F71" s="518"/>
      <c r="G71" s="520"/>
      <c r="H71" s="518"/>
      <c r="I71" s="520"/>
      <c r="J71" s="518"/>
      <c r="K71" s="520"/>
      <c r="L71" s="456"/>
      <c r="M71" s="457"/>
      <c r="N71" s="456"/>
      <c r="O71" s="457"/>
      <c r="P71" s="462"/>
      <c r="Q71" s="464"/>
      <c r="R71" s="456"/>
      <c r="S71" s="502"/>
      <c r="T71" s="456"/>
      <c r="U71" s="502"/>
      <c r="V71" s="506"/>
      <c r="W71" s="457"/>
      <c r="X71" s="474">
        <f>V71+T71+R71+P71+N71</f>
        <v>0</v>
      </c>
      <c r="Y71" s="475"/>
      <c r="Z71" s="456"/>
      <c r="AA71" s="517"/>
      <c r="AB71" s="456"/>
      <c r="AC71" s="502"/>
      <c r="AD71" s="456"/>
      <c r="AE71" s="502"/>
      <c r="AF71" s="503">
        <f t="shared" si="4"/>
        <v>0</v>
      </c>
      <c r="AG71" s="504"/>
      <c r="AH71" s="295">
        <f t="shared" si="3"/>
        <v>88945076</v>
      </c>
      <c r="AI71" s="178"/>
    </row>
    <row r="72" spans="1:35" ht="16.5" customHeight="1">
      <c r="A72" s="185" t="s">
        <v>300</v>
      </c>
      <c r="B72" s="293"/>
      <c r="C72" s="292"/>
      <c r="D72" s="185"/>
      <c r="E72" s="303"/>
      <c r="F72" s="185"/>
      <c r="G72" s="302"/>
      <c r="H72" s="185"/>
      <c r="I72" s="302"/>
      <c r="J72" s="185"/>
      <c r="K72" s="302"/>
      <c r="L72" s="149"/>
      <c r="M72" s="292"/>
      <c r="N72" s="293"/>
      <c r="O72" s="292"/>
      <c r="P72" s="293"/>
      <c r="Q72" s="292"/>
      <c r="R72" s="293"/>
      <c r="S72" s="292"/>
      <c r="T72" s="293"/>
      <c r="U72" s="292"/>
      <c r="V72" s="293">
        <v>2</v>
      </c>
      <c r="W72" s="292" t="s">
        <v>4</v>
      </c>
      <c r="X72" s="153">
        <f>V72+T72++R72+P72+N72</f>
        <v>2</v>
      </c>
      <c r="Y72" s="154" t="s">
        <v>4</v>
      </c>
      <c r="Z72" s="293"/>
      <c r="AA72" s="292"/>
      <c r="AB72" s="293"/>
      <c r="AC72" s="292"/>
      <c r="AD72" s="293"/>
      <c r="AE72" s="292"/>
      <c r="AF72" s="304">
        <f t="shared" si="4"/>
        <v>0</v>
      </c>
      <c r="AG72" s="285" t="s">
        <v>4</v>
      </c>
      <c r="AH72" s="296">
        <f t="shared" si="3"/>
        <v>2</v>
      </c>
      <c r="AI72" s="280" t="s">
        <v>4</v>
      </c>
    </row>
    <row r="73" spans="1:36" ht="16.5" customHeight="1" thickBot="1">
      <c r="A73" s="187" t="s">
        <v>136</v>
      </c>
      <c r="B73" s="509"/>
      <c r="C73" s="510"/>
      <c r="D73" s="515"/>
      <c r="E73" s="523"/>
      <c r="F73" s="515"/>
      <c r="G73" s="516"/>
      <c r="H73" s="515"/>
      <c r="I73" s="516"/>
      <c r="J73" s="515"/>
      <c r="K73" s="516"/>
      <c r="L73" s="470"/>
      <c r="M73" s="471"/>
      <c r="N73" s="470"/>
      <c r="O73" s="471"/>
      <c r="P73" s="258"/>
      <c r="Q73" s="167"/>
      <c r="R73" s="470"/>
      <c r="S73" s="471"/>
      <c r="T73" s="470"/>
      <c r="U73" s="471"/>
      <c r="V73" s="470">
        <f>V72*4419000</f>
        <v>8838000</v>
      </c>
      <c r="W73" s="471"/>
      <c r="X73" s="468">
        <f>V73+T73+R73+P73+N73</f>
        <v>8838000</v>
      </c>
      <c r="Y73" s="469"/>
      <c r="Z73" s="470"/>
      <c r="AA73" s="471"/>
      <c r="AB73" s="470"/>
      <c r="AC73" s="471"/>
      <c r="AD73" s="470"/>
      <c r="AE73" s="471"/>
      <c r="AF73" s="496">
        <f t="shared" si="4"/>
        <v>0</v>
      </c>
      <c r="AG73" s="497"/>
      <c r="AH73" s="295">
        <f t="shared" si="3"/>
        <v>8838000</v>
      </c>
      <c r="AI73" s="178"/>
      <c r="AJ73" s="3">
        <f>AH73+AH67+AH65+AH63+AH61+AH59+AH57+AH53+AH55+AH51+AH49+AH47+AH45+AH43</f>
        <v>128017720</v>
      </c>
    </row>
    <row r="74" spans="1:35" ht="16.5" customHeight="1">
      <c r="A74" s="185" t="s">
        <v>301</v>
      </c>
      <c r="B74" s="293"/>
      <c r="C74" s="292"/>
      <c r="D74" s="185"/>
      <c r="E74" s="303"/>
      <c r="F74" s="185"/>
      <c r="G74" s="302"/>
      <c r="H74" s="185"/>
      <c r="I74" s="302"/>
      <c r="J74" s="185"/>
      <c r="K74" s="302"/>
      <c r="L74" s="149"/>
      <c r="M74" s="292"/>
      <c r="N74" s="293"/>
      <c r="O74" s="292"/>
      <c r="P74" s="293"/>
      <c r="Q74" s="292"/>
      <c r="R74" s="293"/>
      <c r="S74" s="292"/>
      <c r="T74" s="293"/>
      <c r="U74" s="292"/>
      <c r="V74" s="293">
        <v>2.2</v>
      </c>
      <c r="W74" s="292" t="s">
        <v>4</v>
      </c>
      <c r="X74" s="153">
        <f>V74+T74++R74+P74+N74</f>
        <v>2.2</v>
      </c>
      <c r="Y74" s="154" t="s">
        <v>4</v>
      </c>
      <c r="Z74" s="293"/>
      <c r="AA74" s="292"/>
      <c r="AB74" s="293"/>
      <c r="AC74" s="292"/>
      <c r="AD74" s="293"/>
      <c r="AE74" s="292"/>
      <c r="AF74" s="304">
        <f t="shared" si="4"/>
        <v>0</v>
      </c>
      <c r="AG74" s="285" t="s">
        <v>4</v>
      </c>
      <c r="AH74" s="296">
        <f t="shared" si="3"/>
        <v>2.2</v>
      </c>
      <c r="AI74" s="280" t="s">
        <v>4</v>
      </c>
    </row>
    <row r="75" spans="1:36" ht="16.5" customHeight="1" thickBot="1">
      <c r="A75" s="187" t="s">
        <v>299</v>
      </c>
      <c r="B75" s="509"/>
      <c r="C75" s="510"/>
      <c r="D75" s="515"/>
      <c r="E75" s="523"/>
      <c r="F75" s="515"/>
      <c r="G75" s="516"/>
      <c r="H75" s="515"/>
      <c r="I75" s="516"/>
      <c r="J75" s="515"/>
      <c r="K75" s="516"/>
      <c r="L75" s="470"/>
      <c r="M75" s="471"/>
      <c r="N75" s="470"/>
      <c r="O75" s="471"/>
      <c r="P75" s="258"/>
      <c r="Q75" s="167"/>
      <c r="R75" s="470"/>
      <c r="S75" s="471"/>
      <c r="T75" s="470"/>
      <c r="U75" s="471"/>
      <c r="V75" s="470">
        <f>V74*2993000</f>
        <v>6584600.000000001</v>
      </c>
      <c r="W75" s="471"/>
      <c r="X75" s="468">
        <f>V75+T75+R75+P75+N75</f>
        <v>6584600.000000001</v>
      </c>
      <c r="Y75" s="469"/>
      <c r="Z75" s="470"/>
      <c r="AA75" s="471"/>
      <c r="AB75" s="470"/>
      <c r="AC75" s="471"/>
      <c r="AD75" s="470"/>
      <c r="AE75" s="471"/>
      <c r="AF75" s="496">
        <f t="shared" si="4"/>
        <v>0</v>
      </c>
      <c r="AG75" s="497"/>
      <c r="AH75" s="295">
        <f t="shared" si="3"/>
        <v>6584600.000000001</v>
      </c>
      <c r="AI75" s="178"/>
      <c r="AJ75" s="3">
        <f>AH75+AH69+AH67+AH65+AH63+AH61+AH59+AH55+AH57+AH53+AH51+AH49+AH47+AH45</f>
        <v>184246320</v>
      </c>
    </row>
    <row r="76" spans="1:35" ht="16.5" customHeight="1">
      <c r="A76" s="185" t="s">
        <v>302</v>
      </c>
      <c r="B76" s="293"/>
      <c r="C76" s="292"/>
      <c r="D76" s="185"/>
      <c r="E76" s="303"/>
      <c r="F76" s="185"/>
      <c r="G76" s="302"/>
      <c r="H76" s="185"/>
      <c r="I76" s="302"/>
      <c r="J76" s="185"/>
      <c r="K76" s="302"/>
      <c r="L76" s="149"/>
      <c r="M76" s="292"/>
      <c r="N76" s="293"/>
      <c r="O76" s="292"/>
      <c r="P76" s="293"/>
      <c r="Q76" s="292"/>
      <c r="R76" s="293"/>
      <c r="S76" s="292"/>
      <c r="T76" s="293"/>
      <c r="U76" s="292"/>
      <c r="V76" s="293"/>
      <c r="W76" s="292"/>
      <c r="X76" s="153">
        <f>V76+T76++R76+P76+N76</f>
        <v>0</v>
      </c>
      <c r="Y76" s="154"/>
      <c r="Z76" s="293"/>
      <c r="AA76" s="292"/>
      <c r="AB76" s="293"/>
      <c r="AC76" s="292"/>
      <c r="AD76" s="293"/>
      <c r="AE76" s="292"/>
      <c r="AF76" s="304">
        <f t="shared" si="4"/>
        <v>0</v>
      </c>
      <c r="AG76" s="285" t="s">
        <v>4</v>
      </c>
      <c r="AH76" s="296">
        <f t="shared" si="3"/>
        <v>0</v>
      </c>
      <c r="AI76" s="280" t="s">
        <v>4</v>
      </c>
    </row>
    <row r="77" spans="1:39" ht="16.5" customHeight="1" thickBot="1">
      <c r="A77" s="187"/>
      <c r="B77" s="509"/>
      <c r="C77" s="510"/>
      <c r="D77" s="515"/>
      <c r="E77" s="523"/>
      <c r="F77" s="515"/>
      <c r="G77" s="516"/>
      <c r="H77" s="515"/>
      <c r="I77" s="516"/>
      <c r="J77" s="515"/>
      <c r="K77" s="516"/>
      <c r="L77" s="470"/>
      <c r="M77" s="471"/>
      <c r="N77" s="470"/>
      <c r="O77" s="471"/>
      <c r="P77" s="258"/>
      <c r="Q77" s="167"/>
      <c r="R77" s="470"/>
      <c r="S77" s="471"/>
      <c r="T77" s="470"/>
      <c r="U77" s="471"/>
      <c r="V77" s="470">
        <v>7486000</v>
      </c>
      <c r="W77" s="471"/>
      <c r="X77" s="468">
        <f>V77+T77+R77+P77+N77</f>
        <v>7486000</v>
      </c>
      <c r="Y77" s="469"/>
      <c r="Z77" s="470"/>
      <c r="AA77" s="471"/>
      <c r="AB77" s="470"/>
      <c r="AC77" s="471"/>
      <c r="AD77" s="470"/>
      <c r="AE77" s="471"/>
      <c r="AF77" s="496">
        <f t="shared" si="4"/>
        <v>0</v>
      </c>
      <c r="AG77" s="497"/>
      <c r="AH77" s="295">
        <f t="shared" si="3"/>
        <v>7486000</v>
      </c>
      <c r="AI77" s="178"/>
      <c r="AJ77" s="3">
        <f>AH77+AH71+AH69+AH67+AH65+AH63+AH61+AH57+AH59+AH55+AH53+AH51+AH49+AH47</f>
        <v>274092796</v>
      </c>
      <c r="AM77" s="3">
        <f>AH47+AH49+AH51+AH53+AH55+AH57+AH59+AH61+AH63+AH65+AH67+AH69+AH71+AH73+AH75+AH77</f>
        <v>289515396</v>
      </c>
    </row>
    <row r="78" spans="1:35" s="1" customFormat="1" ht="20.25" customHeight="1" thickBot="1">
      <c r="A78" s="101" t="s">
        <v>58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3"/>
      <c r="Y78" s="103"/>
      <c r="Z78" s="102"/>
      <c r="AA78" s="102"/>
      <c r="AB78" s="102"/>
      <c r="AC78" s="102"/>
      <c r="AD78" s="102"/>
      <c r="AE78" s="102"/>
      <c r="AF78" s="104"/>
      <c r="AG78" s="104"/>
      <c r="AH78" s="500"/>
      <c r="AI78" s="501"/>
    </row>
    <row r="79" spans="1:35" ht="16.5" customHeight="1">
      <c r="A79" s="171" t="s">
        <v>59</v>
      </c>
      <c r="B79" s="175"/>
      <c r="C79" s="176"/>
      <c r="D79" s="175"/>
      <c r="E79" s="13"/>
      <c r="F79" s="173">
        <v>11429</v>
      </c>
      <c r="G79" s="176" t="s">
        <v>4</v>
      </c>
      <c r="H79" s="173">
        <v>11429</v>
      </c>
      <c r="I79" s="176" t="s">
        <v>4</v>
      </c>
      <c r="J79" s="175"/>
      <c r="K79" s="176"/>
      <c r="L79" s="173"/>
      <c r="M79" s="176"/>
      <c r="N79" s="151"/>
      <c r="O79" s="167"/>
      <c r="P79" s="151"/>
      <c r="Q79" s="167"/>
      <c r="R79" s="151"/>
      <c r="S79" s="167"/>
      <c r="T79" s="151"/>
      <c r="U79" s="167"/>
      <c r="V79" s="151"/>
      <c r="W79" s="152"/>
      <c r="X79" s="153"/>
      <c r="Y79" s="154"/>
      <c r="Z79" s="151"/>
      <c r="AA79" s="152"/>
      <c r="AB79" s="151"/>
      <c r="AC79" s="152"/>
      <c r="AD79" s="151"/>
      <c r="AE79" s="152"/>
      <c r="AF79" s="155"/>
      <c r="AG79" s="156"/>
      <c r="AH79" s="295">
        <v>11395</v>
      </c>
      <c r="AI79" s="178" t="s">
        <v>4</v>
      </c>
    </row>
    <row r="80" spans="1:35" ht="16.5" customHeight="1" thickBot="1">
      <c r="A80" s="157" t="s">
        <v>303</v>
      </c>
      <c r="B80" s="513"/>
      <c r="C80" s="514"/>
      <c r="D80" s="180"/>
      <c r="E80" s="188"/>
      <c r="F80" s="511">
        <f>F79*1210*0.5</f>
        <v>6914545</v>
      </c>
      <c r="G80" s="512"/>
      <c r="H80" s="511">
        <f>H79*1210*0.5</f>
        <v>6914545</v>
      </c>
      <c r="I80" s="512"/>
      <c r="J80" s="180"/>
      <c r="K80" s="189"/>
      <c r="L80" s="190"/>
      <c r="M80" s="189"/>
      <c r="N80" s="462"/>
      <c r="O80" s="463"/>
      <c r="P80" s="462"/>
      <c r="Q80" s="463"/>
      <c r="R80" s="462"/>
      <c r="S80" s="463"/>
      <c r="T80" s="462"/>
      <c r="U80" s="463"/>
      <c r="V80" s="456"/>
      <c r="W80" s="457"/>
      <c r="X80" s="474"/>
      <c r="Y80" s="475"/>
      <c r="Z80" s="462"/>
      <c r="AA80" s="464"/>
      <c r="AB80" s="462"/>
      <c r="AC80" s="464"/>
      <c r="AD80" s="462"/>
      <c r="AE80" s="464"/>
      <c r="AF80" s="505"/>
      <c r="AG80" s="504"/>
      <c r="AH80" s="265">
        <f>B80+D80+F80+H80+J80+X80+AF80+L80</f>
        <v>13829090</v>
      </c>
      <c r="AI80" s="178"/>
    </row>
    <row r="81" spans="1:35" ht="16.5" customHeight="1">
      <c r="A81" s="170" t="s">
        <v>60</v>
      </c>
      <c r="B81" s="174"/>
      <c r="C81" s="181"/>
      <c r="D81" s="174"/>
      <c r="E81" s="182"/>
      <c r="F81" s="174"/>
      <c r="G81" s="181"/>
      <c r="H81" s="174"/>
      <c r="I81" s="181"/>
      <c r="J81" s="174"/>
      <c r="K81" s="181"/>
      <c r="L81" s="191"/>
      <c r="M81" s="181"/>
      <c r="N81" s="149"/>
      <c r="O81" s="150"/>
      <c r="P81" s="149"/>
      <c r="Q81" s="150"/>
      <c r="R81" s="149"/>
      <c r="S81" s="150"/>
      <c r="T81" s="149"/>
      <c r="U81" s="150"/>
      <c r="V81" s="151"/>
      <c r="W81" s="152"/>
      <c r="X81" s="153"/>
      <c r="Y81" s="154"/>
      <c r="Z81" s="151"/>
      <c r="AA81" s="152"/>
      <c r="AB81" s="151"/>
      <c r="AC81" s="152"/>
      <c r="AD81" s="151"/>
      <c r="AE81" s="152"/>
      <c r="AF81" s="155"/>
      <c r="AG81" s="156"/>
      <c r="AH81" s="298">
        <f>B81+D81+F81+H81+J81+X81+AF81+L81</f>
        <v>0</v>
      </c>
      <c r="AI81" s="280"/>
    </row>
    <row r="82" spans="1:39" ht="16.5" customHeight="1" thickBot="1">
      <c r="A82" s="171" t="s">
        <v>61</v>
      </c>
      <c r="B82" s="509"/>
      <c r="C82" s="510"/>
      <c r="D82" s="175"/>
      <c r="E82" s="13"/>
      <c r="F82" s="175"/>
      <c r="G82" s="176"/>
      <c r="H82" s="175"/>
      <c r="I82" s="176"/>
      <c r="J82" s="498">
        <v>29480000</v>
      </c>
      <c r="K82" s="499"/>
      <c r="L82" s="192"/>
      <c r="M82" s="305"/>
      <c r="N82" s="465"/>
      <c r="O82" s="466"/>
      <c r="P82" s="465"/>
      <c r="Q82" s="466"/>
      <c r="R82" s="465"/>
      <c r="S82" s="466"/>
      <c r="T82" s="465"/>
      <c r="U82" s="466"/>
      <c r="V82" s="470"/>
      <c r="W82" s="471"/>
      <c r="X82" s="468"/>
      <c r="Y82" s="469"/>
      <c r="Z82" s="465"/>
      <c r="AA82" s="467"/>
      <c r="AB82" s="465"/>
      <c r="AC82" s="467"/>
      <c r="AD82" s="465"/>
      <c r="AE82" s="467"/>
      <c r="AF82" s="496"/>
      <c r="AG82" s="497"/>
      <c r="AH82" s="282">
        <f>B82+D82+F82+H82+J82+X82+AF82+L82</f>
        <v>29480000</v>
      </c>
      <c r="AI82" s="178"/>
      <c r="AJ82" s="3">
        <f>AH82+AH80+AJ78</f>
        <v>43309090</v>
      </c>
      <c r="AM82" s="3">
        <f>AH80+AH82</f>
        <v>43309090</v>
      </c>
    </row>
    <row r="83" spans="1:35" s="1" customFormat="1" ht="20.25" customHeight="1" thickBot="1">
      <c r="A83" s="101" t="s">
        <v>62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3"/>
      <c r="Y83" s="103"/>
      <c r="Z83" s="102"/>
      <c r="AA83" s="102"/>
      <c r="AB83" s="102"/>
      <c r="AC83" s="102"/>
      <c r="AD83" s="102"/>
      <c r="AE83" s="102"/>
      <c r="AF83" s="104"/>
      <c r="AG83" s="104"/>
      <c r="AH83" s="500"/>
      <c r="AI83" s="501"/>
    </row>
    <row r="84" spans="1:35" ht="16.5" customHeight="1">
      <c r="A84" s="171" t="s">
        <v>304</v>
      </c>
      <c r="B84" s="192">
        <v>41507133</v>
      </c>
      <c r="C84" s="176"/>
      <c r="D84" s="175"/>
      <c r="E84" s="13"/>
      <c r="F84" s="175"/>
      <c r="G84" s="176"/>
      <c r="H84" s="175"/>
      <c r="I84" s="176"/>
      <c r="J84" s="175"/>
      <c r="K84" s="176"/>
      <c r="L84" s="173"/>
      <c r="M84" s="176"/>
      <c r="N84" s="151"/>
      <c r="O84" s="152"/>
      <c r="P84" s="151"/>
      <c r="Q84" s="152"/>
      <c r="R84" s="151"/>
      <c r="S84" s="152"/>
      <c r="T84" s="151"/>
      <c r="U84" s="152"/>
      <c r="V84" s="151"/>
      <c r="W84" s="152"/>
      <c r="X84" s="179"/>
      <c r="Y84" s="20"/>
      <c r="Z84" s="151"/>
      <c r="AA84" s="152"/>
      <c r="AB84" s="151"/>
      <c r="AC84" s="152"/>
      <c r="AD84" s="151"/>
      <c r="AE84" s="152"/>
      <c r="AF84" s="155"/>
      <c r="AG84" s="156"/>
      <c r="AH84" s="265">
        <f>B84+D84+F84+H84+J84+X84+AF84+L84</f>
        <v>41507133</v>
      </c>
      <c r="AI84" s="178"/>
    </row>
    <row r="85" spans="1:35" ht="16.5" customHeight="1" thickBot="1">
      <c r="A85" s="157" t="s">
        <v>63</v>
      </c>
      <c r="B85" s="511">
        <f>-B84</f>
        <v>-41507133</v>
      </c>
      <c r="C85" s="512"/>
      <c r="D85" s="180"/>
      <c r="E85" s="188"/>
      <c r="F85" s="180"/>
      <c r="G85" s="189"/>
      <c r="H85" s="180"/>
      <c r="I85" s="189"/>
      <c r="J85" s="180"/>
      <c r="K85" s="189"/>
      <c r="L85" s="190"/>
      <c r="M85" s="189"/>
      <c r="N85" s="462"/>
      <c r="O85" s="464"/>
      <c r="P85" s="462"/>
      <c r="Q85" s="464"/>
      <c r="R85" s="462"/>
      <c r="S85" s="464"/>
      <c r="T85" s="462"/>
      <c r="U85" s="464"/>
      <c r="V85" s="462"/>
      <c r="W85" s="464"/>
      <c r="X85" s="474"/>
      <c r="Y85" s="475"/>
      <c r="Z85" s="462"/>
      <c r="AA85" s="464"/>
      <c r="AB85" s="462"/>
      <c r="AC85" s="464"/>
      <c r="AD85" s="462"/>
      <c r="AE85" s="464"/>
      <c r="AF85" s="505"/>
      <c r="AG85" s="504"/>
      <c r="AH85" s="265">
        <f>B85+D85+F85+H85+J85+X85+AF85+L85</f>
        <v>-41507133</v>
      </c>
      <c r="AI85" s="178"/>
    </row>
    <row r="86" spans="1:36" ht="37.5" customHeight="1" thickBot="1">
      <c r="A86" s="193" t="s">
        <v>40</v>
      </c>
      <c r="B86" s="472">
        <f>B8++B9+B19+B21+B23+B25+B28+B30+B32+B34+B36+B38+B40+B42+B45+B47+B49+B51+B53+B55+B57+B59+B61+B63+B65+B67+B69+B71+B77+B80+B82</f>
        <v>272960471</v>
      </c>
      <c r="C86" s="473"/>
      <c r="D86" s="472">
        <f>D8++D9+D19+D21+D23+D25+D28+D30+D32+D34+D36+D38+D40+D42+D45+D47+D49+D51+D53+D55+D57+D59+D61+D63+D65+D67+D69+D71+D77+D80+D82</f>
        <v>160666400</v>
      </c>
      <c r="E86" s="473"/>
      <c r="F86" s="472">
        <f>F8++F9+F19+F21+F23+F25+F28+F30+F32+F34+F36+F38+F40+F42+F45+F47+F49+F51+F53+F55+F57+F59+F61+F63+F65+F67+F69+F71+F77+F80+F82</f>
        <v>6914545</v>
      </c>
      <c r="G86" s="473"/>
      <c r="H86" s="472">
        <f>H8++H9+H19+H21+H23+H25+H28+H30+H32+H34+H36+H38+H40+H42+H45+H47+H49+H51+H53+H55+H57+H59+H61+H63+H65+H67+H69+H71+H77+H80+H82</f>
        <v>6914545</v>
      </c>
      <c r="I86" s="473"/>
      <c r="J86" s="472">
        <f>J8++J9+J19+J21+J23+J25+J28+J30+J32+J34+J36+J38+J40+J42+J45+J47+J49+J51+J53+J55+J57+J59+J61+J63+J65+J67+J69+J71+J77+J80+J82</f>
        <v>29480000</v>
      </c>
      <c r="K86" s="473"/>
      <c r="L86" s="472">
        <f>L8++L9+L19+L21+L23+L25+L28+L30+L32+L34+L36+L38+L40+L42+L45+L47+L49+L51+L53+L55+L57+L59+L61+L63+L65+L67+L69+L71+L77+L80+L82</f>
        <v>84907720</v>
      </c>
      <c r="M86" s="473"/>
      <c r="N86" s="472">
        <f>N8++N9+N19+N21+N23+N25+N28+N30+N32+N34+N36+N38+N40+N42+N45+N47+N49+N51+N53+N55+N57+N59+N61+N63+N65+N67+N69+N71+N77+N80+N82</f>
        <v>70216000</v>
      </c>
      <c r="O86" s="473"/>
      <c r="P86" s="472">
        <f>P8++P9+P19+P21+P23+P25+P28+P30+P32+P34+P36+P38+P40+P42+P45+P47+P49+P51+P53+P55+P57+P59+P61+P63+P65+P67+P69+P71+P77+P80+P82</f>
        <v>37830700</v>
      </c>
      <c r="Q86" s="473"/>
      <c r="R86" s="472">
        <f>R8++R9+R19+R21+R23+R25+R28+R30+R32+R34+R36+R38+R40+R42+R45+R47+R49+R51+R53+R55+R57+R59+R61+R63+R65+R67+R69+R71+R77+R80+R82</f>
        <v>17799567</v>
      </c>
      <c r="S86" s="473"/>
      <c r="T86" s="472">
        <f>T8++T9+T19+T21+T23+T25+T28+T30+T32+T34+T36+T38+T40+T42+T45+T47+T49+T51+T53+T55+T57+T59+T61+T63+T65+T67+T69+T71+T77+T80+T82</f>
        <v>11793200</v>
      </c>
      <c r="U86" s="473"/>
      <c r="V86" s="472">
        <f>V8++V9+V19+V21+V23+V25+V28+V30+V32+V34+V36+V38+V40+V42+V45+V47+V49+V51+V53+V55+V57+V59+V61+V63+V65+V67+V69+V71+V77+V80+V82+V73+V75</f>
        <v>22908600</v>
      </c>
      <c r="W86" s="473"/>
      <c r="X86" s="472">
        <f>X8++X9+X19+X21+X23+X25+X28+X30+X32+X34+X36+X38+X40+X42+X45+X47+X49+X51+X53+X55+X57+X59+X61+X63+X65+X67+X69+X71+X77+X80+X82+X75+X73</f>
        <v>160548067</v>
      </c>
      <c r="Y86" s="473"/>
      <c r="Z86" s="472">
        <f>Z8++Z9+Z19+Z21+Z23+Z25+Z28+Z30+Z32+Z34+Z36+Z38+Z40+Z42+Z45+Z47+Z49+Z51+Z53+Z55+Z57+Z59+Z61+Z63+Z65+Z67+Z69+Z71+Z77+Z80+Z82</f>
        <v>81381633</v>
      </c>
      <c r="AA86" s="473"/>
      <c r="AB86" s="472">
        <f>AB8++AB9+AB19+AB21+AB23+AB25+AB28+AB30+AB32+AB34+AB36+AB38+AB40+AB42+AB45+AB47+AB49+AB51+AB53+AB55+AB57+AB59+AB61+AB63+AB65+AB67+AB69+AB71+AB77+AB80+AB82</f>
        <v>14247700</v>
      </c>
      <c r="AC86" s="473"/>
      <c r="AD86" s="472">
        <f>AD8++AD9+AD19+AD21+AD23+AD25+AD28+AD30+AD32+AD34+AD36+AD38+AD40+AD42+AD45+AD47+AD49+AD51+AD53+AD55+AD57+AD59+AD61+AD63+AD65+AD67+AD69+AD71+AD77+AD80+AD82</f>
        <v>10315234</v>
      </c>
      <c r="AE86" s="473"/>
      <c r="AF86" s="472">
        <f>AF8++AF9+AF19+AF21+AF23+AF25+AF28+AF30+AF32+AF34+AF36+AF38+AF40+AF42+AF45+AF47+AF49+AF51+AF53+AF55+AF57+AF59+AF61+AF63+AF65+AF67+AF69+AF71+AF77+AF80+AF82+AF73+AF75</f>
        <v>105944567</v>
      </c>
      <c r="AG86" s="473"/>
      <c r="AH86" s="472">
        <f>AH8++AH9+AH19+AH21+AH23+AH25+AH28+AH30+AH32+AH34+AH36+AH38+AH40+AH42+AH45+AH47+AH49+AH51+AH53+AH55+AH57+AH59+AH61+AH63+AH65+AH67+AH69+AH71+AH73+AH75+AH77+AH80+AH82</f>
        <v>828336315</v>
      </c>
      <c r="AI86" s="473"/>
      <c r="AJ86" s="3">
        <f>AJ82+AJ77+AJ42+AJ25</f>
        <v>812913715</v>
      </c>
    </row>
    <row r="87" spans="2:36" ht="13.5" thickBot="1">
      <c r="B87" s="489"/>
      <c r="C87" s="490"/>
      <c r="D87" s="489"/>
      <c r="E87" s="491"/>
      <c r="F87" s="489"/>
      <c r="G87" s="490"/>
      <c r="H87" s="489"/>
      <c r="I87" s="490"/>
      <c r="J87" s="489"/>
      <c r="K87" s="490"/>
      <c r="L87" s="194"/>
      <c r="M87" s="165"/>
      <c r="N87" s="489"/>
      <c r="O87" s="490"/>
      <c r="P87" s="489"/>
      <c r="Q87" s="490"/>
      <c r="R87" s="489"/>
      <c r="S87" s="490"/>
      <c r="T87" s="195"/>
      <c r="U87" s="196"/>
      <c r="V87" s="195"/>
      <c r="W87" s="196"/>
      <c r="X87" s="489"/>
      <c r="Y87" s="491"/>
      <c r="Z87" s="195"/>
      <c r="AA87" s="196"/>
      <c r="AB87" s="195"/>
      <c r="AC87" s="196"/>
      <c r="AD87" s="195"/>
      <c r="AE87" s="196"/>
      <c r="AF87" s="480"/>
      <c r="AG87" s="481"/>
      <c r="AH87" s="492"/>
      <c r="AI87" s="493"/>
      <c r="AJ87" s="3"/>
    </row>
    <row r="88" spans="1:37" s="4" customFormat="1" ht="31.5" customHeight="1" thickBot="1">
      <c r="A88" s="197" t="s">
        <v>64</v>
      </c>
      <c r="B88" s="478">
        <f>B86</f>
        <v>272960471</v>
      </c>
      <c r="C88" s="479"/>
      <c r="D88" s="478">
        <f>D86</f>
        <v>160666400</v>
      </c>
      <c r="E88" s="488"/>
      <c r="F88" s="478">
        <f>F86</f>
        <v>6914545</v>
      </c>
      <c r="G88" s="479"/>
      <c r="H88" s="478">
        <f>H86</f>
        <v>6914545</v>
      </c>
      <c r="I88" s="479"/>
      <c r="J88" s="487">
        <f>J86</f>
        <v>29480000</v>
      </c>
      <c r="K88" s="486"/>
      <c r="L88" s="487">
        <f>L86</f>
        <v>84907720</v>
      </c>
      <c r="M88" s="486"/>
      <c r="N88" s="478">
        <f>N86</f>
        <v>70216000</v>
      </c>
      <c r="O88" s="479"/>
      <c r="P88" s="478">
        <f>P86</f>
        <v>37830700</v>
      </c>
      <c r="Q88" s="479"/>
      <c r="R88" s="478">
        <f>R86</f>
        <v>17799567</v>
      </c>
      <c r="S88" s="479"/>
      <c r="T88" s="478">
        <f>T86</f>
        <v>11793200</v>
      </c>
      <c r="U88" s="479"/>
      <c r="V88" s="478">
        <f>V86</f>
        <v>22908600</v>
      </c>
      <c r="W88" s="479"/>
      <c r="X88" s="478">
        <f>X86</f>
        <v>160548067</v>
      </c>
      <c r="Y88" s="488"/>
      <c r="Z88" s="478">
        <f>Z86</f>
        <v>81381633</v>
      </c>
      <c r="AA88" s="479"/>
      <c r="AB88" s="478">
        <f>AB86</f>
        <v>14247700</v>
      </c>
      <c r="AC88" s="479"/>
      <c r="AD88" s="478">
        <f>AD86</f>
        <v>10315234</v>
      </c>
      <c r="AE88" s="479"/>
      <c r="AF88" s="494">
        <f>AF86</f>
        <v>105944567</v>
      </c>
      <c r="AG88" s="495"/>
      <c r="AH88" s="485">
        <f>AH86</f>
        <v>828336315</v>
      </c>
      <c r="AI88" s="486"/>
      <c r="AK88" s="4">
        <f>AK53+AK55+AK57+AK59+AK63</f>
        <v>7683787</v>
      </c>
    </row>
    <row r="89" spans="2:35" ht="21.75" customHeight="1">
      <c r="B89" s="482">
        <f>SUM(B88:M88)+X88+AF88</f>
        <v>828336315</v>
      </c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4"/>
      <c r="AH89" s="476"/>
      <c r="AI89" s="477"/>
    </row>
    <row r="90" spans="2:33" ht="16.5" thickBot="1">
      <c r="B90" s="566" t="s">
        <v>65</v>
      </c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F90" s="567"/>
      <c r="AG90" s="568"/>
    </row>
  </sheetData>
  <sheetProtection/>
  <mergeCells count="589">
    <mergeCell ref="T73:U73"/>
    <mergeCell ref="V73:W73"/>
    <mergeCell ref="X73:Y73"/>
    <mergeCell ref="Z73:AA73"/>
    <mergeCell ref="AB73:AC73"/>
    <mergeCell ref="AD75:AE75"/>
    <mergeCell ref="T75:U75"/>
    <mergeCell ref="V75:W75"/>
    <mergeCell ref="X75:Y75"/>
    <mergeCell ref="Z75:AA75"/>
    <mergeCell ref="B73:C73"/>
    <mergeCell ref="D73:E73"/>
    <mergeCell ref="F73:G73"/>
    <mergeCell ref="H73:I73"/>
    <mergeCell ref="J73:K73"/>
    <mergeCell ref="L73:M73"/>
    <mergeCell ref="B75:C75"/>
    <mergeCell ref="D75:E75"/>
    <mergeCell ref="F75:G75"/>
    <mergeCell ref="H75:I75"/>
    <mergeCell ref="J75:K75"/>
    <mergeCell ref="L75:M75"/>
    <mergeCell ref="B90:AG90"/>
    <mergeCell ref="J57:K57"/>
    <mergeCell ref="B63:C63"/>
    <mergeCell ref="D63:E63"/>
    <mergeCell ref="F63:G63"/>
    <mergeCell ref="H63:I63"/>
    <mergeCell ref="J59:K59"/>
    <mergeCell ref="B61:C61"/>
    <mergeCell ref="D61:E61"/>
    <mergeCell ref="F61:G61"/>
    <mergeCell ref="H61:I61"/>
    <mergeCell ref="J61:K61"/>
    <mergeCell ref="J63:K63"/>
    <mergeCell ref="D49:E49"/>
    <mergeCell ref="F49:G49"/>
    <mergeCell ref="H49:I49"/>
    <mergeCell ref="D51:E51"/>
    <mergeCell ref="F51:G51"/>
    <mergeCell ref="H51:I51"/>
    <mergeCell ref="J51:K51"/>
    <mergeCell ref="B59:C59"/>
    <mergeCell ref="D59:E59"/>
    <mergeCell ref="F59:G59"/>
    <mergeCell ref="H59:I59"/>
    <mergeCell ref="H53:I53"/>
    <mergeCell ref="B57:C57"/>
    <mergeCell ref="D57:E57"/>
    <mergeCell ref="F57:G57"/>
    <mergeCell ref="H57:I57"/>
    <mergeCell ref="B51:C51"/>
    <mergeCell ref="B55:C55"/>
    <mergeCell ref="D55:E55"/>
    <mergeCell ref="F55:G55"/>
    <mergeCell ref="B53:C53"/>
    <mergeCell ref="D53:E53"/>
    <mergeCell ref="F53:G53"/>
    <mergeCell ref="L49:M49"/>
    <mergeCell ref="J42:K42"/>
    <mergeCell ref="H55:I55"/>
    <mergeCell ref="H36:I36"/>
    <mergeCell ref="L47:M47"/>
    <mergeCell ref="J45:K45"/>
    <mergeCell ref="L53:M53"/>
    <mergeCell ref="J36:K36"/>
    <mergeCell ref="J53:K53"/>
    <mergeCell ref="J55:K55"/>
    <mergeCell ref="J49:K49"/>
    <mergeCell ref="J34:K34"/>
    <mergeCell ref="D40:E40"/>
    <mergeCell ref="F40:G40"/>
    <mergeCell ref="H40:I40"/>
    <mergeCell ref="J28:K28"/>
    <mergeCell ref="F38:G38"/>
    <mergeCell ref="F34:G34"/>
    <mergeCell ref="D34:E34"/>
    <mergeCell ref="J30:K30"/>
    <mergeCell ref="AB34:AC34"/>
    <mergeCell ref="P34:Q34"/>
    <mergeCell ref="AD34:AE34"/>
    <mergeCell ref="H42:I42"/>
    <mergeCell ref="V40:W40"/>
    <mergeCell ref="AD36:AE36"/>
    <mergeCell ref="R36:S36"/>
    <mergeCell ref="H38:I38"/>
    <mergeCell ref="J38:K38"/>
    <mergeCell ref="H34:I34"/>
    <mergeCell ref="V17:W17"/>
    <mergeCell ref="V15:W15"/>
    <mergeCell ref="P15:Q15"/>
    <mergeCell ref="R15:S15"/>
    <mergeCell ref="T15:U15"/>
    <mergeCell ref="T19:U19"/>
    <mergeCell ref="R19:S19"/>
    <mergeCell ref="V19:W19"/>
    <mergeCell ref="T22:U22"/>
    <mergeCell ref="P22:Q22"/>
    <mergeCell ref="R23:S23"/>
    <mergeCell ref="P17:Q17"/>
    <mergeCell ref="R17:S17"/>
    <mergeCell ref="T17:U17"/>
    <mergeCell ref="P21:Q21"/>
    <mergeCell ref="R22:S22"/>
    <mergeCell ref="P19:Q19"/>
    <mergeCell ref="P23:Q23"/>
    <mergeCell ref="AF30:AG30"/>
    <mergeCell ref="X32:Y32"/>
    <mergeCell ref="Z30:AA30"/>
    <mergeCell ref="Z32:AA32"/>
    <mergeCell ref="R30:S30"/>
    <mergeCell ref="H28:I28"/>
    <mergeCell ref="N28:O28"/>
    <mergeCell ref="R28:S28"/>
    <mergeCell ref="L32:M32"/>
    <mergeCell ref="AF28:AG28"/>
    <mergeCell ref="AD30:AE30"/>
    <mergeCell ref="L34:M34"/>
    <mergeCell ref="X28:Y28"/>
    <mergeCell ref="P28:Q28"/>
    <mergeCell ref="R21:S21"/>
    <mergeCell ref="X21:Y21"/>
    <mergeCell ref="AD32:AE32"/>
    <mergeCell ref="P30:Q30"/>
    <mergeCell ref="N23:O23"/>
    <mergeCell ref="AD21:AE21"/>
    <mergeCell ref="AF32:AG32"/>
    <mergeCell ref="AB30:AC30"/>
    <mergeCell ref="B49:C49"/>
    <mergeCell ref="X34:Y34"/>
    <mergeCell ref="Z34:AA34"/>
    <mergeCell ref="H32:I32"/>
    <mergeCell ref="B34:C34"/>
    <mergeCell ref="V32:W32"/>
    <mergeCell ref="D36:E36"/>
    <mergeCell ref="R34:S34"/>
    <mergeCell ref="B25:C25"/>
    <mergeCell ref="F36:G36"/>
    <mergeCell ref="L36:M36"/>
    <mergeCell ref="P32:Q32"/>
    <mergeCell ref="B30:C30"/>
    <mergeCell ref="D30:E30"/>
    <mergeCell ref="F32:G32"/>
    <mergeCell ref="D32:E32"/>
    <mergeCell ref="H30:I30"/>
    <mergeCell ref="F30:G30"/>
    <mergeCell ref="R24:S24"/>
    <mergeCell ref="A16:A17"/>
    <mergeCell ref="V22:W22"/>
    <mergeCell ref="N22:O22"/>
    <mergeCell ref="Z28:AA28"/>
    <mergeCell ref="V23:W23"/>
    <mergeCell ref="B23:C23"/>
    <mergeCell ref="N25:O25"/>
    <mergeCell ref="T25:U25"/>
    <mergeCell ref="V25:W25"/>
    <mergeCell ref="V28:W28"/>
    <mergeCell ref="F11:G11"/>
    <mergeCell ref="B17:C17"/>
    <mergeCell ref="V13:W13"/>
    <mergeCell ref="T28:U28"/>
    <mergeCell ref="D11:E11"/>
    <mergeCell ref="N13:O13"/>
    <mergeCell ref="N15:O15"/>
    <mergeCell ref="N17:O17"/>
    <mergeCell ref="F28:G28"/>
    <mergeCell ref="Z23:AA23"/>
    <mergeCell ref="V21:W21"/>
    <mergeCell ref="P25:Q25"/>
    <mergeCell ref="R25:S25"/>
    <mergeCell ref="T23:U23"/>
    <mergeCell ref="X23:Y23"/>
    <mergeCell ref="T24:U24"/>
    <mergeCell ref="V24:W24"/>
    <mergeCell ref="T21:U21"/>
    <mergeCell ref="Z21:AA21"/>
    <mergeCell ref="A10:A11"/>
    <mergeCell ref="P11:Q11"/>
    <mergeCell ref="J11:K11"/>
    <mergeCell ref="B19:C19"/>
    <mergeCell ref="N21:O21"/>
    <mergeCell ref="N19:O19"/>
    <mergeCell ref="B21:C21"/>
    <mergeCell ref="L11:M11"/>
    <mergeCell ref="P13:Q13"/>
    <mergeCell ref="B15:C15"/>
    <mergeCell ref="V8:W8"/>
    <mergeCell ref="T8:U8"/>
    <mergeCell ref="R8:S8"/>
    <mergeCell ref="P8:Q8"/>
    <mergeCell ref="V11:W11"/>
    <mergeCell ref="A14:A15"/>
    <mergeCell ref="B9:C9"/>
    <mergeCell ref="A12:A13"/>
    <mergeCell ref="B13:C13"/>
    <mergeCell ref="N11:O11"/>
    <mergeCell ref="AH4:AI4"/>
    <mergeCell ref="AD4:AE4"/>
    <mergeCell ref="X4:Y4"/>
    <mergeCell ref="AF4:AG4"/>
    <mergeCell ref="AB4:AC4"/>
    <mergeCell ref="AH5:AI5"/>
    <mergeCell ref="N40:O40"/>
    <mergeCell ref="AB28:AC28"/>
    <mergeCell ref="AH6:AI6"/>
    <mergeCell ref="N1:AG1"/>
    <mergeCell ref="N2:AG2"/>
    <mergeCell ref="T4:U4"/>
    <mergeCell ref="R4:S4"/>
    <mergeCell ref="V4:W4"/>
    <mergeCell ref="Z4:AA4"/>
    <mergeCell ref="AF23:AG23"/>
    <mergeCell ref="AF21:AG21"/>
    <mergeCell ref="AB21:AC21"/>
    <mergeCell ref="AD23:AE23"/>
    <mergeCell ref="AB23:AC23"/>
    <mergeCell ref="J4:K4"/>
    <mergeCell ref="D42:E42"/>
    <mergeCell ref="H11:I11"/>
    <mergeCell ref="V36:W36"/>
    <mergeCell ref="X38:Y38"/>
    <mergeCell ref="N34:O34"/>
    <mergeCell ref="B42:C42"/>
    <mergeCell ref="F4:G4"/>
    <mergeCell ref="H4:I4"/>
    <mergeCell ref="L4:M4"/>
    <mergeCell ref="B4:C4"/>
    <mergeCell ref="D4:E4"/>
    <mergeCell ref="B11:C11"/>
    <mergeCell ref="D8:E8"/>
    <mergeCell ref="J32:K32"/>
    <mergeCell ref="B32:C32"/>
    <mergeCell ref="P36:Q36"/>
    <mergeCell ref="B28:C28"/>
    <mergeCell ref="L28:M28"/>
    <mergeCell ref="D28:E28"/>
    <mergeCell ref="R32:S32"/>
    <mergeCell ref="N30:O30"/>
    <mergeCell ref="N36:O36"/>
    <mergeCell ref="B36:C36"/>
    <mergeCell ref="N32:O32"/>
    <mergeCell ref="L30:M30"/>
    <mergeCell ref="R11:S11"/>
    <mergeCell ref="T11:U11"/>
    <mergeCell ref="P4:Q4"/>
    <mergeCell ref="N4:O4"/>
    <mergeCell ref="N8:O8"/>
    <mergeCell ref="R13:S13"/>
    <mergeCell ref="T13:U13"/>
    <mergeCell ref="A37:A38"/>
    <mergeCell ref="N38:O38"/>
    <mergeCell ref="P38:Q38"/>
    <mergeCell ref="R38:S38"/>
    <mergeCell ref="B38:C38"/>
    <mergeCell ref="D38:E38"/>
    <mergeCell ref="L38:M38"/>
    <mergeCell ref="AH26:AI26"/>
    <mergeCell ref="T34:U34"/>
    <mergeCell ref="V34:W34"/>
    <mergeCell ref="AB32:AC32"/>
    <mergeCell ref="X30:Y30"/>
    <mergeCell ref="T30:U30"/>
    <mergeCell ref="T32:U32"/>
    <mergeCell ref="AF34:AG34"/>
    <mergeCell ref="V30:W30"/>
    <mergeCell ref="AD28:AE28"/>
    <mergeCell ref="AH43:AI43"/>
    <mergeCell ref="AF45:AG45"/>
    <mergeCell ref="X45:Y45"/>
    <mergeCell ref="Z45:AA45"/>
    <mergeCell ref="AD45:AE45"/>
    <mergeCell ref="AF42:AG42"/>
    <mergeCell ref="AD42:AE42"/>
    <mergeCell ref="T36:U36"/>
    <mergeCell ref="AF36:AG36"/>
    <mergeCell ref="X36:Y36"/>
    <mergeCell ref="Z36:AA36"/>
    <mergeCell ref="AF40:AG40"/>
    <mergeCell ref="AB40:AC40"/>
    <mergeCell ref="AF38:AG38"/>
    <mergeCell ref="T38:U38"/>
    <mergeCell ref="V38:W38"/>
    <mergeCell ref="AB36:AC36"/>
    <mergeCell ref="A39:A40"/>
    <mergeCell ref="R40:S40"/>
    <mergeCell ref="AD40:AE40"/>
    <mergeCell ref="B40:C40"/>
    <mergeCell ref="X40:Y40"/>
    <mergeCell ref="J40:K40"/>
    <mergeCell ref="L40:M40"/>
    <mergeCell ref="P40:Q40"/>
    <mergeCell ref="T40:U40"/>
    <mergeCell ref="Z40:AA40"/>
    <mergeCell ref="AD38:AE38"/>
    <mergeCell ref="Z38:AA38"/>
    <mergeCell ref="AB38:AC38"/>
    <mergeCell ref="AB45:AC45"/>
    <mergeCell ref="L45:M45"/>
    <mergeCell ref="V42:W42"/>
    <mergeCell ref="X42:Y42"/>
    <mergeCell ref="Z42:AA42"/>
    <mergeCell ref="AB42:AC42"/>
    <mergeCell ref="T45:U45"/>
    <mergeCell ref="R45:S45"/>
    <mergeCell ref="T42:U42"/>
    <mergeCell ref="B47:C47"/>
    <mergeCell ref="F42:G42"/>
    <mergeCell ref="P47:Q47"/>
    <mergeCell ref="L42:M42"/>
    <mergeCell ref="B45:C45"/>
    <mergeCell ref="D45:E45"/>
    <mergeCell ref="F45:G45"/>
    <mergeCell ref="H45:I45"/>
    <mergeCell ref="X47:Y47"/>
    <mergeCell ref="V45:W45"/>
    <mergeCell ref="Z49:AA49"/>
    <mergeCell ref="AB49:AC49"/>
    <mergeCell ref="V49:W49"/>
    <mergeCell ref="X49:Y49"/>
    <mergeCell ref="AF49:AG49"/>
    <mergeCell ref="AF53:AG53"/>
    <mergeCell ref="V51:W51"/>
    <mergeCell ref="T47:U47"/>
    <mergeCell ref="P45:Q45"/>
    <mergeCell ref="R42:S42"/>
    <mergeCell ref="AD47:AE47"/>
    <mergeCell ref="AD51:AE51"/>
    <mergeCell ref="AF47:AG47"/>
    <mergeCell ref="R47:S47"/>
    <mergeCell ref="N47:O47"/>
    <mergeCell ref="AB47:AC47"/>
    <mergeCell ref="P53:Q53"/>
    <mergeCell ref="R53:S53"/>
    <mergeCell ref="T53:U53"/>
    <mergeCell ref="R51:S51"/>
    <mergeCell ref="X51:Y51"/>
    <mergeCell ref="T49:U49"/>
    <mergeCell ref="V47:W47"/>
    <mergeCell ref="Z47:AA47"/>
    <mergeCell ref="AF51:AG51"/>
    <mergeCell ref="R55:S55"/>
    <mergeCell ref="T55:U55"/>
    <mergeCell ref="Z55:AA55"/>
    <mergeCell ref="AB55:AC55"/>
    <mergeCell ref="X53:Y53"/>
    <mergeCell ref="Z51:AA51"/>
    <mergeCell ref="Z53:AA53"/>
    <mergeCell ref="T57:U57"/>
    <mergeCell ref="V57:W57"/>
    <mergeCell ref="AD53:AE53"/>
    <mergeCell ref="AB53:AC53"/>
    <mergeCell ref="V53:W53"/>
    <mergeCell ref="T51:U51"/>
    <mergeCell ref="AD55:AE55"/>
    <mergeCell ref="AB51:AC51"/>
    <mergeCell ref="X57:Y57"/>
    <mergeCell ref="AD49:AE49"/>
    <mergeCell ref="AF55:AG55"/>
    <mergeCell ref="AB57:AC57"/>
    <mergeCell ref="Z57:AA57"/>
    <mergeCell ref="P49:Q49"/>
    <mergeCell ref="R49:S49"/>
    <mergeCell ref="V55:W55"/>
    <mergeCell ref="X55:Y55"/>
    <mergeCell ref="P57:Q57"/>
    <mergeCell ref="R57:S57"/>
    <mergeCell ref="AF61:AG61"/>
    <mergeCell ref="P55:Q55"/>
    <mergeCell ref="AF57:AG57"/>
    <mergeCell ref="AF59:AG59"/>
    <mergeCell ref="Z59:AA59"/>
    <mergeCell ref="AB59:AC59"/>
    <mergeCell ref="AD59:AE59"/>
    <mergeCell ref="AD57:AE57"/>
    <mergeCell ref="R59:S59"/>
    <mergeCell ref="T59:U59"/>
    <mergeCell ref="P61:Q61"/>
    <mergeCell ref="R63:S63"/>
    <mergeCell ref="V59:W59"/>
    <mergeCell ref="X59:Y59"/>
    <mergeCell ref="P63:Q63"/>
    <mergeCell ref="X61:Y61"/>
    <mergeCell ref="AB61:AC61"/>
    <mergeCell ref="T63:U63"/>
    <mergeCell ref="V63:W63"/>
    <mergeCell ref="Z63:AA63"/>
    <mergeCell ref="T61:U61"/>
    <mergeCell ref="Z61:AA61"/>
    <mergeCell ref="V61:W61"/>
    <mergeCell ref="X63:Y63"/>
    <mergeCell ref="AF63:AG63"/>
    <mergeCell ref="AD61:AE61"/>
    <mergeCell ref="H80:I80"/>
    <mergeCell ref="N80:O80"/>
    <mergeCell ref="P67:Q67"/>
    <mergeCell ref="R67:S67"/>
    <mergeCell ref="L67:M67"/>
    <mergeCell ref="AB63:AC63"/>
    <mergeCell ref="R61:S61"/>
    <mergeCell ref="T67:U67"/>
    <mergeCell ref="D67:E67"/>
    <mergeCell ref="F67:G67"/>
    <mergeCell ref="D71:E71"/>
    <mergeCell ref="F71:G71"/>
    <mergeCell ref="AD63:AE63"/>
    <mergeCell ref="AD67:AE67"/>
    <mergeCell ref="Z65:AA65"/>
    <mergeCell ref="AB65:AC65"/>
    <mergeCell ref="R65:S65"/>
    <mergeCell ref="T65:U65"/>
    <mergeCell ref="A64:A65"/>
    <mergeCell ref="N65:O65"/>
    <mergeCell ref="J71:K71"/>
    <mergeCell ref="D77:E77"/>
    <mergeCell ref="N69:O69"/>
    <mergeCell ref="N71:O71"/>
    <mergeCell ref="J77:K77"/>
    <mergeCell ref="D69:E69"/>
    <mergeCell ref="H69:I69"/>
    <mergeCell ref="B67:C67"/>
    <mergeCell ref="A66:A67"/>
    <mergeCell ref="N67:O67"/>
    <mergeCell ref="B77:C77"/>
    <mergeCell ref="H71:I71"/>
    <mergeCell ref="B69:C69"/>
    <mergeCell ref="B71:C71"/>
    <mergeCell ref="H67:I67"/>
    <mergeCell ref="J67:K67"/>
    <mergeCell ref="J69:K69"/>
    <mergeCell ref="F69:G69"/>
    <mergeCell ref="B65:C65"/>
    <mergeCell ref="D65:E65"/>
    <mergeCell ref="F65:G65"/>
    <mergeCell ref="H65:I65"/>
    <mergeCell ref="J65:K65"/>
    <mergeCell ref="AF69:AG69"/>
    <mergeCell ref="AF67:AG67"/>
    <mergeCell ref="AF65:AG65"/>
    <mergeCell ref="AD65:AE65"/>
    <mergeCell ref="AB67:AC67"/>
    <mergeCell ref="AB69:AC69"/>
    <mergeCell ref="Z69:AA69"/>
    <mergeCell ref="AD69:AE69"/>
    <mergeCell ref="V65:W65"/>
    <mergeCell ref="X65:Y65"/>
    <mergeCell ref="V67:W67"/>
    <mergeCell ref="X69:Y69"/>
    <mergeCell ref="V69:W69"/>
    <mergeCell ref="Z67:AA67"/>
    <mergeCell ref="X67:Y67"/>
    <mergeCell ref="N85:O85"/>
    <mergeCell ref="F86:G86"/>
    <mergeCell ref="J86:K86"/>
    <mergeCell ref="X71:Y71"/>
    <mergeCell ref="Z71:AA71"/>
    <mergeCell ref="AB71:AC71"/>
    <mergeCell ref="AB75:AC75"/>
    <mergeCell ref="N73:O73"/>
    <mergeCell ref="R73:S73"/>
    <mergeCell ref="R75:S75"/>
    <mergeCell ref="F80:G80"/>
    <mergeCell ref="B86:C86"/>
    <mergeCell ref="H86:I86"/>
    <mergeCell ref="T77:U77"/>
    <mergeCell ref="T82:U82"/>
    <mergeCell ref="T80:U80"/>
    <mergeCell ref="D86:E86"/>
    <mergeCell ref="T86:U86"/>
    <mergeCell ref="P86:Q86"/>
    <mergeCell ref="N86:O86"/>
    <mergeCell ref="R69:S69"/>
    <mergeCell ref="P71:Q71"/>
    <mergeCell ref="B82:C82"/>
    <mergeCell ref="R77:S77"/>
    <mergeCell ref="B85:C85"/>
    <mergeCell ref="B80:C80"/>
    <mergeCell ref="P85:Q85"/>
    <mergeCell ref="R85:S85"/>
    <mergeCell ref="F77:G77"/>
    <mergeCell ref="H77:I77"/>
    <mergeCell ref="N77:O77"/>
    <mergeCell ref="P80:Q80"/>
    <mergeCell ref="T69:U69"/>
    <mergeCell ref="N82:O82"/>
    <mergeCell ref="L69:M69"/>
    <mergeCell ref="L77:M77"/>
    <mergeCell ref="L71:M71"/>
    <mergeCell ref="T71:U71"/>
    <mergeCell ref="N75:O75"/>
    <mergeCell ref="P69:Q69"/>
    <mergeCell ref="AD73:AE73"/>
    <mergeCell ref="AF73:AG73"/>
    <mergeCell ref="V82:W82"/>
    <mergeCell ref="R80:S80"/>
    <mergeCell ref="V71:W71"/>
    <mergeCell ref="V80:W80"/>
    <mergeCell ref="R82:S82"/>
    <mergeCell ref="R71:S71"/>
    <mergeCell ref="AB77:AC77"/>
    <mergeCell ref="AF75:AG75"/>
    <mergeCell ref="AD80:AE80"/>
    <mergeCell ref="AF80:AG80"/>
    <mergeCell ref="AD85:AE85"/>
    <mergeCell ref="AF85:AG85"/>
    <mergeCell ref="AD77:AE77"/>
    <mergeCell ref="AF77:AG77"/>
    <mergeCell ref="AH78:AI78"/>
    <mergeCell ref="AD71:AE71"/>
    <mergeCell ref="B87:C87"/>
    <mergeCell ref="F87:G87"/>
    <mergeCell ref="D87:E87"/>
    <mergeCell ref="H87:I87"/>
    <mergeCell ref="J87:K87"/>
    <mergeCell ref="V77:W77"/>
    <mergeCell ref="AH83:AI83"/>
    <mergeCell ref="AF71:AG71"/>
    <mergeCell ref="F88:G88"/>
    <mergeCell ref="R88:S88"/>
    <mergeCell ref="N87:O87"/>
    <mergeCell ref="H88:I88"/>
    <mergeCell ref="AF82:AG82"/>
    <mergeCell ref="AD82:AE82"/>
    <mergeCell ref="J82:K82"/>
    <mergeCell ref="P82:Q82"/>
    <mergeCell ref="L86:M86"/>
    <mergeCell ref="X86:Y86"/>
    <mergeCell ref="R87:S87"/>
    <mergeCell ref="X87:Y87"/>
    <mergeCell ref="AH87:AI87"/>
    <mergeCell ref="AH86:AI86"/>
    <mergeCell ref="AF88:AG88"/>
    <mergeCell ref="P88:Q88"/>
    <mergeCell ref="V88:W88"/>
    <mergeCell ref="X88:Y88"/>
    <mergeCell ref="AF86:AG86"/>
    <mergeCell ref="AB86:AC86"/>
    <mergeCell ref="AB85:AC85"/>
    <mergeCell ref="B89:AG89"/>
    <mergeCell ref="AH88:AI88"/>
    <mergeCell ref="J88:K88"/>
    <mergeCell ref="T88:U88"/>
    <mergeCell ref="L88:M88"/>
    <mergeCell ref="N88:O88"/>
    <mergeCell ref="B88:C88"/>
    <mergeCell ref="D88:E88"/>
    <mergeCell ref="P87:Q87"/>
    <mergeCell ref="AD86:AE86"/>
    <mergeCell ref="AH89:AI89"/>
    <mergeCell ref="Z88:AA88"/>
    <mergeCell ref="AB88:AC88"/>
    <mergeCell ref="AD88:AE88"/>
    <mergeCell ref="AF87:AG87"/>
    <mergeCell ref="R86:S86"/>
    <mergeCell ref="V86:W86"/>
    <mergeCell ref="Z86:AA86"/>
    <mergeCell ref="Z82:AA82"/>
    <mergeCell ref="X80:Y80"/>
    <mergeCell ref="Z80:AA80"/>
    <mergeCell ref="T85:U85"/>
    <mergeCell ref="V85:W85"/>
    <mergeCell ref="X85:Y85"/>
    <mergeCell ref="Z85:AA85"/>
    <mergeCell ref="AB80:AC80"/>
    <mergeCell ref="AB82:AC82"/>
    <mergeCell ref="N49:O49"/>
    <mergeCell ref="P65:Q65"/>
    <mergeCell ref="X82:Y82"/>
    <mergeCell ref="X77:Y77"/>
    <mergeCell ref="Z77:AA77"/>
    <mergeCell ref="N61:O61"/>
    <mergeCell ref="P51:Q51"/>
    <mergeCell ref="P59:Q59"/>
    <mergeCell ref="L65:M65"/>
    <mergeCell ref="N63:O63"/>
    <mergeCell ref="N57:O57"/>
    <mergeCell ref="N59:O59"/>
    <mergeCell ref="L59:M59"/>
    <mergeCell ref="L61:M61"/>
    <mergeCell ref="L63:M63"/>
    <mergeCell ref="L51:M51"/>
    <mergeCell ref="B24:C24"/>
    <mergeCell ref="N24:O24"/>
    <mergeCell ref="P24:Q24"/>
    <mergeCell ref="L55:M55"/>
    <mergeCell ref="L57:M57"/>
    <mergeCell ref="N55:O55"/>
    <mergeCell ref="N51:O51"/>
    <mergeCell ref="N53:O53"/>
    <mergeCell ref="N45:O45"/>
  </mergeCells>
  <printOptions/>
  <pageMargins left="0.31496062992125984" right="0.11811023622047245" top="0.31496062992125984" bottom="0.15748031496062992" header="0.15748031496062992" footer="0.11811023622047245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8"/>
  <sheetViews>
    <sheetView zoomScale="120" zoomScaleNormal="120" zoomScaleSheetLayoutView="120" zoomScalePageLayoutView="0" workbookViewId="0" topLeftCell="A1">
      <selection activeCell="A1" sqref="A1:C1"/>
    </sheetView>
  </sheetViews>
  <sheetFormatPr defaultColWidth="9.00390625" defaultRowHeight="12.75"/>
  <cols>
    <col min="1" max="1" width="43.375" style="25" customWidth="1"/>
    <col min="2" max="2" width="21.25390625" style="25" customWidth="1"/>
    <col min="3" max="3" width="15.625" style="25" bestFit="1" customWidth="1"/>
    <col min="4" max="4" width="12.875" style="25" customWidth="1"/>
    <col min="5" max="5" width="12.375" style="25" bestFit="1" customWidth="1"/>
    <col min="6" max="6" width="11.375" style="25" customWidth="1"/>
    <col min="7" max="7" width="10.75390625" style="25" customWidth="1"/>
    <col min="8" max="8" width="10.25390625" style="25" bestFit="1" customWidth="1"/>
    <col min="9" max="9" width="14.25390625" style="25" customWidth="1"/>
    <col min="10" max="10" width="12.875" style="25" bestFit="1" customWidth="1"/>
    <col min="11" max="26" width="9.125" style="25" customWidth="1"/>
    <col min="27" max="39" width="9.125" style="2" customWidth="1"/>
    <col min="40" max="42" width="0" style="2" hidden="1" customWidth="1"/>
    <col min="43" max="16384" width="9.125" style="2" customWidth="1"/>
  </cols>
  <sheetData>
    <row r="1" spans="1:6" ht="13.5">
      <c r="A1" s="569" t="s">
        <v>447</v>
      </c>
      <c r="B1" s="569"/>
      <c r="C1" s="569"/>
      <c r="D1" s="16"/>
      <c r="E1" s="2"/>
      <c r="F1" s="3"/>
    </row>
    <row r="2" spans="1:10" ht="15.75">
      <c r="A2" s="570" t="s">
        <v>278</v>
      </c>
      <c r="B2" s="570"/>
      <c r="C2" s="570"/>
      <c r="D2" s="570"/>
      <c r="E2" s="570"/>
      <c r="F2" s="570"/>
      <c r="G2" s="570"/>
      <c r="H2" s="570"/>
      <c r="I2" s="570"/>
      <c r="J2" s="570"/>
    </row>
    <row r="4" spans="1:26" s="24" customFormat="1" ht="16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5" customFormat="1" ht="15.75">
      <c r="A5" s="571" t="s">
        <v>11</v>
      </c>
      <c r="B5" s="573" t="s">
        <v>88</v>
      </c>
      <c r="C5" s="575" t="s">
        <v>89</v>
      </c>
      <c r="D5" s="576"/>
      <c r="E5" s="575" t="s">
        <v>90</v>
      </c>
      <c r="F5" s="576"/>
      <c r="G5" s="575" t="s">
        <v>91</v>
      </c>
      <c r="H5" s="576"/>
      <c r="I5" s="575" t="s">
        <v>242</v>
      </c>
      <c r="J5" s="57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15" customFormat="1" ht="16.5" thickBot="1">
      <c r="A6" s="572"/>
      <c r="B6" s="574"/>
      <c r="C6" s="220" t="s">
        <v>92</v>
      </c>
      <c r="D6" s="221" t="s">
        <v>93</v>
      </c>
      <c r="E6" s="220" t="s">
        <v>92</v>
      </c>
      <c r="F6" s="221" t="s">
        <v>93</v>
      </c>
      <c r="G6" s="220" t="s">
        <v>92</v>
      </c>
      <c r="H6" s="221" t="s">
        <v>93</v>
      </c>
      <c r="I6" s="220" t="s">
        <v>92</v>
      </c>
      <c r="J6" s="221" t="s">
        <v>93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10" ht="19.5" customHeight="1" thickBot="1">
      <c r="A7" s="422" t="s">
        <v>253</v>
      </c>
      <c r="B7" s="73" t="s">
        <v>94</v>
      </c>
      <c r="C7" s="74"/>
      <c r="D7" s="75">
        <v>828336315</v>
      </c>
      <c r="E7" s="74"/>
      <c r="F7" s="75"/>
      <c r="G7" s="74"/>
      <c r="H7" s="75"/>
      <c r="I7" s="74">
        <f>C7+E7+G7</f>
        <v>0</v>
      </c>
      <c r="J7" s="75">
        <f>D7+F7+H7</f>
        <v>828336315</v>
      </c>
    </row>
    <row r="8" spans="1:26" s="4" customFormat="1" ht="14.25" thickBot="1">
      <c r="A8" s="73"/>
      <c r="B8" s="73"/>
      <c r="C8" s="76"/>
      <c r="D8" s="76"/>
      <c r="E8" s="76"/>
      <c r="F8" s="76"/>
      <c r="G8" s="76"/>
      <c r="H8" s="76"/>
      <c r="I8" s="76"/>
      <c r="J8" s="7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4" customFormat="1" ht="25.5">
      <c r="A9" s="70" t="s">
        <v>195</v>
      </c>
      <c r="B9" s="79" t="s">
        <v>199</v>
      </c>
      <c r="C9" s="72">
        <v>309480037</v>
      </c>
      <c r="D9" s="214"/>
      <c r="E9" s="72"/>
      <c r="F9" s="214"/>
      <c r="G9" s="72"/>
      <c r="H9" s="214"/>
      <c r="I9" s="72">
        <f aca="true" t="shared" si="0" ref="I9:I27">C9+E9+G9</f>
        <v>309480037</v>
      </c>
      <c r="J9" s="214">
        <f aca="true" t="shared" si="1" ref="J9:J27">D9+F9+H9</f>
        <v>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4" customFormat="1" ht="25.5">
      <c r="A10" s="32" t="s">
        <v>250</v>
      </c>
      <c r="B10" s="28" t="s">
        <v>94</v>
      </c>
      <c r="C10" s="30"/>
      <c r="D10" s="31">
        <v>5360669</v>
      </c>
      <c r="E10" s="30"/>
      <c r="F10" s="31"/>
      <c r="G10" s="30"/>
      <c r="H10" s="31"/>
      <c r="I10" s="30">
        <f t="shared" si="0"/>
        <v>0</v>
      </c>
      <c r="J10" s="31">
        <f t="shared" si="1"/>
        <v>5360669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s="4" customFormat="1" ht="25.5">
      <c r="A11" s="32" t="s">
        <v>251</v>
      </c>
      <c r="B11" s="28" t="s">
        <v>94</v>
      </c>
      <c r="C11" s="30"/>
      <c r="D11" s="31">
        <v>3573779</v>
      </c>
      <c r="E11" s="30"/>
      <c r="F11" s="31"/>
      <c r="G11" s="30"/>
      <c r="H11" s="31"/>
      <c r="I11" s="30">
        <f t="shared" si="0"/>
        <v>0</v>
      </c>
      <c r="J11" s="31">
        <f t="shared" si="1"/>
        <v>3573779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10" ht="25.5">
      <c r="A12" s="32" t="s">
        <v>196</v>
      </c>
      <c r="B12" s="28" t="s">
        <v>199</v>
      </c>
      <c r="C12" s="30">
        <f>6914545+34983925</f>
        <v>41898470</v>
      </c>
      <c r="D12" s="31"/>
      <c r="E12" s="30"/>
      <c r="F12" s="31"/>
      <c r="G12" s="30"/>
      <c r="H12" s="31"/>
      <c r="I12" s="30">
        <f t="shared" si="0"/>
        <v>41898470</v>
      </c>
      <c r="J12" s="31">
        <f t="shared" si="1"/>
        <v>0</v>
      </c>
    </row>
    <row r="13" spans="1:10" ht="25.5">
      <c r="A13" s="32" t="s">
        <v>307</v>
      </c>
      <c r="B13" s="28" t="s">
        <v>199</v>
      </c>
      <c r="C13" s="30">
        <f>6914545+60559568</f>
        <v>67474113</v>
      </c>
      <c r="D13" s="31"/>
      <c r="E13" s="30"/>
      <c r="F13" s="31"/>
      <c r="G13" s="30"/>
      <c r="H13" s="31"/>
      <c r="I13" s="30">
        <f t="shared" si="0"/>
        <v>67474113</v>
      </c>
      <c r="J13" s="31">
        <f t="shared" si="1"/>
        <v>0</v>
      </c>
    </row>
    <row r="14" spans="1:10" ht="25.5">
      <c r="A14" s="32" t="s">
        <v>197</v>
      </c>
      <c r="B14" s="25" t="s">
        <v>199</v>
      </c>
      <c r="C14" s="30">
        <f>29480000+15970543</f>
        <v>45450543</v>
      </c>
      <c r="D14" s="31"/>
      <c r="E14" s="30"/>
      <c r="F14" s="31"/>
      <c r="G14" s="30"/>
      <c r="H14" s="31"/>
      <c r="I14" s="30">
        <f t="shared" si="0"/>
        <v>45450543</v>
      </c>
      <c r="J14" s="31">
        <f t="shared" si="1"/>
        <v>0</v>
      </c>
    </row>
    <row r="15" spans="1:10" ht="25.5">
      <c r="A15" s="32" t="s">
        <v>247</v>
      </c>
      <c r="B15" s="28" t="s">
        <v>94</v>
      </c>
      <c r="C15" s="30"/>
      <c r="D15" s="31">
        <v>4685985</v>
      </c>
      <c r="E15" s="30"/>
      <c r="F15" s="31"/>
      <c r="G15" s="30"/>
      <c r="H15" s="31"/>
      <c r="I15" s="30">
        <f t="shared" si="0"/>
        <v>0</v>
      </c>
      <c r="J15" s="31">
        <f t="shared" si="1"/>
        <v>4685985</v>
      </c>
    </row>
    <row r="16" spans="1:10" ht="25.5">
      <c r="A16" s="32" t="s">
        <v>198</v>
      </c>
      <c r="B16" s="28" t="s">
        <v>199</v>
      </c>
      <c r="C16" s="30">
        <f>84907720+52759417</f>
        <v>137667137</v>
      </c>
      <c r="D16" s="31"/>
      <c r="E16" s="30"/>
      <c r="F16" s="31"/>
      <c r="G16" s="30"/>
      <c r="H16" s="31"/>
      <c r="I16" s="30">
        <f t="shared" si="0"/>
        <v>137667137</v>
      </c>
      <c r="J16" s="31">
        <f t="shared" si="1"/>
        <v>0</v>
      </c>
    </row>
    <row r="17" spans="1:10" ht="25.5">
      <c r="A17" s="32" t="s">
        <v>338</v>
      </c>
      <c r="B17" s="28" t="s">
        <v>199</v>
      </c>
      <c r="C17" s="30">
        <f>70216000+14820981</f>
        <v>85036981</v>
      </c>
      <c r="D17" s="31"/>
      <c r="E17" s="30"/>
      <c r="F17" s="31"/>
      <c r="G17" s="30"/>
      <c r="H17" s="31"/>
      <c r="I17" s="30">
        <f t="shared" si="0"/>
        <v>85036981</v>
      </c>
      <c r="J17" s="31">
        <f t="shared" si="1"/>
        <v>0</v>
      </c>
    </row>
    <row r="18" spans="1:10" ht="25.5">
      <c r="A18" s="32" t="s">
        <v>339</v>
      </c>
      <c r="B18" s="28" t="s">
        <v>199</v>
      </c>
      <c r="C18" s="30">
        <f>22908600+4462989</f>
        <v>27371589</v>
      </c>
      <c r="D18" s="31"/>
      <c r="E18" s="30"/>
      <c r="F18" s="31"/>
      <c r="G18" s="30"/>
      <c r="H18" s="31"/>
      <c r="I18" s="30">
        <f t="shared" si="0"/>
        <v>27371589</v>
      </c>
      <c r="J18" s="31">
        <f t="shared" si="1"/>
        <v>0</v>
      </c>
    </row>
    <row r="19" spans="1:10" ht="25.5">
      <c r="A19" s="32" t="s">
        <v>347</v>
      </c>
      <c r="B19" s="28" t="s">
        <v>199</v>
      </c>
      <c r="C19" s="30">
        <f>37830700+13634236</f>
        <v>51464936</v>
      </c>
      <c r="D19" s="31"/>
      <c r="E19" s="30"/>
      <c r="F19" s="31"/>
      <c r="G19" s="30"/>
      <c r="H19" s="31"/>
      <c r="I19" s="30">
        <f t="shared" si="0"/>
        <v>51464936</v>
      </c>
      <c r="J19" s="31">
        <f t="shared" si="1"/>
        <v>0</v>
      </c>
    </row>
    <row r="20" spans="1:10" ht="25.5">
      <c r="A20" s="32" t="s">
        <v>340</v>
      </c>
      <c r="B20" s="28" t="s">
        <v>94</v>
      </c>
      <c r="C20" s="30"/>
      <c r="D20" s="31">
        <v>1535386</v>
      </c>
      <c r="E20" s="30"/>
      <c r="F20" s="31"/>
      <c r="G20" s="30"/>
      <c r="H20" s="31"/>
      <c r="I20" s="30">
        <f t="shared" si="0"/>
        <v>0</v>
      </c>
      <c r="J20" s="31">
        <f t="shared" si="1"/>
        <v>1535386</v>
      </c>
    </row>
    <row r="21" spans="1:10" ht="25.5">
      <c r="A21" s="32" t="s">
        <v>337</v>
      </c>
      <c r="B21" s="28" t="s">
        <v>199</v>
      </c>
      <c r="C21" s="30">
        <f>17799567+1535386</f>
        <v>19334953</v>
      </c>
      <c r="D21" s="31"/>
      <c r="E21" s="30"/>
      <c r="F21" s="31"/>
      <c r="G21" s="30"/>
      <c r="H21" s="31"/>
      <c r="I21" s="30">
        <f t="shared" si="0"/>
        <v>19334953</v>
      </c>
      <c r="J21" s="31">
        <f t="shared" si="1"/>
        <v>0</v>
      </c>
    </row>
    <row r="22" spans="1:10" ht="25.5">
      <c r="A22" s="32" t="s">
        <v>341</v>
      </c>
      <c r="B22" s="28" t="s">
        <v>94</v>
      </c>
      <c r="C22" s="30"/>
      <c r="D22" s="31">
        <v>2415550</v>
      </c>
      <c r="E22" s="30"/>
      <c r="F22" s="31"/>
      <c r="G22" s="30"/>
      <c r="H22" s="31"/>
      <c r="I22" s="30">
        <f t="shared" si="0"/>
        <v>0</v>
      </c>
      <c r="J22" s="31">
        <f t="shared" si="1"/>
        <v>2415550</v>
      </c>
    </row>
    <row r="23" spans="1:10" ht="25.5">
      <c r="A23" s="32" t="s">
        <v>342</v>
      </c>
      <c r="B23" s="28" t="s">
        <v>199</v>
      </c>
      <c r="C23" s="30">
        <f>11793200+2415550</f>
        <v>14208750</v>
      </c>
      <c r="D23" s="31"/>
      <c r="E23" s="30"/>
      <c r="F23" s="31"/>
      <c r="G23" s="30"/>
      <c r="H23" s="31"/>
      <c r="I23" s="30">
        <f t="shared" si="0"/>
        <v>14208750</v>
      </c>
      <c r="J23" s="31">
        <f t="shared" si="1"/>
        <v>0</v>
      </c>
    </row>
    <row r="24" spans="1:10" ht="25.5">
      <c r="A24" s="32" t="s">
        <v>343</v>
      </c>
      <c r="B24" s="28" t="s">
        <v>199</v>
      </c>
      <c r="C24" s="30">
        <f>81381633+744081</f>
        <v>82125714</v>
      </c>
      <c r="D24" s="31"/>
      <c r="E24" s="30"/>
      <c r="F24" s="31"/>
      <c r="G24" s="30"/>
      <c r="H24" s="31"/>
      <c r="I24" s="30">
        <f t="shared" si="0"/>
        <v>82125714</v>
      </c>
      <c r="J24" s="31">
        <f t="shared" si="1"/>
        <v>0</v>
      </c>
    </row>
    <row r="25" spans="1:10" ht="25.5">
      <c r="A25" s="32" t="s">
        <v>344</v>
      </c>
      <c r="B25" s="28" t="s">
        <v>199</v>
      </c>
      <c r="C25" s="30">
        <f>14247700+8250544</f>
        <v>22498244</v>
      </c>
      <c r="D25" s="31"/>
      <c r="E25" s="30"/>
      <c r="F25" s="31"/>
      <c r="G25" s="30"/>
      <c r="H25" s="31"/>
      <c r="I25" s="30">
        <f t="shared" si="0"/>
        <v>22498244</v>
      </c>
      <c r="J25" s="31">
        <f t="shared" si="1"/>
        <v>0</v>
      </c>
    </row>
    <row r="26" spans="1:10" ht="25.5">
      <c r="A26" s="32" t="s">
        <v>345</v>
      </c>
      <c r="B26" s="28" t="s">
        <v>94</v>
      </c>
      <c r="C26" s="30"/>
      <c r="D26" s="31">
        <v>4635743</v>
      </c>
      <c r="E26" s="30"/>
      <c r="F26" s="31"/>
      <c r="G26" s="30"/>
      <c r="H26" s="31"/>
      <c r="I26" s="30">
        <f t="shared" si="0"/>
        <v>0</v>
      </c>
      <c r="J26" s="31">
        <f t="shared" si="1"/>
        <v>4635743</v>
      </c>
    </row>
    <row r="27" spans="1:10" ht="26.25" thickBot="1">
      <c r="A27" s="198" t="s">
        <v>346</v>
      </c>
      <c r="B27" s="60" t="s">
        <v>199</v>
      </c>
      <c r="C27" s="62">
        <f>10315234+4635743</f>
        <v>14950977</v>
      </c>
      <c r="D27" s="63"/>
      <c r="E27" s="62"/>
      <c r="F27" s="63"/>
      <c r="G27" s="62"/>
      <c r="H27" s="63"/>
      <c r="I27" s="62">
        <f t="shared" si="0"/>
        <v>14950977</v>
      </c>
      <c r="J27" s="63">
        <f t="shared" si="1"/>
        <v>0</v>
      </c>
    </row>
    <row r="28" spans="1:10" ht="13.5" thickBot="1">
      <c r="A28" s="200"/>
      <c r="B28" s="73"/>
      <c r="C28" s="76"/>
      <c r="D28" s="76"/>
      <c r="E28" s="76"/>
      <c r="F28" s="76"/>
      <c r="G28" s="76"/>
      <c r="H28" s="76"/>
      <c r="I28" s="76"/>
      <c r="J28" s="76"/>
    </row>
    <row r="29" spans="1:26" s="11" customFormat="1" ht="13.5" thickBot="1">
      <c r="A29" s="77"/>
      <c r="B29" s="77"/>
      <c r="C29" s="78"/>
      <c r="D29" s="78"/>
      <c r="E29" s="78"/>
      <c r="F29" s="78"/>
      <c r="G29" s="78"/>
      <c r="H29" s="78"/>
      <c r="I29" s="76"/>
      <c r="J29" s="7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11" customFormat="1" ht="12.75">
      <c r="A30" s="79" t="s">
        <v>371</v>
      </c>
      <c r="B30" s="71" t="s">
        <v>96</v>
      </c>
      <c r="C30" s="72"/>
      <c r="D30" s="214">
        <v>6246655</v>
      </c>
      <c r="E30" s="249"/>
      <c r="F30" s="248"/>
      <c r="G30" s="249"/>
      <c r="H30" s="248"/>
      <c r="I30" s="72">
        <f>C30+E30+G30</f>
        <v>0</v>
      </c>
      <c r="J30" s="214">
        <f>D30+F30+H30</f>
        <v>6246655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1" customFormat="1" ht="13.5" thickBot="1">
      <c r="A31" s="60" t="s">
        <v>388</v>
      </c>
      <c r="B31" s="60" t="s">
        <v>97</v>
      </c>
      <c r="C31" s="62">
        <v>6246655</v>
      </c>
      <c r="D31" s="63"/>
      <c r="E31" s="226"/>
      <c r="F31" s="225"/>
      <c r="G31" s="226"/>
      <c r="H31" s="225"/>
      <c r="I31" s="62">
        <f>C31+E31+G31</f>
        <v>6246655</v>
      </c>
      <c r="J31" s="63">
        <f>D31+F31+H31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1" customFormat="1" ht="13.5" thickBot="1">
      <c r="A32" s="28"/>
      <c r="B32" s="43"/>
      <c r="C32" s="30"/>
      <c r="D32" s="31"/>
      <c r="E32" s="40"/>
      <c r="F32" s="41"/>
      <c r="G32" s="40"/>
      <c r="H32" s="41"/>
      <c r="I32" s="30"/>
      <c r="J32" s="3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1" customFormat="1" ht="12.75">
      <c r="A33" s="79" t="s">
        <v>204</v>
      </c>
      <c r="B33" s="79" t="s">
        <v>97</v>
      </c>
      <c r="C33" s="72">
        <v>200000</v>
      </c>
      <c r="D33" s="214"/>
      <c r="E33" s="249"/>
      <c r="F33" s="248"/>
      <c r="G33" s="249"/>
      <c r="H33" s="248"/>
      <c r="I33" s="72">
        <f>C33+E33+G33</f>
        <v>200000</v>
      </c>
      <c r="J33" s="214">
        <f>D33+F33+H33</f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1" customFormat="1" ht="13.5" thickBot="1">
      <c r="A34" s="60" t="s">
        <v>255</v>
      </c>
      <c r="B34" s="89" t="s">
        <v>143</v>
      </c>
      <c r="C34" s="62">
        <f>1500000</f>
        <v>1500000</v>
      </c>
      <c r="D34" s="63"/>
      <c r="E34" s="226"/>
      <c r="F34" s="225"/>
      <c r="G34" s="226"/>
      <c r="H34" s="225"/>
      <c r="I34" s="62">
        <f>C34+E34+G34</f>
        <v>1500000</v>
      </c>
      <c r="J34" s="63">
        <f>D34+F34+H34</f>
        <v>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1" customFormat="1" ht="13.5" thickBot="1">
      <c r="A35" s="25"/>
      <c r="B35" s="25"/>
      <c r="C35" s="25"/>
      <c r="D35" s="25"/>
      <c r="E35" s="64"/>
      <c r="F35" s="64"/>
      <c r="G35" s="64"/>
      <c r="H35" s="64"/>
      <c r="I35" s="64"/>
      <c r="J35" s="6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11" customFormat="1" ht="12.75">
      <c r="A36" s="79" t="s">
        <v>350</v>
      </c>
      <c r="B36" s="71" t="s">
        <v>96</v>
      </c>
      <c r="C36" s="72"/>
      <c r="D36" s="214">
        <f>150858139+500000+1379435</f>
        <v>152737574</v>
      </c>
      <c r="E36" s="72"/>
      <c r="F36" s="80"/>
      <c r="G36" s="81"/>
      <c r="H36" s="80"/>
      <c r="I36" s="81">
        <f aca="true" t="shared" si="2" ref="I36:J38">C36+E36+G36</f>
        <v>0</v>
      </c>
      <c r="J36" s="80">
        <f t="shared" si="2"/>
        <v>152737574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1" customFormat="1" ht="12.75">
      <c r="A37" s="28" t="s">
        <v>95</v>
      </c>
      <c r="B37" s="28" t="s">
        <v>199</v>
      </c>
      <c r="C37" s="30">
        <v>28549927</v>
      </c>
      <c r="D37" s="31"/>
      <c r="E37" s="30"/>
      <c r="F37" s="45"/>
      <c r="G37" s="44"/>
      <c r="H37" s="45"/>
      <c r="I37" s="44">
        <f t="shared" si="2"/>
        <v>28549927</v>
      </c>
      <c r="J37" s="45">
        <f t="shared" si="2"/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1" customFormat="1" ht="13.5" thickBot="1">
      <c r="A38" s="60" t="s">
        <v>369</v>
      </c>
      <c r="B38" s="28" t="s">
        <v>97</v>
      </c>
      <c r="C38" s="62">
        <v>633796</v>
      </c>
      <c r="D38" s="63"/>
      <c r="E38" s="62"/>
      <c r="F38" s="82"/>
      <c r="G38" s="83"/>
      <c r="H38" s="82"/>
      <c r="I38" s="83">
        <f t="shared" si="2"/>
        <v>633796</v>
      </c>
      <c r="J38" s="82">
        <f t="shared" si="2"/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11" customFormat="1" ht="13.5" thickBot="1">
      <c r="A39" s="73"/>
      <c r="B39" s="73"/>
      <c r="C39" s="76"/>
      <c r="D39" s="76"/>
      <c r="E39" s="76"/>
      <c r="F39" s="90"/>
      <c r="G39" s="90"/>
      <c r="H39" s="90"/>
      <c r="I39" s="90"/>
      <c r="J39" s="9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1" customFormat="1" ht="13.5">
      <c r="A40" s="91" t="s">
        <v>254</v>
      </c>
      <c r="B40" s="85"/>
      <c r="C40" s="86"/>
      <c r="D40" s="87"/>
      <c r="E40" s="86"/>
      <c r="F40" s="80"/>
      <c r="G40" s="81"/>
      <c r="H40" s="80"/>
      <c r="I40" s="81">
        <f aca="true" t="shared" si="3" ref="I40:I50">C40+E40+G40</f>
        <v>0</v>
      </c>
      <c r="J40" s="80">
        <f aca="true" t="shared" si="4" ref="J40:J50">D40+F40+H40</f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11" customFormat="1" ht="25.5">
      <c r="A41" s="84" t="s">
        <v>121</v>
      </c>
      <c r="B41" s="29" t="s">
        <v>98</v>
      </c>
      <c r="C41" s="30">
        <v>18765240</v>
      </c>
      <c r="D41" s="41"/>
      <c r="E41" s="40"/>
      <c r="F41" s="45"/>
      <c r="G41" s="44"/>
      <c r="H41" s="45"/>
      <c r="I41" s="44">
        <f t="shared" si="3"/>
        <v>18765240</v>
      </c>
      <c r="J41" s="45">
        <f t="shared" si="4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11" customFormat="1" ht="12.75">
      <c r="A42" s="96" t="s">
        <v>122</v>
      </c>
      <c r="B42" s="43" t="s">
        <v>99</v>
      </c>
      <c r="C42" s="44">
        <f>3581222+122000</f>
        <v>3703222</v>
      </c>
      <c r="D42" s="45"/>
      <c r="E42" s="44"/>
      <c r="F42" s="45"/>
      <c r="G42" s="44"/>
      <c r="H42" s="45"/>
      <c r="I42" s="44">
        <f t="shared" si="3"/>
        <v>3703222</v>
      </c>
      <c r="J42" s="45">
        <f t="shared" si="4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11" customFormat="1" ht="15.75" customHeight="1">
      <c r="A43" s="97" t="s">
        <v>400</v>
      </c>
      <c r="B43" s="29" t="s">
        <v>98</v>
      </c>
      <c r="C43" s="30">
        <f>3912000+447500+48000</f>
        <v>4407500</v>
      </c>
      <c r="D43" s="41"/>
      <c r="E43" s="40"/>
      <c r="F43" s="45"/>
      <c r="G43" s="44"/>
      <c r="H43" s="45"/>
      <c r="I43" s="44">
        <f t="shared" si="3"/>
        <v>4407500</v>
      </c>
      <c r="J43" s="45">
        <f t="shared" si="4"/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11" customFormat="1" ht="12.75">
      <c r="A44" s="96" t="s">
        <v>401</v>
      </c>
      <c r="B44" s="43" t="s">
        <v>99</v>
      </c>
      <c r="C44" s="44">
        <f>850100+153300</f>
        <v>1003400</v>
      </c>
      <c r="D44" s="45"/>
      <c r="E44" s="44"/>
      <c r="F44" s="45"/>
      <c r="G44" s="44"/>
      <c r="H44" s="45"/>
      <c r="I44" s="44">
        <f t="shared" si="3"/>
        <v>1003400</v>
      </c>
      <c r="J44" s="45">
        <f t="shared" si="4"/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11" customFormat="1" ht="12.75">
      <c r="A45" s="96" t="s">
        <v>107</v>
      </c>
      <c r="B45" s="43" t="s">
        <v>98</v>
      </c>
      <c r="C45" s="44"/>
      <c r="D45" s="45"/>
      <c r="E45" s="44">
        <f>10321000+1925000</f>
        <v>12246000</v>
      </c>
      <c r="F45" s="45"/>
      <c r="G45" s="44"/>
      <c r="H45" s="45"/>
      <c r="I45" s="44">
        <f t="shared" si="3"/>
        <v>12246000</v>
      </c>
      <c r="J45" s="45">
        <f t="shared" si="4"/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11" customFormat="1" ht="12.75">
      <c r="A46" s="96" t="s">
        <v>108</v>
      </c>
      <c r="B46" s="43" t="s">
        <v>99</v>
      </c>
      <c r="C46" s="44"/>
      <c r="D46" s="45"/>
      <c r="E46" s="44">
        <v>2449200</v>
      </c>
      <c r="F46" s="45"/>
      <c r="G46" s="44"/>
      <c r="H46" s="45"/>
      <c r="I46" s="44">
        <f t="shared" si="3"/>
        <v>2449200</v>
      </c>
      <c r="J46" s="45">
        <f t="shared" si="4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1" customFormat="1" ht="12.75">
      <c r="A47" s="96" t="s">
        <v>100</v>
      </c>
      <c r="B47" s="43" t="s">
        <v>97</v>
      </c>
      <c r="C47" s="44">
        <v>23600</v>
      </c>
      <c r="D47" s="45"/>
      <c r="E47" s="44"/>
      <c r="F47" s="45"/>
      <c r="G47" s="44"/>
      <c r="H47" s="45"/>
      <c r="I47" s="44">
        <f t="shared" si="3"/>
        <v>23600</v>
      </c>
      <c r="J47" s="45">
        <f t="shared" si="4"/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1" customFormat="1" ht="12.75">
      <c r="A48" s="96" t="s">
        <v>109</v>
      </c>
      <c r="B48" s="43" t="s">
        <v>97</v>
      </c>
      <c r="C48" s="44">
        <v>4800000</v>
      </c>
      <c r="D48" s="45"/>
      <c r="E48" s="44"/>
      <c r="F48" s="45"/>
      <c r="G48" s="44"/>
      <c r="H48" s="45"/>
      <c r="I48" s="44">
        <f t="shared" si="3"/>
        <v>4800000</v>
      </c>
      <c r="J48" s="45">
        <f t="shared" si="4"/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11" customFormat="1" ht="12.75">
      <c r="A49" s="97" t="s">
        <v>367</v>
      </c>
      <c r="B49" s="43" t="s">
        <v>98</v>
      </c>
      <c r="C49" s="44"/>
      <c r="D49" s="45"/>
      <c r="E49" s="44">
        <v>3600000</v>
      </c>
      <c r="F49" s="45"/>
      <c r="G49" s="44"/>
      <c r="H49" s="45"/>
      <c r="I49" s="44">
        <f t="shared" si="3"/>
        <v>3600000</v>
      </c>
      <c r="J49" s="45">
        <f t="shared" si="4"/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1" customFormat="1" ht="13.5" thickBot="1">
      <c r="A50" s="88" t="s">
        <v>368</v>
      </c>
      <c r="B50" s="89" t="s">
        <v>99</v>
      </c>
      <c r="C50" s="83"/>
      <c r="D50" s="82"/>
      <c r="E50" s="83">
        <v>702000</v>
      </c>
      <c r="F50" s="82"/>
      <c r="G50" s="83"/>
      <c r="H50" s="82"/>
      <c r="I50" s="83">
        <f t="shared" si="3"/>
        <v>702000</v>
      </c>
      <c r="J50" s="82">
        <f t="shared" si="4"/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11" customFormat="1" ht="13.5" thickBot="1">
      <c r="A51" s="32"/>
      <c r="B51" s="43"/>
      <c r="C51" s="44"/>
      <c r="D51" s="45"/>
      <c r="E51" s="44"/>
      <c r="F51" s="45"/>
      <c r="G51" s="44"/>
      <c r="H51" s="45"/>
      <c r="I51" s="44"/>
      <c r="J51" s="4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1" customFormat="1" ht="27">
      <c r="A52" s="94" t="s">
        <v>101</v>
      </c>
      <c r="B52" s="93"/>
      <c r="C52" s="81"/>
      <c r="D52" s="80"/>
      <c r="E52" s="81"/>
      <c r="F52" s="80"/>
      <c r="G52" s="81"/>
      <c r="H52" s="80"/>
      <c r="I52" s="81">
        <f aca="true" t="shared" si="5" ref="I52:I72">C52+E52+G52</f>
        <v>0</v>
      </c>
      <c r="J52" s="80">
        <f aca="true" t="shared" si="6" ref="J52:J72">D52+F52+H52</f>
        <v>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1" customFormat="1" ht="12.75">
      <c r="A53" s="92" t="s">
        <v>20</v>
      </c>
      <c r="B53" s="43" t="s">
        <v>97</v>
      </c>
      <c r="C53" s="44">
        <v>6439638</v>
      </c>
      <c r="D53" s="45"/>
      <c r="E53" s="44"/>
      <c r="F53" s="45"/>
      <c r="G53" s="44"/>
      <c r="H53" s="45"/>
      <c r="I53" s="44">
        <f t="shared" si="5"/>
        <v>6439638</v>
      </c>
      <c r="J53" s="45">
        <f t="shared" si="6"/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10" ht="12.75">
      <c r="A54" s="92"/>
      <c r="B54" s="43" t="s">
        <v>106</v>
      </c>
      <c r="C54" s="44"/>
      <c r="D54" s="45">
        <v>1471600</v>
      </c>
      <c r="E54" s="44"/>
      <c r="F54" s="45"/>
      <c r="G54" s="44"/>
      <c r="H54" s="45"/>
      <c r="I54" s="44">
        <f t="shared" si="5"/>
        <v>0</v>
      </c>
      <c r="J54" s="45">
        <f t="shared" si="6"/>
        <v>1471600</v>
      </c>
    </row>
    <row r="55" spans="1:26" s="11" customFormat="1" ht="12.75">
      <c r="A55" s="32" t="s">
        <v>21</v>
      </c>
      <c r="B55" s="43" t="s">
        <v>97</v>
      </c>
      <c r="C55" s="44">
        <v>22576917</v>
      </c>
      <c r="D55" s="45"/>
      <c r="E55" s="44"/>
      <c r="F55" s="45"/>
      <c r="G55" s="44"/>
      <c r="H55" s="45"/>
      <c r="I55" s="44">
        <f t="shared" si="5"/>
        <v>22576917</v>
      </c>
      <c r="J55" s="45">
        <f t="shared" si="6"/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s="11" customFormat="1" ht="12.75">
      <c r="A56" s="92"/>
      <c r="B56" s="43" t="s">
        <v>106</v>
      </c>
      <c r="C56" s="44"/>
      <c r="D56" s="45">
        <v>4341039</v>
      </c>
      <c r="E56" s="44"/>
      <c r="F56" s="45"/>
      <c r="G56" s="44"/>
      <c r="H56" s="45"/>
      <c r="I56" s="44">
        <f t="shared" si="5"/>
        <v>0</v>
      </c>
      <c r="J56" s="45">
        <f t="shared" si="6"/>
        <v>4341039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11" customFormat="1" ht="12.75">
      <c r="A57" s="32" t="s">
        <v>27</v>
      </c>
      <c r="B57" s="43" t="s">
        <v>97</v>
      </c>
      <c r="C57" s="44">
        <v>9287257</v>
      </c>
      <c r="D57" s="45"/>
      <c r="E57" s="44"/>
      <c r="F57" s="45"/>
      <c r="G57" s="44"/>
      <c r="H57" s="45"/>
      <c r="I57" s="44">
        <f t="shared" si="5"/>
        <v>9287257</v>
      </c>
      <c r="J57" s="45">
        <f t="shared" si="6"/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1" customFormat="1" ht="12.75">
      <c r="A58" s="92"/>
      <c r="B58" s="43" t="s">
        <v>106</v>
      </c>
      <c r="C58" s="44"/>
      <c r="D58" s="45">
        <v>1668856</v>
      </c>
      <c r="E58" s="44"/>
      <c r="F58" s="45"/>
      <c r="G58" s="44"/>
      <c r="H58" s="45"/>
      <c r="I58" s="44">
        <f t="shared" si="5"/>
        <v>0</v>
      </c>
      <c r="J58" s="45">
        <f t="shared" si="6"/>
        <v>1668856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11" customFormat="1" ht="12.75">
      <c r="A59" s="32" t="s">
        <v>22</v>
      </c>
      <c r="B59" s="43" t="s">
        <v>97</v>
      </c>
      <c r="C59" s="44">
        <v>19816724</v>
      </c>
      <c r="D59" s="45"/>
      <c r="E59" s="44"/>
      <c r="F59" s="45"/>
      <c r="G59" s="44"/>
      <c r="H59" s="45"/>
      <c r="I59" s="44">
        <f t="shared" si="5"/>
        <v>19816724</v>
      </c>
      <c r="J59" s="45">
        <f t="shared" si="6"/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10" ht="12.75">
      <c r="A60" s="92"/>
      <c r="B60" s="43" t="s">
        <v>106</v>
      </c>
      <c r="C60" s="44"/>
      <c r="D60" s="45">
        <v>3458134</v>
      </c>
      <c r="E60" s="44"/>
      <c r="F60" s="45"/>
      <c r="G60" s="44"/>
      <c r="H60" s="45"/>
      <c r="I60" s="44">
        <f t="shared" si="5"/>
        <v>0</v>
      </c>
      <c r="J60" s="45">
        <f t="shared" si="6"/>
        <v>3458134</v>
      </c>
    </row>
    <row r="61" spans="1:26" s="11" customFormat="1" ht="12.75">
      <c r="A61" s="32" t="s">
        <v>28</v>
      </c>
      <c r="B61" s="43" t="s">
        <v>97</v>
      </c>
      <c r="C61" s="44">
        <v>4101313</v>
      </c>
      <c r="D61" s="45"/>
      <c r="E61" s="44"/>
      <c r="F61" s="45"/>
      <c r="G61" s="44"/>
      <c r="H61" s="45"/>
      <c r="I61" s="44">
        <f t="shared" si="5"/>
        <v>4101313</v>
      </c>
      <c r="J61" s="45">
        <f t="shared" si="6"/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s="11" customFormat="1" ht="12.75">
      <c r="A62" s="92"/>
      <c r="B62" s="43" t="s">
        <v>106</v>
      </c>
      <c r="C62" s="44"/>
      <c r="D62" s="45">
        <v>940460</v>
      </c>
      <c r="E62" s="44"/>
      <c r="F62" s="45"/>
      <c r="G62" s="44"/>
      <c r="H62" s="45"/>
      <c r="I62" s="44">
        <f t="shared" si="5"/>
        <v>0</v>
      </c>
      <c r="J62" s="45">
        <f t="shared" si="6"/>
        <v>940460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11" customFormat="1" ht="12.75">
      <c r="A63" s="32" t="s">
        <v>102</v>
      </c>
      <c r="B63" s="43" t="s">
        <v>97</v>
      </c>
      <c r="C63" s="30">
        <v>31530290</v>
      </c>
      <c r="D63" s="31"/>
      <c r="E63" s="30"/>
      <c r="F63" s="31"/>
      <c r="G63" s="30"/>
      <c r="H63" s="31"/>
      <c r="I63" s="30">
        <f t="shared" si="5"/>
        <v>31530290</v>
      </c>
      <c r="J63" s="31">
        <f t="shared" si="6"/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11" customFormat="1" ht="12.75">
      <c r="A64" s="92"/>
      <c r="B64" s="43" t="s">
        <v>106</v>
      </c>
      <c r="C64" s="44"/>
      <c r="D64" s="45">
        <v>12947507</v>
      </c>
      <c r="E64" s="44"/>
      <c r="F64" s="45"/>
      <c r="G64" s="44"/>
      <c r="H64" s="45"/>
      <c r="I64" s="44">
        <f t="shared" si="5"/>
        <v>0</v>
      </c>
      <c r="J64" s="45">
        <f t="shared" si="6"/>
        <v>12947507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1" customFormat="1" ht="12.75">
      <c r="A65" s="32" t="s">
        <v>103</v>
      </c>
      <c r="B65" s="43" t="s">
        <v>97</v>
      </c>
      <c r="C65" s="44">
        <v>15574835</v>
      </c>
      <c r="D65" s="45"/>
      <c r="E65" s="44"/>
      <c r="F65" s="45"/>
      <c r="G65" s="44"/>
      <c r="H65" s="45"/>
      <c r="I65" s="44">
        <f t="shared" si="5"/>
        <v>15574835</v>
      </c>
      <c r="J65" s="45">
        <f t="shared" si="6"/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11" customFormat="1" ht="12.75">
      <c r="A66" s="92"/>
      <c r="B66" s="43" t="s">
        <v>106</v>
      </c>
      <c r="C66" s="44"/>
      <c r="D66" s="45">
        <v>5715159</v>
      </c>
      <c r="E66" s="44"/>
      <c r="F66" s="45"/>
      <c r="G66" s="44"/>
      <c r="H66" s="45"/>
      <c r="I66" s="44">
        <f t="shared" si="5"/>
        <v>0</v>
      </c>
      <c r="J66" s="45">
        <f t="shared" si="6"/>
        <v>5715159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11" customFormat="1" ht="12.75">
      <c r="A67" s="32" t="s">
        <v>104</v>
      </c>
      <c r="B67" s="43" t="s">
        <v>97</v>
      </c>
      <c r="C67" s="44">
        <f>4711687+49179988</f>
        <v>53891675</v>
      </c>
      <c r="D67" s="45"/>
      <c r="E67" s="44"/>
      <c r="F67" s="45"/>
      <c r="G67" s="44"/>
      <c r="H67" s="45"/>
      <c r="I67" s="44">
        <f t="shared" si="5"/>
        <v>53891675</v>
      </c>
      <c r="J67" s="45">
        <f t="shared" si="6"/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11" customFormat="1" ht="12.75">
      <c r="A68" s="92"/>
      <c r="B68" s="43" t="s">
        <v>106</v>
      </c>
      <c r="C68" s="44"/>
      <c r="D68" s="45">
        <f>2220278+23117556</f>
        <v>25337834</v>
      </c>
      <c r="E68" s="44"/>
      <c r="F68" s="45"/>
      <c r="G68" s="44"/>
      <c r="H68" s="45"/>
      <c r="I68" s="44">
        <f t="shared" si="5"/>
        <v>0</v>
      </c>
      <c r="J68" s="45">
        <f t="shared" si="6"/>
        <v>25337834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11" customFormat="1" ht="12.75">
      <c r="A69" s="32" t="s">
        <v>105</v>
      </c>
      <c r="B69" s="43" t="s">
        <v>97</v>
      </c>
      <c r="C69" s="30">
        <f>36124502+3820287+42836592</f>
        <v>82781381</v>
      </c>
      <c r="D69" s="31"/>
      <c r="E69" s="30"/>
      <c r="F69" s="31"/>
      <c r="G69" s="30"/>
      <c r="H69" s="31"/>
      <c r="I69" s="30">
        <f t="shared" si="5"/>
        <v>82781381</v>
      </c>
      <c r="J69" s="31">
        <f t="shared" si="6"/>
        <v>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11" customFormat="1" ht="12.75">
      <c r="A70" s="28"/>
      <c r="B70" s="43" t="s">
        <v>106</v>
      </c>
      <c r="C70" s="44"/>
      <c r="D70" s="45">
        <f>3372707+185024+6004560</f>
        <v>9562291</v>
      </c>
      <c r="E70" s="44"/>
      <c r="F70" s="45"/>
      <c r="G70" s="44"/>
      <c r="H70" s="45"/>
      <c r="I70" s="44">
        <f t="shared" si="5"/>
        <v>0</v>
      </c>
      <c r="J70" s="45">
        <f t="shared" si="6"/>
        <v>9562291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11" customFormat="1" ht="12.75">
      <c r="A71" s="32" t="s">
        <v>187</v>
      </c>
      <c r="B71" s="43" t="s">
        <v>97</v>
      </c>
      <c r="C71" s="30">
        <v>150000</v>
      </c>
      <c r="D71" s="31"/>
      <c r="E71" s="30"/>
      <c r="F71" s="31"/>
      <c r="G71" s="30"/>
      <c r="H71" s="31"/>
      <c r="I71" s="30">
        <f t="shared" si="5"/>
        <v>150000</v>
      </c>
      <c r="J71" s="31">
        <f t="shared" si="6"/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11" customFormat="1" ht="13.5" thickBot="1">
      <c r="A72" s="60"/>
      <c r="B72" s="89"/>
      <c r="C72" s="83"/>
      <c r="D72" s="82"/>
      <c r="E72" s="83"/>
      <c r="F72" s="82"/>
      <c r="G72" s="83"/>
      <c r="H72" s="82"/>
      <c r="I72" s="83">
        <f t="shared" si="5"/>
        <v>0</v>
      </c>
      <c r="J72" s="82">
        <f t="shared" si="6"/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1" customFormat="1" ht="13.5" thickBot="1">
      <c r="A73" s="32"/>
      <c r="B73" s="43"/>
      <c r="C73" s="44"/>
      <c r="D73" s="45"/>
      <c r="E73" s="44"/>
      <c r="F73" s="45"/>
      <c r="G73" s="44"/>
      <c r="H73" s="45"/>
      <c r="I73" s="44"/>
      <c r="J73" s="4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1" customFormat="1" ht="25.5">
      <c r="A74" s="199" t="s">
        <v>110</v>
      </c>
      <c r="B74" s="93"/>
      <c r="C74" s="81"/>
      <c r="D74" s="80"/>
      <c r="E74" s="81"/>
      <c r="F74" s="80"/>
      <c r="G74" s="81"/>
      <c r="H74" s="80"/>
      <c r="I74" s="81"/>
      <c r="J74" s="8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2" customFormat="1" ht="12.75">
      <c r="A75" s="32" t="s">
        <v>112</v>
      </c>
      <c r="B75" s="43" t="s">
        <v>97</v>
      </c>
      <c r="C75" s="44">
        <f>162495653-9723079</f>
        <v>152772574</v>
      </c>
      <c r="D75" s="45"/>
      <c r="E75" s="44"/>
      <c r="F75" s="45"/>
      <c r="G75" s="44"/>
      <c r="H75" s="45"/>
      <c r="I75" s="44">
        <f aca="true" t="shared" si="7" ref="I75:I91">C75+E75+G75</f>
        <v>152772574</v>
      </c>
      <c r="J75" s="45">
        <f aca="true" t="shared" si="8" ref="J75:J91">D75+F75+H75</f>
        <v>0</v>
      </c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s="11" customFormat="1" ht="15.75" customHeight="1">
      <c r="A76" s="32" t="s">
        <v>279</v>
      </c>
      <c r="B76" s="43" t="s">
        <v>97</v>
      </c>
      <c r="C76" s="44">
        <v>320000</v>
      </c>
      <c r="D76" s="45"/>
      <c r="E76" s="44"/>
      <c r="F76" s="45"/>
      <c r="G76" s="44"/>
      <c r="H76" s="45"/>
      <c r="I76" s="44">
        <f t="shared" si="7"/>
        <v>320000</v>
      </c>
      <c r="J76" s="45">
        <f t="shared" si="8"/>
        <v>0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11" customFormat="1" ht="12.75">
      <c r="A77" s="32" t="s">
        <v>141</v>
      </c>
      <c r="B77" s="43" t="s">
        <v>97</v>
      </c>
      <c r="C77" s="44">
        <f>800000*1.27</f>
        <v>1016000</v>
      </c>
      <c r="D77" s="45"/>
      <c r="E77" s="44"/>
      <c r="F77" s="45"/>
      <c r="G77" s="44"/>
      <c r="H77" s="45"/>
      <c r="I77" s="44">
        <f t="shared" si="7"/>
        <v>1016000</v>
      </c>
      <c r="J77" s="45">
        <f t="shared" si="8"/>
        <v>0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1" customFormat="1" ht="12.75">
      <c r="A78" s="32" t="s">
        <v>146</v>
      </c>
      <c r="B78" s="43" t="s">
        <v>97</v>
      </c>
      <c r="C78" s="44">
        <f>1100000*1.05</f>
        <v>1155000</v>
      </c>
      <c r="D78" s="45"/>
      <c r="E78" s="44"/>
      <c r="F78" s="45"/>
      <c r="G78" s="44"/>
      <c r="H78" s="45"/>
      <c r="I78" s="44">
        <f t="shared" si="7"/>
        <v>1155000</v>
      </c>
      <c r="J78" s="45">
        <f t="shared" si="8"/>
        <v>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2" customFormat="1" ht="12.75">
      <c r="A79" s="32" t="s">
        <v>147</v>
      </c>
      <c r="B79" s="43" t="s">
        <v>97</v>
      </c>
      <c r="C79" s="44">
        <f>3000000*1.27</f>
        <v>3810000</v>
      </c>
      <c r="D79" s="45"/>
      <c r="E79" s="44"/>
      <c r="F79" s="45"/>
      <c r="G79" s="44"/>
      <c r="H79" s="45"/>
      <c r="I79" s="44">
        <f t="shared" si="7"/>
        <v>3810000</v>
      </c>
      <c r="J79" s="45">
        <f t="shared" si="8"/>
        <v>0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s="11" customFormat="1" ht="12.75">
      <c r="A80" s="32" t="s">
        <v>111</v>
      </c>
      <c r="B80" s="43" t="s">
        <v>97</v>
      </c>
      <c r="C80" s="44">
        <v>34000000</v>
      </c>
      <c r="D80" s="45"/>
      <c r="E80" s="44"/>
      <c r="F80" s="45"/>
      <c r="G80" s="44"/>
      <c r="H80" s="45"/>
      <c r="I80" s="44">
        <f t="shared" si="7"/>
        <v>34000000</v>
      </c>
      <c r="J80" s="45">
        <f t="shared" si="8"/>
        <v>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11" customFormat="1" ht="12.75">
      <c r="A81" s="32" t="s">
        <v>66</v>
      </c>
      <c r="B81" s="43" t="s">
        <v>97</v>
      </c>
      <c r="C81" s="44">
        <v>2506218</v>
      </c>
      <c r="D81" s="45"/>
      <c r="E81" s="44"/>
      <c r="F81" s="45"/>
      <c r="G81" s="44"/>
      <c r="H81" s="45"/>
      <c r="I81" s="44">
        <f t="shared" si="7"/>
        <v>2506218</v>
      </c>
      <c r="J81" s="45">
        <f t="shared" si="8"/>
        <v>0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1" customFormat="1" ht="12.75">
      <c r="A82" s="32" t="s">
        <v>87</v>
      </c>
      <c r="B82" s="43" t="s">
        <v>97</v>
      </c>
      <c r="C82" s="44">
        <v>3590000</v>
      </c>
      <c r="D82" s="45"/>
      <c r="E82" s="44"/>
      <c r="F82" s="45"/>
      <c r="G82" s="44"/>
      <c r="H82" s="45"/>
      <c r="I82" s="44">
        <f t="shared" si="7"/>
        <v>3590000</v>
      </c>
      <c r="J82" s="45">
        <f t="shared" si="8"/>
        <v>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1" customFormat="1" ht="12.75">
      <c r="A83" s="32" t="s">
        <v>153</v>
      </c>
      <c r="B83" s="43" t="s">
        <v>97</v>
      </c>
      <c r="C83" s="44">
        <v>252984</v>
      </c>
      <c r="D83" s="45"/>
      <c r="E83" s="44"/>
      <c r="F83" s="45"/>
      <c r="G83" s="44"/>
      <c r="H83" s="45"/>
      <c r="I83" s="44">
        <f t="shared" si="7"/>
        <v>252984</v>
      </c>
      <c r="J83" s="45">
        <f t="shared" si="8"/>
        <v>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1" customFormat="1" ht="12.75">
      <c r="A84" s="32" t="s">
        <v>378</v>
      </c>
      <c r="B84" s="43" t="s">
        <v>97</v>
      </c>
      <c r="C84" s="44">
        <v>440182</v>
      </c>
      <c r="D84" s="45"/>
      <c r="E84" s="44"/>
      <c r="F84" s="45"/>
      <c r="G84" s="44"/>
      <c r="H84" s="45"/>
      <c r="I84" s="44">
        <f t="shared" si="7"/>
        <v>440182</v>
      </c>
      <c r="J84" s="45">
        <f t="shared" si="8"/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2" customFormat="1" ht="25.5">
      <c r="A85" s="32" t="s">
        <v>377</v>
      </c>
      <c r="B85" s="43" t="s">
        <v>97</v>
      </c>
      <c r="C85" s="44">
        <f>12*13000</f>
        <v>156000</v>
      </c>
      <c r="D85" s="45"/>
      <c r="E85" s="44"/>
      <c r="F85" s="45"/>
      <c r="G85" s="44"/>
      <c r="H85" s="45"/>
      <c r="I85" s="44">
        <f t="shared" si="7"/>
        <v>156000</v>
      </c>
      <c r="J85" s="45">
        <f t="shared" si="8"/>
        <v>0</v>
      </c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s="11" customFormat="1" ht="12.75">
      <c r="A86" s="32" t="s">
        <v>164</v>
      </c>
      <c r="B86" s="43" t="s">
        <v>97</v>
      </c>
      <c r="C86" s="44">
        <v>1000000</v>
      </c>
      <c r="D86" s="45"/>
      <c r="E86" s="44"/>
      <c r="F86" s="45"/>
      <c r="G86" s="44"/>
      <c r="H86" s="45"/>
      <c r="I86" s="44">
        <f t="shared" si="7"/>
        <v>1000000</v>
      </c>
      <c r="J86" s="45">
        <f t="shared" si="8"/>
        <v>0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10" ht="25.5">
      <c r="A87" s="32" t="s">
        <v>376</v>
      </c>
      <c r="B87" s="43" t="s">
        <v>97</v>
      </c>
      <c r="C87" s="44">
        <v>1270000</v>
      </c>
      <c r="D87" s="45"/>
      <c r="E87" s="44"/>
      <c r="F87" s="45"/>
      <c r="G87" s="44"/>
      <c r="H87" s="45"/>
      <c r="I87" s="44">
        <f t="shared" si="7"/>
        <v>1270000</v>
      </c>
      <c r="J87" s="45">
        <f t="shared" si="8"/>
        <v>0</v>
      </c>
    </row>
    <row r="88" spans="1:26" s="11" customFormat="1" ht="12.75">
      <c r="A88" s="32" t="s">
        <v>380</v>
      </c>
      <c r="B88" s="43" t="s">
        <v>97</v>
      </c>
      <c r="C88" s="44">
        <v>1267348</v>
      </c>
      <c r="D88" s="45"/>
      <c r="E88" s="44"/>
      <c r="F88" s="45"/>
      <c r="G88" s="44"/>
      <c r="H88" s="45"/>
      <c r="I88" s="44">
        <f t="shared" si="7"/>
        <v>1267348</v>
      </c>
      <c r="J88" s="45">
        <f t="shared" si="8"/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11" customFormat="1" ht="12.75">
      <c r="A89" s="32" t="s">
        <v>123</v>
      </c>
      <c r="B89" s="43" t="s">
        <v>97</v>
      </c>
      <c r="C89" s="44">
        <v>500000</v>
      </c>
      <c r="D89" s="45"/>
      <c r="E89" s="44"/>
      <c r="F89" s="45"/>
      <c r="G89" s="44"/>
      <c r="H89" s="45"/>
      <c r="I89" s="44">
        <f t="shared" si="7"/>
        <v>500000</v>
      </c>
      <c r="J89" s="45">
        <f t="shared" si="8"/>
        <v>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1" customFormat="1" ht="25.5">
      <c r="A90" s="434" t="s">
        <v>169</v>
      </c>
      <c r="B90" s="435" t="s">
        <v>106</v>
      </c>
      <c r="C90" s="436"/>
      <c r="D90" s="437">
        <v>1155000</v>
      </c>
      <c r="E90" s="436"/>
      <c r="F90" s="437"/>
      <c r="G90" s="436"/>
      <c r="H90" s="437"/>
      <c r="I90" s="436">
        <f t="shared" si="7"/>
        <v>0</v>
      </c>
      <c r="J90" s="437">
        <f t="shared" si="8"/>
        <v>1155000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1" customFormat="1" ht="13.5" thickBot="1">
      <c r="A91" s="198" t="s">
        <v>387</v>
      </c>
      <c r="B91" s="89" t="s">
        <v>106</v>
      </c>
      <c r="C91" s="83"/>
      <c r="D91" s="82">
        <v>13000000</v>
      </c>
      <c r="E91" s="83"/>
      <c r="F91" s="82"/>
      <c r="G91" s="83"/>
      <c r="H91" s="82"/>
      <c r="I91" s="83">
        <f t="shared" si="7"/>
        <v>0</v>
      </c>
      <c r="J91" s="82">
        <f t="shared" si="8"/>
        <v>13000000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1" customFormat="1" ht="13.5" thickBot="1">
      <c r="A92" s="46"/>
      <c r="B92" s="47"/>
      <c r="C92" s="48"/>
      <c r="D92" s="49"/>
      <c r="E92" s="48"/>
      <c r="F92" s="49"/>
      <c r="G92" s="48"/>
      <c r="H92" s="49"/>
      <c r="I92" s="48"/>
      <c r="J92" s="4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1" customFormat="1" ht="12.75">
      <c r="A93" s="199" t="s">
        <v>137</v>
      </c>
      <c r="B93" s="93"/>
      <c r="C93" s="81"/>
      <c r="D93" s="80"/>
      <c r="E93" s="81"/>
      <c r="F93" s="80"/>
      <c r="G93" s="81"/>
      <c r="H93" s="80"/>
      <c r="I93" s="81">
        <f aca="true" t="shared" si="9" ref="I93:J100">C93+E93+G93</f>
        <v>0</v>
      </c>
      <c r="J93" s="80">
        <f t="shared" si="9"/>
        <v>0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1" customFormat="1" ht="12.75">
      <c r="A94" s="32" t="s">
        <v>14</v>
      </c>
      <c r="B94" s="43" t="s">
        <v>97</v>
      </c>
      <c r="C94" s="44">
        <v>1000000</v>
      </c>
      <c r="D94" s="49"/>
      <c r="E94" s="48"/>
      <c r="F94" s="49"/>
      <c r="G94" s="48"/>
      <c r="H94" s="49"/>
      <c r="I94" s="48">
        <f t="shared" si="9"/>
        <v>1000000</v>
      </c>
      <c r="J94" s="49">
        <f t="shared" si="9"/>
        <v>0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1" customFormat="1" ht="12.75">
      <c r="A95" s="32" t="s">
        <v>15</v>
      </c>
      <c r="B95" s="43" t="s">
        <v>97</v>
      </c>
      <c r="C95" s="44">
        <v>500000</v>
      </c>
      <c r="D95" s="45"/>
      <c r="E95" s="44"/>
      <c r="F95" s="45"/>
      <c r="G95" s="44"/>
      <c r="H95" s="45"/>
      <c r="I95" s="44">
        <f t="shared" si="9"/>
        <v>500000</v>
      </c>
      <c r="J95" s="45">
        <f t="shared" si="9"/>
        <v>0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1" customFormat="1" ht="12.75">
      <c r="A96" s="32" t="s">
        <v>16</v>
      </c>
      <c r="B96" s="43" t="s">
        <v>97</v>
      </c>
      <c r="C96" s="44">
        <v>500000</v>
      </c>
      <c r="D96" s="45"/>
      <c r="E96" s="44"/>
      <c r="F96" s="45"/>
      <c r="G96" s="44"/>
      <c r="H96" s="45"/>
      <c r="I96" s="44">
        <f t="shared" si="9"/>
        <v>500000</v>
      </c>
      <c r="J96" s="45">
        <f t="shared" si="9"/>
        <v>0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1" customFormat="1" ht="12.75">
      <c r="A97" s="32" t="s">
        <v>17</v>
      </c>
      <c r="B97" s="43" t="s">
        <v>97</v>
      </c>
      <c r="C97" s="44">
        <v>10000000</v>
      </c>
      <c r="D97" s="45"/>
      <c r="E97" s="44"/>
      <c r="F97" s="45"/>
      <c r="G97" s="44"/>
      <c r="H97" s="45"/>
      <c r="I97" s="44">
        <f t="shared" si="9"/>
        <v>10000000</v>
      </c>
      <c r="J97" s="45">
        <f t="shared" si="9"/>
        <v>0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1" customFormat="1" ht="12.75">
      <c r="A98" s="32" t="s">
        <v>114</v>
      </c>
      <c r="B98" s="43" t="s">
        <v>97</v>
      </c>
      <c r="C98" s="44">
        <v>8000000</v>
      </c>
      <c r="D98" s="45"/>
      <c r="E98" s="44"/>
      <c r="F98" s="45"/>
      <c r="G98" s="44"/>
      <c r="H98" s="45"/>
      <c r="I98" s="44">
        <f t="shared" si="9"/>
        <v>8000000</v>
      </c>
      <c r="J98" s="45">
        <f t="shared" si="9"/>
        <v>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11" customFormat="1" ht="12.75">
      <c r="A99" s="32" t="s">
        <v>145</v>
      </c>
      <c r="B99" s="43" t="s">
        <v>97</v>
      </c>
      <c r="C99" s="44"/>
      <c r="D99" s="45"/>
      <c r="E99" s="44">
        <v>1000000</v>
      </c>
      <c r="F99" s="45"/>
      <c r="G99" s="44"/>
      <c r="H99" s="45"/>
      <c r="I99" s="44">
        <f t="shared" si="9"/>
        <v>1000000</v>
      </c>
      <c r="J99" s="45">
        <f t="shared" si="9"/>
        <v>0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s="11" customFormat="1" ht="13.5" thickBot="1">
      <c r="A100" s="198" t="s">
        <v>157</v>
      </c>
      <c r="B100" s="89" t="s">
        <v>97</v>
      </c>
      <c r="C100" s="83">
        <v>1300000</v>
      </c>
      <c r="D100" s="207"/>
      <c r="E100" s="206"/>
      <c r="F100" s="207"/>
      <c r="G100" s="206"/>
      <c r="H100" s="207"/>
      <c r="I100" s="206">
        <f t="shared" si="9"/>
        <v>1300000</v>
      </c>
      <c r="J100" s="207">
        <f t="shared" si="9"/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11" customFormat="1" ht="13.5" thickBot="1">
      <c r="A101" s="32"/>
      <c r="B101" s="43"/>
      <c r="C101" s="44"/>
      <c r="D101" s="45"/>
      <c r="E101" s="44"/>
      <c r="F101" s="45"/>
      <c r="G101" s="44"/>
      <c r="H101" s="45"/>
      <c r="I101" s="44"/>
      <c r="J101" s="45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1" customFormat="1" ht="12.75">
      <c r="A102" s="199" t="s">
        <v>115</v>
      </c>
      <c r="B102" s="93"/>
      <c r="C102" s="81"/>
      <c r="D102" s="80"/>
      <c r="E102" s="81"/>
      <c r="F102" s="80"/>
      <c r="G102" s="81"/>
      <c r="H102" s="80"/>
      <c r="I102" s="81">
        <f aca="true" t="shared" si="10" ref="I102:I113">C102+E102+G102</f>
        <v>0</v>
      </c>
      <c r="J102" s="80">
        <f aca="true" t="shared" si="11" ref="J102:J113">D102+F102+H102</f>
        <v>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1" customFormat="1" ht="12.75">
      <c r="A103" s="32" t="s">
        <v>116</v>
      </c>
      <c r="B103" s="43" t="s">
        <v>97</v>
      </c>
      <c r="C103" s="44">
        <v>500000</v>
      </c>
      <c r="D103" s="45"/>
      <c r="E103" s="44"/>
      <c r="F103" s="45"/>
      <c r="G103" s="44"/>
      <c r="H103" s="45"/>
      <c r="I103" s="44">
        <f t="shared" si="10"/>
        <v>500000</v>
      </c>
      <c r="J103" s="45">
        <f t="shared" si="11"/>
        <v>0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1" customFormat="1" ht="12.75">
      <c r="A104" s="32" t="s">
        <v>150</v>
      </c>
      <c r="B104" s="43" t="s">
        <v>97</v>
      </c>
      <c r="C104" s="44">
        <v>1000000</v>
      </c>
      <c r="D104" s="45"/>
      <c r="E104" s="44"/>
      <c r="F104" s="45"/>
      <c r="G104" s="44"/>
      <c r="H104" s="45"/>
      <c r="I104" s="44">
        <f t="shared" si="10"/>
        <v>1000000</v>
      </c>
      <c r="J104" s="45">
        <f t="shared" si="11"/>
        <v>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1" customFormat="1" ht="12.75">
      <c r="A105" s="32" t="s">
        <v>117</v>
      </c>
      <c r="B105" s="43" t="s">
        <v>97</v>
      </c>
      <c r="C105" s="44">
        <v>800000</v>
      </c>
      <c r="D105" s="45"/>
      <c r="E105" s="44"/>
      <c r="F105" s="45"/>
      <c r="G105" s="44"/>
      <c r="H105" s="45"/>
      <c r="I105" s="44">
        <f t="shared" si="10"/>
        <v>800000</v>
      </c>
      <c r="J105" s="45">
        <f t="shared" si="11"/>
        <v>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1" customFormat="1" ht="25.5">
      <c r="A106" s="32" t="s">
        <v>379</v>
      </c>
      <c r="B106" s="43" t="s">
        <v>97</v>
      </c>
      <c r="C106" s="44">
        <v>2000000</v>
      </c>
      <c r="D106" s="45"/>
      <c r="E106" s="44"/>
      <c r="F106" s="45"/>
      <c r="G106" s="44"/>
      <c r="H106" s="45"/>
      <c r="I106" s="44">
        <f t="shared" si="10"/>
        <v>2000000</v>
      </c>
      <c r="J106" s="45">
        <f t="shared" si="11"/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1" customFormat="1" ht="12.75">
      <c r="A107" s="32" t="s">
        <v>118</v>
      </c>
      <c r="B107" s="43" t="s">
        <v>106</v>
      </c>
      <c r="C107" s="44"/>
      <c r="D107" s="45">
        <v>6500000</v>
      </c>
      <c r="E107" s="44"/>
      <c r="F107" s="45"/>
      <c r="G107" s="44"/>
      <c r="H107" s="45"/>
      <c r="I107" s="44">
        <f t="shared" si="10"/>
        <v>0</v>
      </c>
      <c r="J107" s="45">
        <f t="shared" si="11"/>
        <v>6500000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2" customFormat="1" ht="12.75">
      <c r="A108" s="32" t="s">
        <v>120</v>
      </c>
      <c r="B108" s="43" t="s">
        <v>106</v>
      </c>
      <c r="C108" s="44"/>
      <c r="D108" s="45">
        <v>0</v>
      </c>
      <c r="E108" s="44"/>
      <c r="F108" s="45"/>
      <c r="G108" s="44"/>
      <c r="H108" s="45"/>
      <c r="I108" s="44">
        <f t="shared" si="10"/>
        <v>0</v>
      </c>
      <c r="J108" s="45">
        <f t="shared" si="11"/>
        <v>0</v>
      </c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s="11" customFormat="1" ht="12.75">
      <c r="A109" s="32" t="s">
        <v>148</v>
      </c>
      <c r="B109" s="29" t="s">
        <v>98</v>
      </c>
      <c r="C109" s="44"/>
      <c r="D109" s="45"/>
      <c r="E109" s="44">
        <v>300000</v>
      </c>
      <c r="F109" s="45"/>
      <c r="G109" s="44"/>
      <c r="H109" s="45"/>
      <c r="I109" s="44">
        <f t="shared" si="10"/>
        <v>300000</v>
      </c>
      <c r="J109" s="45">
        <f t="shared" si="11"/>
        <v>0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s="11" customFormat="1" ht="12.75">
      <c r="A110" s="32" t="s">
        <v>149</v>
      </c>
      <c r="B110" s="43" t="s">
        <v>99</v>
      </c>
      <c r="C110" s="44"/>
      <c r="D110" s="45"/>
      <c r="E110" s="44">
        <v>60000</v>
      </c>
      <c r="F110" s="45"/>
      <c r="G110" s="44"/>
      <c r="H110" s="45"/>
      <c r="I110" s="44">
        <f t="shared" si="10"/>
        <v>60000</v>
      </c>
      <c r="J110" s="45">
        <f t="shared" si="11"/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s="11" customFormat="1" ht="12.75">
      <c r="A111" s="32" t="s">
        <v>142</v>
      </c>
      <c r="B111" s="43" t="s">
        <v>97</v>
      </c>
      <c r="C111" s="44"/>
      <c r="D111" s="45"/>
      <c r="E111" s="44">
        <f>(100000*1.27)+(300000*1.27)+160000+10000*12+12*8000</f>
        <v>884000</v>
      </c>
      <c r="F111" s="45"/>
      <c r="G111" s="44"/>
      <c r="H111" s="45"/>
      <c r="I111" s="44">
        <f t="shared" si="10"/>
        <v>884000</v>
      </c>
      <c r="J111" s="45">
        <f t="shared" si="11"/>
        <v>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11" customFormat="1" ht="12.75">
      <c r="A112" s="32" t="s">
        <v>165</v>
      </c>
      <c r="B112" s="43" t="s">
        <v>106</v>
      </c>
      <c r="C112" s="44"/>
      <c r="D112" s="45"/>
      <c r="E112" s="44"/>
      <c r="F112" s="45">
        <v>400000</v>
      </c>
      <c r="G112" s="44"/>
      <c r="H112" s="45"/>
      <c r="I112" s="44">
        <f t="shared" si="10"/>
        <v>0</v>
      </c>
      <c r="J112" s="45">
        <f t="shared" si="11"/>
        <v>400000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s="11" customFormat="1" ht="13.5" thickBot="1">
      <c r="A113" s="198" t="s">
        <v>73</v>
      </c>
      <c r="B113" s="89" t="s">
        <v>143</v>
      </c>
      <c r="C113" s="83">
        <v>1000000</v>
      </c>
      <c r="D113" s="82"/>
      <c r="E113" s="83"/>
      <c r="F113" s="82"/>
      <c r="G113" s="83"/>
      <c r="H113" s="82"/>
      <c r="I113" s="83">
        <f t="shared" si="10"/>
        <v>1000000</v>
      </c>
      <c r="J113" s="82">
        <f t="shared" si="11"/>
        <v>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s="11" customFormat="1" ht="13.5" thickBot="1">
      <c r="A114" s="32"/>
      <c r="B114" s="43"/>
      <c r="C114" s="44"/>
      <c r="D114" s="45"/>
      <c r="E114" s="44"/>
      <c r="F114" s="45"/>
      <c r="G114" s="44"/>
      <c r="H114" s="45"/>
      <c r="I114" s="44"/>
      <c r="J114" s="4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s="11" customFormat="1" ht="12.75">
      <c r="A115" s="199" t="s">
        <v>113</v>
      </c>
      <c r="B115" s="93"/>
      <c r="C115" s="81"/>
      <c r="D115" s="80"/>
      <c r="E115" s="81"/>
      <c r="F115" s="80"/>
      <c r="G115" s="81"/>
      <c r="H115" s="80"/>
      <c r="I115" s="81">
        <f aca="true" t="shared" si="12" ref="I115:I124">C115+E115+G115</f>
        <v>0</v>
      </c>
      <c r="J115" s="80">
        <f aca="true" t="shared" si="13" ref="J115:J124">D115+F115+H115</f>
        <v>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s="12" customFormat="1" ht="12.75">
      <c r="A116" s="32" t="s">
        <v>9</v>
      </c>
      <c r="B116" s="43" t="s">
        <v>154</v>
      </c>
      <c r="C116" s="44"/>
      <c r="D116" s="45">
        <v>52000000</v>
      </c>
      <c r="E116" s="44"/>
      <c r="F116" s="45"/>
      <c r="G116" s="44"/>
      <c r="H116" s="45"/>
      <c r="I116" s="44">
        <f t="shared" si="12"/>
        <v>0</v>
      </c>
      <c r="J116" s="45">
        <f t="shared" si="13"/>
        <v>52000000</v>
      </c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s="11" customFormat="1" ht="12.75">
      <c r="A117" s="32" t="s">
        <v>155</v>
      </c>
      <c r="B117" s="43" t="s">
        <v>154</v>
      </c>
      <c r="C117" s="44"/>
      <c r="D117" s="45">
        <v>16340000</v>
      </c>
      <c r="E117" s="44"/>
      <c r="F117" s="45"/>
      <c r="G117" s="44"/>
      <c r="H117" s="45"/>
      <c r="I117" s="44">
        <f t="shared" si="12"/>
        <v>0</v>
      </c>
      <c r="J117" s="45">
        <f t="shared" si="13"/>
        <v>16340000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s="11" customFormat="1" ht="12.75">
      <c r="A118" s="32" t="s">
        <v>7</v>
      </c>
      <c r="B118" s="43" t="s">
        <v>154</v>
      </c>
      <c r="C118" s="44"/>
      <c r="D118" s="45">
        <v>21233000</v>
      </c>
      <c r="E118" s="44"/>
      <c r="F118" s="45"/>
      <c r="G118" s="44"/>
      <c r="H118" s="45"/>
      <c r="I118" s="44">
        <f t="shared" si="12"/>
        <v>0</v>
      </c>
      <c r="J118" s="45">
        <f t="shared" si="13"/>
        <v>21233000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s="12" customFormat="1" ht="12.75">
      <c r="A119" s="32" t="s">
        <v>8</v>
      </c>
      <c r="B119" s="43" t="s">
        <v>154</v>
      </c>
      <c r="C119" s="44"/>
      <c r="D119" s="45">
        <v>44208425</v>
      </c>
      <c r="E119" s="44"/>
      <c r="F119" s="45"/>
      <c r="G119" s="44"/>
      <c r="H119" s="45"/>
      <c r="I119" s="44">
        <f t="shared" si="12"/>
        <v>0</v>
      </c>
      <c r="J119" s="45">
        <f t="shared" si="13"/>
        <v>44208425</v>
      </c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s="12" customFormat="1" ht="12.75">
      <c r="A120" s="32" t="s">
        <v>18</v>
      </c>
      <c r="B120" s="43" t="s">
        <v>154</v>
      </c>
      <c r="C120" s="44"/>
      <c r="D120" s="45">
        <f>310000000+10000000</f>
        <v>320000000</v>
      </c>
      <c r="E120" s="44"/>
      <c r="F120" s="45"/>
      <c r="G120" s="44"/>
      <c r="H120" s="45"/>
      <c r="I120" s="44">
        <f t="shared" si="12"/>
        <v>0</v>
      </c>
      <c r="J120" s="45">
        <f t="shared" si="13"/>
        <v>320000000</v>
      </c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s="11" customFormat="1" ht="12.75">
      <c r="A121" s="32" t="s">
        <v>19</v>
      </c>
      <c r="B121" s="43" t="s">
        <v>154</v>
      </c>
      <c r="C121" s="44"/>
      <c r="D121" s="45">
        <v>232000</v>
      </c>
      <c r="E121" s="44"/>
      <c r="F121" s="45"/>
      <c r="G121" s="44"/>
      <c r="H121" s="45"/>
      <c r="I121" s="44">
        <f t="shared" si="12"/>
        <v>0</v>
      </c>
      <c r="J121" s="45">
        <f t="shared" si="13"/>
        <v>232000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s="11" customFormat="1" ht="12.75">
      <c r="A122" s="32" t="s">
        <v>156</v>
      </c>
      <c r="B122" s="43" t="s">
        <v>154</v>
      </c>
      <c r="C122" s="44"/>
      <c r="D122" s="45">
        <v>35845884</v>
      </c>
      <c r="E122" s="44"/>
      <c r="F122" s="45"/>
      <c r="G122" s="44"/>
      <c r="H122" s="45"/>
      <c r="I122" s="44">
        <f t="shared" si="12"/>
        <v>0</v>
      </c>
      <c r="J122" s="45">
        <f t="shared" si="13"/>
        <v>35845884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s="11" customFormat="1" ht="12.75">
      <c r="A123" s="32" t="s">
        <v>188</v>
      </c>
      <c r="B123" s="43" t="s">
        <v>154</v>
      </c>
      <c r="C123" s="44"/>
      <c r="D123" s="45">
        <v>0</v>
      </c>
      <c r="E123" s="44"/>
      <c r="F123" s="45"/>
      <c r="G123" s="44"/>
      <c r="H123" s="45"/>
      <c r="I123" s="44">
        <f t="shared" si="12"/>
        <v>0</v>
      </c>
      <c r="J123" s="45">
        <f t="shared" si="13"/>
        <v>0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s="11" customFormat="1" ht="13.5" thickBot="1">
      <c r="A124" s="198" t="s">
        <v>189</v>
      </c>
      <c r="B124" s="89" t="s">
        <v>97</v>
      </c>
      <c r="C124" s="83">
        <v>2000000</v>
      </c>
      <c r="D124" s="82"/>
      <c r="E124" s="83"/>
      <c r="F124" s="82"/>
      <c r="G124" s="83"/>
      <c r="H124" s="82"/>
      <c r="I124" s="83">
        <f t="shared" si="12"/>
        <v>2000000</v>
      </c>
      <c r="J124" s="82">
        <f t="shared" si="13"/>
        <v>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s="11" customFormat="1" ht="12" customHeight="1" thickBot="1">
      <c r="A125" s="32"/>
      <c r="B125" s="43"/>
      <c r="C125" s="44"/>
      <c r="D125" s="45"/>
      <c r="E125" s="44"/>
      <c r="F125" s="45"/>
      <c r="G125" s="44"/>
      <c r="H125" s="45"/>
      <c r="I125" s="44"/>
      <c r="J125" s="45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s="11" customFormat="1" ht="12.75">
      <c r="A126" s="199" t="s">
        <v>221</v>
      </c>
      <c r="B126" s="93"/>
      <c r="C126" s="81"/>
      <c r="D126" s="80"/>
      <c r="E126" s="81"/>
      <c r="F126" s="80"/>
      <c r="G126" s="81"/>
      <c r="H126" s="80"/>
      <c r="I126" s="81">
        <f aca="true" t="shared" si="14" ref="I126:J128">C126+E126+G126</f>
        <v>0</v>
      </c>
      <c r="J126" s="80">
        <f t="shared" si="14"/>
        <v>0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s="11" customFormat="1" ht="12.75">
      <c r="A127" s="32" t="s">
        <v>222</v>
      </c>
      <c r="B127" s="43" t="s">
        <v>223</v>
      </c>
      <c r="C127" s="44">
        <v>4900000</v>
      </c>
      <c r="D127" s="45"/>
      <c r="E127" s="44"/>
      <c r="F127" s="45"/>
      <c r="G127" s="44"/>
      <c r="H127" s="45"/>
      <c r="I127" s="44">
        <f t="shared" si="14"/>
        <v>4900000</v>
      </c>
      <c r="J127" s="45">
        <f t="shared" si="14"/>
        <v>0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s="11" customFormat="1" ht="13.5" thickBot="1">
      <c r="A128" s="198" t="s">
        <v>224</v>
      </c>
      <c r="B128" s="89" t="s">
        <v>225</v>
      </c>
      <c r="C128" s="83"/>
      <c r="D128" s="82">
        <v>3400000</v>
      </c>
      <c r="E128" s="83"/>
      <c r="F128" s="82"/>
      <c r="G128" s="83"/>
      <c r="H128" s="82"/>
      <c r="I128" s="83">
        <f t="shared" si="14"/>
        <v>0</v>
      </c>
      <c r="J128" s="82">
        <f t="shared" si="14"/>
        <v>3400000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s="11" customFormat="1" ht="13.5" thickBot="1">
      <c r="A129" s="32"/>
      <c r="B129" s="43"/>
      <c r="C129" s="44"/>
      <c r="D129" s="45"/>
      <c r="E129" s="44"/>
      <c r="F129" s="45"/>
      <c r="G129" s="44"/>
      <c r="H129" s="45"/>
      <c r="I129" s="44"/>
      <c r="J129" s="45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s="11" customFormat="1" ht="12.75">
      <c r="A130" s="199" t="s">
        <v>373</v>
      </c>
      <c r="B130" s="93"/>
      <c r="C130" s="81"/>
      <c r="D130" s="80"/>
      <c r="E130" s="81"/>
      <c r="F130" s="80"/>
      <c r="G130" s="81"/>
      <c r="H130" s="80"/>
      <c r="I130" s="81">
        <f aca="true" t="shared" si="15" ref="I130:J132">C130+E130+G130</f>
        <v>0</v>
      </c>
      <c r="J130" s="80">
        <f t="shared" si="15"/>
        <v>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s="11" customFormat="1" ht="12.75">
      <c r="A131" s="32" t="s">
        <v>374</v>
      </c>
      <c r="B131" s="43" t="s">
        <v>223</v>
      </c>
      <c r="C131" s="44">
        <v>18000000</v>
      </c>
      <c r="D131" s="45"/>
      <c r="E131" s="44"/>
      <c r="F131" s="45"/>
      <c r="G131" s="44"/>
      <c r="H131" s="45"/>
      <c r="I131" s="44">
        <f t="shared" si="15"/>
        <v>18000000</v>
      </c>
      <c r="J131" s="45">
        <f t="shared" si="15"/>
        <v>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s="11" customFormat="1" ht="13.5" thickBot="1">
      <c r="A132" s="198" t="s">
        <v>375</v>
      </c>
      <c r="B132" s="89" t="s">
        <v>225</v>
      </c>
      <c r="C132" s="83"/>
      <c r="D132" s="82">
        <v>18000000</v>
      </c>
      <c r="E132" s="83"/>
      <c r="F132" s="82"/>
      <c r="G132" s="83"/>
      <c r="H132" s="82"/>
      <c r="I132" s="83">
        <f t="shared" si="15"/>
        <v>0</v>
      </c>
      <c r="J132" s="82">
        <f t="shared" si="15"/>
        <v>18000000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s="11" customFormat="1" ht="13.5" thickBot="1">
      <c r="A133" s="198"/>
      <c r="B133" s="89"/>
      <c r="C133" s="83"/>
      <c r="D133" s="82"/>
      <c r="E133" s="83"/>
      <c r="F133" s="82"/>
      <c r="G133" s="83"/>
      <c r="H133" s="82"/>
      <c r="I133" s="83"/>
      <c r="J133" s="82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s="11" customFormat="1" ht="12.75">
      <c r="A134" s="199" t="s">
        <v>158</v>
      </c>
      <c r="B134" s="203"/>
      <c r="C134" s="204"/>
      <c r="D134" s="205"/>
      <c r="E134" s="204"/>
      <c r="F134" s="205"/>
      <c r="G134" s="204"/>
      <c r="H134" s="205"/>
      <c r="I134" s="204">
        <f aca="true" t="shared" si="16" ref="I134:J140">C134+E134+G134</f>
        <v>0</v>
      </c>
      <c r="J134" s="205">
        <f t="shared" si="16"/>
        <v>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s="11" customFormat="1" ht="12.75">
      <c r="A135" s="32" t="s">
        <v>85</v>
      </c>
      <c r="B135" s="43" t="s">
        <v>166</v>
      </c>
      <c r="C135" s="44">
        <v>21850000</v>
      </c>
      <c r="D135" s="45"/>
      <c r="E135" s="44"/>
      <c r="F135" s="45"/>
      <c r="G135" s="44"/>
      <c r="H135" s="45"/>
      <c r="I135" s="44">
        <f t="shared" si="16"/>
        <v>21850000</v>
      </c>
      <c r="J135" s="45">
        <f t="shared" si="16"/>
        <v>0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s="11" customFormat="1" ht="12.75">
      <c r="A136" s="32" t="s">
        <v>159</v>
      </c>
      <c r="B136" s="43" t="s">
        <v>166</v>
      </c>
      <c r="C136" s="44">
        <v>150000</v>
      </c>
      <c r="D136" s="45"/>
      <c r="E136" s="44"/>
      <c r="F136" s="45"/>
      <c r="G136" s="44"/>
      <c r="H136" s="45"/>
      <c r="I136" s="44">
        <f t="shared" si="16"/>
        <v>150000</v>
      </c>
      <c r="J136" s="45">
        <f t="shared" si="16"/>
        <v>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s="11" customFormat="1" ht="12.75">
      <c r="A137" s="32" t="s">
        <v>160</v>
      </c>
      <c r="B137" s="43" t="s">
        <v>166</v>
      </c>
      <c r="C137" s="44">
        <v>1000000</v>
      </c>
      <c r="D137" s="45"/>
      <c r="E137" s="44"/>
      <c r="F137" s="45"/>
      <c r="G137" s="44"/>
      <c r="H137" s="45"/>
      <c r="I137" s="44">
        <f t="shared" si="16"/>
        <v>1000000</v>
      </c>
      <c r="J137" s="45">
        <f t="shared" si="16"/>
        <v>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s="12" customFormat="1" ht="12.75">
      <c r="A138" s="32" t="s">
        <v>161</v>
      </c>
      <c r="B138" s="43" t="s">
        <v>166</v>
      </c>
      <c r="C138" s="44">
        <v>1500000</v>
      </c>
      <c r="D138" s="45"/>
      <c r="E138" s="44"/>
      <c r="F138" s="45"/>
      <c r="G138" s="44"/>
      <c r="H138" s="45"/>
      <c r="I138" s="44">
        <f t="shared" si="16"/>
        <v>1500000</v>
      </c>
      <c r="J138" s="45">
        <f t="shared" si="16"/>
        <v>0</v>
      </c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s="11" customFormat="1" ht="25.5">
      <c r="A139" s="32" t="s">
        <v>162</v>
      </c>
      <c r="B139" s="43" t="s">
        <v>94</v>
      </c>
      <c r="C139" s="44"/>
      <c r="D139" s="45">
        <v>1500000</v>
      </c>
      <c r="E139" s="44"/>
      <c r="F139" s="45"/>
      <c r="G139" s="44"/>
      <c r="H139" s="45"/>
      <c r="I139" s="44">
        <f t="shared" si="16"/>
        <v>0</v>
      </c>
      <c r="J139" s="45">
        <f t="shared" si="16"/>
        <v>1500000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10" ht="13.5" thickBot="1">
      <c r="A140" s="198" t="s">
        <v>194</v>
      </c>
      <c r="B140" s="89" t="s">
        <v>190</v>
      </c>
      <c r="C140" s="83">
        <v>273362</v>
      </c>
      <c r="D140" s="82"/>
      <c r="E140" s="83"/>
      <c r="F140" s="82"/>
      <c r="G140" s="83"/>
      <c r="H140" s="82"/>
      <c r="I140" s="83">
        <f t="shared" si="16"/>
        <v>273362</v>
      </c>
      <c r="J140" s="82">
        <f t="shared" si="16"/>
        <v>0</v>
      </c>
    </row>
    <row r="141" spans="1:10" ht="13.5" thickBot="1">
      <c r="A141" s="203"/>
      <c r="B141" s="93"/>
      <c r="C141" s="208"/>
      <c r="D141" s="208"/>
      <c r="E141" s="208"/>
      <c r="F141" s="208"/>
      <c r="G141" s="208"/>
      <c r="H141" s="208"/>
      <c r="I141" s="208"/>
      <c r="J141" s="208"/>
    </row>
    <row r="142" spans="1:26" s="11" customFormat="1" ht="12.75">
      <c r="A142" s="199" t="s">
        <v>163</v>
      </c>
      <c r="B142" s="70" t="s">
        <v>97</v>
      </c>
      <c r="C142" s="81">
        <v>300000</v>
      </c>
      <c r="D142" s="80"/>
      <c r="E142" s="81"/>
      <c r="F142" s="80"/>
      <c r="G142" s="81"/>
      <c r="H142" s="80"/>
      <c r="I142" s="81">
        <f>C142+E142+G142</f>
        <v>300000</v>
      </c>
      <c r="J142" s="80">
        <f>D142+F142+H142</f>
        <v>0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10" ht="26.25" thickBot="1">
      <c r="A143" s="198" t="s">
        <v>168</v>
      </c>
      <c r="B143" s="89" t="s">
        <v>97</v>
      </c>
      <c r="C143" s="83"/>
      <c r="D143" s="82"/>
      <c r="E143" s="83">
        <f>500000-50000</f>
        <v>450000</v>
      </c>
      <c r="F143" s="82"/>
      <c r="G143" s="83"/>
      <c r="H143" s="82"/>
      <c r="I143" s="83">
        <f>C143+E143+G143</f>
        <v>450000</v>
      </c>
      <c r="J143" s="82">
        <f>D143+F143+H143</f>
        <v>0</v>
      </c>
    </row>
    <row r="144" spans="1:10" ht="13.5" thickBot="1">
      <c r="A144" s="200"/>
      <c r="B144" s="200"/>
      <c r="C144" s="90"/>
      <c r="D144" s="90"/>
      <c r="E144" s="90"/>
      <c r="F144" s="90"/>
      <c r="G144" s="90"/>
      <c r="H144" s="90"/>
      <c r="I144" s="90"/>
      <c r="J144" s="90"/>
    </row>
    <row r="145" spans="1:26" s="11" customFormat="1" ht="12.75">
      <c r="A145" s="199" t="s">
        <v>348</v>
      </c>
      <c r="B145" s="43" t="s">
        <v>193</v>
      </c>
      <c r="C145" s="81">
        <v>12617616</v>
      </c>
      <c r="D145" s="80"/>
      <c r="E145" s="81"/>
      <c r="F145" s="80"/>
      <c r="G145" s="81"/>
      <c r="H145" s="80"/>
      <c r="I145" s="81">
        <f>C145+E145+G145</f>
        <v>12617616</v>
      </c>
      <c r="J145" s="80">
        <f>D145+F145+H145</f>
        <v>0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10" ht="13.5" thickBot="1">
      <c r="A146" s="198" t="s">
        <v>366</v>
      </c>
      <c r="B146" s="89"/>
      <c r="C146" s="83"/>
      <c r="D146" s="82"/>
      <c r="E146" s="83"/>
      <c r="F146" s="82"/>
      <c r="G146" s="83"/>
      <c r="H146" s="82"/>
      <c r="I146" s="83">
        <f>C146+E146+G146</f>
        <v>0</v>
      </c>
      <c r="J146" s="82">
        <f>D146+F146+H146</f>
        <v>0</v>
      </c>
    </row>
    <row r="147" spans="1:10" ht="13.5" thickBot="1">
      <c r="A147" s="200"/>
      <c r="B147" s="200"/>
      <c r="C147" s="90"/>
      <c r="D147" s="90"/>
      <c r="E147" s="90"/>
      <c r="F147" s="90"/>
      <c r="G147" s="90"/>
      <c r="H147" s="90"/>
      <c r="I147" s="90"/>
      <c r="J147" s="90"/>
    </row>
    <row r="148" spans="1:10" ht="26.25" thickBot="1">
      <c r="A148" s="209" t="s">
        <v>365</v>
      </c>
      <c r="B148" s="421" t="s">
        <v>167</v>
      </c>
      <c r="C148" s="201">
        <f>100*11429+1160400</f>
        <v>2303300</v>
      </c>
      <c r="D148" s="202"/>
      <c r="E148" s="201"/>
      <c r="F148" s="202"/>
      <c r="G148" s="201"/>
      <c r="H148" s="202"/>
      <c r="I148" s="201">
        <f>C148+E148+G148</f>
        <v>2303300</v>
      </c>
      <c r="J148" s="202">
        <f>D148+F148+H148</f>
        <v>0</v>
      </c>
    </row>
    <row r="149" spans="1:10" ht="13.5" thickBot="1">
      <c r="A149" s="46"/>
      <c r="B149" s="47"/>
      <c r="C149" s="48"/>
      <c r="D149" s="49"/>
      <c r="E149" s="48"/>
      <c r="F149" s="49"/>
      <c r="G149" s="48"/>
      <c r="H149" s="49"/>
      <c r="I149" s="48"/>
      <c r="J149" s="49"/>
    </row>
    <row r="150" spans="1:10" ht="12.75">
      <c r="A150" s="199" t="s">
        <v>119</v>
      </c>
      <c r="B150" s="203"/>
      <c r="C150" s="204"/>
      <c r="D150" s="205"/>
      <c r="E150" s="204"/>
      <c r="F150" s="205"/>
      <c r="G150" s="204"/>
      <c r="H150" s="205"/>
      <c r="I150" s="81">
        <f aca="true" t="shared" si="17" ref="I150:J156">C150+E150+G150</f>
        <v>0</v>
      </c>
      <c r="J150" s="80">
        <f t="shared" si="17"/>
        <v>0</v>
      </c>
    </row>
    <row r="151" spans="1:10" ht="12.75">
      <c r="A151" s="32" t="s">
        <v>138</v>
      </c>
      <c r="B151" s="43" t="s">
        <v>97</v>
      </c>
      <c r="C151" s="48"/>
      <c r="D151" s="49"/>
      <c r="E151" s="44">
        <v>1000000</v>
      </c>
      <c r="F151" s="45"/>
      <c r="G151" s="48"/>
      <c r="H151" s="49"/>
      <c r="I151" s="44">
        <f t="shared" si="17"/>
        <v>1000000</v>
      </c>
      <c r="J151" s="45">
        <f t="shared" si="17"/>
        <v>0</v>
      </c>
    </row>
    <row r="152" spans="1:10" ht="12.75">
      <c r="A152" s="32" t="s">
        <v>139</v>
      </c>
      <c r="B152" s="43" t="s">
        <v>97</v>
      </c>
      <c r="C152" s="48"/>
      <c r="D152" s="49"/>
      <c r="E152" s="44">
        <v>2200000</v>
      </c>
      <c r="F152" s="45"/>
      <c r="G152" s="48"/>
      <c r="H152" s="49"/>
      <c r="I152" s="44">
        <f t="shared" si="17"/>
        <v>2200000</v>
      </c>
      <c r="J152" s="45">
        <f t="shared" si="17"/>
        <v>0</v>
      </c>
    </row>
    <row r="153" spans="1:10" ht="12.75">
      <c r="A153" s="32" t="s">
        <v>140</v>
      </c>
      <c r="B153" s="43" t="s">
        <v>97</v>
      </c>
      <c r="C153" s="48"/>
      <c r="D153" s="49"/>
      <c r="E153" s="44">
        <v>200000</v>
      </c>
      <c r="F153" s="45"/>
      <c r="G153" s="48"/>
      <c r="H153" s="49"/>
      <c r="I153" s="44">
        <f t="shared" si="17"/>
        <v>200000</v>
      </c>
      <c r="J153" s="45">
        <f t="shared" si="17"/>
        <v>0</v>
      </c>
    </row>
    <row r="154" spans="1:10" ht="25.5">
      <c r="A154" s="32" t="s">
        <v>151</v>
      </c>
      <c r="B154" s="43" t="s">
        <v>106</v>
      </c>
      <c r="C154" s="48"/>
      <c r="D154" s="49"/>
      <c r="E154" s="44"/>
      <c r="F154" s="45">
        <f>E153+E152+E151</f>
        <v>3400000</v>
      </c>
      <c r="G154" s="48"/>
      <c r="H154" s="49"/>
      <c r="I154" s="44">
        <f t="shared" si="17"/>
        <v>0</v>
      </c>
      <c r="J154" s="45">
        <f t="shared" si="17"/>
        <v>3400000</v>
      </c>
    </row>
    <row r="155" spans="1:10" ht="12.75">
      <c r="A155" s="32" t="s">
        <v>144</v>
      </c>
      <c r="B155" s="43" t="s">
        <v>97</v>
      </c>
      <c r="C155" s="44"/>
      <c r="D155" s="45"/>
      <c r="E155" s="44">
        <f>2000000+1379435</f>
        <v>3379435</v>
      </c>
      <c r="F155" s="45"/>
      <c r="G155" s="48"/>
      <c r="H155" s="49"/>
      <c r="I155" s="44">
        <f t="shared" si="17"/>
        <v>3379435</v>
      </c>
      <c r="J155" s="45">
        <f t="shared" si="17"/>
        <v>0</v>
      </c>
    </row>
    <row r="156" spans="1:10" ht="13.5" thickBot="1">
      <c r="A156" s="198" t="s">
        <v>152</v>
      </c>
      <c r="B156" s="89" t="s">
        <v>203</v>
      </c>
      <c r="C156" s="83"/>
      <c r="D156" s="82"/>
      <c r="E156" s="83">
        <v>252000</v>
      </c>
      <c r="F156" s="207"/>
      <c r="G156" s="206"/>
      <c r="H156" s="207"/>
      <c r="I156" s="83">
        <f t="shared" si="17"/>
        <v>252000</v>
      </c>
      <c r="J156" s="82">
        <f t="shared" si="17"/>
        <v>0</v>
      </c>
    </row>
    <row r="157" spans="1:10" ht="13.5" thickBot="1">
      <c r="A157" s="32"/>
      <c r="B157" s="43"/>
      <c r="C157" s="44"/>
      <c r="D157" s="45"/>
      <c r="E157" s="44"/>
      <c r="F157" s="45"/>
      <c r="G157" s="44"/>
      <c r="H157" s="45"/>
      <c r="I157" s="44"/>
      <c r="J157" s="45"/>
    </row>
    <row r="158" spans="1:10" ht="12.75">
      <c r="A158" s="199" t="s">
        <v>12</v>
      </c>
      <c r="B158" s="203"/>
      <c r="C158" s="204"/>
      <c r="D158" s="205"/>
      <c r="E158" s="204"/>
      <c r="F158" s="205"/>
      <c r="G158" s="204"/>
      <c r="H158" s="205"/>
      <c r="I158" s="204">
        <f aca="true" t="shared" si="18" ref="I158:I174">C158+E158+G158</f>
        <v>0</v>
      </c>
      <c r="J158" s="205">
        <f aca="true" t="shared" si="19" ref="J158:J174">D158+F158+H158</f>
        <v>0</v>
      </c>
    </row>
    <row r="159" spans="1:10" ht="12.75">
      <c r="A159" s="32" t="s">
        <v>170</v>
      </c>
      <c r="B159" s="43" t="s">
        <v>193</v>
      </c>
      <c r="C159" s="44">
        <v>3200000</v>
      </c>
      <c r="D159" s="45"/>
      <c r="E159" s="44"/>
      <c r="F159" s="45"/>
      <c r="G159" s="44"/>
      <c r="H159" s="45"/>
      <c r="I159" s="44">
        <f t="shared" si="18"/>
        <v>3200000</v>
      </c>
      <c r="J159" s="45">
        <f t="shared" si="19"/>
        <v>0</v>
      </c>
    </row>
    <row r="160" spans="1:10" ht="12.75">
      <c r="A160" s="32" t="s">
        <v>171</v>
      </c>
      <c r="B160" s="43" t="s">
        <v>193</v>
      </c>
      <c r="C160" s="44"/>
      <c r="D160" s="45"/>
      <c r="E160" s="44">
        <v>1000000</v>
      </c>
      <c r="F160" s="45"/>
      <c r="G160" s="44"/>
      <c r="H160" s="45"/>
      <c r="I160" s="44">
        <f t="shared" si="18"/>
        <v>1000000</v>
      </c>
      <c r="J160" s="45">
        <f t="shared" si="19"/>
        <v>0</v>
      </c>
    </row>
    <row r="161" spans="1:26" s="24" customFormat="1" ht="15.75">
      <c r="A161" s="32" t="s">
        <v>172</v>
      </c>
      <c r="B161" s="43" t="s">
        <v>193</v>
      </c>
      <c r="C161" s="44"/>
      <c r="D161" s="45"/>
      <c r="E161" s="44">
        <f>400000-100000</f>
        <v>300000</v>
      </c>
      <c r="F161" s="45"/>
      <c r="G161" s="44"/>
      <c r="H161" s="45"/>
      <c r="I161" s="44">
        <f t="shared" si="18"/>
        <v>300000</v>
      </c>
      <c r="J161" s="45">
        <f t="shared" si="19"/>
        <v>0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s="15" customFormat="1" ht="15.75">
      <c r="A162" s="210" t="s">
        <v>180</v>
      </c>
      <c r="B162" s="43"/>
      <c r="C162" s="44"/>
      <c r="D162" s="45"/>
      <c r="E162" s="44"/>
      <c r="F162" s="45"/>
      <c r="G162" s="44"/>
      <c r="H162" s="45"/>
      <c r="I162" s="44">
        <f t="shared" si="18"/>
        <v>0</v>
      </c>
      <c r="J162" s="45">
        <f t="shared" si="19"/>
        <v>0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s="15" customFormat="1" ht="15.75">
      <c r="A163" s="32" t="s">
        <v>173</v>
      </c>
      <c r="B163" s="43" t="s">
        <v>193</v>
      </c>
      <c r="C163" s="44">
        <f>3500000+500000</f>
        <v>4000000</v>
      </c>
      <c r="D163" s="45"/>
      <c r="E163" s="44"/>
      <c r="F163" s="45"/>
      <c r="G163" s="44"/>
      <c r="H163" s="45"/>
      <c r="I163" s="44">
        <f t="shared" si="18"/>
        <v>4000000</v>
      </c>
      <c r="J163" s="45">
        <f t="shared" si="19"/>
        <v>0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10" ht="12.75">
      <c r="A164" s="32" t="s">
        <v>174</v>
      </c>
      <c r="B164" s="43" t="s">
        <v>193</v>
      </c>
      <c r="C164" s="44">
        <f>9000000</f>
        <v>9000000</v>
      </c>
      <c r="D164" s="45"/>
      <c r="E164" s="44"/>
      <c r="F164" s="45"/>
      <c r="G164" s="44"/>
      <c r="H164" s="45"/>
      <c r="I164" s="44">
        <f t="shared" si="18"/>
        <v>9000000</v>
      </c>
      <c r="J164" s="45">
        <f t="shared" si="19"/>
        <v>0</v>
      </c>
    </row>
    <row r="165" spans="1:10" ht="12.75">
      <c r="A165" s="32" t="s">
        <v>13</v>
      </c>
      <c r="B165" s="43" t="s">
        <v>193</v>
      </c>
      <c r="C165" s="44">
        <f>1500000</f>
        <v>1500000</v>
      </c>
      <c r="D165" s="45"/>
      <c r="E165" s="44"/>
      <c r="F165" s="45"/>
      <c r="G165" s="44"/>
      <c r="H165" s="45"/>
      <c r="I165" s="44">
        <f t="shared" si="18"/>
        <v>1500000</v>
      </c>
      <c r="J165" s="45">
        <f t="shared" si="19"/>
        <v>0</v>
      </c>
    </row>
    <row r="166" spans="1:10" ht="12.75">
      <c r="A166" s="32" t="s">
        <v>175</v>
      </c>
      <c r="B166" s="43" t="s">
        <v>193</v>
      </c>
      <c r="C166" s="44">
        <v>1000000</v>
      </c>
      <c r="D166" s="49"/>
      <c r="E166" s="48"/>
      <c r="F166" s="49"/>
      <c r="G166" s="48"/>
      <c r="H166" s="49"/>
      <c r="I166" s="44">
        <f t="shared" si="18"/>
        <v>1000000</v>
      </c>
      <c r="J166" s="49">
        <f t="shared" si="19"/>
        <v>0</v>
      </c>
    </row>
    <row r="167" spans="1:10" ht="12.75">
      <c r="A167" s="32" t="s">
        <v>179</v>
      </c>
      <c r="B167" s="43" t="s">
        <v>193</v>
      </c>
      <c r="C167" s="44"/>
      <c r="D167" s="49"/>
      <c r="E167" s="44">
        <f>300000</f>
        <v>300000</v>
      </c>
      <c r="F167" s="49"/>
      <c r="G167" s="48"/>
      <c r="H167" s="49"/>
      <c r="I167" s="44">
        <f t="shared" si="18"/>
        <v>300000</v>
      </c>
      <c r="J167" s="49">
        <f t="shared" si="19"/>
        <v>0</v>
      </c>
    </row>
    <row r="168" spans="1:10" ht="12.75">
      <c r="A168" s="28" t="s">
        <v>80</v>
      </c>
      <c r="B168" s="29" t="s">
        <v>193</v>
      </c>
      <c r="C168" s="30"/>
      <c r="D168" s="31"/>
      <c r="E168" s="30">
        <f>100000</f>
        <v>100000</v>
      </c>
      <c r="F168" s="31"/>
      <c r="G168" s="30"/>
      <c r="H168" s="31"/>
      <c r="I168" s="30">
        <f t="shared" si="18"/>
        <v>100000</v>
      </c>
      <c r="J168" s="31">
        <f t="shared" si="19"/>
        <v>0</v>
      </c>
    </row>
    <row r="169" spans="1:10" ht="12.75">
      <c r="A169" s="32" t="s">
        <v>67</v>
      </c>
      <c r="B169" s="43" t="s">
        <v>193</v>
      </c>
      <c r="C169" s="44"/>
      <c r="D169" s="45"/>
      <c r="E169" s="44">
        <f>300000</f>
        <v>300000</v>
      </c>
      <c r="F169" s="45"/>
      <c r="G169" s="44"/>
      <c r="H169" s="45"/>
      <c r="I169" s="44">
        <f t="shared" si="18"/>
        <v>300000</v>
      </c>
      <c r="J169" s="45">
        <f t="shared" si="19"/>
        <v>0</v>
      </c>
    </row>
    <row r="170" spans="1:10" ht="12.75">
      <c r="A170" s="28" t="s">
        <v>181</v>
      </c>
      <c r="B170" s="29" t="s">
        <v>193</v>
      </c>
      <c r="C170" s="30"/>
      <c r="D170" s="31"/>
      <c r="E170" s="30">
        <f>300000</f>
        <v>300000</v>
      </c>
      <c r="F170" s="31"/>
      <c r="G170" s="30"/>
      <c r="H170" s="31"/>
      <c r="I170" s="30">
        <f t="shared" si="18"/>
        <v>300000</v>
      </c>
      <c r="J170" s="31">
        <f t="shared" si="19"/>
        <v>0</v>
      </c>
    </row>
    <row r="171" spans="1:10" ht="12.75">
      <c r="A171" s="28" t="s">
        <v>182</v>
      </c>
      <c r="B171" s="29" t="s">
        <v>193</v>
      </c>
      <c r="C171" s="30"/>
      <c r="D171" s="31"/>
      <c r="E171" s="30">
        <f>300000</f>
        <v>300000</v>
      </c>
      <c r="F171" s="31"/>
      <c r="G171" s="30"/>
      <c r="H171" s="31"/>
      <c r="I171" s="30">
        <f t="shared" si="18"/>
        <v>300000</v>
      </c>
      <c r="J171" s="31">
        <f t="shared" si="19"/>
        <v>0</v>
      </c>
    </row>
    <row r="172" spans="1:10" ht="12.75">
      <c r="A172" s="32" t="s">
        <v>68</v>
      </c>
      <c r="B172" s="43" t="s">
        <v>193</v>
      </c>
      <c r="C172" s="44"/>
      <c r="D172" s="45"/>
      <c r="E172" s="44">
        <f>150000</f>
        <v>150000</v>
      </c>
      <c r="F172" s="45"/>
      <c r="G172" s="44"/>
      <c r="H172" s="45"/>
      <c r="I172" s="44">
        <f t="shared" si="18"/>
        <v>150000</v>
      </c>
      <c r="J172" s="45">
        <f t="shared" si="19"/>
        <v>0</v>
      </c>
    </row>
    <row r="173" spans="1:10" ht="12.75">
      <c r="A173" s="28" t="s">
        <v>72</v>
      </c>
      <c r="B173" s="29" t="s">
        <v>193</v>
      </c>
      <c r="C173" s="30"/>
      <c r="D173" s="31"/>
      <c r="E173" s="30">
        <f>300000</f>
        <v>300000</v>
      </c>
      <c r="F173" s="31"/>
      <c r="G173" s="30"/>
      <c r="H173" s="31"/>
      <c r="I173" s="30">
        <f t="shared" si="18"/>
        <v>300000</v>
      </c>
      <c r="J173" s="31">
        <f t="shared" si="19"/>
        <v>0</v>
      </c>
    </row>
    <row r="174" spans="1:10" ht="12.75">
      <c r="A174" s="28" t="s">
        <v>69</v>
      </c>
      <c r="B174" s="29" t="s">
        <v>193</v>
      </c>
      <c r="C174" s="30"/>
      <c r="D174" s="31"/>
      <c r="E174" s="30">
        <f>120000</f>
        <v>120000</v>
      </c>
      <c r="F174" s="31"/>
      <c r="G174" s="30"/>
      <c r="H174" s="31"/>
      <c r="I174" s="30">
        <f t="shared" si="18"/>
        <v>120000</v>
      </c>
      <c r="J174" s="31">
        <f t="shared" si="19"/>
        <v>0</v>
      </c>
    </row>
    <row r="175" spans="1:10" ht="12.75">
      <c r="A175" s="28" t="s">
        <v>256</v>
      </c>
      <c r="B175" s="29" t="s">
        <v>193</v>
      </c>
      <c r="C175" s="30"/>
      <c r="D175" s="31"/>
      <c r="E175" s="30">
        <f>150000</f>
        <v>150000</v>
      </c>
      <c r="F175" s="31"/>
      <c r="G175" s="30"/>
      <c r="H175" s="31"/>
      <c r="I175" s="30">
        <f aca="true" t="shared" si="20" ref="I175:I190">C175+E175+G175</f>
        <v>150000</v>
      </c>
      <c r="J175" s="31"/>
    </row>
    <row r="176" spans="1:10" ht="12.75">
      <c r="A176" s="28" t="s">
        <v>183</v>
      </c>
      <c r="B176" s="28" t="s">
        <v>193</v>
      </c>
      <c r="C176" s="30"/>
      <c r="D176" s="31"/>
      <c r="E176" s="30">
        <f>150000</f>
        <v>150000</v>
      </c>
      <c r="F176" s="31"/>
      <c r="G176" s="30"/>
      <c r="H176" s="31"/>
      <c r="I176" s="30">
        <f t="shared" si="20"/>
        <v>150000</v>
      </c>
      <c r="J176" s="31">
        <f aca="true" t="shared" si="21" ref="J176:J190">D176+F176+H176</f>
        <v>0</v>
      </c>
    </row>
    <row r="177" spans="1:10" ht="12.75">
      <c r="A177" s="28" t="s">
        <v>372</v>
      </c>
      <c r="B177" s="29" t="s">
        <v>96</v>
      </c>
      <c r="C177" s="30"/>
      <c r="D177" s="31"/>
      <c r="E177" s="30"/>
      <c r="F177" s="31">
        <v>400000</v>
      </c>
      <c r="G177" s="30"/>
      <c r="H177" s="31"/>
      <c r="I177" s="30">
        <f t="shared" si="20"/>
        <v>0</v>
      </c>
      <c r="J177" s="31">
        <f t="shared" si="21"/>
        <v>400000</v>
      </c>
    </row>
    <row r="178" spans="1:10" ht="12.75">
      <c r="A178" s="28" t="s">
        <v>184</v>
      </c>
      <c r="B178" s="29" t="s">
        <v>193</v>
      </c>
      <c r="C178" s="30"/>
      <c r="D178" s="31"/>
      <c r="E178" s="30">
        <v>400000</v>
      </c>
      <c r="F178" s="31"/>
      <c r="G178" s="30"/>
      <c r="H178" s="31"/>
      <c r="I178" s="30">
        <f t="shared" si="20"/>
        <v>400000</v>
      </c>
      <c r="J178" s="31">
        <f t="shared" si="21"/>
        <v>0</v>
      </c>
    </row>
    <row r="179" spans="1:10" ht="12.75">
      <c r="A179" s="28" t="s">
        <v>349</v>
      </c>
      <c r="B179" s="29" t="s">
        <v>193</v>
      </c>
      <c r="C179" s="30"/>
      <c r="D179" s="31"/>
      <c r="E179" s="30">
        <f>300000</f>
        <v>300000</v>
      </c>
      <c r="F179" s="31"/>
      <c r="G179" s="30"/>
      <c r="H179" s="31"/>
      <c r="I179" s="30">
        <f t="shared" si="20"/>
        <v>300000</v>
      </c>
      <c r="J179" s="31">
        <f t="shared" si="21"/>
        <v>0</v>
      </c>
    </row>
    <row r="180" spans="1:10" ht="12.75">
      <c r="A180" s="28" t="s">
        <v>70</v>
      </c>
      <c r="B180" s="29" t="s">
        <v>193</v>
      </c>
      <c r="C180" s="30"/>
      <c r="D180" s="31"/>
      <c r="E180" s="30">
        <f>600000</f>
        <v>600000</v>
      </c>
      <c r="F180" s="31"/>
      <c r="G180" s="30"/>
      <c r="H180" s="31"/>
      <c r="I180" s="30">
        <f t="shared" si="20"/>
        <v>600000</v>
      </c>
      <c r="J180" s="31">
        <f t="shared" si="21"/>
        <v>0</v>
      </c>
    </row>
    <row r="181" spans="1:10" ht="12.75">
      <c r="A181" s="28" t="s">
        <v>201</v>
      </c>
      <c r="B181" s="29" t="s">
        <v>193</v>
      </c>
      <c r="C181" s="30"/>
      <c r="D181" s="31"/>
      <c r="E181" s="30">
        <v>0</v>
      </c>
      <c r="F181" s="31"/>
      <c r="G181" s="30"/>
      <c r="H181" s="31"/>
      <c r="I181" s="30">
        <f t="shared" si="20"/>
        <v>0</v>
      </c>
      <c r="J181" s="31">
        <f t="shared" si="21"/>
        <v>0</v>
      </c>
    </row>
    <row r="182" spans="1:10" ht="12.75">
      <c r="A182" s="28" t="s">
        <v>202</v>
      </c>
      <c r="B182" s="29" t="s">
        <v>193</v>
      </c>
      <c r="C182" s="30"/>
      <c r="D182" s="31"/>
      <c r="E182" s="30">
        <v>0</v>
      </c>
      <c r="F182" s="31"/>
      <c r="G182" s="30"/>
      <c r="H182" s="31"/>
      <c r="I182" s="30">
        <f t="shared" si="20"/>
        <v>0</v>
      </c>
      <c r="J182" s="31">
        <f t="shared" si="21"/>
        <v>0</v>
      </c>
    </row>
    <row r="183" spans="1:10" ht="12.75">
      <c r="A183" s="32" t="s">
        <v>71</v>
      </c>
      <c r="B183" s="43" t="s">
        <v>193</v>
      </c>
      <c r="C183" s="44"/>
      <c r="D183" s="45"/>
      <c r="E183" s="44">
        <f>1800000</f>
        <v>1800000</v>
      </c>
      <c r="F183" s="45"/>
      <c r="G183" s="44"/>
      <c r="H183" s="45"/>
      <c r="I183" s="44">
        <f t="shared" si="20"/>
        <v>1800000</v>
      </c>
      <c r="J183" s="45">
        <f t="shared" si="21"/>
        <v>0</v>
      </c>
    </row>
    <row r="184" spans="1:10" ht="25.5">
      <c r="A184" s="32" t="s">
        <v>176</v>
      </c>
      <c r="B184" s="43" t="s">
        <v>233</v>
      </c>
      <c r="C184" s="44"/>
      <c r="D184" s="45"/>
      <c r="E184" s="44">
        <v>600000</v>
      </c>
      <c r="F184" s="45"/>
      <c r="G184" s="44"/>
      <c r="H184" s="45"/>
      <c r="I184" s="44">
        <f t="shared" si="20"/>
        <v>600000</v>
      </c>
      <c r="J184" s="45">
        <f t="shared" si="21"/>
        <v>0</v>
      </c>
    </row>
    <row r="185" spans="1:10" ht="25.5">
      <c r="A185" s="32" t="s">
        <v>177</v>
      </c>
      <c r="B185" s="43" t="s">
        <v>233</v>
      </c>
      <c r="C185" s="30"/>
      <c r="D185" s="31"/>
      <c r="E185" s="30">
        <v>600000</v>
      </c>
      <c r="F185" s="31"/>
      <c r="G185" s="30"/>
      <c r="H185" s="31"/>
      <c r="I185" s="30">
        <f t="shared" si="20"/>
        <v>600000</v>
      </c>
      <c r="J185" s="31">
        <f t="shared" si="21"/>
        <v>0</v>
      </c>
    </row>
    <row r="186" spans="1:10" ht="12.75">
      <c r="A186" s="32" t="s">
        <v>178</v>
      </c>
      <c r="B186" s="43" t="s">
        <v>233</v>
      </c>
      <c r="C186" s="30"/>
      <c r="D186" s="31"/>
      <c r="E186" s="30">
        <v>600000</v>
      </c>
      <c r="F186" s="31"/>
      <c r="G186" s="30"/>
      <c r="H186" s="31"/>
      <c r="I186" s="30">
        <f t="shared" si="20"/>
        <v>600000</v>
      </c>
      <c r="J186" s="31">
        <f t="shared" si="21"/>
        <v>0</v>
      </c>
    </row>
    <row r="187" spans="1:26" s="6" customFormat="1" ht="13.5">
      <c r="A187" s="210" t="s">
        <v>192</v>
      </c>
      <c r="B187" s="29"/>
      <c r="C187" s="30"/>
      <c r="D187" s="31"/>
      <c r="E187" s="30"/>
      <c r="F187" s="31"/>
      <c r="G187" s="30"/>
      <c r="H187" s="31"/>
      <c r="I187" s="30">
        <f t="shared" si="20"/>
        <v>0</v>
      </c>
      <c r="J187" s="31">
        <f t="shared" si="21"/>
        <v>0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5" customFormat="1" ht="12.75">
      <c r="A188" s="28" t="s">
        <v>186</v>
      </c>
      <c r="B188" s="29" t="s">
        <v>193</v>
      </c>
      <c r="C188" s="30"/>
      <c r="D188" s="31"/>
      <c r="E188" s="30">
        <f>14743900-E189</f>
        <v>12458100</v>
      </c>
      <c r="F188" s="31"/>
      <c r="G188" s="30"/>
      <c r="H188" s="31"/>
      <c r="I188" s="30">
        <f t="shared" si="20"/>
        <v>12458100</v>
      </c>
      <c r="J188" s="31">
        <f t="shared" si="21"/>
        <v>0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10" ht="12.75">
      <c r="A189" s="28" t="s">
        <v>185</v>
      </c>
      <c r="B189" s="29" t="s">
        <v>193</v>
      </c>
      <c r="C189" s="30"/>
      <c r="D189" s="31"/>
      <c r="E189" s="30">
        <f>11429*200</f>
        <v>2285800</v>
      </c>
      <c r="F189" s="31"/>
      <c r="G189" s="30"/>
      <c r="H189" s="31"/>
      <c r="I189" s="30">
        <f t="shared" si="20"/>
        <v>2285800</v>
      </c>
      <c r="J189" s="31">
        <f t="shared" si="21"/>
        <v>0</v>
      </c>
    </row>
    <row r="190" spans="1:10" ht="13.5" thickBot="1">
      <c r="A190" s="211" t="s">
        <v>351</v>
      </c>
      <c r="B190" s="211" t="s">
        <v>97</v>
      </c>
      <c r="C190" s="213"/>
      <c r="D190" s="212"/>
      <c r="E190" s="455">
        <v>1000000</v>
      </c>
      <c r="F190" s="212"/>
      <c r="G190" s="213"/>
      <c r="H190" s="212"/>
      <c r="I190" s="213">
        <f t="shared" si="20"/>
        <v>1000000</v>
      </c>
      <c r="J190" s="212">
        <f t="shared" si="21"/>
        <v>0</v>
      </c>
    </row>
    <row r="191" spans="1:26" s="11" customFormat="1" ht="13.5" thickBot="1">
      <c r="A191" s="28"/>
      <c r="B191" s="29"/>
      <c r="C191" s="30"/>
      <c r="D191" s="31"/>
      <c r="E191" s="30"/>
      <c r="F191" s="31"/>
      <c r="G191" s="30"/>
      <c r="H191" s="31"/>
      <c r="I191" s="30"/>
      <c r="J191" s="3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s="11" customFormat="1" ht="12.75">
      <c r="A192" s="217" t="s">
        <v>191</v>
      </c>
      <c r="B192" s="71"/>
      <c r="C192" s="72"/>
      <c r="D192" s="214"/>
      <c r="E192" s="72"/>
      <c r="F192" s="214"/>
      <c r="G192" s="72"/>
      <c r="H192" s="214"/>
      <c r="I192" s="72">
        <f aca="true" t="shared" si="22" ref="I192:I205">C192+E192+G192</f>
        <v>0</v>
      </c>
      <c r="J192" s="214">
        <f aca="true" t="shared" si="23" ref="J192:J205">D192+F192+H192</f>
        <v>0</v>
      </c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s="11" customFormat="1" ht="12.75">
      <c r="A193" s="51" t="s">
        <v>445</v>
      </c>
      <c r="B193" s="29" t="s">
        <v>207</v>
      </c>
      <c r="C193" s="30"/>
      <c r="D193" s="31"/>
      <c r="E193" s="30">
        <v>500000</v>
      </c>
      <c r="F193" s="31"/>
      <c r="G193" s="30"/>
      <c r="H193" s="31"/>
      <c r="I193" s="30">
        <f t="shared" si="22"/>
        <v>500000</v>
      </c>
      <c r="J193" s="31">
        <f t="shared" si="23"/>
        <v>0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s="11" customFormat="1" ht="15.75">
      <c r="A194" s="28" t="s">
        <v>205</v>
      </c>
      <c r="B194" s="29" t="s">
        <v>207</v>
      </c>
      <c r="C194" s="30"/>
      <c r="D194" s="31"/>
      <c r="E194" s="30">
        <v>300000</v>
      </c>
      <c r="F194" s="55"/>
      <c r="G194" s="54"/>
      <c r="H194" s="55"/>
      <c r="I194" s="30">
        <f t="shared" si="22"/>
        <v>300000</v>
      </c>
      <c r="J194" s="31">
        <f t="shared" si="23"/>
        <v>0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10" ht="15.75">
      <c r="A195" s="32" t="s">
        <v>206</v>
      </c>
      <c r="B195" s="43" t="s">
        <v>207</v>
      </c>
      <c r="C195" s="215"/>
      <c r="D195" s="216"/>
      <c r="E195" s="44">
        <v>2000000</v>
      </c>
      <c r="F195" s="59"/>
      <c r="G195" s="58"/>
      <c r="H195" s="59"/>
      <c r="I195" s="44">
        <f t="shared" si="22"/>
        <v>2000000</v>
      </c>
      <c r="J195" s="49">
        <f t="shared" si="23"/>
        <v>0</v>
      </c>
    </row>
    <row r="196" spans="1:26" s="11" customFormat="1" ht="15.75">
      <c r="A196" s="32" t="s">
        <v>208</v>
      </c>
      <c r="B196" s="43" t="s">
        <v>99</v>
      </c>
      <c r="C196" s="215"/>
      <c r="D196" s="216"/>
      <c r="E196" s="44">
        <v>1165000</v>
      </c>
      <c r="F196" s="59"/>
      <c r="G196" s="58"/>
      <c r="H196" s="59"/>
      <c r="I196" s="44">
        <f t="shared" si="22"/>
        <v>1165000</v>
      </c>
      <c r="J196" s="49">
        <f t="shared" si="23"/>
        <v>0</v>
      </c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s="11" customFormat="1" ht="12.75">
      <c r="A197" s="28" t="s">
        <v>86</v>
      </c>
      <c r="B197" s="29" t="s">
        <v>97</v>
      </c>
      <c r="C197" s="30"/>
      <c r="D197" s="31"/>
      <c r="E197" s="30">
        <f>6000000+349262</f>
        <v>6349262</v>
      </c>
      <c r="F197" s="31"/>
      <c r="G197" s="30"/>
      <c r="H197" s="31"/>
      <c r="I197" s="30">
        <f t="shared" si="22"/>
        <v>6349262</v>
      </c>
      <c r="J197" s="31">
        <f t="shared" si="23"/>
        <v>0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s="11" customFormat="1" ht="12.75">
      <c r="A198" s="28" t="s">
        <v>248</v>
      </c>
      <c r="B198" s="29" t="s">
        <v>97</v>
      </c>
      <c r="C198" s="30"/>
      <c r="D198" s="31"/>
      <c r="E198" s="30">
        <v>0</v>
      </c>
      <c r="F198" s="31"/>
      <c r="G198" s="30"/>
      <c r="H198" s="31"/>
      <c r="I198" s="30">
        <f t="shared" si="22"/>
        <v>0</v>
      </c>
      <c r="J198" s="31">
        <f t="shared" si="23"/>
        <v>0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s="11" customFormat="1" ht="13.5" thickBot="1">
      <c r="A199" s="60" t="s">
        <v>249</v>
      </c>
      <c r="B199" s="43" t="s">
        <v>193</v>
      </c>
      <c r="C199" s="62"/>
      <c r="D199" s="63"/>
      <c r="E199" s="62">
        <v>200000</v>
      </c>
      <c r="F199" s="63"/>
      <c r="G199" s="62"/>
      <c r="H199" s="63"/>
      <c r="I199" s="62">
        <f t="shared" si="22"/>
        <v>200000</v>
      </c>
      <c r="J199" s="63">
        <f t="shared" si="23"/>
        <v>0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s="11" customFormat="1" ht="12.75">
      <c r="A200" s="79"/>
      <c r="B200" s="71"/>
      <c r="C200" s="72"/>
      <c r="D200" s="214"/>
      <c r="E200" s="72"/>
      <c r="F200" s="214"/>
      <c r="G200" s="72"/>
      <c r="H200" s="214"/>
      <c r="I200" s="72">
        <f t="shared" si="22"/>
        <v>0</v>
      </c>
      <c r="J200" s="214">
        <f t="shared" si="23"/>
        <v>0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s="12" customFormat="1" ht="12.75">
      <c r="A201" s="39" t="s">
        <v>209</v>
      </c>
      <c r="B201" s="29"/>
      <c r="C201" s="30"/>
      <c r="D201" s="31"/>
      <c r="E201" s="30"/>
      <c r="F201" s="31"/>
      <c r="G201" s="30"/>
      <c r="H201" s="31"/>
      <c r="I201" s="30">
        <f t="shared" si="22"/>
        <v>0</v>
      </c>
      <c r="J201" s="31">
        <f t="shared" si="23"/>
        <v>0</v>
      </c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s="11" customFormat="1" ht="13.5">
      <c r="A202" s="218" t="s">
        <v>214</v>
      </c>
      <c r="B202" s="29"/>
      <c r="C202" s="30"/>
      <c r="D202" s="31"/>
      <c r="E202" s="30"/>
      <c r="F202" s="31"/>
      <c r="G202" s="30"/>
      <c r="H202" s="31"/>
      <c r="I202" s="30">
        <f t="shared" si="22"/>
        <v>0</v>
      </c>
      <c r="J202" s="31">
        <f t="shared" si="23"/>
        <v>0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s="12" customFormat="1" ht="12.75">
      <c r="A203" s="28" t="s">
        <v>210</v>
      </c>
      <c r="B203" s="29" t="s">
        <v>207</v>
      </c>
      <c r="C203" s="30"/>
      <c r="D203" s="31"/>
      <c r="E203" s="30">
        <v>628000</v>
      </c>
      <c r="F203" s="31"/>
      <c r="G203" s="30"/>
      <c r="H203" s="31"/>
      <c r="I203" s="30">
        <f t="shared" si="22"/>
        <v>628000</v>
      </c>
      <c r="J203" s="31">
        <f t="shared" si="23"/>
        <v>0</v>
      </c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s="11" customFormat="1" ht="12.75">
      <c r="A204" s="28" t="s">
        <v>211</v>
      </c>
      <c r="B204" s="43" t="s">
        <v>99</v>
      </c>
      <c r="C204" s="30"/>
      <c r="D204" s="31"/>
      <c r="E204" s="30">
        <v>125000</v>
      </c>
      <c r="F204" s="31"/>
      <c r="G204" s="30"/>
      <c r="H204" s="31"/>
      <c r="I204" s="30">
        <f t="shared" si="22"/>
        <v>125000</v>
      </c>
      <c r="J204" s="31">
        <f t="shared" si="23"/>
        <v>0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s="11" customFormat="1" ht="13.5" thickBot="1">
      <c r="A205" s="60" t="s">
        <v>212</v>
      </c>
      <c r="B205" s="60" t="s">
        <v>94</v>
      </c>
      <c r="C205" s="62"/>
      <c r="D205" s="63"/>
      <c r="E205" s="62"/>
      <c r="F205" s="63">
        <f>(E203+E204)*0.95</f>
        <v>715350</v>
      </c>
      <c r="G205" s="62"/>
      <c r="H205" s="63"/>
      <c r="I205" s="62">
        <f t="shared" si="22"/>
        <v>0</v>
      </c>
      <c r="J205" s="63">
        <f t="shared" si="23"/>
        <v>715350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s="11" customFormat="1" ht="13.5" thickBot="1">
      <c r="A206" s="28"/>
      <c r="B206" s="28"/>
      <c r="C206" s="30"/>
      <c r="D206" s="31"/>
      <c r="E206" s="30"/>
      <c r="F206" s="31"/>
      <c r="G206" s="30"/>
      <c r="H206" s="31"/>
      <c r="I206" s="30"/>
      <c r="J206" s="3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s="11" customFormat="1" ht="27">
      <c r="A207" s="94" t="s">
        <v>389</v>
      </c>
      <c r="B207" s="79"/>
      <c r="C207" s="72"/>
      <c r="D207" s="214"/>
      <c r="E207" s="72"/>
      <c r="F207" s="214"/>
      <c r="G207" s="72"/>
      <c r="H207" s="214"/>
      <c r="I207" s="72">
        <f aca="true" t="shared" si="24" ref="I207:J209">C207+E207+G207</f>
        <v>0</v>
      </c>
      <c r="J207" s="214">
        <f t="shared" si="24"/>
        <v>0</v>
      </c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s="11" customFormat="1" ht="12.75">
      <c r="A208" s="28" t="s">
        <v>390</v>
      </c>
      <c r="B208" s="29" t="s">
        <v>96</v>
      </c>
      <c r="C208" s="30"/>
      <c r="D208" s="31"/>
      <c r="E208" s="30"/>
      <c r="F208" s="31">
        <v>1385400</v>
      </c>
      <c r="G208" s="30"/>
      <c r="H208" s="31"/>
      <c r="I208" s="30">
        <f t="shared" si="24"/>
        <v>0</v>
      </c>
      <c r="J208" s="31">
        <f t="shared" si="24"/>
        <v>1385400</v>
      </c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s="12" customFormat="1" ht="25.5">
      <c r="A209" s="32" t="s">
        <v>391</v>
      </c>
      <c r="B209" s="29" t="s">
        <v>97</v>
      </c>
      <c r="C209" s="30"/>
      <c r="D209" s="31"/>
      <c r="E209" s="30">
        <v>1385400</v>
      </c>
      <c r="F209" s="31"/>
      <c r="G209" s="30"/>
      <c r="H209" s="31"/>
      <c r="I209" s="30">
        <f t="shared" si="24"/>
        <v>1385400</v>
      </c>
      <c r="J209" s="31">
        <f t="shared" si="24"/>
        <v>0</v>
      </c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s="12" customFormat="1" ht="13.5" thickBot="1">
      <c r="A210" s="60" t="s">
        <v>392</v>
      </c>
      <c r="B210" s="60" t="s">
        <v>97</v>
      </c>
      <c r="C210" s="62"/>
      <c r="D210" s="63"/>
      <c r="E210" s="62"/>
      <c r="F210" s="63"/>
      <c r="G210" s="62"/>
      <c r="H210" s="63"/>
      <c r="I210" s="62"/>
      <c r="J210" s="63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s="12" customFormat="1" ht="13.5" thickBot="1">
      <c r="A211" s="28"/>
      <c r="B211" s="29"/>
      <c r="C211" s="30"/>
      <c r="D211" s="31"/>
      <c r="E211" s="30"/>
      <c r="F211" s="31"/>
      <c r="G211" s="30"/>
      <c r="H211" s="31"/>
      <c r="I211" s="30"/>
      <c r="J211" s="31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s="11" customFormat="1" ht="27">
      <c r="A212" s="94" t="s">
        <v>393</v>
      </c>
      <c r="B212" s="79"/>
      <c r="C212" s="72"/>
      <c r="D212" s="214"/>
      <c r="E212" s="72"/>
      <c r="F212" s="214"/>
      <c r="G212" s="72"/>
      <c r="H212" s="214"/>
      <c r="I212" s="72">
        <f aca="true" t="shared" si="25" ref="I212:J214">C212+E212+G212</f>
        <v>0</v>
      </c>
      <c r="J212" s="214">
        <f t="shared" si="25"/>
        <v>0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s="11" customFormat="1" ht="12.75">
      <c r="A213" s="28" t="s">
        <v>390</v>
      </c>
      <c r="B213" s="29" t="s">
        <v>96</v>
      </c>
      <c r="C213" s="30"/>
      <c r="D213" s="31"/>
      <c r="E213" s="30"/>
      <c r="F213" s="31">
        <v>715000</v>
      </c>
      <c r="G213" s="30"/>
      <c r="H213" s="31"/>
      <c r="I213" s="30">
        <f t="shared" si="25"/>
        <v>0</v>
      </c>
      <c r="J213" s="31">
        <f t="shared" si="25"/>
        <v>715000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s="12" customFormat="1" ht="25.5">
      <c r="A214" s="32" t="s">
        <v>391</v>
      </c>
      <c r="B214" s="29" t="s">
        <v>97</v>
      </c>
      <c r="C214" s="30"/>
      <c r="D214" s="31"/>
      <c r="E214" s="30">
        <v>715000</v>
      </c>
      <c r="F214" s="31"/>
      <c r="G214" s="30"/>
      <c r="H214" s="31"/>
      <c r="I214" s="30">
        <f t="shared" si="25"/>
        <v>715000</v>
      </c>
      <c r="J214" s="31">
        <f t="shared" si="25"/>
        <v>0</v>
      </c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s="12" customFormat="1" ht="13.5" thickBot="1">
      <c r="A215" s="60" t="s">
        <v>392</v>
      </c>
      <c r="B215" s="60" t="s">
        <v>97</v>
      </c>
      <c r="C215" s="62"/>
      <c r="D215" s="63"/>
      <c r="E215" s="62"/>
      <c r="F215" s="63"/>
      <c r="G215" s="62"/>
      <c r="H215" s="63"/>
      <c r="I215" s="62"/>
      <c r="J215" s="63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s="12" customFormat="1" ht="13.5" thickBot="1">
      <c r="A216" s="28"/>
      <c r="B216" s="29"/>
      <c r="C216" s="30"/>
      <c r="D216" s="31"/>
      <c r="E216" s="30"/>
      <c r="F216" s="31"/>
      <c r="G216" s="30"/>
      <c r="H216" s="31"/>
      <c r="I216" s="30"/>
      <c r="J216" s="31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s="11" customFormat="1" ht="13.5">
      <c r="A217" s="94" t="s">
        <v>394</v>
      </c>
      <c r="B217" s="79"/>
      <c r="C217" s="72"/>
      <c r="D217" s="214"/>
      <c r="E217" s="72"/>
      <c r="F217" s="214"/>
      <c r="G217" s="72"/>
      <c r="H217" s="214"/>
      <c r="I217" s="72">
        <f aca="true" t="shared" si="26" ref="I217:J219">C217+E217+G217</f>
        <v>0</v>
      </c>
      <c r="J217" s="214">
        <f t="shared" si="26"/>
        <v>0</v>
      </c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s="11" customFormat="1" ht="12.75">
      <c r="A218" s="28" t="s">
        <v>390</v>
      </c>
      <c r="B218" s="29" t="s">
        <v>96</v>
      </c>
      <c r="C218" s="30"/>
      <c r="D218" s="31"/>
      <c r="E218" s="30"/>
      <c r="F218" s="31">
        <v>2917000</v>
      </c>
      <c r="G218" s="30"/>
      <c r="H218" s="31"/>
      <c r="I218" s="30">
        <f t="shared" si="26"/>
        <v>0</v>
      </c>
      <c r="J218" s="31">
        <f t="shared" si="26"/>
        <v>2917000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s="12" customFormat="1" ht="25.5">
      <c r="A219" s="32" t="s">
        <v>391</v>
      </c>
      <c r="B219" s="29" t="s">
        <v>97</v>
      </c>
      <c r="C219" s="30"/>
      <c r="D219" s="31"/>
      <c r="E219" s="30">
        <v>2917000</v>
      </c>
      <c r="F219" s="31"/>
      <c r="G219" s="30"/>
      <c r="H219" s="31"/>
      <c r="I219" s="30">
        <f t="shared" si="26"/>
        <v>2917000</v>
      </c>
      <c r="J219" s="31">
        <f t="shared" si="26"/>
        <v>0</v>
      </c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s="12" customFormat="1" ht="13.5" thickBot="1">
      <c r="A220" s="60" t="s">
        <v>392</v>
      </c>
      <c r="B220" s="60" t="s">
        <v>97</v>
      </c>
      <c r="C220" s="62"/>
      <c r="D220" s="63"/>
      <c r="E220" s="62"/>
      <c r="F220" s="63"/>
      <c r="G220" s="62"/>
      <c r="H220" s="63"/>
      <c r="I220" s="62"/>
      <c r="J220" s="63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s="12" customFormat="1" ht="13.5" thickBot="1">
      <c r="A221" s="28"/>
      <c r="B221" s="28"/>
      <c r="C221" s="30"/>
      <c r="D221" s="31"/>
      <c r="E221" s="30"/>
      <c r="F221" s="31"/>
      <c r="G221" s="30"/>
      <c r="H221" s="31"/>
      <c r="I221" s="30"/>
      <c r="J221" s="31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s="11" customFormat="1" ht="13.5">
      <c r="A222" s="94" t="s">
        <v>395</v>
      </c>
      <c r="B222" s="79"/>
      <c r="C222" s="72"/>
      <c r="D222" s="214"/>
      <c r="E222" s="72"/>
      <c r="F222" s="214"/>
      <c r="G222" s="72"/>
      <c r="H222" s="214"/>
      <c r="I222" s="72">
        <f aca="true" t="shared" si="27" ref="I222:J224">C222+E222+G222</f>
        <v>0</v>
      </c>
      <c r="J222" s="214">
        <f t="shared" si="27"/>
        <v>0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s="11" customFormat="1" ht="12.75">
      <c r="A223" s="28" t="s">
        <v>396</v>
      </c>
      <c r="B223" s="29" t="s">
        <v>96</v>
      </c>
      <c r="C223" s="30"/>
      <c r="D223" s="31"/>
      <c r="E223" s="30"/>
      <c r="F223" s="31">
        <v>2500000</v>
      </c>
      <c r="G223" s="30"/>
      <c r="H223" s="31"/>
      <c r="I223" s="30">
        <f t="shared" si="27"/>
        <v>0</v>
      </c>
      <c r="J223" s="31">
        <f t="shared" si="27"/>
        <v>2500000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s="12" customFormat="1" ht="12.75">
      <c r="A224" s="32" t="s">
        <v>397</v>
      </c>
      <c r="B224" s="29" t="s">
        <v>97</v>
      </c>
      <c r="C224" s="30"/>
      <c r="D224" s="31"/>
      <c r="E224" s="30">
        <v>2500000</v>
      </c>
      <c r="F224" s="31"/>
      <c r="G224" s="30"/>
      <c r="H224" s="31"/>
      <c r="I224" s="30">
        <f t="shared" si="27"/>
        <v>2500000</v>
      </c>
      <c r="J224" s="31">
        <f t="shared" si="27"/>
        <v>0</v>
      </c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s="12" customFormat="1" ht="13.5" thickBot="1">
      <c r="A225" s="60"/>
      <c r="B225" s="60"/>
      <c r="C225" s="62"/>
      <c r="D225" s="63"/>
      <c r="E225" s="62"/>
      <c r="F225" s="63"/>
      <c r="G225" s="62"/>
      <c r="H225" s="63"/>
      <c r="I225" s="62"/>
      <c r="J225" s="63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s="12" customFormat="1" ht="13.5" thickBot="1">
      <c r="A226" s="28"/>
      <c r="B226" s="29"/>
      <c r="C226" s="30"/>
      <c r="D226" s="31"/>
      <c r="E226" s="30"/>
      <c r="F226" s="31"/>
      <c r="G226" s="30"/>
      <c r="H226" s="31"/>
      <c r="I226" s="30"/>
      <c r="J226" s="31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s="11" customFormat="1" ht="27">
      <c r="A227" s="94" t="s">
        <v>213</v>
      </c>
      <c r="B227" s="79"/>
      <c r="C227" s="72"/>
      <c r="D227" s="214"/>
      <c r="E227" s="72"/>
      <c r="F227" s="214"/>
      <c r="G227" s="72"/>
      <c r="H227" s="214"/>
      <c r="I227" s="72">
        <f aca="true" t="shared" si="28" ref="I227:J232">C227+E227+G227</f>
        <v>0</v>
      </c>
      <c r="J227" s="214">
        <f t="shared" si="28"/>
        <v>0</v>
      </c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s="11" customFormat="1" ht="12.75">
      <c r="A228" s="28" t="s">
        <v>370</v>
      </c>
      <c r="B228" s="29" t="s">
        <v>96</v>
      </c>
      <c r="C228" s="30"/>
      <c r="D228" s="31"/>
      <c r="E228" s="30"/>
      <c r="F228" s="31">
        <v>46277948</v>
      </c>
      <c r="G228" s="30"/>
      <c r="H228" s="31"/>
      <c r="I228" s="30">
        <f t="shared" si="28"/>
        <v>0</v>
      </c>
      <c r="J228" s="31">
        <f t="shared" si="28"/>
        <v>46277948</v>
      </c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s="11" customFormat="1" ht="12.75">
      <c r="A229" s="28" t="s">
        <v>215</v>
      </c>
      <c r="B229" s="29" t="s">
        <v>207</v>
      </c>
      <c r="C229" s="30"/>
      <c r="D229" s="31"/>
      <c r="E229" s="30">
        <f>(350000*1)+(376000)*11+(141450*1)+(130050*11)</f>
        <v>6058000</v>
      </c>
      <c r="F229" s="31"/>
      <c r="G229" s="30"/>
      <c r="H229" s="31"/>
      <c r="I229" s="30">
        <f t="shared" si="28"/>
        <v>6058000</v>
      </c>
      <c r="J229" s="31">
        <f t="shared" si="28"/>
        <v>0</v>
      </c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s="11" customFormat="1" ht="12.75">
      <c r="A230" s="28" t="s">
        <v>216</v>
      </c>
      <c r="B230" s="43" t="s">
        <v>99</v>
      </c>
      <c r="C230" s="30"/>
      <c r="D230" s="31"/>
      <c r="E230" s="30">
        <f>108119+1085477</f>
        <v>1193596</v>
      </c>
      <c r="F230" s="31"/>
      <c r="G230" s="30"/>
      <c r="H230" s="31"/>
      <c r="I230" s="30">
        <f t="shared" si="28"/>
        <v>1193596</v>
      </c>
      <c r="J230" s="31">
        <f t="shared" si="28"/>
        <v>0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s="12" customFormat="1" ht="25.5">
      <c r="A231" s="32" t="s">
        <v>217</v>
      </c>
      <c r="B231" s="29" t="s">
        <v>97</v>
      </c>
      <c r="C231" s="30"/>
      <c r="D231" s="31"/>
      <c r="E231" s="30">
        <v>10000000</v>
      </c>
      <c r="F231" s="31"/>
      <c r="G231" s="30"/>
      <c r="H231" s="31"/>
      <c r="I231" s="30">
        <f t="shared" si="28"/>
        <v>10000000</v>
      </c>
      <c r="J231" s="31">
        <f t="shared" si="28"/>
        <v>0</v>
      </c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s="12" customFormat="1" ht="13.5" thickBot="1">
      <c r="A232" s="60" t="s">
        <v>218</v>
      </c>
      <c r="B232" s="61" t="s">
        <v>219</v>
      </c>
      <c r="C232" s="62"/>
      <c r="D232" s="63"/>
      <c r="E232" s="62">
        <f>F228-E231-E230-E229</f>
        <v>29026352</v>
      </c>
      <c r="F232" s="63"/>
      <c r="G232" s="62"/>
      <c r="H232" s="63"/>
      <c r="I232" s="62">
        <f t="shared" si="28"/>
        <v>29026352</v>
      </c>
      <c r="J232" s="63">
        <f t="shared" si="28"/>
        <v>0</v>
      </c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s="11" customFormat="1" ht="13.5" thickBot="1">
      <c r="A233" s="306"/>
      <c r="B233" s="77" t="s">
        <v>227</v>
      </c>
      <c r="C233" s="74">
        <f aca="true" t="shared" si="29" ref="C233:J233">SUM(C7:C232)</f>
        <v>1549196398</v>
      </c>
      <c r="D233" s="307">
        <f t="shared" si="29"/>
        <v>1608384845</v>
      </c>
      <c r="E233" s="308">
        <f t="shared" si="29"/>
        <v>117899145</v>
      </c>
      <c r="F233" s="307">
        <f t="shared" si="29"/>
        <v>58710698</v>
      </c>
      <c r="G233" s="308">
        <f t="shared" si="29"/>
        <v>0</v>
      </c>
      <c r="H233" s="307">
        <f t="shared" si="29"/>
        <v>0</v>
      </c>
      <c r="I233" s="74">
        <f t="shared" si="29"/>
        <v>1667095543</v>
      </c>
      <c r="J233" s="75">
        <f t="shared" si="29"/>
        <v>1667095543</v>
      </c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s="11" customFormat="1" ht="12.75">
      <c r="A234" s="34"/>
      <c r="B234" s="35"/>
      <c r="C234" s="30"/>
      <c r="D234" s="37">
        <f>D233-C233</f>
        <v>59188447</v>
      </c>
      <c r="E234" s="36"/>
      <c r="F234" s="37">
        <f>F233-E233</f>
        <v>-59188447</v>
      </c>
      <c r="G234" s="36"/>
      <c r="H234" s="37"/>
      <c r="I234" s="36"/>
      <c r="J234" s="37">
        <f>J233-I233</f>
        <v>0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s="11" customFormat="1" ht="12.75">
      <c r="A235" s="34"/>
      <c r="B235" s="35"/>
      <c r="C235" s="30"/>
      <c r="D235" s="37"/>
      <c r="E235" s="36"/>
      <c r="F235" s="37"/>
      <c r="G235" s="36"/>
      <c r="H235" s="37"/>
      <c r="I235" s="36"/>
      <c r="J235" s="3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s="11" customFormat="1" ht="12.75">
      <c r="A236" s="34"/>
      <c r="B236" s="35"/>
      <c r="C236" s="30"/>
      <c r="D236" s="37"/>
      <c r="E236" s="36"/>
      <c r="F236" s="37"/>
      <c r="G236" s="36"/>
      <c r="H236" s="37"/>
      <c r="I236" s="36"/>
      <c r="J236" s="37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s="11" customFormat="1" ht="12.75">
      <c r="A237" s="238" t="s">
        <v>220</v>
      </c>
      <c r="B237" s="239"/>
      <c r="C237" s="240"/>
      <c r="D237" s="241"/>
      <c r="E237" s="240"/>
      <c r="F237" s="241"/>
      <c r="G237" s="240"/>
      <c r="H237" s="241"/>
      <c r="I237" s="240"/>
      <c r="J237" s="241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s="11" customFormat="1" ht="12.75">
      <c r="A238" s="28"/>
      <c r="B238" s="29"/>
      <c r="C238" s="30"/>
      <c r="D238" s="31"/>
      <c r="E238" s="30"/>
      <c r="F238" s="31"/>
      <c r="G238" s="30"/>
      <c r="H238" s="31"/>
      <c r="I238" s="30"/>
      <c r="J238" s="3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s="11" customFormat="1" ht="12.75">
      <c r="A239" s="28"/>
      <c r="B239" s="29" t="s">
        <v>207</v>
      </c>
      <c r="C239" s="30">
        <f>C41+C43+C45+C109+C193+C194+C195+C229+C203+C49</f>
        <v>23172740</v>
      </c>
      <c r="D239" s="31">
        <f>D41+D43+D45+D109+D193+D194+D195+D229+D203</f>
        <v>0</v>
      </c>
      <c r="E239" s="30">
        <f>E41+E43+E45+E109+E193+E194+E195+E229+E203+E49</f>
        <v>25632000</v>
      </c>
      <c r="F239" s="31">
        <f>F41+F43+F45+F109+F193+F194+F195+F229+F203</f>
        <v>0</v>
      </c>
      <c r="G239" s="30">
        <f>G41+G43+G45+G109+G193+G194+G195+G229+G203+G49</f>
        <v>0</v>
      </c>
      <c r="H239" s="31">
        <f>H41+H43+H45+H109+H193+H194+H195+H229+H203</f>
        <v>0</v>
      </c>
      <c r="I239" s="30">
        <f aca="true" t="shared" si="30" ref="I239:J246">C239+E239+G239</f>
        <v>48804740</v>
      </c>
      <c r="J239" s="31">
        <f t="shared" si="30"/>
        <v>0</v>
      </c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s="11" customFormat="1" ht="12.75">
      <c r="A240" s="32"/>
      <c r="B240" s="43" t="s">
        <v>99</v>
      </c>
      <c r="C240" s="44">
        <f>C42+C44+C46+C110+C196+C204+C230+C50</f>
        <v>4706622</v>
      </c>
      <c r="D240" s="45">
        <f>D42+D44+D46+D110+D196+D204+D230</f>
        <v>0</v>
      </c>
      <c r="E240" s="44">
        <f>E42+E44+E46+E110+E196+E204+E230+E50</f>
        <v>5694796</v>
      </c>
      <c r="F240" s="45">
        <f>F42+F44+F46+F110+F196+F204+F230</f>
        <v>0</v>
      </c>
      <c r="G240" s="44">
        <f>G42+G44+G46+G110+G196+G204+G230+G50</f>
        <v>0</v>
      </c>
      <c r="H240" s="45">
        <f>H42+H44+H46+H110+H196+H204+H230</f>
        <v>0</v>
      </c>
      <c r="I240" s="30">
        <f t="shared" si="30"/>
        <v>10401418</v>
      </c>
      <c r="J240" s="31">
        <f t="shared" si="30"/>
        <v>0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s="12" customFormat="1" ht="12.75">
      <c r="A241" s="32"/>
      <c r="B241" s="29" t="s">
        <v>97</v>
      </c>
      <c r="C241" s="44">
        <f>C33+C47+C48+C53+C55+C57+C59+C61+C63+C65+C67+C69+C71+C75+C76+C77+C78+C79+C80+C81+C82+C83+C84+C85+C86+C87+C88+C89+C94+C95+C96+C97+C98+C99+C100+C103+C104+C105+C106+C111+C124+C131+C151+C152+C153+C155+C190+C197+C231+C198+C142+C143+C127+C224+C219+C214+C209+C31+C38</f>
        <v>512910387</v>
      </c>
      <c r="D241" s="67">
        <f>D34+D47+D48+D50+D53+D55+D57+D59+D61+D63+D65+D67+D69+D71+D75+D76+D77+D78+D79+D80+D81+D82+D83+D84+D85+D86+D87+D88+D89+D94+D95+D96+D97+D98+D99+D100+D103+D104+D105+D106+D111+D124+D131+D145+D146+D151+D152+D153+D155+D190+D197+D231</f>
        <v>0</v>
      </c>
      <c r="E241" s="44">
        <f>E33+E47+E48+E53+E55+E57+E59+E61+E63+E65+E67+E69+E71+E75+E76+E77+E78+E79+E80+E81+E82+E83+E84+E85+E86+E87+E88+E89+E94+E95+E96+E97+E98+E99+E100+E103+E104+E105+E106+E111+E124+E131+E151+E152+E153+E155+E190+E197+E231+E198+E142+E143+E127+E224+E219+E214+E209</f>
        <v>33980097</v>
      </c>
      <c r="F241" s="67">
        <f>F34+F47+F48+F50+F53+F55+F57+F59+F61+F63+F65+F67+F69+F71+F75+F76+F77+F78+F79+F80+F81+F82+F83+F84+F85+F86+F87+F88+F89+F94+F95+F96+F97+F98+F99+F100+F103+F104+F105+F106+F111+F124+F131+F145+F146+F151+F152+F153+F155+F190+F197+F231</f>
        <v>0</v>
      </c>
      <c r="G241" s="44">
        <f>G33+G47+G48+G53+G55+G57+G59+G61+G63+G65+G67+G69+G71+G75+G76+G77+G78+G79+G80+G81+G82+G83+G84+G85+G86+G87+G88+G89+G94+G95+G96+G97+G98+G99+G100+G103+G104+G105+G106+G111+G124+G131+G151+G152+G153+G155+G190+G197+G231+G198+G142+G143+G127+G224+G219+G214+G209</f>
        <v>0</v>
      </c>
      <c r="H241" s="67">
        <f>H34+H47+H48+H50+H53+H55+H57+H59+H61+H63+H65+H67+H69+H71+H75+H76+H77+H78+H79+H80+H81+H82+H83+H84+H85+H86+H87+H88+H89+H94+H95+H96+H97+H98+H99+H100+H103+H104+H105+H106+H111+H124+H131+H145+H146+H151+H152+H153+H155+H190+H197+H231</f>
        <v>0</v>
      </c>
      <c r="I241" s="30">
        <f t="shared" si="30"/>
        <v>546890484</v>
      </c>
      <c r="J241" s="31">
        <f t="shared" si="30"/>
        <v>0</v>
      </c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s="11" customFormat="1" ht="12.75">
      <c r="A242" s="32"/>
      <c r="B242" s="43" t="s">
        <v>166</v>
      </c>
      <c r="C242" s="44">
        <f aca="true" t="shared" si="31" ref="C242:H242">C135+C136+C137+C138</f>
        <v>24500000</v>
      </c>
      <c r="D242" s="45">
        <f t="shared" si="31"/>
        <v>0</v>
      </c>
      <c r="E242" s="44">
        <f t="shared" si="31"/>
        <v>0</v>
      </c>
      <c r="F242" s="45">
        <f t="shared" si="31"/>
        <v>0</v>
      </c>
      <c r="G242" s="44">
        <f t="shared" si="31"/>
        <v>0</v>
      </c>
      <c r="H242" s="45">
        <f t="shared" si="31"/>
        <v>0</v>
      </c>
      <c r="I242" s="30">
        <f t="shared" si="30"/>
        <v>24500000</v>
      </c>
      <c r="J242" s="31">
        <f t="shared" si="30"/>
        <v>0</v>
      </c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10" ht="12.75">
      <c r="A243" s="32"/>
      <c r="B243" s="43" t="s">
        <v>200</v>
      </c>
      <c r="C243" s="44">
        <f aca="true" t="shared" si="32" ref="C243:H243">C148+C184+C185+C186</f>
        <v>2303300</v>
      </c>
      <c r="D243" s="45">
        <f t="shared" si="32"/>
        <v>0</v>
      </c>
      <c r="E243" s="44">
        <f t="shared" si="32"/>
        <v>1800000</v>
      </c>
      <c r="F243" s="45">
        <f t="shared" si="32"/>
        <v>0</v>
      </c>
      <c r="G243" s="44">
        <f t="shared" si="32"/>
        <v>0</v>
      </c>
      <c r="H243" s="45">
        <f t="shared" si="32"/>
        <v>0</v>
      </c>
      <c r="I243" s="30">
        <f t="shared" si="30"/>
        <v>4103300</v>
      </c>
      <c r="J243" s="31">
        <f t="shared" si="30"/>
        <v>0</v>
      </c>
    </row>
    <row r="244" spans="1:10" ht="12.75">
      <c r="A244" s="32"/>
      <c r="B244" s="43" t="s">
        <v>234</v>
      </c>
      <c r="C244" s="44">
        <f>C145+C156+C159+C160+C161+C163+C164+C165+C166+C167+C168+C169+C170+C171+C172+C173+C174+C176+C178+C180+C181+C182+C183+C188+C189+C199+C179+C175</f>
        <v>31317616</v>
      </c>
      <c r="D244" s="45">
        <f>D156+D159+D160+D161+D163+D164+D165+D166+D167+D168+D169+D170+D171+D172+D173+D174+D176+D178+D180+D181+D182+D183+D188+D189</f>
        <v>0</v>
      </c>
      <c r="E244" s="44">
        <f>E145+E156+E159+E160+E161+E163+E164+E165+E166+E167+E168+E169+E170+E171+E172+E173+E174+E176+E178+E180+E181+E182+E183+E188+E189+E199+E179+E175</f>
        <v>21765900</v>
      </c>
      <c r="F244" s="45">
        <f>F156+F159+F160+F161+F163+F164+F165+F166+F167+F168+F169+F170+F171+F172+F173+F174+F176+F178+F180+F181+F182+F183+F188+F189</f>
        <v>0</v>
      </c>
      <c r="G244" s="44">
        <f>G145+G156+G159+G160+G161+G163+G164+G165+G166+G167+G168+G169+G170+G171+G172+G173+G174+G176+G178+G180+G181+G182+G183+G188+G189+G199+G179+G175</f>
        <v>0</v>
      </c>
      <c r="H244" s="45">
        <f>H156+H159+H160+H161+H163+H164+H165+H166+H167+H168+H169+H170+H171+H172+H173+H174+H176+H178+H180+H181+H182+H183+H188+H189</f>
        <v>0</v>
      </c>
      <c r="I244" s="30">
        <f t="shared" si="30"/>
        <v>53083516</v>
      </c>
      <c r="J244" s="31">
        <f t="shared" si="30"/>
        <v>0</v>
      </c>
    </row>
    <row r="245" spans="1:10" ht="12.75">
      <c r="A245" s="28"/>
      <c r="B245" s="32" t="s">
        <v>190</v>
      </c>
      <c r="C245" s="30">
        <f>C232+C140+C113+C34</f>
        <v>2773362</v>
      </c>
      <c r="D245" s="31">
        <f>D232+D140+D113</f>
        <v>0</v>
      </c>
      <c r="E245" s="30">
        <f>E232+E140+E113+E34</f>
        <v>29026352</v>
      </c>
      <c r="F245" s="31">
        <f>F232+F140+F113</f>
        <v>0</v>
      </c>
      <c r="G245" s="30">
        <f>G232+G140+G113+G34</f>
        <v>0</v>
      </c>
      <c r="H245" s="31">
        <f>H232+H140+H113</f>
        <v>0</v>
      </c>
      <c r="I245" s="30">
        <f t="shared" si="30"/>
        <v>31799714</v>
      </c>
      <c r="J245" s="31">
        <f t="shared" si="30"/>
        <v>0</v>
      </c>
    </row>
    <row r="246" spans="1:10" ht="25.5">
      <c r="A246" s="28"/>
      <c r="B246" s="43" t="s">
        <v>199</v>
      </c>
      <c r="C246" s="30">
        <f>C9+C12+C13+C14+C27+C37+C16+C17+C18+C19+C21+C23+C24+C25</f>
        <v>947512371</v>
      </c>
      <c r="D246" s="31">
        <f>D9+D12+D13+D14+D27</f>
        <v>0</v>
      </c>
      <c r="E246" s="30">
        <f>E9+E12+E13+E14+E27+E38+E31+E37+E16+E17+E18+E19+E21+E23+E24+E25</f>
        <v>0</v>
      </c>
      <c r="F246" s="31">
        <f>F9+F12+F13+F14+F27</f>
        <v>0</v>
      </c>
      <c r="G246" s="30">
        <f>G9+G12+G13+G14+G27+G38+G31+G37+G16+G17+G18+G19+G21+G23+G24+G25</f>
        <v>0</v>
      </c>
      <c r="H246" s="31">
        <f>H9+H12+H13+H14+H27</f>
        <v>0</v>
      </c>
      <c r="I246" s="30">
        <f t="shared" si="30"/>
        <v>947512371</v>
      </c>
      <c r="J246" s="31">
        <f t="shared" si="30"/>
        <v>0</v>
      </c>
    </row>
    <row r="247" spans="1:10" ht="12.75">
      <c r="A247" s="39"/>
      <c r="B247" s="47" t="s">
        <v>226</v>
      </c>
      <c r="C247" s="40">
        <f aca="true" t="shared" si="33" ref="C247:J247">SUM(C239:C246)</f>
        <v>1549196398</v>
      </c>
      <c r="D247" s="219">
        <f t="shared" si="33"/>
        <v>0</v>
      </c>
      <c r="E247" s="40">
        <f t="shared" si="33"/>
        <v>117899145</v>
      </c>
      <c r="F247" s="219">
        <f t="shared" si="33"/>
        <v>0</v>
      </c>
      <c r="G247" s="40">
        <f t="shared" si="33"/>
        <v>0</v>
      </c>
      <c r="H247" s="219">
        <f t="shared" si="33"/>
        <v>0</v>
      </c>
      <c r="I247" s="40">
        <f t="shared" si="33"/>
        <v>1667095543</v>
      </c>
      <c r="J247" s="219">
        <f t="shared" si="33"/>
        <v>0</v>
      </c>
    </row>
    <row r="248" spans="1:10" ht="12.75">
      <c r="A248" s="32"/>
      <c r="B248" s="43"/>
      <c r="C248" s="44"/>
      <c r="D248" s="45"/>
      <c r="E248" s="44"/>
      <c r="F248" s="45"/>
      <c r="G248" s="44"/>
      <c r="H248" s="45"/>
      <c r="I248" s="44"/>
      <c r="J248" s="45"/>
    </row>
    <row r="249" spans="1:10" ht="12.75">
      <c r="A249" s="32"/>
      <c r="B249" s="29" t="s">
        <v>94</v>
      </c>
      <c r="C249" s="44">
        <f>C7+C205+C228+C139</f>
        <v>0</v>
      </c>
      <c r="D249" s="45">
        <f>D7+D205+D139+D26+D10+D11+D15+D20+D22</f>
        <v>852043427</v>
      </c>
      <c r="E249" s="44">
        <f>E7+E205+E228+E139</f>
        <v>0</v>
      </c>
      <c r="F249" s="45">
        <f>F7+F205+F139+F26+F10+F11+F15+F20+F22</f>
        <v>715350</v>
      </c>
      <c r="G249" s="44">
        <f>G7+G205+G228+G139</f>
        <v>0</v>
      </c>
      <c r="H249" s="45">
        <f>H7+H205+H139+H26+H10+H11+H15+H20+H22</f>
        <v>0</v>
      </c>
      <c r="I249" s="30">
        <f aca="true" t="shared" si="34" ref="I249:J252">C249+E249+G249</f>
        <v>0</v>
      </c>
      <c r="J249" s="31">
        <f t="shared" si="34"/>
        <v>852758777</v>
      </c>
    </row>
    <row r="250" spans="1:26" s="11" customFormat="1" ht="12.75">
      <c r="A250" s="32"/>
      <c r="B250" s="29" t="s">
        <v>154</v>
      </c>
      <c r="C250" s="44">
        <f aca="true" t="shared" si="35" ref="C250:H250">C116+C117+C118+C119+C120+C121+C122+C123</f>
        <v>0</v>
      </c>
      <c r="D250" s="45">
        <f t="shared" si="35"/>
        <v>489859309</v>
      </c>
      <c r="E250" s="44">
        <f t="shared" si="35"/>
        <v>0</v>
      </c>
      <c r="F250" s="45">
        <f t="shared" si="35"/>
        <v>0</v>
      </c>
      <c r="G250" s="44">
        <f t="shared" si="35"/>
        <v>0</v>
      </c>
      <c r="H250" s="45">
        <f t="shared" si="35"/>
        <v>0</v>
      </c>
      <c r="I250" s="30">
        <f t="shared" si="34"/>
        <v>0</v>
      </c>
      <c r="J250" s="31">
        <f t="shared" si="34"/>
        <v>489859309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s="12" customFormat="1" ht="12.75">
      <c r="A251" s="46"/>
      <c r="B251" s="32" t="s">
        <v>225</v>
      </c>
      <c r="C251" s="48">
        <f>C54+C56+C58+C60+C62+C64+C66+C68+C70+C91+C107+C108+C112+C132+C154</f>
        <v>0</v>
      </c>
      <c r="D251" s="45">
        <f>D54+D56+D58+D60+D62+D64+D66+D68+D70+D90+D91+D107+D108+D112+D132+D154+D128</f>
        <v>107497880</v>
      </c>
      <c r="E251" s="48">
        <f>E54+E56+E58+E60+E62+E64+E66+E68+E70+E91+E107+E108+E112+E132+E154</f>
        <v>0</v>
      </c>
      <c r="F251" s="45">
        <f>F54+F56+F58+F60+F62+F64+F66+F68+F70+F90+F91+F107+F108+F112+F132+F154+F128</f>
        <v>3800000</v>
      </c>
      <c r="G251" s="48">
        <f>G54+G56+G58+G60+G62+G64+G66+G68+G70+G91+G107+G108+G112+G132+G154</f>
        <v>0</v>
      </c>
      <c r="H251" s="45">
        <f>H54+H56+H58+H60+H62+H64+H66+H68+H70+H90+H91+H107+H108+H112+H132+H154+H128</f>
        <v>0</v>
      </c>
      <c r="I251" s="30">
        <f t="shared" si="34"/>
        <v>0</v>
      </c>
      <c r="J251" s="31">
        <f t="shared" si="34"/>
        <v>111297880</v>
      </c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s="12" customFormat="1" ht="25.5">
      <c r="A252" s="32"/>
      <c r="B252" s="43" t="s">
        <v>237</v>
      </c>
      <c r="C252" s="44">
        <f>C36</f>
        <v>0</v>
      </c>
      <c r="D252" s="45">
        <f>D36+D30+D228+D177+D223+D218+D213+D208</f>
        <v>158984229</v>
      </c>
      <c r="E252" s="44">
        <f>E36+E38</f>
        <v>0</v>
      </c>
      <c r="F252" s="45">
        <f>F36+F30+F228+F177+F223+F218+F213+F208</f>
        <v>54195348</v>
      </c>
      <c r="G252" s="44">
        <f>G36+G38</f>
        <v>0</v>
      </c>
      <c r="H252" s="45">
        <f>H36+H30+H228+H177+H223+H218+H213+H208</f>
        <v>0</v>
      </c>
      <c r="I252" s="30">
        <f t="shared" si="34"/>
        <v>0</v>
      </c>
      <c r="J252" s="31">
        <f t="shared" si="34"/>
        <v>213179577</v>
      </c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s="12" customFormat="1" ht="12.75">
      <c r="A253" s="46"/>
      <c r="B253" s="47" t="s">
        <v>226</v>
      </c>
      <c r="C253" s="48">
        <f aca="true" t="shared" si="36" ref="C253:J253">SUM(C249:C252)</f>
        <v>0</v>
      </c>
      <c r="D253" s="49">
        <f t="shared" si="36"/>
        <v>1608384845</v>
      </c>
      <c r="E253" s="48">
        <f t="shared" si="36"/>
        <v>0</v>
      </c>
      <c r="F253" s="49">
        <f t="shared" si="36"/>
        <v>58710698</v>
      </c>
      <c r="G253" s="48">
        <f t="shared" si="36"/>
        <v>0</v>
      </c>
      <c r="H253" s="49">
        <f t="shared" si="36"/>
        <v>0</v>
      </c>
      <c r="I253" s="48">
        <f t="shared" si="36"/>
        <v>0</v>
      </c>
      <c r="J253" s="49">
        <f t="shared" si="36"/>
        <v>1667095543</v>
      </c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10" ht="12.75">
      <c r="A254" s="32"/>
      <c r="B254" s="43"/>
      <c r="C254" s="44"/>
      <c r="D254" s="45"/>
      <c r="E254" s="44"/>
      <c r="F254" s="45"/>
      <c r="G254" s="44"/>
      <c r="H254" s="45"/>
      <c r="I254" s="44"/>
      <c r="J254" s="45"/>
    </row>
    <row r="255" spans="1:10" ht="13.5" thickBot="1">
      <c r="A255" s="28"/>
      <c r="B255" s="29"/>
      <c r="C255" s="44"/>
      <c r="D255" s="45"/>
      <c r="E255" s="44"/>
      <c r="F255" s="45"/>
      <c r="G255" s="44"/>
      <c r="H255" s="45"/>
      <c r="I255" s="44"/>
      <c r="J255" s="45"/>
    </row>
    <row r="256" spans="1:10" ht="12.75">
      <c r="A256" s="227" t="s">
        <v>252</v>
      </c>
      <c r="B256" s="228"/>
      <c r="C256" s="229"/>
      <c r="D256" s="230"/>
      <c r="E256" s="229"/>
      <c r="F256" s="230"/>
      <c r="G256" s="229"/>
      <c r="H256" s="230"/>
      <c r="I256" s="229"/>
      <c r="J256" s="230"/>
    </row>
    <row r="257" spans="1:10" ht="25.5">
      <c r="A257" s="222" t="s">
        <v>236</v>
      </c>
      <c r="B257" s="43"/>
      <c r="C257" s="44"/>
      <c r="D257" s="45"/>
      <c r="E257" s="44"/>
      <c r="F257" s="45"/>
      <c r="G257" s="44"/>
      <c r="H257" s="45"/>
      <c r="I257" s="44"/>
      <c r="J257" s="45"/>
    </row>
    <row r="258" spans="1:10" ht="12.75">
      <c r="A258" s="32"/>
      <c r="B258" s="29" t="s">
        <v>207</v>
      </c>
      <c r="C258" s="44">
        <v>24934840</v>
      </c>
      <c r="D258" s="45"/>
      <c r="E258" s="44"/>
      <c r="F258" s="45"/>
      <c r="G258" s="44"/>
      <c r="H258" s="45"/>
      <c r="I258" s="44">
        <f aca="true" t="shared" si="37" ref="I258:J260">C258+E258+G258</f>
        <v>24934840</v>
      </c>
      <c r="J258" s="45">
        <f t="shared" si="37"/>
        <v>0</v>
      </c>
    </row>
    <row r="259" spans="1:26" s="11" customFormat="1" ht="12.75">
      <c r="A259" s="32"/>
      <c r="B259" s="43" t="s">
        <v>99</v>
      </c>
      <c r="C259" s="44">
        <v>5199120</v>
      </c>
      <c r="D259" s="45"/>
      <c r="E259" s="44"/>
      <c r="F259" s="45"/>
      <c r="G259" s="44"/>
      <c r="H259" s="45"/>
      <c r="I259" s="44">
        <f t="shared" si="37"/>
        <v>5199120</v>
      </c>
      <c r="J259" s="45">
        <f t="shared" si="37"/>
        <v>0</v>
      </c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10" ht="12.75">
      <c r="A260" s="32"/>
      <c r="B260" s="29" t="s">
        <v>97</v>
      </c>
      <c r="C260" s="44">
        <v>13264510</v>
      </c>
      <c r="D260" s="45"/>
      <c r="E260" s="44"/>
      <c r="F260" s="45"/>
      <c r="G260" s="44"/>
      <c r="H260" s="45"/>
      <c r="I260" s="44">
        <f t="shared" si="37"/>
        <v>13264510</v>
      </c>
      <c r="J260" s="45">
        <f t="shared" si="37"/>
        <v>0</v>
      </c>
    </row>
    <row r="261" spans="1:10" ht="12.75">
      <c r="A261" s="46"/>
      <c r="B261" s="47" t="s">
        <v>227</v>
      </c>
      <c r="C261" s="48">
        <f>SUM(C258:C260)</f>
        <v>43398470</v>
      </c>
      <c r="D261" s="49"/>
      <c r="E261" s="48"/>
      <c r="F261" s="49"/>
      <c r="G261" s="48"/>
      <c r="H261" s="49"/>
      <c r="I261" s="48">
        <f>SUM(I258:I260)</f>
        <v>43398470</v>
      </c>
      <c r="J261" s="95">
        <f>SUM(J258:J260)</f>
        <v>0</v>
      </c>
    </row>
    <row r="262" spans="1:10" ht="12.75">
      <c r="A262" s="46"/>
      <c r="B262" s="32" t="s">
        <v>225</v>
      </c>
      <c r="C262" s="48"/>
      <c r="D262" s="45">
        <v>1500000</v>
      </c>
      <c r="E262" s="48"/>
      <c r="F262" s="49"/>
      <c r="G262" s="48"/>
      <c r="H262" s="49"/>
      <c r="I262" s="44">
        <f>C262+E262+G262</f>
        <v>0</v>
      </c>
      <c r="J262" s="45">
        <f>D262+F262+H262</f>
        <v>1500000</v>
      </c>
    </row>
    <row r="263" spans="1:10" ht="25.5">
      <c r="A263" s="32"/>
      <c r="B263" s="43" t="s">
        <v>237</v>
      </c>
      <c r="C263" s="44"/>
      <c r="D263" s="45">
        <v>41898470</v>
      </c>
      <c r="E263" s="44"/>
      <c r="F263" s="45"/>
      <c r="G263" s="44"/>
      <c r="H263" s="45"/>
      <c r="I263" s="44">
        <f>C263+E263+G263</f>
        <v>0</v>
      </c>
      <c r="J263" s="45">
        <f>D263+F263+H263</f>
        <v>41898470</v>
      </c>
    </row>
    <row r="264" spans="1:10" ht="13.5" thickBot="1">
      <c r="A264" s="198"/>
      <c r="B264" s="223" t="s">
        <v>227</v>
      </c>
      <c r="C264" s="83"/>
      <c r="D264" s="207">
        <f>SUM(D262:D263)</f>
        <v>43398470</v>
      </c>
      <c r="E264" s="83"/>
      <c r="F264" s="82"/>
      <c r="G264" s="83"/>
      <c r="H264" s="82"/>
      <c r="I264" s="206">
        <f>SUM(I262:I263)</f>
        <v>0</v>
      </c>
      <c r="J264" s="207">
        <f>SUM(J262:J263)</f>
        <v>43398470</v>
      </c>
    </row>
    <row r="265" spans="1:10" ht="13.5" thickBot="1">
      <c r="A265" s="32"/>
      <c r="B265" s="67"/>
      <c r="C265" s="44"/>
      <c r="D265" s="45"/>
      <c r="E265" s="44"/>
      <c r="F265" s="45"/>
      <c r="G265" s="44"/>
      <c r="H265" s="45"/>
      <c r="I265" s="44"/>
      <c r="J265" s="45"/>
    </row>
    <row r="266" spans="1:10" ht="25.5">
      <c r="A266" s="231" t="s">
        <v>238</v>
      </c>
      <c r="B266" s="232"/>
      <c r="C266" s="233"/>
      <c r="D266" s="234"/>
      <c r="E266" s="233"/>
      <c r="F266" s="234"/>
      <c r="G266" s="233"/>
      <c r="H266" s="234"/>
      <c r="I266" s="233"/>
      <c r="J266" s="234"/>
    </row>
    <row r="267" spans="1:10" ht="25.5">
      <c r="A267" s="46" t="s">
        <v>239</v>
      </c>
      <c r="B267" s="29" t="s">
        <v>207</v>
      </c>
      <c r="C267" s="44">
        <v>36490195</v>
      </c>
      <c r="D267" s="45"/>
      <c r="E267" s="44"/>
      <c r="F267" s="45"/>
      <c r="G267" s="44"/>
      <c r="H267" s="45"/>
      <c r="I267" s="44">
        <f aca="true" t="shared" si="38" ref="I267:J269">C267+E267+G267</f>
        <v>36490195</v>
      </c>
      <c r="J267" s="45">
        <f t="shared" si="38"/>
        <v>0</v>
      </c>
    </row>
    <row r="268" spans="1:26" s="11" customFormat="1" ht="12.75">
      <c r="A268" s="46"/>
      <c r="B268" s="43" t="s">
        <v>99</v>
      </c>
      <c r="C268" s="44">
        <v>7784288</v>
      </c>
      <c r="D268" s="49"/>
      <c r="E268" s="48"/>
      <c r="F268" s="49"/>
      <c r="G268" s="48"/>
      <c r="H268" s="49"/>
      <c r="I268" s="44">
        <f t="shared" si="38"/>
        <v>7784288</v>
      </c>
      <c r="J268" s="45">
        <f t="shared" si="38"/>
        <v>0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10" ht="12.75">
      <c r="A269" s="32"/>
      <c r="B269" s="29" t="s">
        <v>97</v>
      </c>
      <c r="C269" s="44">
        <v>36487390</v>
      </c>
      <c r="D269" s="45"/>
      <c r="E269" s="44"/>
      <c r="F269" s="45"/>
      <c r="G269" s="44"/>
      <c r="H269" s="45"/>
      <c r="I269" s="44">
        <f t="shared" si="38"/>
        <v>36487390</v>
      </c>
      <c r="J269" s="45">
        <f t="shared" si="38"/>
        <v>0</v>
      </c>
    </row>
    <row r="270" spans="1:10" ht="12.75">
      <c r="A270" s="28"/>
      <c r="B270" s="47" t="s">
        <v>227</v>
      </c>
      <c r="C270" s="40">
        <f>SUM(C267:C269)</f>
        <v>80761873</v>
      </c>
      <c r="D270" s="31"/>
      <c r="E270" s="30"/>
      <c r="F270" s="31"/>
      <c r="G270" s="30"/>
      <c r="H270" s="31"/>
      <c r="I270" s="48">
        <f>SUM(I267:I269)</f>
        <v>80761873</v>
      </c>
      <c r="J270" s="95">
        <f>SUM(J267:J269)</f>
        <v>0</v>
      </c>
    </row>
    <row r="271" spans="1:10" ht="12.75">
      <c r="A271" s="28"/>
      <c r="B271" s="32" t="s">
        <v>225</v>
      </c>
      <c r="C271" s="30"/>
      <c r="D271" s="31">
        <v>40100000</v>
      </c>
      <c r="E271" s="30"/>
      <c r="F271" s="31"/>
      <c r="G271" s="30"/>
      <c r="H271" s="31"/>
      <c r="I271" s="44">
        <f>C271+E271+G271</f>
        <v>0</v>
      </c>
      <c r="J271" s="45">
        <f>D271+F271+H271</f>
        <v>40100000</v>
      </c>
    </row>
    <row r="272" spans="1:10" ht="25.5">
      <c r="A272" s="28"/>
      <c r="B272" s="43" t="s">
        <v>237</v>
      </c>
      <c r="C272" s="30"/>
      <c r="D272" s="31">
        <v>40661873</v>
      </c>
      <c r="E272" s="30"/>
      <c r="F272" s="31"/>
      <c r="G272" s="30"/>
      <c r="H272" s="31"/>
      <c r="I272" s="44">
        <f>C272+E272+G272</f>
        <v>0</v>
      </c>
      <c r="J272" s="45">
        <f>D272+F272+H272</f>
        <v>40661873</v>
      </c>
    </row>
    <row r="273" spans="1:10" ht="13.5" thickBot="1">
      <c r="A273" s="60"/>
      <c r="B273" s="223" t="s">
        <v>227</v>
      </c>
      <c r="C273" s="62"/>
      <c r="D273" s="225">
        <f>SUM(D271:D272)</f>
        <v>80761873</v>
      </c>
      <c r="E273" s="62"/>
      <c r="F273" s="63"/>
      <c r="G273" s="62"/>
      <c r="H273" s="63"/>
      <c r="I273" s="206">
        <f>SUM(I271:I272)</f>
        <v>0</v>
      </c>
      <c r="J273" s="207">
        <f>SUM(J271:J272)</f>
        <v>80761873</v>
      </c>
    </row>
    <row r="274" spans="1:10" ht="12.75">
      <c r="A274" s="217" t="s">
        <v>240</v>
      </c>
      <c r="B274" s="79"/>
      <c r="C274" s="72"/>
      <c r="D274" s="214"/>
      <c r="E274" s="72"/>
      <c r="F274" s="214"/>
      <c r="G274" s="72"/>
      <c r="H274" s="214"/>
      <c r="I274" s="72"/>
      <c r="J274" s="214"/>
    </row>
    <row r="275" spans="1:10" ht="12.75">
      <c r="A275" s="32"/>
      <c r="B275" s="29" t="s">
        <v>207</v>
      </c>
      <c r="C275" s="44">
        <v>1523000</v>
      </c>
      <c r="D275" s="45"/>
      <c r="E275" s="44"/>
      <c r="F275" s="45"/>
      <c r="G275" s="44"/>
      <c r="H275" s="45"/>
      <c r="I275" s="44">
        <f aca="true" t="shared" si="39" ref="I275:J277">C275+E275+G275</f>
        <v>1523000</v>
      </c>
      <c r="J275" s="45">
        <f t="shared" si="39"/>
        <v>0</v>
      </c>
    </row>
    <row r="276" spans="1:10" ht="12.75">
      <c r="A276" s="46"/>
      <c r="B276" s="43" t="s">
        <v>99</v>
      </c>
      <c r="C276" s="44">
        <v>433818</v>
      </c>
      <c r="D276" s="49"/>
      <c r="E276" s="44"/>
      <c r="F276" s="49"/>
      <c r="G276" s="48"/>
      <c r="H276" s="49"/>
      <c r="I276" s="44">
        <f t="shared" si="39"/>
        <v>433818</v>
      </c>
      <c r="J276" s="45">
        <f t="shared" si="39"/>
        <v>0</v>
      </c>
    </row>
    <row r="277" spans="1:10" ht="12.75">
      <c r="A277" s="46"/>
      <c r="B277" s="29" t="s">
        <v>97</v>
      </c>
      <c r="C277" s="44">
        <v>15302830</v>
      </c>
      <c r="D277" s="49"/>
      <c r="E277" s="44"/>
      <c r="F277" s="49"/>
      <c r="G277" s="48"/>
      <c r="H277" s="49"/>
      <c r="I277" s="44">
        <f t="shared" si="39"/>
        <v>15302830</v>
      </c>
      <c r="J277" s="45">
        <f t="shared" si="39"/>
        <v>0</v>
      </c>
    </row>
    <row r="278" spans="1:10" ht="12.75">
      <c r="A278" s="46"/>
      <c r="B278" s="47" t="s">
        <v>227</v>
      </c>
      <c r="C278" s="48">
        <f>SUM(C275:C277)</f>
        <v>17259648</v>
      </c>
      <c r="D278" s="49"/>
      <c r="E278" s="48">
        <f>SUM(E275:E277)</f>
        <v>0</v>
      </c>
      <c r="F278" s="49"/>
      <c r="G278" s="48"/>
      <c r="H278" s="49"/>
      <c r="I278" s="48">
        <f>SUM(I275:I277)</f>
        <v>17259648</v>
      </c>
      <c r="J278" s="95">
        <f>SUM(J275:J277)</f>
        <v>0</v>
      </c>
    </row>
    <row r="279" spans="1:10" ht="12.75">
      <c r="A279" s="28"/>
      <c r="B279" s="32" t="s">
        <v>225</v>
      </c>
      <c r="C279" s="30"/>
      <c r="D279" s="31">
        <v>8890000</v>
      </c>
      <c r="E279" s="30"/>
      <c r="F279" s="31"/>
      <c r="G279" s="30"/>
      <c r="H279" s="31"/>
      <c r="I279" s="44">
        <f>C279+E279+G279</f>
        <v>0</v>
      </c>
      <c r="J279" s="45">
        <f>D279+F279+H279</f>
        <v>8890000</v>
      </c>
    </row>
    <row r="280" spans="1:10" ht="25.5">
      <c r="A280" s="28"/>
      <c r="B280" s="43" t="s">
        <v>237</v>
      </c>
      <c r="C280" s="30"/>
      <c r="D280" s="31">
        <v>8369648</v>
      </c>
      <c r="E280" s="30"/>
      <c r="F280" s="31"/>
      <c r="G280" s="30"/>
      <c r="H280" s="31"/>
      <c r="I280" s="44">
        <f>C280+E280+G280</f>
        <v>0</v>
      </c>
      <c r="J280" s="45">
        <f>D280+F280+H280</f>
        <v>8369648</v>
      </c>
    </row>
    <row r="281" spans="1:26" s="24" customFormat="1" ht="16.5" thickBot="1">
      <c r="A281" s="60"/>
      <c r="B281" s="223" t="s">
        <v>227</v>
      </c>
      <c r="C281" s="62"/>
      <c r="D281" s="225">
        <f>SUM(D279:D280)</f>
        <v>17259648</v>
      </c>
      <c r="E281" s="62"/>
      <c r="F281" s="225">
        <f>SUM(F279:F280)</f>
        <v>0</v>
      </c>
      <c r="G281" s="62"/>
      <c r="H281" s="63"/>
      <c r="I281" s="206">
        <f>SUM(I279:I280)</f>
        <v>0</v>
      </c>
      <c r="J281" s="207">
        <f>SUM(J279:J280)</f>
        <v>17259648</v>
      </c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s="15" customFormat="1" ht="15.75">
      <c r="A282" s="224" t="s">
        <v>312</v>
      </c>
      <c r="B282" s="71" t="s">
        <v>207</v>
      </c>
      <c r="C282" s="72"/>
      <c r="D282" s="214"/>
      <c r="E282" s="72">
        <v>3330000</v>
      </c>
      <c r="F282" s="214"/>
      <c r="G282" s="72"/>
      <c r="H282" s="214"/>
      <c r="I282" s="44">
        <f aca="true" t="shared" si="40" ref="I282:J284">C282+E282+G282</f>
        <v>3330000</v>
      </c>
      <c r="J282" s="45">
        <f t="shared" si="40"/>
        <v>0</v>
      </c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s="15" customFormat="1" ht="15.75">
      <c r="A283" s="28"/>
      <c r="B283" s="43" t="s">
        <v>99</v>
      </c>
      <c r="C283" s="30"/>
      <c r="D283" s="31"/>
      <c r="E283" s="30">
        <v>691473</v>
      </c>
      <c r="F283" s="31"/>
      <c r="G283" s="30"/>
      <c r="H283" s="31"/>
      <c r="I283" s="44">
        <f t="shared" si="40"/>
        <v>691473</v>
      </c>
      <c r="J283" s="45">
        <f t="shared" si="40"/>
        <v>0</v>
      </c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10" ht="12.75">
      <c r="A284" s="28"/>
      <c r="B284" s="29" t="s">
        <v>97</v>
      </c>
      <c r="C284" s="30"/>
      <c r="D284" s="31"/>
      <c r="E284" s="30">
        <v>47286526</v>
      </c>
      <c r="F284" s="31"/>
      <c r="G284" s="30"/>
      <c r="H284" s="31"/>
      <c r="I284" s="44">
        <f t="shared" si="40"/>
        <v>47286526</v>
      </c>
      <c r="J284" s="45">
        <f t="shared" si="40"/>
        <v>0</v>
      </c>
    </row>
    <row r="285" spans="1:26" s="11" customFormat="1" ht="12.75">
      <c r="A285" s="32"/>
      <c r="B285" s="47" t="s">
        <v>227</v>
      </c>
      <c r="C285" s="48">
        <f>SUM(C282:C284)</f>
        <v>0</v>
      </c>
      <c r="D285" s="45"/>
      <c r="E285" s="48">
        <f>SUM(E282:E284)</f>
        <v>51307999</v>
      </c>
      <c r="F285" s="45"/>
      <c r="G285" s="44"/>
      <c r="H285" s="45"/>
      <c r="I285" s="48">
        <f>SUM(I282:I284)</f>
        <v>51307999</v>
      </c>
      <c r="J285" s="95">
        <f>SUM(J282:J284)</f>
        <v>0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s="11" customFormat="1" ht="12.75">
      <c r="A286" s="28"/>
      <c r="B286" s="32" t="s">
        <v>225</v>
      </c>
      <c r="C286" s="30"/>
      <c r="D286" s="31"/>
      <c r="E286" s="30"/>
      <c r="F286" s="31">
        <v>21590000</v>
      </c>
      <c r="G286" s="30"/>
      <c r="H286" s="31"/>
      <c r="I286" s="44">
        <f>C286+E286+G286</f>
        <v>0</v>
      </c>
      <c r="J286" s="45">
        <f>D286+F286+H286</f>
        <v>21590000</v>
      </c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s="11" customFormat="1" ht="12.75">
      <c r="A287" s="28"/>
      <c r="B287" s="29" t="s">
        <v>399</v>
      </c>
      <c r="C287" s="30"/>
      <c r="D287" s="31"/>
      <c r="E287" s="30"/>
      <c r="F287" s="31">
        <v>11717997</v>
      </c>
      <c r="G287" s="30"/>
      <c r="H287" s="31"/>
      <c r="I287" s="44"/>
      <c r="J287" s="45">
        <f>D287+F287+H287</f>
        <v>11717997</v>
      </c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s="11" customFormat="1" ht="25.5">
      <c r="A288" s="28"/>
      <c r="B288" s="43" t="s">
        <v>237</v>
      </c>
      <c r="C288" s="30"/>
      <c r="D288" s="31"/>
      <c r="E288" s="30"/>
      <c r="F288" s="31">
        <v>18000002</v>
      </c>
      <c r="G288" s="30"/>
      <c r="H288" s="31"/>
      <c r="I288" s="44">
        <f>C288+E288+G288</f>
        <v>0</v>
      </c>
      <c r="J288" s="45">
        <f>D288+F288+H288</f>
        <v>18000002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s="11" customFormat="1" ht="13.5" thickBot="1">
      <c r="A289" s="60"/>
      <c r="B289" s="223" t="s">
        <v>227</v>
      </c>
      <c r="C289" s="62"/>
      <c r="D289" s="63">
        <f>SUM(D287:D288)</f>
        <v>0</v>
      </c>
      <c r="E289" s="62"/>
      <c r="F289" s="225">
        <f>SUM(F286:F288)</f>
        <v>51307999</v>
      </c>
      <c r="G289" s="62"/>
      <c r="H289" s="63"/>
      <c r="I289" s="206">
        <f>SUM(I286:I288)</f>
        <v>0</v>
      </c>
      <c r="J289" s="207">
        <f>SUM(J286:J288)</f>
        <v>51307999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s="15" customFormat="1" ht="15.75">
      <c r="A290" s="217" t="s">
        <v>241</v>
      </c>
      <c r="B290" s="71" t="s">
        <v>207</v>
      </c>
      <c r="C290" s="72"/>
      <c r="D290" s="214"/>
      <c r="E290" s="72">
        <v>762000</v>
      </c>
      <c r="F290" s="214"/>
      <c r="G290" s="72"/>
      <c r="H290" s="214"/>
      <c r="I290" s="44">
        <f aca="true" t="shared" si="41" ref="I290:J292">C290+E290+G290</f>
        <v>762000</v>
      </c>
      <c r="J290" s="45">
        <f t="shared" si="41"/>
        <v>0</v>
      </c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s="15" customFormat="1" ht="15.75">
      <c r="A291" s="28"/>
      <c r="B291" s="43" t="s">
        <v>99</v>
      </c>
      <c r="C291" s="30"/>
      <c r="D291" s="31"/>
      <c r="E291" s="30">
        <v>148590</v>
      </c>
      <c r="F291" s="31"/>
      <c r="G291" s="30"/>
      <c r="H291" s="31"/>
      <c r="I291" s="44">
        <f t="shared" si="41"/>
        <v>148590</v>
      </c>
      <c r="J291" s="45">
        <f t="shared" si="41"/>
        <v>0</v>
      </c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10" ht="12.75">
      <c r="A292" s="28"/>
      <c r="B292" s="29" t="s">
        <v>97</v>
      </c>
      <c r="C292" s="30"/>
      <c r="D292" s="31"/>
      <c r="E292" s="30">
        <v>9692000</v>
      </c>
      <c r="F292" s="31"/>
      <c r="G292" s="30"/>
      <c r="H292" s="31"/>
      <c r="I292" s="44">
        <f t="shared" si="41"/>
        <v>9692000</v>
      </c>
      <c r="J292" s="45">
        <f t="shared" si="41"/>
        <v>0</v>
      </c>
    </row>
    <row r="293" spans="1:26" s="11" customFormat="1" ht="12.75">
      <c r="A293" s="32"/>
      <c r="B293" s="47" t="s">
        <v>227</v>
      </c>
      <c r="C293" s="44">
        <f>SUM(C290:C292)</f>
        <v>0</v>
      </c>
      <c r="D293" s="45"/>
      <c r="E293" s="48">
        <f>SUM(E290:E292)</f>
        <v>10602590</v>
      </c>
      <c r="F293" s="45"/>
      <c r="G293" s="44"/>
      <c r="H293" s="45"/>
      <c r="I293" s="48">
        <f>SUM(I290:I292)</f>
        <v>10602590</v>
      </c>
      <c r="J293" s="95">
        <f>SUM(J290:J292)</f>
        <v>0</v>
      </c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s="11" customFormat="1" ht="12.75">
      <c r="A294" s="28"/>
      <c r="B294" s="32" t="s">
        <v>225</v>
      </c>
      <c r="C294" s="30"/>
      <c r="D294" s="31"/>
      <c r="E294" s="30"/>
      <c r="F294" s="31">
        <v>10160000</v>
      </c>
      <c r="G294" s="30"/>
      <c r="H294" s="31"/>
      <c r="I294" s="44">
        <f>C294+E294+G294</f>
        <v>0</v>
      </c>
      <c r="J294" s="45">
        <f>D294+F294+H294</f>
        <v>10160000</v>
      </c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s="11" customFormat="1" ht="25.5">
      <c r="A295" s="28"/>
      <c r="B295" s="43" t="s">
        <v>237</v>
      </c>
      <c r="C295" s="30"/>
      <c r="D295" s="31"/>
      <c r="E295" s="30"/>
      <c r="F295" s="31">
        <v>442590</v>
      </c>
      <c r="G295" s="30"/>
      <c r="H295" s="31"/>
      <c r="I295" s="44">
        <f>C295+E295+G295</f>
        <v>0</v>
      </c>
      <c r="J295" s="45">
        <f>D295+F295+H295</f>
        <v>442590</v>
      </c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s="11" customFormat="1" ht="13.5" thickBot="1">
      <c r="A296" s="60"/>
      <c r="B296" s="223" t="s">
        <v>227</v>
      </c>
      <c r="C296" s="62"/>
      <c r="D296" s="63">
        <f>SUM(D294:D295)</f>
        <v>0</v>
      </c>
      <c r="E296" s="62"/>
      <c r="F296" s="225">
        <f>SUM(F294:F295)</f>
        <v>10602590</v>
      </c>
      <c r="G296" s="62"/>
      <c r="H296" s="63"/>
      <c r="I296" s="206">
        <f>SUM(I294:I295)</f>
        <v>0</v>
      </c>
      <c r="J296" s="207">
        <f>SUM(J294:J295)</f>
        <v>10602590</v>
      </c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10" ht="12.75">
      <c r="A297" s="217" t="s">
        <v>398</v>
      </c>
      <c r="B297" s="71" t="s">
        <v>207</v>
      </c>
      <c r="C297" s="72"/>
      <c r="D297" s="214"/>
      <c r="E297" s="72">
        <v>9960000</v>
      </c>
      <c r="F297" s="214"/>
      <c r="G297" s="72"/>
      <c r="H297" s="214"/>
      <c r="I297" s="44">
        <f aca="true" t="shared" si="42" ref="I297:J299">C297+E297+G297</f>
        <v>9960000</v>
      </c>
      <c r="J297" s="45">
        <f t="shared" si="42"/>
        <v>0</v>
      </c>
    </row>
    <row r="298" spans="1:26" s="11" customFormat="1" ht="12.75">
      <c r="A298" s="28"/>
      <c r="B298" s="43" t="s">
        <v>99</v>
      </c>
      <c r="C298" s="30"/>
      <c r="D298" s="31"/>
      <c r="E298" s="30">
        <v>1962950</v>
      </c>
      <c r="F298" s="31"/>
      <c r="G298" s="30"/>
      <c r="H298" s="31"/>
      <c r="I298" s="44">
        <f t="shared" si="42"/>
        <v>1962950</v>
      </c>
      <c r="J298" s="45">
        <f t="shared" si="42"/>
        <v>0</v>
      </c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s="11" customFormat="1" ht="12.75">
      <c r="A299" s="28"/>
      <c r="B299" s="29" t="s">
        <v>97</v>
      </c>
      <c r="C299" s="30"/>
      <c r="D299" s="31"/>
      <c r="E299" s="30">
        <v>4454488</v>
      </c>
      <c r="F299" s="31"/>
      <c r="G299" s="30"/>
      <c r="H299" s="31"/>
      <c r="I299" s="44">
        <f t="shared" si="42"/>
        <v>4454488</v>
      </c>
      <c r="J299" s="45">
        <f t="shared" si="42"/>
        <v>0</v>
      </c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s="11" customFormat="1" ht="12.75">
      <c r="A300" s="28"/>
      <c r="B300" s="47" t="s">
        <v>227</v>
      </c>
      <c r="C300" s="40">
        <f>SUM(C297:C299)</f>
        <v>0</v>
      </c>
      <c r="D300" s="31"/>
      <c r="E300" s="40">
        <f>SUM(E297:E299)</f>
        <v>16377438</v>
      </c>
      <c r="F300" s="31"/>
      <c r="G300" s="30"/>
      <c r="H300" s="31"/>
      <c r="I300" s="48">
        <f>SUM(I297:I299)</f>
        <v>16377438</v>
      </c>
      <c r="J300" s="95">
        <f>SUM(J297:J299)</f>
        <v>0</v>
      </c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10" ht="12.75">
      <c r="A301" s="28"/>
      <c r="B301" s="32" t="s">
        <v>225</v>
      </c>
      <c r="C301" s="30"/>
      <c r="D301" s="31"/>
      <c r="E301" s="30"/>
      <c r="F301" s="31">
        <v>0</v>
      </c>
      <c r="G301" s="30"/>
      <c r="H301" s="31"/>
      <c r="I301" s="44">
        <f>C301+E301+G301</f>
        <v>0</v>
      </c>
      <c r="J301" s="45">
        <f>D301+F301+H301</f>
        <v>0</v>
      </c>
    </row>
    <row r="302" spans="1:10" ht="12.75">
      <c r="A302" s="28"/>
      <c r="B302" s="29" t="s">
        <v>399</v>
      </c>
      <c r="C302" s="30"/>
      <c r="D302" s="31"/>
      <c r="E302" s="30"/>
      <c r="F302" s="31">
        <v>16377438</v>
      </c>
      <c r="G302" s="30"/>
      <c r="H302" s="31"/>
      <c r="I302" s="44"/>
      <c r="J302" s="45">
        <f>D302+F302+H302</f>
        <v>16377438</v>
      </c>
    </row>
    <row r="303" spans="1:10" ht="25.5">
      <c r="A303" s="32"/>
      <c r="B303" s="43" t="s">
        <v>237</v>
      </c>
      <c r="C303" s="44"/>
      <c r="D303" s="45"/>
      <c r="E303" s="44"/>
      <c r="F303" s="45">
        <v>0</v>
      </c>
      <c r="G303" s="44"/>
      <c r="H303" s="45"/>
      <c r="I303" s="44">
        <f>C303+E303+G303</f>
        <v>0</v>
      </c>
      <c r="J303" s="45">
        <f>D303+F303+H303</f>
        <v>0</v>
      </c>
    </row>
    <row r="304" spans="1:10" ht="13.5" thickBot="1">
      <c r="A304" s="60"/>
      <c r="B304" s="223" t="s">
        <v>227</v>
      </c>
      <c r="C304" s="62"/>
      <c r="D304" s="63">
        <f>SUM(D301:D303)</f>
        <v>0</v>
      </c>
      <c r="E304" s="62"/>
      <c r="F304" s="225">
        <f>SUM(F301:F303)</f>
        <v>16377438</v>
      </c>
      <c r="G304" s="62"/>
      <c r="H304" s="63"/>
      <c r="I304" s="206">
        <f>SUM(I301:I303)</f>
        <v>0</v>
      </c>
      <c r="J304" s="207">
        <f>SUM(J301:J303)</f>
        <v>16377438</v>
      </c>
    </row>
    <row r="305" spans="1:10" ht="25.5">
      <c r="A305" s="231" t="s">
        <v>238</v>
      </c>
      <c r="B305" s="245"/>
      <c r="C305" s="243"/>
      <c r="D305" s="244"/>
      <c r="E305" s="243"/>
      <c r="F305" s="241"/>
      <c r="G305" s="243"/>
      <c r="H305" s="244"/>
      <c r="I305" s="246"/>
      <c r="J305" s="247"/>
    </row>
    <row r="306" spans="1:10" ht="12.75">
      <c r="A306" s="196"/>
      <c r="B306" s="29" t="s">
        <v>207</v>
      </c>
      <c r="C306" s="30">
        <f>+C267+C275+C290+C297</f>
        <v>38013195</v>
      </c>
      <c r="D306" s="31">
        <f>+D267+D275+D290+D297</f>
        <v>0</v>
      </c>
      <c r="E306" s="30">
        <f>+E267+E275+E290+E297+E282</f>
        <v>14052000</v>
      </c>
      <c r="F306" s="31">
        <f>+F267+F275+F290+F297</f>
        <v>0</v>
      </c>
      <c r="G306" s="30">
        <f>+G267+G275+G290+G297</f>
        <v>0</v>
      </c>
      <c r="H306" s="31">
        <f>+H267+H275+H290+H297</f>
        <v>0</v>
      </c>
      <c r="I306" s="44">
        <f aca="true" t="shared" si="43" ref="I306:J308">C306+E306+G306</f>
        <v>52065195</v>
      </c>
      <c r="J306" s="45">
        <f t="shared" si="43"/>
        <v>0</v>
      </c>
    </row>
    <row r="307" spans="1:10" ht="12.75">
      <c r="A307" s="28"/>
      <c r="B307" s="43" t="s">
        <v>99</v>
      </c>
      <c r="C307" s="30">
        <f>C268+C276+C291+C298</f>
        <v>8218106</v>
      </c>
      <c r="D307" s="31">
        <f>D268+D276+D291+D298</f>
        <v>0</v>
      </c>
      <c r="E307" s="30">
        <f>E268+E276+E291+E298+E283</f>
        <v>2803013</v>
      </c>
      <c r="F307" s="31">
        <f aca="true" t="shared" si="44" ref="F307:H308">F268+F276+F291+F298</f>
        <v>0</v>
      </c>
      <c r="G307" s="30">
        <f t="shared" si="44"/>
        <v>0</v>
      </c>
      <c r="H307" s="31">
        <f t="shared" si="44"/>
        <v>0</v>
      </c>
      <c r="I307" s="44">
        <f t="shared" si="43"/>
        <v>11021119</v>
      </c>
      <c r="J307" s="45">
        <f t="shared" si="43"/>
        <v>0</v>
      </c>
    </row>
    <row r="308" spans="1:10" ht="12.75">
      <c r="A308" s="28"/>
      <c r="B308" s="29" t="s">
        <v>97</v>
      </c>
      <c r="C308" s="30">
        <f>C269+C277+C292+C299</f>
        <v>51790220</v>
      </c>
      <c r="D308" s="31">
        <f>D269+D277+D292+D299</f>
        <v>0</v>
      </c>
      <c r="E308" s="30">
        <f>E269+E277+E292+E299+E284</f>
        <v>61433014</v>
      </c>
      <c r="F308" s="31">
        <f t="shared" si="44"/>
        <v>0</v>
      </c>
      <c r="G308" s="30">
        <f t="shared" si="44"/>
        <v>0</v>
      </c>
      <c r="H308" s="31">
        <f t="shared" si="44"/>
        <v>0</v>
      </c>
      <c r="I308" s="44">
        <f t="shared" si="43"/>
        <v>113223234</v>
      </c>
      <c r="J308" s="45">
        <f t="shared" si="43"/>
        <v>0</v>
      </c>
    </row>
    <row r="309" spans="1:10" ht="12.75">
      <c r="A309" s="28"/>
      <c r="B309" s="47" t="s">
        <v>227</v>
      </c>
      <c r="C309" s="40">
        <f aca="true" t="shared" si="45" ref="C309:J309">SUM(C306:C308)</f>
        <v>98021521</v>
      </c>
      <c r="D309" s="31">
        <f t="shared" si="45"/>
        <v>0</v>
      </c>
      <c r="E309" s="40">
        <f t="shared" si="45"/>
        <v>78288027</v>
      </c>
      <c r="F309" s="31">
        <f t="shared" si="45"/>
        <v>0</v>
      </c>
      <c r="G309" s="30">
        <f t="shared" si="45"/>
        <v>0</v>
      </c>
      <c r="H309" s="31">
        <f t="shared" si="45"/>
        <v>0</v>
      </c>
      <c r="I309" s="48">
        <f t="shared" si="45"/>
        <v>176309548</v>
      </c>
      <c r="J309" s="95">
        <f t="shared" si="45"/>
        <v>0</v>
      </c>
    </row>
    <row r="310" spans="1:10" ht="12.75">
      <c r="A310" s="28"/>
      <c r="B310" s="32" t="s">
        <v>225</v>
      </c>
      <c r="C310" s="30">
        <f>+C271+C279+C294+C301</f>
        <v>0</v>
      </c>
      <c r="D310" s="31">
        <f>+D271+D279+D294+D301</f>
        <v>48990000</v>
      </c>
      <c r="E310" s="30">
        <f>+E271+E279+E294+E301</f>
        <v>0</v>
      </c>
      <c r="F310" s="31">
        <f>+F271+F279+F294+F301+F286</f>
        <v>31750000</v>
      </c>
      <c r="G310" s="30">
        <f>+G271+G279+G294+G301</f>
        <v>0</v>
      </c>
      <c r="H310" s="31">
        <f>+H271+H279+H294+H301</f>
        <v>0</v>
      </c>
      <c r="I310" s="44">
        <f>C310+E310+G310</f>
        <v>0</v>
      </c>
      <c r="J310" s="45">
        <f>D310+F310+H310</f>
        <v>80740000</v>
      </c>
    </row>
    <row r="311" spans="1:10" ht="12.75">
      <c r="A311" s="28"/>
      <c r="B311" s="29" t="s">
        <v>399</v>
      </c>
      <c r="C311" s="30"/>
      <c r="D311" s="31"/>
      <c r="E311" s="30"/>
      <c r="F311" s="31">
        <f>F287+F302</f>
        <v>28095435</v>
      </c>
      <c r="G311" s="30"/>
      <c r="H311" s="31"/>
      <c r="I311" s="44"/>
      <c r="J311" s="45">
        <f>D311+F311+H311</f>
        <v>28095435</v>
      </c>
    </row>
    <row r="312" spans="1:10" ht="25.5">
      <c r="A312" s="28"/>
      <c r="B312" s="43" t="s">
        <v>237</v>
      </c>
      <c r="C312" s="30">
        <f>C303+C280+C272</f>
        <v>0</v>
      </c>
      <c r="D312" s="31">
        <f>D303+D280+D272</f>
        <v>49031521</v>
      </c>
      <c r="E312" s="30">
        <f>E303+E280+E272</f>
        <v>0</v>
      </c>
      <c r="F312" s="31">
        <f>F303+F280+F272+F295+F288</f>
        <v>18442592</v>
      </c>
      <c r="G312" s="30">
        <f>G303+G280+G272</f>
        <v>0</v>
      </c>
      <c r="H312" s="31">
        <f>H303+H280+H272</f>
        <v>0</v>
      </c>
      <c r="I312" s="44">
        <f>C312+E312+G312</f>
        <v>0</v>
      </c>
      <c r="J312" s="45">
        <f>D312+F312+H312</f>
        <v>67474113</v>
      </c>
    </row>
    <row r="313" spans="1:10" ht="13.5" thickBot="1">
      <c r="A313" s="60"/>
      <c r="B313" s="223" t="s">
        <v>227</v>
      </c>
      <c r="C313" s="226">
        <f aca="true" t="shared" si="46" ref="C313:J313">SUM(C310:C312)</f>
        <v>0</v>
      </c>
      <c r="D313" s="225">
        <f t="shared" si="46"/>
        <v>98021521</v>
      </c>
      <c r="E313" s="62">
        <f t="shared" si="46"/>
        <v>0</v>
      </c>
      <c r="F313" s="225">
        <f t="shared" si="46"/>
        <v>78288027</v>
      </c>
      <c r="G313" s="62">
        <f t="shared" si="46"/>
        <v>0</v>
      </c>
      <c r="H313" s="63">
        <f t="shared" si="46"/>
        <v>0</v>
      </c>
      <c r="I313" s="206">
        <f t="shared" si="46"/>
        <v>0</v>
      </c>
      <c r="J313" s="207">
        <f t="shared" si="46"/>
        <v>176309548</v>
      </c>
    </row>
    <row r="314" spans="1:10" ht="12.75">
      <c r="A314" s="227" t="s">
        <v>243</v>
      </c>
      <c r="B314" s="235"/>
      <c r="C314" s="236"/>
      <c r="D314" s="237"/>
      <c r="E314" s="236"/>
      <c r="F314" s="237"/>
      <c r="G314" s="236"/>
      <c r="H314" s="237"/>
      <c r="I314" s="236"/>
      <c r="J314" s="237"/>
    </row>
    <row r="315" spans="1:10" ht="12.75">
      <c r="A315" s="28"/>
      <c r="B315" s="29" t="s">
        <v>207</v>
      </c>
      <c r="C315" s="44">
        <v>31069724</v>
      </c>
      <c r="D315" s="45"/>
      <c r="E315" s="44"/>
      <c r="F315" s="45"/>
      <c r="G315" s="44"/>
      <c r="H315" s="45"/>
      <c r="I315" s="44">
        <f aca="true" t="shared" si="47" ref="I315:J317">C315+E315+G315</f>
        <v>31069724</v>
      </c>
      <c r="J315" s="45">
        <f t="shared" si="47"/>
        <v>0</v>
      </c>
    </row>
    <row r="316" spans="1:26" s="24" customFormat="1" ht="15.75">
      <c r="A316" s="51"/>
      <c r="B316" s="43" t="s">
        <v>99</v>
      </c>
      <c r="C316" s="44">
        <v>6459019</v>
      </c>
      <c r="D316" s="45"/>
      <c r="E316" s="44"/>
      <c r="F316" s="45"/>
      <c r="G316" s="44"/>
      <c r="H316" s="45"/>
      <c r="I316" s="44">
        <f t="shared" si="47"/>
        <v>6459019</v>
      </c>
      <c r="J316" s="45">
        <f t="shared" si="47"/>
        <v>0</v>
      </c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s="15" customFormat="1" ht="15.75">
      <c r="A317" s="28"/>
      <c r="B317" s="29" t="s">
        <v>97</v>
      </c>
      <c r="C317" s="44">
        <v>11921800</v>
      </c>
      <c r="D317" s="45"/>
      <c r="E317" s="44"/>
      <c r="F317" s="45"/>
      <c r="G317" s="44"/>
      <c r="H317" s="45"/>
      <c r="I317" s="44">
        <f t="shared" si="47"/>
        <v>11921800</v>
      </c>
      <c r="J317" s="45">
        <f t="shared" si="47"/>
        <v>0</v>
      </c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s="15" customFormat="1" ht="15.75">
      <c r="A318" s="52"/>
      <c r="B318" s="47" t="s">
        <v>227</v>
      </c>
      <c r="C318" s="48">
        <f>SUM(C315:C317)</f>
        <v>49450543</v>
      </c>
      <c r="D318" s="49"/>
      <c r="E318" s="48"/>
      <c r="F318" s="49"/>
      <c r="G318" s="48"/>
      <c r="H318" s="49"/>
      <c r="I318" s="48">
        <f>SUM(I315:I317)</f>
        <v>49450543</v>
      </c>
      <c r="J318" s="49">
        <f>SUM(J315:J317)</f>
        <v>0</v>
      </c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10" ht="15.75">
      <c r="A319" s="56"/>
      <c r="B319" s="32" t="s">
        <v>225</v>
      </c>
      <c r="C319" s="48"/>
      <c r="D319" s="45">
        <v>4000000</v>
      </c>
      <c r="E319" s="48"/>
      <c r="F319" s="49"/>
      <c r="G319" s="48"/>
      <c r="H319" s="49"/>
      <c r="I319" s="44">
        <f>C319+E319+G319</f>
        <v>0</v>
      </c>
      <c r="J319" s="45">
        <f>D319+F319+H319</f>
        <v>4000000</v>
      </c>
    </row>
    <row r="320" spans="1:26" s="11" customFormat="1" ht="25.5">
      <c r="A320" s="56"/>
      <c r="B320" s="43" t="s">
        <v>237</v>
      </c>
      <c r="C320" s="44"/>
      <c r="D320" s="45">
        <v>45450543</v>
      </c>
      <c r="E320" s="44"/>
      <c r="F320" s="45"/>
      <c r="G320" s="44"/>
      <c r="H320" s="45"/>
      <c r="I320" s="44">
        <f>C320+E320+G320</f>
        <v>0</v>
      </c>
      <c r="J320" s="45">
        <f>D320+F320+H320</f>
        <v>45450543</v>
      </c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s="11" customFormat="1" ht="13.5" thickBot="1">
      <c r="A321" s="60"/>
      <c r="B321" s="223" t="s">
        <v>227</v>
      </c>
      <c r="C321" s="83"/>
      <c r="D321" s="207">
        <f>SUM(D319:D320)</f>
        <v>49450543</v>
      </c>
      <c r="E321" s="83"/>
      <c r="F321" s="82"/>
      <c r="G321" s="83"/>
      <c r="H321" s="82"/>
      <c r="I321" s="206">
        <f>SUM(I319:I320)</f>
        <v>0</v>
      </c>
      <c r="J321" s="207">
        <f>SUM(J319:J320)</f>
        <v>49450543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s="11" customFormat="1" ht="13.5" thickBot="1">
      <c r="A322" s="32"/>
      <c r="B322" s="43"/>
      <c r="C322" s="44"/>
      <c r="D322" s="45"/>
      <c r="E322" s="44"/>
      <c r="F322" s="45"/>
      <c r="G322" s="44"/>
      <c r="H322" s="45"/>
      <c r="I322" s="44"/>
      <c r="J322" s="45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10" ht="12.75">
      <c r="A323" s="227" t="s">
        <v>244</v>
      </c>
      <c r="B323" s="235"/>
      <c r="C323" s="236"/>
      <c r="D323" s="237"/>
      <c r="E323" s="236"/>
      <c r="F323" s="237"/>
      <c r="G323" s="236"/>
      <c r="H323" s="237"/>
      <c r="I323" s="236"/>
      <c r="J323" s="237"/>
    </row>
    <row r="324" spans="1:10" ht="12.75">
      <c r="A324" s="28"/>
      <c r="B324" s="29" t="s">
        <v>207</v>
      </c>
      <c r="C324" s="242">
        <v>131285416</v>
      </c>
      <c r="D324" s="45"/>
      <c r="E324" s="44"/>
      <c r="F324" s="45"/>
      <c r="G324" s="44"/>
      <c r="H324" s="45"/>
      <c r="I324" s="44">
        <f aca="true" t="shared" si="48" ref="I324:J326">C324+E324+G324</f>
        <v>131285416</v>
      </c>
      <c r="J324" s="45">
        <f t="shared" si="48"/>
        <v>0</v>
      </c>
    </row>
    <row r="325" spans="1:10" ht="12.75">
      <c r="A325" s="51"/>
      <c r="B325" s="43" t="s">
        <v>99</v>
      </c>
      <c r="C325" s="242">
        <v>31226258</v>
      </c>
      <c r="D325" s="45"/>
      <c r="E325" s="44"/>
      <c r="F325" s="45"/>
      <c r="G325" s="44"/>
      <c r="H325" s="45"/>
      <c r="I325" s="44">
        <f t="shared" si="48"/>
        <v>31226258</v>
      </c>
      <c r="J325" s="45">
        <f t="shared" si="48"/>
        <v>0</v>
      </c>
    </row>
    <row r="326" spans="1:10" ht="12.75">
      <c r="A326" s="28"/>
      <c r="B326" s="29" t="s">
        <v>97</v>
      </c>
      <c r="C326" s="242">
        <v>69609173</v>
      </c>
      <c r="D326" s="45"/>
      <c r="E326" s="44"/>
      <c r="F326" s="45"/>
      <c r="G326" s="44"/>
      <c r="H326" s="45"/>
      <c r="I326" s="44">
        <f t="shared" si="48"/>
        <v>69609173</v>
      </c>
      <c r="J326" s="45">
        <f t="shared" si="48"/>
        <v>0</v>
      </c>
    </row>
    <row r="327" spans="1:10" ht="15.75">
      <c r="A327" s="52"/>
      <c r="B327" s="47" t="s">
        <v>227</v>
      </c>
      <c r="C327" s="48">
        <f>SUM(C324:C326)</f>
        <v>232120847</v>
      </c>
      <c r="D327" s="49"/>
      <c r="E327" s="48"/>
      <c r="F327" s="49"/>
      <c r="G327" s="48"/>
      <c r="H327" s="49"/>
      <c r="I327" s="48">
        <f>SUM(I324:I326)</f>
        <v>232120847</v>
      </c>
      <c r="J327" s="49">
        <f>SUM(J324:J326)</f>
        <v>0</v>
      </c>
    </row>
    <row r="328" spans="1:10" ht="15.75">
      <c r="A328" s="56"/>
      <c r="B328" s="32" t="s">
        <v>225</v>
      </c>
      <c r="C328" s="48"/>
      <c r="D328" s="45">
        <v>56233710</v>
      </c>
      <c r="E328" s="48"/>
      <c r="F328" s="49"/>
      <c r="G328" s="48"/>
      <c r="H328" s="49"/>
      <c r="I328" s="44">
        <f aca="true" t="shared" si="49" ref="I328:J330">C328+E328+G328</f>
        <v>0</v>
      </c>
      <c r="J328" s="45">
        <f t="shared" si="49"/>
        <v>56233710</v>
      </c>
    </row>
    <row r="329" spans="1:10" ht="15.75">
      <c r="A329" s="56"/>
      <c r="B329" s="29" t="s">
        <v>94</v>
      </c>
      <c r="C329" s="44"/>
      <c r="D329" s="45">
        <v>38220000</v>
      </c>
      <c r="E329" s="44"/>
      <c r="F329" s="45"/>
      <c r="G329" s="44"/>
      <c r="H329" s="45"/>
      <c r="I329" s="44">
        <f t="shared" si="49"/>
        <v>0</v>
      </c>
      <c r="J329" s="45">
        <f t="shared" si="49"/>
        <v>38220000</v>
      </c>
    </row>
    <row r="330" spans="1:10" ht="25.5">
      <c r="A330" s="56"/>
      <c r="B330" s="43" t="s">
        <v>237</v>
      </c>
      <c r="C330" s="44"/>
      <c r="D330" s="45">
        <v>137667137</v>
      </c>
      <c r="E330" s="44"/>
      <c r="F330" s="45"/>
      <c r="G330" s="44"/>
      <c r="H330" s="45"/>
      <c r="I330" s="44">
        <f t="shared" si="49"/>
        <v>0</v>
      </c>
      <c r="J330" s="45">
        <f t="shared" si="49"/>
        <v>137667137</v>
      </c>
    </row>
    <row r="331" spans="1:10" ht="13.5" thickBot="1">
      <c r="A331" s="60"/>
      <c r="B331" s="223" t="s">
        <v>227</v>
      </c>
      <c r="C331" s="83"/>
      <c r="D331" s="207">
        <f>SUM(D328:D330)</f>
        <v>232120847</v>
      </c>
      <c r="E331" s="83"/>
      <c r="F331" s="82"/>
      <c r="G331" s="83"/>
      <c r="H331" s="82"/>
      <c r="I331" s="206">
        <f>SUM(I328:I330)</f>
        <v>0</v>
      </c>
      <c r="J331" s="207">
        <f>SUM(J328:J330)</f>
        <v>232120847</v>
      </c>
    </row>
    <row r="332" spans="1:26" s="11" customFormat="1" ht="13.5" thickBot="1">
      <c r="A332" s="32"/>
      <c r="B332" s="43"/>
      <c r="C332" s="44"/>
      <c r="D332" s="45"/>
      <c r="E332" s="44"/>
      <c r="F332" s="45"/>
      <c r="G332" s="44"/>
      <c r="H332" s="45"/>
      <c r="I332" s="44"/>
      <c r="J332" s="45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10" ht="12.75">
      <c r="A333" s="227" t="s">
        <v>311</v>
      </c>
      <c r="B333" s="235"/>
      <c r="C333" s="236"/>
      <c r="D333" s="237"/>
      <c r="E333" s="236"/>
      <c r="F333" s="237"/>
      <c r="G333" s="236"/>
      <c r="H333" s="237"/>
      <c r="I333" s="236"/>
      <c r="J333" s="237"/>
    </row>
    <row r="334" spans="1:10" ht="12.75">
      <c r="A334" s="39" t="s">
        <v>381</v>
      </c>
      <c r="B334" s="29" t="s">
        <v>207</v>
      </c>
      <c r="C334" s="242">
        <v>61929134</v>
      </c>
      <c r="D334" s="45"/>
      <c r="E334" s="44"/>
      <c r="F334" s="45"/>
      <c r="G334" s="44"/>
      <c r="H334" s="45"/>
      <c r="I334" s="44">
        <f aca="true" t="shared" si="50" ref="I334:J336">C334+E334+G334</f>
        <v>61929134</v>
      </c>
      <c r="J334" s="45">
        <f t="shared" si="50"/>
        <v>0</v>
      </c>
    </row>
    <row r="335" spans="1:10" ht="12.75">
      <c r="A335" s="51"/>
      <c r="B335" s="43" t="s">
        <v>99</v>
      </c>
      <c r="C335" s="242">
        <v>14519497</v>
      </c>
      <c r="D335" s="45"/>
      <c r="E335" s="44"/>
      <c r="F335" s="45"/>
      <c r="G335" s="44"/>
      <c r="H335" s="45"/>
      <c r="I335" s="44">
        <f t="shared" si="50"/>
        <v>14519497</v>
      </c>
      <c r="J335" s="45">
        <f t="shared" si="50"/>
        <v>0</v>
      </c>
    </row>
    <row r="336" spans="1:10" ht="12.75">
      <c r="A336" s="28"/>
      <c r="B336" s="29" t="s">
        <v>97</v>
      </c>
      <c r="C336" s="242">
        <v>9038350</v>
      </c>
      <c r="D336" s="45"/>
      <c r="E336" s="44"/>
      <c r="F336" s="45"/>
      <c r="G336" s="44"/>
      <c r="H336" s="45"/>
      <c r="I336" s="44">
        <f t="shared" si="50"/>
        <v>9038350</v>
      </c>
      <c r="J336" s="45">
        <f t="shared" si="50"/>
        <v>0</v>
      </c>
    </row>
    <row r="337" spans="1:10" ht="15.75">
      <c r="A337" s="52"/>
      <c r="B337" s="47" t="s">
        <v>227</v>
      </c>
      <c r="C337" s="48">
        <f>SUM(C334:C336)</f>
        <v>85486981</v>
      </c>
      <c r="D337" s="49"/>
      <c r="E337" s="48"/>
      <c r="F337" s="49"/>
      <c r="G337" s="48"/>
      <c r="H337" s="49"/>
      <c r="I337" s="48">
        <f>SUM(I334:I336)</f>
        <v>85486981</v>
      </c>
      <c r="J337" s="49">
        <f>SUM(J334:J336)</f>
        <v>0</v>
      </c>
    </row>
    <row r="338" spans="1:10" ht="15.75">
      <c r="A338" s="56"/>
      <c r="B338" s="32" t="s">
        <v>225</v>
      </c>
      <c r="C338" s="48"/>
      <c r="D338" s="45">
        <v>450000</v>
      </c>
      <c r="E338" s="48"/>
      <c r="F338" s="49"/>
      <c r="G338" s="48"/>
      <c r="H338" s="49"/>
      <c r="I338" s="44">
        <f>C338+E338+G338</f>
        <v>0</v>
      </c>
      <c r="J338" s="45">
        <f>D338+F338+H338</f>
        <v>450000</v>
      </c>
    </row>
    <row r="339" spans="1:10" ht="25.5">
      <c r="A339" s="56"/>
      <c r="B339" s="43" t="s">
        <v>237</v>
      </c>
      <c r="C339" s="44"/>
      <c r="D339" s="45">
        <v>85036981</v>
      </c>
      <c r="E339" s="44"/>
      <c r="F339" s="45"/>
      <c r="G339" s="44"/>
      <c r="H339" s="45"/>
      <c r="I339" s="44">
        <f>C339+E339+G339</f>
        <v>0</v>
      </c>
      <c r="J339" s="45">
        <f>D339+F339+H339</f>
        <v>85036981</v>
      </c>
    </row>
    <row r="340" spans="1:10" ht="13.5" thickBot="1">
      <c r="A340" s="60"/>
      <c r="B340" s="223" t="s">
        <v>227</v>
      </c>
      <c r="C340" s="83"/>
      <c r="D340" s="207">
        <f>SUM(D338:D339)</f>
        <v>85486981</v>
      </c>
      <c r="E340" s="83"/>
      <c r="F340" s="82"/>
      <c r="G340" s="83"/>
      <c r="H340" s="82"/>
      <c r="I340" s="206">
        <f>SUM(I338:I339)</f>
        <v>0</v>
      </c>
      <c r="J340" s="207">
        <f>SUM(J338:J339)</f>
        <v>85486981</v>
      </c>
    </row>
    <row r="341" spans="1:10" ht="12.75">
      <c r="A341" s="39" t="s">
        <v>20</v>
      </c>
      <c r="B341" s="29" t="s">
        <v>207</v>
      </c>
      <c r="C341" s="242">
        <v>20049578</v>
      </c>
      <c r="D341" s="45"/>
      <c r="E341" s="44"/>
      <c r="F341" s="45"/>
      <c r="G341" s="44"/>
      <c r="H341" s="45"/>
      <c r="I341" s="44">
        <f aca="true" t="shared" si="51" ref="I341:J343">C341+E341+G341</f>
        <v>20049578</v>
      </c>
      <c r="J341" s="45">
        <f t="shared" si="51"/>
        <v>0</v>
      </c>
    </row>
    <row r="342" spans="1:10" ht="12.75">
      <c r="A342" s="51"/>
      <c r="B342" s="43" t="s">
        <v>99</v>
      </c>
      <c r="C342" s="242">
        <v>4133551</v>
      </c>
      <c r="D342" s="45"/>
      <c r="E342" s="44"/>
      <c r="F342" s="45"/>
      <c r="G342" s="44"/>
      <c r="H342" s="45"/>
      <c r="I342" s="44">
        <f t="shared" si="51"/>
        <v>4133551</v>
      </c>
      <c r="J342" s="45">
        <f t="shared" si="51"/>
        <v>0</v>
      </c>
    </row>
    <row r="343" spans="1:10" ht="12.75">
      <c r="A343" s="28"/>
      <c r="B343" s="29" t="s">
        <v>97</v>
      </c>
      <c r="C343" s="242">
        <v>3188460</v>
      </c>
      <c r="D343" s="45"/>
      <c r="E343" s="44"/>
      <c r="F343" s="45"/>
      <c r="G343" s="44"/>
      <c r="H343" s="45"/>
      <c r="I343" s="44">
        <f t="shared" si="51"/>
        <v>3188460</v>
      </c>
      <c r="J343" s="45">
        <f t="shared" si="51"/>
        <v>0</v>
      </c>
    </row>
    <row r="344" spans="1:10" ht="15.75">
      <c r="A344" s="52"/>
      <c r="B344" s="47" t="s">
        <v>227</v>
      </c>
      <c r="C344" s="48">
        <f>SUM(C341:C343)</f>
        <v>27371589</v>
      </c>
      <c r="D344" s="49"/>
      <c r="E344" s="48"/>
      <c r="F344" s="49"/>
      <c r="G344" s="48"/>
      <c r="H344" s="49"/>
      <c r="I344" s="48">
        <f>SUM(I341:I343)</f>
        <v>27371589</v>
      </c>
      <c r="J344" s="49">
        <f>SUM(J341:J343)</f>
        <v>0</v>
      </c>
    </row>
    <row r="345" spans="1:10" ht="15.75">
      <c r="A345" s="56"/>
      <c r="B345" s="32" t="s">
        <v>225</v>
      </c>
      <c r="C345" s="48"/>
      <c r="D345" s="45">
        <v>0</v>
      </c>
      <c r="E345" s="48"/>
      <c r="F345" s="49"/>
      <c r="G345" s="48"/>
      <c r="H345" s="49"/>
      <c r="I345" s="44">
        <f>C345+E345+G345</f>
        <v>0</v>
      </c>
      <c r="J345" s="45">
        <f>D345+F345+H345</f>
        <v>0</v>
      </c>
    </row>
    <row r="346" spans="1:10" ht="25.5">
      <c r="A346" s="56"/>
      <c r="B346" s="43" t="s">
        <v>237</v>
      </c>
      <c r="C346" s="44"/>
      <c r="D346" s="45">
        <v>27371589</v>
      </c>
      <c r="E346" s="44"/>
      <c r="F346" s="45"/>
      <c r="G346" s="44"/>
      <c r="H346" s="45"/>
      <c r="I346" s="44">
        <f>C346+E346+G346</f>
        <v>0</v>
      </c>
      <c r="J346" s="45">
        <f>D346+F346+H346</f>
        <v>27371589</v>
      </c>
    </row>
    <row r="347" spans="1:10" ht="13.5" thickBot="1">
      <c r="A347" s="60"/>
      <c r="B347" s="223" t="s">
        <v>227</v>
      </c>
      <c r="C347" s="83"/>
      <c r="D347" s="207">
        <f>SUM(D345:D346)</f>
        <v>27371589</v>
      </c>
      <c r="E347" s="83"/>
      <c r="F347" s="82"/>
      <c r="G347" s="83"/>
      <c r="H347" s="82"/>
      <c r="I347" s="206">
        <f>SUM(I345:I346)</f>
        <v>0</v>
      </c>
      <c r="J347" s="207">
        <f>SUM(J345:J346)</f>
        <v>27371589</v>
      </c>
    </row>
    <row r="348" spans="1:10" ht="12.75">
      <c r="A348" s="39" t="s">
        <v>382</v>
      </c>
      <c r="B348" s="29" t="s">
        <v>207</v>
      </c>
      <c r="C348" s="242">
        <v>39427447</v>
      </c>
      <c r="D348" s="45"/>
      <c r="E348" s="44"/>
      <c r="F348" s="45"/>
      <c r="G348" s="44"/>
      <c r="H348" s="45"/>
      <c r="I348" s="44">
        <f aca="true" t="shared" si="52" ref="I348:J350">C348+E348+G348</f>
        <v>39427447</v>
      </c>
      <c r="J348" s="45">
        <f t="shared" si="52"/>
        <v>0</v>
      </c>
    </row>
    <row r="349" spans="1:10" ht="12.75">
      <c r="A349" s="51"/>
      <c r="B349" s="43" t="s">
        <v>99</v>
      </c>
      <c r="C349" s="242">
        <v>7977279</v>
      </c>
      <c r="D349" s="45"/>
      <c r="E349" s="44"/>
      <c r="F349" s="45"/>
      <c r="G349" s="44"/>
      <c r="H349" s="45"/>
      <c r="I349" s="44">
        <f t="shared" si="52"/>
        <v>7977279</v>
      </c>
      <c r="J349" s="45">
        <f t="shared" si="52"/>
        <v>0</v>
      </c>
    </row>
    <row r="350" spans="1:10" ht="12.75">
      <c r="A350" s="28"/>
      <c r="B350" s="29" t="s">
        <v>97</v>
      </c>
      <c r="C350" s="242">
        <v>4532210</v>
      </c>
      <c r="D350" s="45"/>
      <c r="E350" s="44"/>
      <c r="F350" s="45"/>
      <c r="G350" s="44"/>
      <c r="H350" s="45"/>
      <c r="I350" s="44">
        <f t="shared" si="52"/>
        <v>4532210</v>
      </c>
      <c r="J350" s="45">
        <f t="shared" si="52"/>
        <v>0</v>
      </c>
    </row>
    <row r="351" spans="1:10" ht="15.75">
      <c r="A351" s="52"/>
      <c r="B351" s="47" t="s">
        <v>227</v>
      </c>
      <c r="C351" s="48">
        <f>SUM(C348:C350)</f>
        <v>51936936</v>
      </c>
      <c r="D351" s="49"/>
      <c r="E351" s="48"/>
      <c r="F351" s="49"/>
      <c r="G351" s="48"/>
      <c r="H351" s="49"/>
      <c r="I351" s="48">
        <f>SUM(I348:I350)</f>
        <v>51936936</v>
      </c>
      <c r="J351" s="49">
        <f>SUM(J348:J350)</f>
        <v>0</v>
      </c>
    </row>
    <row r="352" spans="1:10" ht="15.75">
      <c r="A352" s="56"/>
      <c r="B352" s="32" t="s">
        <v>225</v>
      </c>
      <c r="C352" s="48"/>
      <c r="D352" s="45">
        <v>472000</v>
      </c>
      <c r="E352" s="48"/>
      <c r="F352" s="49"/>
      <c r="G352" s="48"/>
      <c r="H352" s="49"/>
      <c r="I352" s="44">
        <f>C352+E352+G352</f>
        <v>0</v>
      </c>
      <c r="J352" s="45">
        <f>D352+F352+H352</f>
        <v>472000</v>
      </c>
    </row>
    <row r="353" spans="1:10" ht="25.5">
      <c r="A353" s="56"/>
      <c r="B353" s="43" t="s">
        <v>237</v>
      </c>
      <c r="C353" s="44"/>
      <c r="D353" s="45">
        <v>51464936</v>
      </c>
      <c r="E353" s="44"/>
      <c r="F353" s="45"/>
      <c r="G353" s="44"/>
      <c r="H353" s="45"/>
      <c r="I353" s="44">
        <f>C353+E353+G353</f>
        <v>0</v>
      </c>
      <c r="J353" s="45">
        <f>D353+F353+H353</f>
        <v>51464936</v>
      </c>
    </row>
    <row r="354" spans="1:10" ht="13.5" thickBot="1">
      <c r="A354" s="60"/>
      <c r="B354" s="223" t="s">
        <v>227</v>
      </c>
      <c r="C354" s="83"/>
      <c r="D354" s="207">
        <f>SUM(D352:D353)</f>
        <v>51936936</v>
      </c>
      <c r="E354" s="83"/>
      <c r="F354" s="82"/>
      <c r="G354" s="83"/>
      <c r="H354" s="82"/>
      <c r="I354" s="206">
        <f>SUM(I352:I353)</f>
        <v>0</v>
      </c>
      <c r="J354" s="207">
        <f>SUM(J352:J353)</f>
        <v>51936936</v>
      </c>
    </row>
    <row r="355" spans="1:10" ht="12.75">
      <c r="A355" s="39" t="s">
        <v>383</v>
      </c>
      <c r="B355" s="29" t="s">
        <v>207</v>
      </c>
      <c r="C355" s="242">
        <v>14366234</v>
      </c>
      <c r="D355" s="45"/>
      <c r="E355" s="44"/>
      <c r="F355" s="45"/>
      <c r="G355" s="44"/>
      <c r="H355" s="45"/>
      <c r="I355" s="44">
        <f aca="true" t="shared" si="53" ref="I355:J357">C355+E355+G355</f>
        <v>14366234</v>
      </c>
      <c r="J355" s="45">
        <f t="shared" si="53"/>
        <v>0</v>
      </c>
    </row>
    <row r="356" spans="1:10" ht="12.75">
      <c r="A356" s="51"/>
      <c r="B356" s="43" t="s">
        <v>99</v>
      </c>
      <c r="C356" s="242">
        <v>2940469</v>
      </c>
      <c r="D356" s="45"/>
      <c r="E356" s="44"/>
      <c r="F356" s="45"/>
      <c r="G356" s="44"/>
      <c r="H356" s="45"/>
      <c r="I356" s="44">
        <f t="shared" si="53"/>
        <v>2940469</v>
      </c>
      <c r="J356" s="45">
        <f t="shared" si="53"/>
        <v>0</v>
      </c>
    </row>
    <row r="357" spans="1:10" ht="12.75">
      <c r="A357" s="28"/>
      <c r="B357" s="29" t="s">
        <v>97</v>
      </c>
      <c r="C357" s="242">
        <v>2028250</v>
      </c>
      <c r="D357" s="45"/>
      <c r="E357" s="44"/>
      <c r="F357" s="45"/>
      <c r="G357" s="44"/>
      <c r="H357" s="45"/>
      <c r="I357" s="44">
        <f t="shared" si="53"/>
        <v>2028250</v>
      </c>
      <c r="J357" s="45">
        <f t="shared" si="53"/>
        <v>0</v>
      </c>
    </row>
    <row r="358" spans="1:10" ht="15.75">
      <c r="A358" s="52"/>
      <c r="B358" s="47" t="s">
        <v>227</v>
      </c>
      <c r="C358" s="48">
        <f>SUM(C355:C357)</f>
        <v>19334953</v>
      </c>
      <c r="D358" s="49"/>
      <c r="E358" s="48"/>
      <c r="F358" s="49"/>
      <c r="G358" s="48"/>
      <c r="H358" s="49"/>
      <c r="I358" s="48">
        <f>SUM(I355:I357)</f>
        <v>19334953</v>
      </c>
      <c r="J358" s="49">
        <f>SUM(J355:J357)</f>
        <v>0</v>
      </c>
    </row>
    <row r="359" spans="1:10" ht="15.75">
      <c r="A359" s="56"/>
      <c r="B359" s="32" t="s">
        <v>225</v>
      </c>
      <c r="C359" s="48"/>
      <c r="D359" s="45">
        <v>0</v>
      </c>
      <c r="E359" s="48"/>
      <c r="F359" s="49"/>
      <c r="G359" s="48"/>
      <c r="H359" s="49"/>
      <c r="I359" s="44">
        <f>C359+E359+G359</f>
        <v>0</v>
      </c>
      <c r="J359" s="45">
        <f>D359+F359+H359</f>
        <v>0</v>
      </c>
    </row>
    <row r="360" spans="1:10" ht="25.5">
      <c r="A360" s="56"/>
      <c r="B360" s="43" t="s">
        <v>237</v>
      </c>
      <c r="C360" s="44"/>
      <c r="D360" s="45">
        <v>19334953</v>
      </c>
      <c r="E360" s="44"/>
      <c r="F360" s="45"/>
      <c r="G360" s="44"/>
      <c r="H360" s="45"/>
      <c r="I360" s="44">
        <f>C360+E360+G360</f>
        <v>0</v>
      </c>
      <c r="J360" s="45">
        <f>D360+F360+H360</f>
        <v>19334953</v>
      </c>
    </row>
    <row r="361" spans="1:10" ht="13.5" thickBot="1">
      <c r="A361" s="60"/>
      <c r="B361" s="223" t="s">
        <v>227</v>
      </c>
      <c r="C361" s="83"/>
      <c r="D361" s="207">
        <f>SUM(D359:D360)</f>
        <v>19334953</v>
      </c>
      <c r="E361" s="83"/>
      <c r="F361" s="82"/>
      <c r="G361" s="83"/>
      <c r="H361" s="82"/>
      <c r="I361" s="206">
        <f>SUM(I359:I360)</f>
        <v>0</v>
      </c>
      <c r="J361" s="207">
        <f>SUM(J359:J360)</f>
        <v>19334953</v>
      </c>
    </row>
    <row r="362" spans="1:10" ht="12.75">
      <c r="A362" s="39" t="s">
        <v>384</v>
      </c>
      <c r="B362" s="29" t="s">
        <v>207</v>
      </c>
      <c r="C362" s="242">
        <v>10397742</v>
      </c>
      <c r="D362" s="45"/>
      <c r="E362" s="44"/>
      <c r="F362" s="45"/>
      <c r="G362" s="44"/>
      <c r="H362" s="45"/>
      <c r="I362" s="44">
        <f aca="true" t="shared" si="54" ref="I362:J364">C362+E362+G362</f>
        <v>10397742</v>
      </c>
      <c r="J362" s="45">
        <f t="shared" si="54"/>
        <v>0</v>
      </c>
    </row>
    <row r="363" spans="1:10" ht="12.75">
      <c r="A363" s="51"/>
      <c r="B363" s="43" t="s">
        <v>99</v>
      </c>
      <c r="C363" s="242">
        <v>2112298</v>
      </c>
      <c r="D363" s="45"/>
      <c r="E363" s="44"/>
      <c r="F363" s="45"/>
      <c r="G363" s="44"/>
      <c r="H363" s="45"/>
      <c r="I363" s="44">
        <f t="shared" si="54"/>
        <v>2112298</v>
      </c>
      <c r="J363" s="45">
        <f t="shared" si="54"/>
        <v>0</v>
      </c>
    </row>
    <row r="364" spans="1:10" ht="12.75">
      <c r="A364" s="28"/>
      <c r="B364" s="29" t="s">
        <v>97</v>
      </c>
      <c r="C364" s="242">
        <v>1698710</v>
      </c>
      <c r="D364" s="45"/>
      <c r="E364" s="44"/>
      <c r="F364" s="45"/>
      <c r="G364" s="44"/>
      <c r="H364" s="45"/>
      <c r="I364" s="44">
        <f t="shared" si="54"/>
        <v>1698710</v>
      </c>
      <c r="J364" s="45">
        <f t="shared" si="54"/>
        <v>0</v>
      </c>
    </row>
    <row r="365" spans="1:10" ht="15.75">
      <c r="A365" s="52"/>
      <c r="B365" s="47" t="s">
        <v>227</v>
      </c>
      <c r="C365" s="48">
        <f>SUM(C362:C364)</f>
        <v>14208750</v>
      </c>
      <c r="D365" s="49"/>
      <c r="E365" s="48"/>
      <c r="F365" s="49"/>
      <c r="G365" s="48"/>
      <c r="H365" s="49"/>
      <c r="I365" s="48">
        <f>SUM(I362:I364)</f>
        <v>14208750</v>
      </c>
      <c r="J365" s="49">
        <f>SUM(J362:J364)</f>
        <v>0</v>
      </c>
    </row>
    <row r="366" spans="1:10" ht="15.75">
      <c r="A366" s="56"/>
      <c r="B366" s="32" t="s">
        <v>225</v>
      </c>
      <c r="C366" s="48"/>
      <c r="D366" s="45">
        <v>0</v>
      </c>
      <c r="E366" s="48"/>
      <c r="F366" s="49"/>
      <c r="G366" s="48"/>
      <c r="H366" s="49"/>
      <c r="I366" s="44">
        <f>C366+E366+G366</f>
        <v>0</v>
      </c>
      <c r="J366" s="45">
        <f>D366+F366+H366</f>
        <v>0</v>
      </c>
    </row>
    <row r="367" spans="1:10" ht="25.5">
      <c r="A367" s="56"/>
      <c r="B367" s="43" t="s">
        <v>237</v>
      </c>
      <c r="C367" s="44"/>
      <c r="D367" s="45">
        <v>14208750</v>
      </c>
      <c r="E367" s="44"/>
      <c r="F367" s="45"/>
      <c r="G367" s="44"/>
      <c r="H367" s="45"/>
      <c r="I367" s="44">
        <f>C367+E367+G367</f>
        <v>0</v>
      </c>
      <c r="J367" s="45">
        <f>D367+F367+H367</f>
        <v>14208750</v>
      </c>
    </row>
    <row r="368" spans="1:10" ht="13.5" thickBot="1">
      <c r="A368" s="60"/>
      <c r="B368" s="223" t="s">
        <v>227</v>
      </c>
      <c r="C368" s="83"/>
      <c r="D368" s="207">
        <f>SUM(D366:D367)</f>
        <v>14208750</v>
      </c>
      <c r="E368" s="83"/>
      <c r="F368" s="82"/>
      <c r="G368" s="83"/>
      <c r="H368" s="82"/>
      <c r="I368" s="206">
        <f>SUM(I366:I367)</f>
        <v>0</v>
      </c>
      <c r="J368" s="207">
        <f>SUM(J366:J367)</f>
        <v>14208750</v>
      </c>
    </row>
    <row r="369" spans="1:26" s="11" customFormat="1" ht="13.5" thickBot="1">
      <c r="A369" s="32"/>
      <c r="B369" s="43"/>
      <c r="C369" s="44"/>
      <c r="D369" s="45"/>
      <c r="E369" s="44"/>
      <c r="F369" s="45"/>
      <c r="G369" s="44"/>
      <c r="H369" s="45"/>
      <c r="I369" s="44"/>
      <c r="J369" s="45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10" ht="12.75">
      <c r="A370" s="227" t="s">
        <v>311</v>
      </c>
      <c r="B370" s="235"/>
      <c r="C370" s="236"/>
      <c r="D370" s="237"/>
      <c r="E370" s="236"/>
      <c r="F370" s="237"/>
      <c r="G370" s="236"/>
      <c r="H370" s="237"/>
      <c r="I370" s="236"/>
      <c r="J370" s="237"/>
    </row>
    <row r="371" spans="1:10" ht="12.75">
      <c r="A371" s="28"/>
      <c r="B371" s="29" t="s">
        <v>207</v>
      </c>
      <c r="C371" s="242">
        <f>C334+C341+C348+C355+C362</f>
        <v>146170135</v>
      </c>
      <c r="D371" s="45"/>
      <c r="E371" s="44"/>
      <c r="F371" s="45"/>
      <c r="G371" s="44"/>
      <c r="H371" s="45"/>
      <c r="I371" s="44">
        <f aca="true" t="shared" si="55" ref="I371:J373">C371+E371+G371</f>
        <v>146170135</v>
      </c>
      <c r="J371" s="45">
        <f t="shared" si="55"/>
        <v>0</v>
      </c>
    </row>
    <row r="372" spans="1:10" ht="12.75">
      <c r="A372" s="51"/>
      <c r="B372" s="43" t="s">
        <v>99</v>
      </c>
      <c r="C372" s="242">
        <f>C335+C342+C349+C356+C363</f>
        <v>31683094</v>
      </c>
      <c r="D372" s="45"/>
      <c r="E372" s="44"/>
      <c r="F372" s="45"/>
      <c r="G372" s="44"/>
      <c r="H372" s="45"/>
      <c r="I372" s="44">
        <f t="shared" si="55"/>
        <v>31683094</v>
      </c>
      <c r="J372" s="45">
        <f t="shared" si="55"/>
        <v>0</v>
      </c>
    </row>
    <row r="373" spans="1:10" ht="12.75">
      <c r="A373" s="28"/>
      <c r="B373" s="29" t="s">
        <v>97</v>
      </c>
      <c r="C373" s="242">
        <f>C336+C343+C350+C357+C364</f>
        <v>20485980</v>
      </c>
      <c r="D373" s="45"/>
      <c r="E373" s="44"/>
      <c r="F373" s="45"/>
      <c r="G373" s="44"/>
      <c r="H373" s="45"/>
      <c r="I373" s="44">
        <f t="shared" si="55"/>
        <v>20485980</v>
      </c>
      <c r="J373" s="45">
        <f t="shared" si="55"/>
        <v>0</v>
      </c>
    </row>
    <row r="374" spans="1:10" ht="15.75">
      <c r="A374" s="52"/>
      <c r="B374" s="47" t="s">
        <v>227</v>
      </c>
      <c r="C374" s="48">
        <f>SUM(C371:C373)</f>
        <v>198339209</v>
      </c>
      <c r="D374" s="49"/>
      <c r="E374" s="48"/>
      <c r="F374" s="49"/>
      <c r="G374" s="48"/>
      <c r="H374" s="49"/>
      <c r="I374" s="48">
        <f>SUM(I371:I373)</f>
        <v>198339209</v>
      </c>
      <c r="J374" s="49">
        <f>SUM(J371:J373)</f>
        <v>0</v>
      </c>
    </row>
    <row r="375" spans="1:10" ht="15.75">
      <c r="A375" s="56"/>
      <c r="B375" s="32" t="s">
        <v>225</v>
      </c>
      <c r="C375" s="48"/>
      <c r="D375" s="45">
        <f>D338+D345+D352+D359+D366</f>
        <v>922000</v>
      </c>
      <c r="E375" s="48"/>
      <c r="F375" s="49"/>
      <c r="G375" s="48"/>
      <c r="H375" s="49"/>
      <c r="I375" s="44">
        <f>C375+E375+G375</f>
        <v>0</v>
      </c>
      <c r="J375" s="45">
        <f>D375+F375+H375</f>
        <v>922000</v>
      </c>
    </row>
    <row r="376" spans="1:10" ht="25.5">
      <c r="A376" s="56"/>
      <c r="B376" s="43" t="s">
        <v>237</v>
      </c>
      <c r="C376" s="44"/>
      <c r="D376" s="45">
        <f>D339+D346+D353+D360+D367</f>
        <v>197417209</v>
      </c>
      <c r="E376" s="44"/>
      <c r="F376" s="45"/>
      <c r="G376" s="44"/>
      <c r="H376" s="45"/>
      <c r="I376" s="44">
        <f>C376+E376+G376</f>
        <v>0</v>
      </c>
      <c r="J376" s="45">
        <f>D376+F376+H376</f>
        <v>197417209</v>
      </c>
    </row>
    <row r="377" spans="1:10" ht="13.5" thickBot="1">
      <c r="A377" s="60"/>
      <c r="B377" s="223" t="s">
        <v>227</v>
      </c>
      <c r="C377" s="83"/>
      <c r="D377" s="207">
        <f>SUM(D375:D376)</f>
        <v>198339209</v>
      </c>
      <c r="E377" s="83"/>
      <c r="F377" s="82"/>
      <c r="G377" s="83"/>
      <c r="H377" s="82"/>
      <c r="I377" s="206">
        <f>SUM(I375:I376)</f>
        <v>0</v>
      </c>
      <c r="J377" s="207">
        <f>SUM(J375:J376)</f>
        <v>198339209</v>
      </c>
    </row>
    <row r="378" spans="1:26" s="11" customFormat="1" ht="13.5" thickBot="1">
      <c r="A378" s="32"/>
      <c r="B378" s="43"/>
      <c r="C378" s="44"/>
      <c r="D378" s="45"/>
      <c r="E378" s="44"/>
      <c r="F378" s="45"/>
      <c r="G378" s="44"/>
      <c r="H378" s="45"/>
      <c r="I378" s="44"/>
      <c r="J378" s="45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10" ht="12.75">
      <c r="A379" s="227" t="s">
        <v>310</v>
      </c>
      <c r="B379" s="235"/>
      <c r="C379" s="236"/>
      <c r="D379" s="237"/>
      <c r="E379" s="236"/>
      <c r="F379" s="237"/>
      <c r="G379" s="236"/>
      <c r="H379" s="237"/>
      <c r="I379" s="236"/>
      <c r="J379" s="237"/>
    </row>
    <row r="380" spans="1:10" ht="12.75">
      <c r="A380" s="39" t="s">
        <v>381</v>
      </c>
      <c r="B380" s="29" t="s">
        <v>207</v>
      </c>
      <c r="C380" s="242">
        <v>60795379</v>
      </c>
      <c r="D380" s="45"/>
      <c r="E380" s="44"/>
      <c r="F380" s="45"/>
      <c r="G380" s="44"/>
      <c r="H380" s="45"/>
      <c r="I380" s="44">
        <f aca="true" t="shared" si="56" ref="I380:J382">C380+E380+G380</f>
        <v>60795379</v>
      </c>
      <c r="J380" s="45">
        <f t="shared" si="56"/>
        <v>0</v>
      </c>
    </row>
    <row r="381" spans="1:10" ht="12.75">
      <c r="A381" s="51"/>
      <c r="B381" s="43" t="s">
        <v>99</v>
      </c>
      <c r="C381" s="242">
        <v>12430665</v>
      </c>
      <c r="D381" s="45"/>
      <c r="E381" s="44"/>
      <c r="F381" s="45"/>
      <c r="G381" s="44"/>
      <c r="H381" s="45"/>
      <c r="I381" s="44">
        <f t="shared" si="56"/>
        <v>12430665</v>
      </c>
      <c r="J381" s="45">
        <f t="shared" si="56"/>
        <v>0</v>
      </c>
    </row>
    <row r="382" spans="1:10" ht="12.75">
      <c r="A382" s="28"/>
      <c r="B382" s="29" t="s">
        <v>97</v>
      </c>
      <c r="C382" s="242">
        <v>10299670</v>
      </c>
      <c r="D382" s="45"/>
      <c r="E382" s="44"/>
      <c r="F382" s="45"/>
      <c r="G382" s="44"/>
      <c r="H382" s="45"/>
      <c r="I382" s="44">
        <f t="shared" si="56"/>
        <v>10299670</v>
      </c>
      <c r="J382" s="45">
        <f t="shared" si="56"/>
        <v>0</v>
      </c>
    </row>
    <row r="383" spans="1:10" ht="15.75">
      <c r="A383" s="52"/>
      <c r="B383" s="47" t="s">
        <v>227</v>
      </c>
      <c r="C383" s="48">
        <f>SUM(C380:C382)</f>
        <v>83525714</v>
      </c>
      <c r="D383" s="49"/>
      <c r="E383" s="48"/>
      <c r="F383" s="49"/>
      <c r="G383" s="48"/>
      <c r="H383" s="49"/>
      <c r="I383" s="48">
        <f>SUM(I380:I382)</f>
        <v>83525714</v>
      </c>
      <c r="J383" s="49">
        <f>SUM(J380:J382)</f>
        <v>0</v>
      </c>
    </row>
    <row r="384" spans="1:10" ht="15.75">
      <c r="A384" s="56"/>
      <c r="B384" s="32" t="s">
        <v>225</v>
      </c>
      <c r="C384" s="48"/>
      <c r="D384" s="45">
        <v>1400000</v>
      </c>
      <c r="E384" s="48"/>
      <c r="F384" s="49"/>
      <c r="G384" s="48"/>
      <c r="H384" s="49"/>
      <c r="I384" s="44">
        <f>C384+E384+G384</f>
        <v>0</v>
      </c>
      <c r="J384" s="45">
        <f>D384+F384+H384</f>
        <v>1400000</v>
      </c>
    </row>
    <row r="385" spans="1:10" ht="25.5">
      <c r="A385" s="56"/>
      <c r="B385" s="43" t="s">
        <v>237</v>
      </c>
      <c r="C385" s="44"/>
      <c r="D385" s="45">
        <v>82125714</v>
      </c>
      <c r="E385" s="44"/>
      <c r="F385" s="45"/>
      <c r="G385" s="44"/>
      <c r="H385" s="45"/>
      <c r="I385" s="44">
        <f>C385+E385+G385</f>
        <v>0</v>
      </c>
      <c r="J385" s="45">
        <f>D385+F385+H385</f>
        <v>82125714</v>
      </c>
    </row>
    <row r="386" spans="1:10" ht="13.5" thickBot="1">
      <c r="A386" s="60"/>
      <c r="B386" s="223" t="s">
        <v>227</v>
      </c>
      <c r="C386" s="83"/>
      <c r="D386" s="207">
        <f>SUM(D384:D385)</f>
        <v>83525714</v>
      </c>
      <c r="E386" s="83"/>
      <c r="F386" s="82"/>
      <c r="G386" s="83"/>
      <c r="H386" s="82"/>
      <c r="I386" s="206">
        <f>SUM(I384:I385)</f>
        <v>0</v>
      </c>
      <c r="J386" s="207">
        <f>SUM(J384:J385)</f>
        <v>83525714</v>
      </c>
    </row>
    <row r="387" spans="1:10" ht="12.75">
      <c r="A387" s="39" t="s">
        <v>385</v>
      </c>
      <c r="B387" s="29" t="s">
        <v>207</v>
      </c>
      <c r="C387" s="242">
        <v>16613505</v>
      </c>
      <c r="D387" s="45"/>
      <c r="E387" s="44"/>
      <c r="F387" s="45"/>
      <c r="G387" s="44"/>
      <c r="H387" s="45"/>
      <c r="I387" s="44">
        <f aca="true" t="shared" si="57" ref="I387:J389">C387+E387+G387</f>
        <v>16613505</v>
      </c>
      <c r="J387" s="45">
        <f t="shared" si="57"/>
        <v>0</v>
      </c>
    </row>
    <row r="388" spans="1:10" ht="12.75">
      <c r="A388" s="51"/>
      <c r="B388" s="43" t="s">
        <v>99</v>
      </c>
      <c r="C388" s="242">
        <v>3351909</v>
      </c>
      <c r="D388" s="45"/>
      <c r="E388" s="44"/>
      <c r="F388" s="45"/>
      <c r="G388" s="44"/>
      <c r="H388" s="45"/>
      <c r="I388" s="44">
        <f t="shared" si="57"/>
        <v>3351909</v>
      </c>
      <c r="J388" s="45">
        <f t="shared" si="57"/>
        <v>0</v>
      </c>
    </row>
    <row r="389" spans="1:10" ht="12.75">
      <c r="A389" s="28"/>
      <c r="B389" s="29" t="s">
        <v>97</v>
      </c>
      <c r="C389" s="242">
        <v>2682830</v>
      </c>
      <c r="D389" s="45"/>
      <c r="E389" s="44"/>
      <c r="F389" s="45"/>
      <c r="G389" s="44"/>
      <c r="H389" s="45"/>
      <c r="I389" s="44">
        <f t="shared" si="57"/>
        <v>2682830</v>
      </c>
      <c r="J389" s="45">
        <f t="shared" si="57"/>
        <v>0</v>
      </c>
    </row>
    <row r="390" spans="1:10" ht="15.75">
      <c r="A390" s="52"/>
      <c r="B390" s="47" t="s">
        <v>227</v>
      </c>
      <c r="C390" s="48">
        <f>SUM(C387:C389)</f>
        <v>22648244</v>
      </c>
      <c r="D390" s="49"/>
      <c r="E390" s="48"/>
      <c r="F390" s="49"/>
      <c r="G390" s="48"/>
      <c r="H390" s="49"/>
      <c r="I390" s="48">
        <f>SUM(I387:I389)</f>
        <v>22648244</v>
      </c>
      <c r="J390" s="49">
        <f>SUM(J387:J389)</f>
        <v>0</v>
      </c>
    </row>
    <row r="391" spans="1:10" ht="15.75">
      <c r="A391" s="56"/>
      <c r="B391" s="32" t="s">
        <v>225</v>
      </c>
      <c r="C391" s="48"/>
      <c r="D391" s="45">
        <v>150000</v>
      </c>
      <c r="E391" s="48"/>
      <c r="F391" s="49"/>
      <c r="G391" s="48"/>
      <c r="H391" s="49"/>
      <c r="I391" s="44">
        <f>C391+E391+G391</f>
        <v>0</v>
      </c>
      <c r="J391" s="45">
        <f>D391+F391+H391</f>
        <v>150000</v>
      </c>
    </row>
    <row r="392" spans="1:10" ht="25.5">
      <c r="A392" s="56"/>
      <c r="B392" s="43" t="s">
        <v>237</v>
      </c>
      <c r="C392" s="44"/>
      <c r="D392" s="45">
        <v>22498244</v>
      </c>
      <c r="E392" s="44"/>
      <c r="F392" s="45"/>
      <c r="G392" s="44"/>
      <c r="H392" s="45"/>
      <c r="I392" s="44">
        <f>C392+E392+G392</f>
        <v>0</v>
      </c>
      <c r="J392" s="45">
        <f>D392+F392+H392</f>
        <v>22498244</v>
      </c>
    </row>
    <row r="393" spans="1:10" ht="13.5" thickBot="1">
      <c r="A393" s="60"/>
      <c r="B393" s="223" t="s">
        <v>227</v>
      </c>
      <c r="C393" s="83"/>
      <c r="D393" s="207">
        <f>SUM(D391:D392)</f>
        <v>22648244</v>
      </c>
      <c r="E393" s="83"/>
      <c r="F393" s="82"/>
      <c r="G393" s="83"/>
      <c r="H393" s="82"/>
      <c r="I393" s="206">
        <f>SUM(I391:I392)</f>
        <v>0</v>
      </c>
      <c r="J393" s="207">
        <f>SUM(J391:J392)</f>
        <v>22648244</v>
      </c>
    </row>
    <row r="394" spans="1:10" ht="12.75">
      <c r="A394" s="39" t="s">
        <v>386</v>
      </c>
      <c r="B394" s="29" t="s">
        <v>207</v>
      </c>
      <c r="C394" s="242">
        <v>10727495</v>
      </c>
      <c r="D394" s="45"/>
      <c r="E394" s="44"/>
      <c r="F394" s="45"/>
      <c r="G394" s="44"/>
      <c r="H394" s="45"/>
      <c r="I394" s="44">
        <f aca="true" t="shared" si="58" ref="I394:J396">C394+E394+G394</f>
        <v>10727495</v>
      </c>
      <c r="J394" s="45">
        <f t="shared" si="58"/>
        <v>0</v>
      </c>
    </row>
    <row r="395" spans="1:10" ht="12.75">
      <c r="A395" s="51"/>
      <c r="B395" s="43" t="s">
        <v>99</v>
      </c>
      <c r="C395" s="242">
        <v>2179592</v>
      </c>
      <c r="D395" s="45"/>
      <c r="E395" s="44"/>
      <c r="F395" s="45"/>
      <c r="G395" s="44"/>
      <c r="H395" s="45"/>
      <c r="I395" s="44">
        <f t="shared" si="58"/>
        <v>2179592</v>
      </c>
      <c r="J395" s="45">
        <f t="shared" si="58"/>
        <v>0</v>
      </c>
    </row>
    <row r="396" spans="1:10" ht="12.75">
      <c r="A396" s="28"/>
      <c r="B396" s="29" t="s">
        <v>97</v>
      </c>
      <c r="C396" s="242">
        <v>2105490</v>
      </c>
      <c r="D396" s="45"/>
      <c r="E396" s="44"/>
      <c r="F396" s="45"/>
      <c r="G396" s="44"/>
      <c r="H396" s="45"/>
      <c r="I396" s="44">
        <f t="shared" si="58"/>
        <v>2105490</v>
      </c>
      <c r="J396" s="45">
        <f t="shared" si="58"/>
        <v>0</v>
      </c>
    </row>
    <row r="397" spans="1:10" ht="15.75">
      <c r="A397" s="52"/>
      <c r="B397" s="47" t="s">
        <v>227</v>
      </c>
      <c r="C397" s="48">
        <f>SUM(C394:C396)</f>
        <v>15012577</v>
      </c>
      <c r="D397" s="49"/>
      <c r="E397" s="48"/>
      <c r="F397" s="49"/>
      <c r="G397" s="48"/>
      <c r="H397" s="49"/>
      <c r="I397" s="48">
        <f>SUM(I394:I396)</f>
        <v>15012577</v>
      </c>
      <c r="J397" s="49">
        <f>SUM(J394:J396)</f>
        <v>0</v>
      </c>
    </row>
    <row r="398" spans="1:10" ht="15.75">
      <c r="A398" s="56"/>
      <c r="B398" s="32" t="s">
        <v>225</v>
      </c>
      <c r="C398" s="48"/>
      <c r="D398" s="45">
        <v>61600</v>
      </c>
      <c r="E398" s="48"/>
      <c r="F398" s="49"/>
      <c r="G398" s="48"/>
      <c r="H398" s="49"/>
      <c r="I398" s="44">
        <f>C398+E398+G398</f>
        <v>0</v>
      </c>
      <c r="J398" s="45">
        <f>D398+F398+H398</f>
        <v>61600</v>
      </c>
    </row>
    <row r="399" spans="1:10" ht="25.5">
      <c r="A399" s="56"/>
      <c r="B399" s="43" t="s">
        <v>237</v>
      </c>
      <c r="C399" s="44"/>
      <c r="D399" s="45">
        <v>14950977</v>
      </c>
      <c r="E399" s="44"/>
      <c r="F399" s="45"/>
      <c r="G399" s="44"/>
      <c r="H399" s="45"/>
      <c r="I399" s="44">
        <f>C399+E399+G399</f>
        <v>0</v>
      </c>
      <c r="J399" s="45">
        <f>D399+F399+H399</f>
        <v>14950977</v>
      </c>
    </row>
    <row r="400" spans="1:10" ht="13.5" thickBot="1">
      <c r="A400" s="60"/>
      <c r="B400" s="223" t="s">
        <v>227</v>
      </c>
      <c r="C400" s="83"/>
      <c r="D400" s="207">
        <f>SUM(D398:D399)</f>
        <v>15012577</v>
      </c>
      <c r="E400" s="83"/>
      <c r="F400" s="82"/>
      <c r="G400" s="83"/>
      <c r="H400" s="82"/>
      <c r="I400" s="206">
        <f>SUM(I398:I399)</f>
        <v>0</v>
      </c>
      <c r="J400" s="207">
        <f>SUM(J398:J399)</f>
        <v>15012577</v>
      </c>
    </row>
    <row r="401" spans="1:26" s="11" customFormat="1" ht="13.5" thickBot="1">
      <c r="A401" s="32"/>
      <c r="B401" s="43"/>
      <c r="C401" s="44"/>
      <c r="D401" s="45"/>
      <c r="E401" s="44"/>
      <c r="F401" s="45"/>
      <c r="G401" s="44"/>
      <c r="H401" s="45"/>
      <c r="I401" s="44"/>
      <c r="J401" s="45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10" ht="12.75">
      <c r="A402" s="227" t="s">
        <v>310</v>
      </c>
      <c r="B402" s="235"/>
      <c r="C402" s="236"/>
      <c r="D402" s="237"/>
      <c r="E402" s="236"/>
      <c r="F402" s="237"/>
      <c r="G402" s="236"/>
      <c r="H402" s="237"/>
      <c r="I402" s="236"/>
      <c r="J402" s="237"/>
    </row>
    <row r="403" spans="1:10" ht="12.75">
      <c r="A403" s="28"/>
      <c r="B403" s="29" t="s">
        <v>207</v>
      </c>
      <c r="C403" s="242">
        <f>C380+C387+C394</f>
        <v>88136379</v>
      </c>
      <c r="D403" s="45"/>
      <c r="E403" s="44"/>
      <c r="F403" s="45"/>
      <c r="G403" s="44"/>
      <c r="H403" s="45"/>
      <c r="I403" s="44">
        <f aca="true" t="shared" si="59" ref="I403:J405">C403+E403+G403</f>
        <v>88136379</v>
      </c>
      <c r="J403" s="45">
        <f t="shared" si="59"/>
        <v>0</v>
      </c>
    </row>
    <row r="404" spans="1:10" ht="12.75">
      <c r="A404" s="51"/>
      <c r="B404" s="43" t="s">
        <v>99</v>
      </c>
      <c r="C404" s="242">
        <f>C381+C388+C395</f>
        <v>17962166</v>
      </c>
      <c r="D404" s="45"/>
      <c r="E404" s="44"/>
      <c r="F404" s="45"/>
      <c r="G404" s="44"/>
      <c r="H404" s="45"/>
      <c r="I404" s="44">
        <f t="shared" si="59"/>
        <v>17962166</v>
      </c>
      <c r="J404" s="45">
        <f t="shared" si="59"/>
        <v>0</v>
      </c>
    </row>
    <row r="405" spans="1:10" ht="12.75">
      <c r="A405" s="28"/>
      <c r="B405" s="29" t="s">
        <v>97</v>
      </c>
      <c r="C405" s="242">
        <f>C382+C389+C396</f>
        <v>15087990</v>
      </c>
      <c r="D405" s="45"/>
      <c r="E405" s="44"/>
      <c r="F405" s="45"/>
      <c r="G405" s="44"/>
      <c r="H405" s="45"/>
      <c r="I405" s="44">
        <f t="shared" si="59"/>
        <v>15087990</v>
      </c>
      <c r="J405" s="45">
        <f t="shared" si="59"/>
        <v>0</v>
      </c>
    </row>
    <row r="406" spans="1:10" ht="15.75">
      <c r="A406" s="52"/>
      <c r="B406" s="47" t="s">
        <v>227</v>
      </c>
      <c r="C406" s="48">
        <f>SUM(C403:C405)</f>
        <v>121186535</v>
      </c>
      <c r="D406" s="49"/>
      <c r="E406" s="48"/>
      <c r="F406" s="49"/>
      <c r="G406" s="48"/>
      <c r="H406" s="49"/>
      <c r="I406" s="48">
        <f>SUM(I403:I405)</f>
        <v>121186535</v>
      </c>
      <c r="J406" s="49">
        <f>SUM(J403:J405)</f>
        <v>0</v>
      </c>
    </row>
    <row r="407" spans="1:10" ht="15.75">
      <c r="A407" s="56"/>
      <c r="B407" s="32" t="s">
        <v>225</v>
      </c>
      <c r="C407" s="48"/>
      <c r="D407" s="45">
        <f>D384+D391+D398</f>
        <v>1611600</v>
      </c>
      <c r="E407" s="48"/>
      <c r="F407" s="49"/>
      <c r="G407" s="48"/>
      <c r="H407" s="49"/>
      <c r="I407" s="44">
        <f>C407+E407+G407</f>
        <v>0</v>
      </c>
      <c r="J407" s="45">
        <f>D407+F407+H407</f>
        <v>1611600</v>
      </c>
    </row>
    <row r="408" spans="1:10" ht="25.5">
      <c r="A408" s="56"/>
      <c r="B408" s="43" t="s">
        <v>237</v>
      </c>
      <c r="C408" s="44"/>
      <c r="D408" s="45">
        <f>D385+D392+D399</f>
        <v>119574935</v>
      </c>
      <c r="E408" s="44"/>
      <c r="F408" s="45"/>
      <c r="G408" s="44"/>
      <c r="H408" s="45"/>
      <c r="I408" s="44">
        <f>C408+E408+G408</f>
        <v>0</v>
      </c>
      <c r="J408" s="45">
        <f>D408+F408+H408</f>
        <v>119574935</v>
      </c>
    </row>
    <row r="409" spans="1:10" ht="13.5" thickBot="1">
      <c r="A409" s="60"/>
      <c r="B409" s="223" t="s">
        <v>227</v>
      </c>
      <c r="C409" s="83"/>
      <c r="D409" s="207">
        <f>SUM(D407:D408)</f>
        <v>121186535</v>
      </c>
      <c r="E409" s="83"/>
      <c r="F409" s="82"/>
      <c r="G409" s="83"/>
      <c r="H409" s="82"/>
      <c r="I409" s="206">
        <f>SUM(I407:I408)</f>
        <v>0</v>
      </c>
      <c r="J409" s="207">
        <f>SUM(J407:J408)</f>
        <v>121186535</v>
      </c>
    </row>
    <row r="410" spans="1:10" ht="13.5" thickBot="1">
      <c r="A410" s="28"/>
      <c r="B410" s="47"/>
      <c r="C410" s="44"/>
      <c r="D410" s="49"/>
      <c r="E410" s="44"/>
      <c r="F410" s="45"/>
      <c r="G410" s="44"/>
      <c r="H410" s="45"/>
      <c r="I410" s="48"/>
      <c r="J410" s="49"/>
    </row>
    <row r="411" spans="1:10" ht="12.75">
      <c r="A411" s="227" t="s">
        <v>245</v>
      </c>
      <c r="B411" s="235"/>
      <c r="C411" s="236"/>
      <c r="D411" s="237"/>
      <c r="E411" s="236"/>
      <c r="F411" s="237"/>
      <c r="G411" s="236"/>
      <c r="H411" s="237"/>
      <c r="I411" s="236"/>
      <c r="J411" s="237"/>
    </row>
    <row r="412" spans="1:10" ht="12.75">
      <c r="A412" s="28"/>
      <c r="B412" s="29" t="s">
        <v>207</v>
      </c>
      <c r="C412" s="242">
        <f>213376522-56088000</f>
        <v>157288522</v>
      </c>
      <c r="D412" s="45"/>
      <c r="E412" s="44"/>
      <c r="F412" s="45"/>
      <c r="G412" s="44">
        <v>56088000</v>
      </c>
      <c r="H412" s="45"/>
      <c r="I412" s="44">
        <f aca="true" t="shared" si="60" ref="I412:J414">C412+E412+G412</f>
        <v>213376522</v>
      </c>
      <c r="J412" s="45">
        <f t="shared" si="60"/>
        <v>0</v>
      </c>
    </row>
    <row r="413" spans="1:10" ht="12.75">
      <c r="A413" s="51"/>
      <c r="B413" s="43" t="s">
        <v>99</v>
      </c>
      <c r="C413" s="242">
        <f>50052615-13885000</f>
        <v>36167615</v>
      </c>
      <c r="D413" s="45"/>
      <c r="E413" s="44"/>
      <c r="F413" s="45"/>
      <c r="G413" s="44">
        <v>13885000</v>
      </c>
      <c r="H413" s="45"/>
      <c r="I413" s="44">
        <f t="shared" si="60"/>
        <v>50052615</v>
      </c>
      <c r="J413" s="45">
        <f t="shared" si="60"/>
        <v>0</v>
      </c>
    </row>
    <row r="414" spans="1:10" ht="12.75">
      <c r="A414" s="28"/>
      <c r="B414" s="29" t="s">
        <v>97</v>
      </c>
      <c r="C414" s="242">
        <f>63750900-19350000</f>
        <v>44400900</v>
      </c>
      <c r="D414" s="45"/>
      <c r="E414" s="44"/>
      <c r="F414" s="45"/>
      <c r="G414" s="44">
        <v>19350000</v>
      </c>
      <c r="H414" s="45"/>
      <c r="I414" s="44">
        <f t="shared" si="60"/>
        <v>63750900</v>
      </c>
      <c r="J414" s="45">
        <f t="shared" si="60"/>
        <v>0</v>
      </c>
    </row>
    <row r="415" spans="1:26" s="24" customFormat="1" ht="15.75">
      <c r="A415" s="52"/>
      <c r="B415" s="47" t="s">
        <v>227</v>
      </c>
      <c r="C415" s="48">
        <f>SUM(C412:C414)</f>
        <v>237857037</v>
      </c>
      <c r="D415" s="49"/>
      <c r="E415" s="48"/>
      <c r="F415" s="49"/>
      <c r="G415" s="48">
        <f>SUM(G412:G414)</f>
        <v>89323000</v>
      </c>
      <c r="H415" s="49"/>
      <c r="I415" s="48">
        <f>SUM(I412:I414)</f>
        <v>327180037</v>
      </c>
      <c r="J415" s="49">
        <f>SUM(J412:J414)</f>
        <v>0</v>
      </c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s="15" customFormat="1" ht="15.75">
      <c r="A416" s="56"/>
      <c r="B416" s="32" t="s">
        <v>225</v>
      </c>
      <c r="C416" s="48"/>
      <c r="D416" s="45">
        <v>1700000</v>
      </c>
      <c r="E416" s="48"/>
      <c r="F416" s="49"/>
      <c r="G416" s="48"/>
      <c r="H416" s="49"/>
      <c r="I416" s="44">
        <f>C416+E416+G416</f>
        <v>0</v>
      </c>
      <c r="J416" s="45">
        <f>D416+F416+H416</f>
        <v>1700000</v>
      </c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10" ht="25.5">
      <c r="A417" s="56"/>
      <c r="B417" s="43" t="s">
        <v>237</v>
      </c>
      <c r="C417" s="44"/>
      <c r="D417" s="45">
        <f>309480037+16000000-89323000</f>
        <v>236157037</v>
      </c>
      <c r="E417" s="44"/>
      <c r="F417" s="45"/>
      <c r="G417" s="44"/>
      <c r="H417" s="45">
        <v>89323000</v>
      </c>
      <c r="I417" s="44">
        <f>C417+E417+G417</f>
        <v>0</v>
      </c>
      <c r="J417" s="45">
        <f>D417+F417+H417</f>
        <v>325480037</v>
      </c>
    </row>
    <row r="418" spans="1:26" s="11" customFormat="1" ht="13.5" thickBot="1">
      <c r="A418" s="60"/>
      <c r="B418" s="223" t="s">
        <v>227</v>
      </c>
      <c r="C418" s="83"/>
      <c r="D418" s="207">
        <f>SUM(D416:D417)</f>
        <v>237857037</v>
      </c>
      <c r="E418" s="83"/>
      <c r="F418" s="82"/>
      <c r="G418" s="83"/>
      <c r="H418" s="207">
        <f>SUM(H416:H417)</f>
        <v>89323000</v>
      </c>
      <c r="I418" s="206">
        <f>SUM(I416:I417)</f>
        <v>0</v>
      </c>
      <c r="J418" s="207">
        <f>SUM(J416:J417)</f>
        <v>327180037</v>
      </c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s="11" customFormat="1" ht="12.75">
      <c r="A419" s="32"/>
      <c r="B419" s="43"/>
      <c r="C419" s="44"/>
      <c r="D419" s="45"/>
      <c r="E419" s="44"/>
      <c r="F419" s="45"/>
      <c r="G419" s="44"/>
      <c r="H419" s="45"/>
      <c r="I419" s="44"/>
      <c r="J419" s="45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s="11" customFormat="1" ht="17.25" customHeight="1" thickBot="1">
      <c r="A420" s="32"/>
      <c r="B420" s="43"/>
      <c r="C420" s="44"/>
      <c r="D420" s="45"/>
      <c r="E420" s="44"/>
      <c r="F420" s="45"/>
      <c r="G420" s="44"/>
      <c r="H420" s="45"/>
      <c r="I420" s="44"/>
      <c r="J420" s="45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10" ht="15.75">
      <c r="A421" s="250" t="s">
        <v>246</v>
      </c>
      <c r="B421" s="251"/>
      <c r="C421" s="252"/>
      <c r="D421" s="253"/>
      <c r="E421" s="252"/>
      <c r="F421" s="253"/>
      <c r="G421" s="252"/>
      <c r="H421" s="253"/>
      <c r="I421" s="252"/>
      <c r="J421" s="253"/>
    </row>
    <row r="422" spans="1:10" ht="16.5" customHeight="1">
      <c r="A422" s="32"/>
      <c r="B422" s="29" t="s">
        <v>207</v>
      </c>
      <c r="C422" s="30">
        <f>C239+C258+C306+C315+C403+C412+C324+C371</f>
        <v>640070951</v>
      </c>
      <c r="D422" s="64">
        <f>D239+D258+D306+D315+D403+D412</f>
        <v>0</v>
      </c>
      <c r="E422" s="30">
        <f>E239+E258+E306+E315+E403+E412+E324+E371</f>
        <v>39684000</v>
      </c>
      <c r="F422" s="31">
        <f>F134+F136+F138+F229+F319+F320+F321+F414</f>
        <v>0</v>
      </c>
      <c r="G422" s="30">
        <f>G239+G258+G306+G315+G403+G412+G324+G371</f>
        <v>56088000</v>
      </c>
      <c r="H422" s="31">
        <f>H134+H136+H138+H229+H319+H320+H321+H414</f>
        <v>0</v>
      </c>
      <c r="I422" s="30">
        <f aca="true" t="shared" si="61" ref="I422:J429">C422+E422+G422</f>
        <v>735842951</v>
      </c>
      <c r="J422" s="31">
        <f t="shared" si="61"/>
        <v>0</v>
      </c>
    </row>
    <row r="423" spans="1:10" ht="16.5" customHeight="1">
      <c r="A423" s="32"/>
      <c r="B423" s="43" t="s">
        <v>99</v>
      </c>
      <c r="C423" s="30">
        <f>C240+C259+C307+C316+C404+C413+C372+C325</f>
        <v>141622000</v>
      </c>
      <c r="D423" s="64">
        <f>D240+D259+D307+D316+D404+D413</f>
        <v>0</v>
      </c>
      <c r="E423" s="30">
        <f>E240+E259+E307+E316+E404+E413+E372+E325</f>
        <v>8497809</v>
      </c>
      <c r="F423" s="45">
        <f>F135+F137+F139+F230+F401+F407+F415</f>
        <v>0</v>
      </c>
      <c r="G423" s="30">
        <f>G240+G259+G307+G316+G404+G413+G372+G325</f>
        <v>13885000</v>
      </c>
      <c r="H423" s="45">
        <f>H135+H137+H139+H230+H401+H407+H415</f>
        <v>0</v>
      </c>
      <c r="I423" s="30">
        <f t="shared" si="61"/>
        <v>164004809</v>
      </c>
      <c r="J423" s="31">
        <f t="shared" si="61"/>
        <v>0</v>
      </c>
    </row>
    <row r="424" spans="1:10" ht="16.5" customHeight="1">
      <c r="A424" s="32"/>
      <c r="B424" s="29" t="s">
        <v>97</v>
      </c>
      <c r="C424" s="30">
        <f>C241+C260+C308+C317+C405+C414+C326+C373</f>
        <v>739470960</v>
      </c>
      <c r="D424" s="64">
        <f>D241+D260+D308+D317+D405+D414</f>
        <v>0</v>
      </c>
      <c r="E424" s="30">
        <f>E241+E260+E308+E317+E405+E414+E326+E373</f>
        <v>95413111</v>
      </c>
      <c r="F424" s="67"/>
      <c r="G424" s="30">
        <f>G241+G260+G308+G317+G405+G414+G326+G373</f>
        <v>19350000</v>
      </c>
      <c r="H424" s="67">
        <f>H122+H124+H140+H141+H145+H146+H149+H151+H153+H155+H157+H158+H160+H162+H164+H166+H172+H173+H174+H176+H178+H180+H181+H182+H183+H184+H185+H186+H187+H188+H189+H192+H193+H194+H195+H196+H197+H199+H204+H205+H231+H235+H247+H250+H261+H262+H267+H268+H269+H271+H315+H402+H408</f>
        <v>0</v>
      </c>
      <c r="I424" s="30">
        <f t="shared" si="61"/>
        <v>854234071</v>
      </c>
      <c r="J424" s="31">
        <f t="shared" si="61"/>
        <v>0</v>
      </c>
    </row>
    <row r="425" spans="1:10" ht="16.5" customHeight="1">
      <c r="A425" s="28"/>
      <c r="B425" s="43" t="s">
        <v>166</v>
      </c>
      <c r="C425" s="30">
        <f>C242</f>
        <v>24500000</v>
      </c>
      <c r="D425" s="64">
        <f>D243</f>
        <v>0</v>
      </c>
      <c r="E425" s="30">
        <f>E242</f>
        <v>0</v>
      </c>
      <c r="F425" s="45"/>
      <c r="G425" s="44">
        <f>G242</f>
        <v>0</v>
      </c>
      <c r="H425" s="45">
        <f>H254+H255+H256+H257</f>
        <v>0</v>
      </c>
      <c r="I425" s="30">
        <f t="shared" si="61"/>
        <v>24500000</v>
      </c>
      <c r="J425" s="31">
        <f t="shared" si="61"/>
        <v>0</v>
      </c>
    </row>
    <row r="426" spans="1:10" ht="16.5" customHeight="1">
      <c r="A426" s="28"/>
      <c r="B426" s="43" t="s">
        <v>200</v>
      </c>
      <c r="C426" s="30">
        <f>C243</f>
        <v>2303300</v>
      </c>
      <c r="D426" s="64"/>
      <c r="E426" s="30">
        <f>E243</f>
        <v>1800000</v>
      </c>
      <c r="F426" s="45"/>
      <c r="G426" s="44">
        <f>G243</f>
        <v>0</v>
      </c>
      <c r="H426" s="45">
        <f>H115+H116+H117+H118+H119+H264+H308+H309+H310+H121</f>
        <v>0</v>
      </c>
      <c r="I426" s="30">
        <f t="shared" si="61"/>
        <v>4103300</v>
      </c>
      <c r="J426" s="31">
        <f t="shared" si="61"/>
        <v>0</v>
      </c>
    </row>
    <row r="427" spans="1:10" ht="16.5" customHeight="1">
      <c r="A427" s="28"/>
      <c r="B427" s="43" t="s">
        <v>234</v>
      </c>
      <c r="C427" s="30">
        <f>C244</f>
        <v>31317616</v>
      </c>
      <c r="D427" s="64"/>
      <c r="E427" s="30">
        <f>E244</f>
        <v>21765900</v>
      </c>
      <c r="F427" s="45"/>
      <c r="G427" s="44">
        <f>G244</f>
        <v>0</v>
      </c>
      <c r="H427" s="45">
        <f>H272+H276+H277+H278+H280+H281+H290+H291+H292+H293+H294+H295+H296+H297+H298+H299+H300+H301+H303+H304+H306+H307+H313+H314+H409</f>
        <v>0</v>
      </c>
      <c r="I427" s="30">
        <f t="shared" si="61"/>
        <v>53083516</v>
      </c>
      <c r="J427" s="31">
        <f t="shared" si="61"/>
        <v>0</v>
      </c>
    </row>
    <row r="428" spans="1:10" ht="16.5" customHeight="1">
      <c r="A428" s="28"/>
      <c r="B428" s="32" t="s">
        <v>190</v>
      </c>
      <c r="C428" s="30">
        <f>C245</f>
        <v>2773362</v>
      </c>
      <c r="D428" s="64"/>
      <c r="E428" s="30">
        <f>E245</f>
        <v>29026352</v>
      </c>
      <c r="F428" s="31"/>
      <c r="G428" s="30">
        <f>G245</f>
        <v>0</v>
      </c>
      <c r="H428" s="31">
        <f>H416+H259+H233</f>
        <v>0</v>
      </c>
      <c r="I428" s="30">
        <f t="shared" si="61"/>
        <v>31799714</v>
      </c>
      <c r="J428" s="31">
        <f t="shared" si="61"/>
        <v>0</v>
      </c>
    </row>
    <row r="429" spans="1:10" ht="16.5" customHeight="1">
      <c r="A429" s="28"/>
      <c r="B429" s="43" t="s">
        <v>199</v>
      </c>
      <c r="C429" s="30">
        <f>C246</f>
        <v>947512371</v>
      </c>
      <c r="D429" s="64"/>
      <c r="E429" s="30">
        <f>E246</f>
        <v>0</v>
      </c>
      <c r="F429" s="31"/>
      <c r="G429" s="30">
        <f>G246</f>
        <v>0</v>
      </c>
      <c r="H429" s="31">
        <f>H110+H111+H112+H113+H114</f>
        <v>0</v>
      </c>
      <c r="I429" s="30">
        <f t="shared" si="61"/>
        <v>947512371</v>
      </c>
      <c r="J429" s="31">
        <f t="shared" si="61"/>
        <v>0</v>
      </c>
    </row>
    <row r="430" spans="1:10" ht="16.5" customHeight="1">
      <c r="A430" s="28"/>
      <c r="B430" s="47" t="s">
        <v>226</v>
      </c>
      <c r="C430" s="40">
        <f aca="true" t="shared" si="62" ref="C430:J430">SUM(C422:C429)</f>
        <v>2529570560</v>
      </c>
      <c r="D430" s="219">
        <f t="shared" si="62"/>
        <v>0</v>
      </c>
      <c r="E430" s="40">
        <f t="shared" si="62"/>
        <v>196187172</v>
      </c>
      <c r="F430" s="219">
        <f t="shared" si="62"/>
        <v>0</v>
      </c>
      <c r="G430" s="40">
        <f t="shared" si="62"/>
        <v>89323000</v>
      </c>
      <c r="H430" s="219">
        <f t="shared" si="62"/>
        <v>0</v>
      </c>
      <c r="I430" s="40">
        <f t="shared" si="62"/>
        <v>2815080732</v>
      </c>
      <c r="J430" s="41">
        <f t="shared" si="62"/>
        <v>0</v>
      </c>
    </row>
    <row r="431" spans="1:10" ht="16.5" customHeight="1">
      <c r="A431" s="28"/>
      <c r="B431" s="43"/>
      <c r="C431" s="44"/>
      <c r="D431" s="45"/>
      <c r="E431" s="44"/>
      <c r="F431" s="45"/>
      <c r="G431" s="44"/>
      <c r="H431" s="45"/>
      <c r="I431" s="44"/>
      <c r="J431" s="45"/>
    </row>
    <row r="432" spans="1:10" ht="16.5" customHeight="1">
      <c r="A432" s="28"/>
      <c r="B432" s="29" t="s">
        <v>94</v>
      </c>
      <c r="C432" s="44"/>
      <c r="D432" s="45">
        <f>D249+D329</f>
        <v>890263427</v>
      </c>
      <c r="E432" s="44"/>
      <c r="F432" s="45">
        <f>F249+F329</f>
        <v>715350</v>
      </c>
      <c r="G432" s="44"/>
      <c r="H432" s="45">
        <f>H249+H329</f>
        <v>0</v>
      </c>
      <c r="I432" s="30">
        <f aca="true" t="shared" si="63" ref="I432:J434">C432+E432+G432</f>
        <v>0</v>
      </c>
      <c r="J432" s="31">
        <f t="shared" si="63"/>
        <v>890978777</v>
      </c>
    </row>
    <row r="433" spans="1:26" s="24" customFormat="1" ht="16.5" customHeight="1">
      <c r="A433" s="28"/>
      <c r="B433" s="29" t="s">
        <v>154</v>
      </c>
      <c r="C433" s="44"/>
      <c r="D433" s="45">
        <f>D250</f>
        <v>489859309</v>
      </c>
      <c r="E433" s="44"/>
      <c r="F433" s="45">
        <f>F250</f>
        <v>0</v>
      </c>
      <c r="G433" s="44"/>
      <c r="H433" s="45">
        <f>H250</f>
        <v>0</v>
      </c>
      <c r="I433" s="30">
        <f t="shared" si="63"/>
        <v>0</v>
      </c>
      <c r="J433" s="31">
        <f t="shared" si="63"/>
        <v>489859309</v>
      </c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s="15" customFormat="1" ht="16.5" customHeight="1">
      <c r="A434" s="28"/>
      <c r="B434" s="32" t="s">
        <v>225</v>
      </c>
      <c r="C434" s="48"/>
      <c r="D434" s="45">
        <f>D251+D310+D319+D416+D407+D262+D375+D328</f>
        <v>222455190</v>
      </c>
      <c r="E434" s="48"/>
      <c r="F434" s="45">
        <f>F251+F310+F319+F416+F407+F262+F375+F328</f>
        <v>35550000</v>
      </c>
      <c r="G434" s="48"/>
      <c r="H434" s="45">
        <f>H251+H310+H319+H416+H407+H262+H375+H328</f>
        <v>0</v>
      </c>
      <c r="I434" s="30">
        <f t="shared" si="63"/>
        <v>0</v>
      </c>
      <c r="J434" s="31">
        <f t="shared" si="63"/>
        <v>258005190</v>
      </c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s="15" customFormat="1" ht="16.5" customHeight="1">
      <c r="A435" s="28"/>
      <c r="B435" s="29" t="s">
        <v>399</v>
      </c>
      <c r="C435" s="48"/>
      <c r="D435" s="45">
        <f>D311</f>
        <v>0</v>
      </c>
      <c r="E435" s="48"/>
      <c r="F435" s="45">
        <f>F311</f>
        <v>28095435</v>
      </c>
      <c r="G435" s="48"/>
      <c r="H435" s="45">
        <f>H311</f>
        <v>0</v>
      </c>
      <c r="I435" s="30"/>
      <c r="J435" s="31">
        <f>D435+F435+H435</f>
        <v>28095435</v>
      </c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s="15" customFormat="1" ht="16.5" customHeight="1">
      <c r="A436" s="28"/>
      <c r="B436" s="43" t="s">
        <v>237</v>
      </c>
      <c r="C436" s="44"/>
      <c r="D436" s="45">
        <f>D417+D252+D408+D320+D312+D263+D376+D330</f>
        <v>986181081</v>
      </c>
      <c r="E436" s="44"/>
      <c r="F436" s="45">
        <f>F417+F252+F408+F320+F312+F263+F376+F330</f>
        <v>72637940</v>
      </c>
      <c r="G436" s="44"/>
      <c r="H436" s="45">
        <f>H417+H252+H408+H320+H312+H263+H376+H330</f>
        <v>89323000</v>
      </c>
      <c r="I436" s="30">
        <f>C436+E436+G436</f>
        <v>0</v>
      </c>
      <c r="J436" s="31">
        <f>D436+F436+H436</f>
        <v>1148142021</v>
      </c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10" ht="16.5" customHeight="1">
      <c r="A437" s="28"/>
      <c r="B437" s="47" t="s">
        <v>226</v>
      </c>
      <c r="C437" s="48">
        <f aca="true" t="shared" si="64" ref="C437:J437">SUM(C432:C436)</f>
        <v>0</v>
      </c>
      <c r="D437" s="49">
        <f t="shared" si="64"/>
        <v>2588759007</v>
      </c>
      <c r="E437" s="48">
        <f t="shared" si="64"/>
        <v>0</v>
      </c>
      <c r="F437" s="49">
        <f t="shared" si="64"/>
        <v>136998725</v>
      </c>
      <c r="G437" s="48">
        <f t="shared" si="64"/>
        <v>0</v>
      </c>
      <c r="H437" s="49">
        <f t="shared" si="64"/>
        <v>89323000</v>
      </c>
      <c r="I437" s="48">
        <f t="shared" si="64"/>
        <v>0</v>
      </c>
      <c r="J437" s="49">
        <f t="shared" si="64"/>
        <v>2815080732</v>
      </c>
    </row>
    <row r="438" spans="1:26" s="11" customFormat="1" ht="12.75">
      <c r="A438" s="28"/>
      <c r="B438" s="29"/>
      <c r="C438" s="30"/>
      <c r="D438" s="31"/>
      <c r="E438" s="30"/>
      <c r="F438" s="31"/>
      <c r="G438" s="30"/>
      <c r="H438" s="31"/>
      <c r="I438" s="30"/>
      <c r="J438" s="31">
        <f>J437-I430</f>
        <v>0</v>
      </c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s="11" customFormat="1" ht="17.25" customHeight="1">
      <c r="A439" s="56"/>
      <c r="B439" s="57"/>
      <c r="C439" s="58"/>
      <c r="D439" s="59"/>
      <c r="E439" s="58"/>
      <c r="F439" s="59"/>
      <c r="G439" s="58"/>
      <c r="H439" s="59"/>
      <c r="I439" s="58"/>
      <c r="J439" s="59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s="11" customFormat="1" ht="9" customHeight="1" thickBot="1">
      <c r="A440" s="254"/>
      <c r="B440" s="255"/>
      <c r="C440" s="256"/>
      <c r="D440" s="257"/>
      <c r="E440" s="256"/>
      <c r="F440" s="257"/>
      <c r="G440" s="256"/>
      <c r="H440" s="257"/>
      <c r="I440" s="256"/>
      <c r="J440" s="257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10" ht="12.75">
      <c r="A441" s="29"/>
      <c r="B441" s="29"/>
      <c r="C441" s="64"/>
      <c r="D441" s="64"/>
      <c r="E441" s="64"/>
      <c r="F441" s="64"/>
      <c r="G441" s="64"/>
      <c r="H441" s="64"/>
      <c r="I441" s="64"/>
      <c r="J441" s="64"/>
    </row>
    <row r="442" spans="1:26" s="11" customFormat="1" ht="12.75">
      <c r="A442" s="29"/>
      <c r="B442" s="29"/>
      <c r="C442" s="64"/>
      <c r="D442" s="64"/>
      <c r="E442" s="64"/>
      <c r="F442" s="64"/>
      <c r="G442" s="64"/>
      <c r="H442" s="64"/>
      <c r="I442" s="64"/>
      <c r="J442" s="6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s="11" customFormat="1" ht="12.75">
      <c r="A443" s="29"/>
      <c r="B443" s="29"/>
      <c r="C443" s="64"/>
      <c r="D443" s="64"/>
      <c r="E443" s="64"/>
      <c r="F443" s="64"/>
      <c r="G443" s="64"/>
      <c r="H443" s="64"/>
      <c r="I443" s="64"/>
      <c r="J443" s="6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s="11" customFormat="1" ht="12.75">
      <c r="A444" s="29"/>
      <c r="B444" s="29"/>
      <c r="C444" s="64"/>
      <c r="D444" s="64"/>
      <c r="E444" s="64"/>
      <c r="F444" s="64"/>
      <c r="G444" s="64"/>
      <c r="H444" s="64"/>
      <c r="I444" s="64"/>
      <c r="J444" s="6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s="11" customFormat="1" ht="17.25" customHeight="1">
      <c r="A445" s="29"/>
      <c r="B445" s="29"/>
      <c r="C445" s="64"/>
      <c r="D445" s="64"/>
      <c r="E445" s="64"/>
      <c r="F445" s="64"/>
      <c r="G445" s="64"/>
      <c r="H445" s="64"/>
      <c r="I445" s="64"/>
      <c r="J445" s="6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10" ht="12.75" customHeight="1">
      <c r="A446" s="29"/>
      <c r="B446" s="29"/>
      <c r="C446" s="64"/>
      <c r="D446" s="64"/>
      <c r="E446" s="64"/>
      <c r="F446" s="64"/>
      <c r="G446" s="64"/>
      <c r="H446" s="64"/>
      <c r="I446" s="64"/>
      <c r="J446" s="64"/>
    </row>
    <row r="447" spans="1:10" ht="12.75">
      <c r="A447" s="29"/>
      <c r="B447" s="29"/>
      <c r="C447" s="64"/>
      <c r="D447" s="64"/>
      <c r="E447" s="64"/>
      <c r="F447" s="64"/>
      <c r="G447" s="64"/>
      <c r="H447" s="64"/>
      <c r="I447" s="64"/>
      <c r="J447" s="64"/>
    </row>
    <row r="448" spans="1:26" s="11" customFormat="1" ht="12.75">
      <c r="A448" s="29"/>
      <c r="B448" s="29"/>
      <c r="C448" s="64"/>
      <c r="D448" s="64"/>
      <c r="E448" s="64"/>
      <c r="F448" s="64"/>
      <c r="G448" s="64"/>
      <c r="H448" s="64"/>
      <c r="I448" s="64"/>
      <c r="J448" s="6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s="11" customFormat="1" ht="15.75">
      <c r="A449" s="53"/>
      <c r="B449" s="53"/>
      <c r="C449" s="65"/>
      <c r="D449" s="65"/>
      <c r="E449" s="65"/>
      <c r="F449" s="65"/>
      <c r="G449" s="65"/>
      <c r="H449" s="65"/>
      <c r="I449" s="65"/>
      <c r="J449" s="65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s="11" customFormat="1" ht="17.25" customHeight="1">
      <c r="A450" s="57"/>
      <c r="B450" s="57"/>
      <c r="C450" s="66"/>
      <c r="D450" s="66"/>
      <c r="E450" s="66"/>
      <c r="F450" s="66"/>
      <c r="G450" s="66"/>
      <c r="H450" s="66"/>
      <c r="I450" s="66"/>
      <c r="J450" s="66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s="11" customFormat="1" ht="12.75" customHeight="1">
      <c r="A451" s="57"/>
      <c r="B451" s="57"/>
      <c r="C451" s="66"/>
      <c r="D451" s="66"/>
      <c r="E451" s="66"/>
      <c r="F451" s="66"/>
      <c r="G451" s="66"/>
      <c r="H451" s="66"/>
      <c r="I451" s="66"/>
      <c r="J451" s="66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10" ht="12.75">
      <c r="A452" s="29"/>
      <c r="B452" s="29"/>
      <c r="C452" s="64"/>
      <c r="D452" s="64"/>
      <c r="E452" s="64"/>
      <c r="F452" s="64"/>
      <c r="G452" s="64"/>
      <c r="H452" s="64"/>
      <c r="I452" s="64"/>
      <c r="J452" s="64"/>
    </row>
    <row r="453" spans="1:10" ht="12.75">
      <c r="A453" s="43"/>
      <c r="B453" s="43"/>
      <c r="C453" s="67"/>
      <c r="D453" s="67"/>
      <c r="E453" s="67"/>
      <c r="F453" s="67"/>
      <c r="G453" s="67"/>
      <c r="H453" s="67"/>
      <c r="I453" s="67"/>
      <c r="J453" s="67"/>
    </row>
    <row r="454" spans="1:10" ht="12.75">
      <c r="A454" s="43"/>
      <c r="B454" s="43"/>
      <c r="C454" s="67"/>
      <c r="D454" s="67"/>
      <c r="E454" s="67"/>
      <c r="F454" s="67"/>
      <c r="G454" s="67"/>
      <c r="H454" s="67"/>
      <c r="I454" s="67"/>
      <c r="J454" s="67"/>
    </row>
    <row r="455" spans="1:10" ht="12.75">
      <c r="A455" s="43"/>
      <c r="B455" s="43"/>
      <c r="C455" s="67"/>
      <c r="D455" s="67"/>
      <c r="E455" s="67"/>
      <c r="F455" s="67"/>
      <c r="G455" s="67"/>
      <c r="H455" s="67"/>
      <c r="I455" s="67"/>
      <c r="J455" s="67"/>
    </row>
    <row r="456" spans="1:10" ht="12.75">
      <c r="A456" s="43"/>
      <c r="B456" s="43"/>
      <c r="C456" s="67"/>
      <c r="D456" s="67"/>
      <c r="E456" s="67"/>
      <c r="F456" s="67"/>
      <c r="G456" s="67"/>
      <c r="H456" s="67"/>
      <c r="I456" s="67"/>
      <c r="J456" s="67"/>
    </row>
    <row r="457" spans="1:10" ht="12.75" hidden="1">
      <c r="A457" s="29"/>
      <c r="B457" s="29"/>
      <c r="C457" s="64"/>
      <c r="D457" s="64"/>
      <c r="E457" s="64"/>
      <c r="F457" s="64"/>
      <c r="G457" s="64"/>
      <c r="H457" s="64"/>
      <c r="I457" s="64"/>
      <c r="J457" s="64"/>
    </row>
    <row r="458" spans="1:10" ht="12.75" hidden="1">
      <c r="A458" s="29"/>
      <c r="B458" s="29"/>
      <c r="C458" s="64"/>
      <c r="D458" s="64"/>
      <c r="E458" s="64"/>
      <c r="F458" s="64"/>
      <c r="G458" s="64"/>
      <c r="H458" s="64"/>
      <c r="I458" s="64"/>
      <c r="J458" s="64"/>
    </row>
    <row r="459" spans="1:10" ht="12.75" hidden="1">
      <c r="A459" s="29"/>
      <c r="B459" s="29"/>
      <c r="C459" s="64"/>
      <c r="D459" s="64"/>
      <c r="E459" s="64"/>
      <c r="F459" s="64"/>
      <c r="G459" s="64"/>
      <c r="H459" s="64"/>
      <c r="I459" s="64"/>
      <c r="J459" s="64"/>
    </row>
    <row r="460" spans="1:10" ht="12.75" hidden="1">
      <c r="A460" s="29"/>
      <c r="B460" s="29"/>
      <c r="C460" s="64"/>
      <c r="D460" s="64"/>
      <c r="E460" s="64"/>
      <c r="F460" s="64"/>
      <c r="G460" s="64"/>
      <c r="H460" s="64"/>
      <c r="I460" s="64"/>
      <c r="J460" s="64"/>
    </row>
    <row r="461" spans="1:10" ht="12.75">
      <c r="A461" s="29"/>
      <c r="B461" s="29"/>
      <c r="C461" s="64"/>
      <c r="D461" s="64"/>
      <c r="E461" s="64"/>
      <c r="F461" s="64"/>
      <c r="G461" s="64"/>
      <c r="H461" s="64"/>
      <c r="I461" s="64"/>
      <c r="J461" s="64"/>
    </row>
    <row r="462" spans="1:10" ht="12.75">
      <c r="A462" s="29"/>
      <c r="B462" s="29"/>
      <c r="C462" s="64"/>
      <c r="D462" s="64"/>
      <c r="E462" s="64"/>
      <c r="F462" s="64"/>
      <c r="G462" s="64"/>
      <c r="H462" s="64"/>
      <c r="I462" s="64"/>
      <c r="J462" s="64"/>
    </row>
    <row r="463" spans="1:26" s="24" customFormat="1" ht="17.25" customHeight="1">
      <c r="A463" s="29"/>
      <c r="B463" s="29"/>
      <c r="C463" s="64"/>
      <c r="D463" s="64"/>
      <c r="E463" s="64"/>
      <c r="F463" s="64"/>
      <c r="G463" s="64"/>
      <c r="H463" s="64"/>
      <c r="I463" s="64"/>
      <c r="J463" s="64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s="15" customFormat="1" ht="17.25" customHeight="1">
      <c r="A464" s="29"/>
      <c r="B464" s="29"/>
      <c r="C464" s="64"/>
      <c r="D464" s="64"/>
      <c r="E464" s="64"/>
      <c r="F464" s="64"/>
      <c r="G464" s="64"/>
      <c r="H464" s="64"/>
      <c r="I464" s="64"/>
      <c r="J464" s="64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s="15" customFormat="1" ht="16.5" customHeight="1">
      <c r="A465" s="29"/>
      <c r="B465" s="29"/>
      <c r="C465" s="64"/>
      <c r="D465" s="64"/>
      <c r="E465" s="64"/>
      <c r="F465" s="64"/>
      <c r="G465" s="64"/>
      <c r="H465" s="64"/>
      <c r="I465" s="64"/>
      <c r="J465" s="64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10" ht="16.5" customHeight="1">
      <c r="A466" s="29"/>
      <c r="B466" s="29"/>
      <c r="C466" s="64"/>
      <c r="D466" s="64"/>
      <c r="E466" s="64"/>
      <c r="F466" s="64"/>
      <c r="G466" s="64"/>
      <c r="H466" s="64"/>
      <c r="I466" s="64"/>
      <c r="J466" s="64"/>
    </row>
    <row r="467" spans="1:26" s="11" customFormat="1" ht="12.75">
      <c r="A467" s="29"/>
      <c r="B467" s="29"/>
      <c r="C467" s="64"/>
      <c r="D467" s="64"/>
      <c r="E467" s="64"/>
      <c r="F467" s="64"/>
      <c r="G467" s="64"/>
      <c r="H467" s="64"/>
      <c r="I467" s="64"/>
      <c r="J467" s="6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s="11" customFormat="1" ht="12.75">
      <c r="A468" s="29"/>
      <c r="B468" s="29"/>
      <c r="C468" s="64"/>
      <c r="D468" s="64"/>
      <c r="E468" s="64"/>
      <c r="F468" s="64"/>
      <c r="G468" s="64"/>
      <c r="H468" s="64"/>
      <c r="I468" s="64"/>
      <c r="J468" s="6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s="11" customFormat="1" ht="17.25" customHeight="1">
      <c r="A469" s="53"/>
      <c r="B469" s="53"/>
      <c r="C469" s="65"/>
      <c r="D469" s="65"/>
      <c r="E469" s="65"/>
      <c r="F469" s="65"/>
      <c r="G469" s="65"/>
      <c r="H469" s="65"/>
      <c r="I469" s="65"/>
      <c r="J469" s="65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s="11" customFormat="1" ht="17.25" customHeight="1">
      <c r="A470" s="57"/>
      <c r="B470" s="57"/>
      <c r="C470" s="66"/>
      <c r="D470" s="66"/>
      <c r="E470" s="66"/>
      <c r="F470" s="66"/>
      <c r="G470" s="66"/>
      <c r="H470" s="66"/>
      <c r="I470" s="66"/>
      <c r="J470" s="66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10" ht="15.75">
      <c r="A471" s="57"/>
      <c r="B471" s="57"/>
      <c r="C471" s="66"/>
      <c r="D471" s="66"/>
      <c r="E471" s="66"/>
      <c r="F471" s="66"/>
      <c r="G471" s="66"/>
      <c r="H471" s="66"/>
      <c r="I471" s="66"/>
      <c r="J471" s="66"/>
    </row>
    <row r="472" spans="1:10" ht="12.75">
      <c r="A472" s="29"/>
      <c r="B472" s="29"/>
      <c r="C472" s="64"/>
      <c r="D472" s="64"/>
      <c r="E472" s="64"/>
      <c r="F472" s="64"/>
      <c r="G472" s="64"/>
      <c r="H472" s="64"/>
      <c r="I472" s="64"/>
      <c r="J472" s="64"/>
    </row>
    <row r="473" spans="1:10" ht="12.75">
      <c r="A473" s="43"/>
      <c r="B473" s="43"/>
      <c r="C473" s="67"/>
      <c r="D473" s="67"/>
      <c r="E473" s="67"/>
      <c r="F473" s="67"/>
      <c r="G473" s="67"/>
      <c r="H473" s="67"/>
      <c r="I473" s="67"/>
      <c r="J473" s="67"/>
    </row>
    <row r="474" spans="1:10" ht="12.75">
      <c r="A474" s="43"/>
      <c r="B474" s="43"/>
      <c r="C474" s="67"/>
      <c r="D474" s="67"/>
      <c r="E474" s="67"/>
      <c r="F474" s="67"/>
      <c r="G474" s="67"/>
      <c r="H474" s="67"/>
      <c r="I474" s="67"/>
      <c r="J474" s="67"/>
    </row>
    <row r="475" spans="1:10" ht="12.75">
      <c r="A475" s="43"/>
      <c r="B475" s="43"/>
      <c r="C475" s="67"/>
      <c r="D475" s="67"/>
      <c r="E475" s="67"/>
      <c r="F475" s="67"/>
      <c r="G475" s="67"/>
      <c r="H475" s="67"/>
      <c r="I475" s="67"/>
      <c r="J475" s="67"/>
    </row>
    <row r="476" spans="1:10" ht="12.75">
      <c r="A476" s="43"/>
      <c r="B476" s="43"/>
      <c r="C476" s="67"/>
      <c r="D476" s="67"/>
      <c r="E476" s="67"/>
      <c r="F476" s="67"/>
      <c r="G476" s="67"/>
      <c r="H476" s="67"/>
      <c r="I476" s="67"/>
      <c r="J476" s="67"/>
    </row>
    <row r="477" spans="1:10" ht="12.75">
      <c r="A477" s="29"/>
      <c r="B477" s="29"/>
      <c r="C477" s="64"/>
      <c r="D477" s="64"/>
      <c r="E477" s="64"/>
      <c r="F477" s="64"/>
      <c r="G477" s="64"/>
      <c r="H477" s="64"/>
      <c r="I477" s="64"/>
      <c r="J477" s="64"/>
    </row>
    <row r="478" spans="1:10" ht="12.75">
      <c r="A478" s="43"/>
      <c r="B478" s="43"/>
      <c r="C478" s="67"/>
      <c r="D478" s="67"/>
      <c r="E478" s="67"/>
      <c r="F478" s="67"/>
      <c r="G478" s="67"/>
      <c r="H478" s="67"/>
      <c r="I478" s="67"/>
      <c r="J478" s="67"/>
    </row>
    <row r="479" spans="1:10" ht="12.75">
      <c r="A479" s="43"/>
      <c r="B479" s="43"/>
      <c r="C479" s="67"/>
      <c r="D479" s="67"/>
      <c r="E479" s="67"/>
      <c r="F479" s="67"/>
      <c r="G479" s="67"/>
      <c r="H479" s="67"/>
      <c r="I479" s="67"/>
      <c r="J479" s="67"/>
    </row>
    <row r="480" spans="1:10" ht="12.75">
      <c r="A480" s="43"/>
      <c r="B480" s="43"/>
      <c r="C480" s="67"/>
      <c r="D480" s="67"/>
      <c r="E480" s="67"/>
      <c r="F480" s="67"/>
      <c r="G480" s="67"/>
      <c r="H480" s="67"/>
      <c r="I480" s="67"/>
      <c r="J480" s="67"/>
    </row>
    <row r="481" spans="1:10" ht="12.75">
      <c r="A481" s="43"/>
      <c r="B481" s="43"/>
      <c r="C481" s="67"/>
      <c r="D481" s="67"/>
      <c r="E481" s="67"/>
      <c r="F481" s="67"/>
      <c r="G481" s="67"/>
      <c r="H481" s="67"/>
      <c r="I481" s="67"/>
      <c r="J481" s="67"/>
    </row>
    <row r="482" spans="1:10" ht="12.75">
      <c r="A482" s="29"/>
      <c r="B482" s="29"/>
      <c r="C482" s="64"/>
      <c r="D482" s="64"/>
      <c r="E482" s="64"/>
      <c r="F482" s="64"/>
      <c r="G482" s="64"/>
      <c r="H482" s="64"/>
      <c r="I482" s="64"/>
      <c r="J482" s="64"/>
    </row>
    <row r="483" spans="1:26" s="24" customFormat="1" ht="15.75">
      <c r="A483" s="29"/>
      <c r="B483" s="29"/>
      <c r="C483" s="64"/>
      <c r="D483" s="64"/>
      <c r="E483" s="64"/>
      <c r="F483" s="64"/>
      <c r="G483" s="64"/>
      <c r="H483" s="64"/>
      <c r="I483" s="64"/>
      <c r="J483" s="64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s="15" customFormat="1" ht="17.25" customHeight="1">
      <c r="A484" s="43"/>
      <c r="B484" s="43"/>
      <c r="C484" s="67"/>
      <c r="D484" s="67"/>
      <c r="E484" s="67"/>
      <c r="F484" s="67"/>
      <c r="G484" s="67"/>
      <c r="H484" s="67"/>
      <c r="I484" s="67"/>
      <c r="J484" s="6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s="15" customFormat="1" ht="22.5" customHeight="1">
      <c r="A485" s="43"/>
      <c r="B485" s="43"/>
      <c r="C485" s="67"/>
      <c r="D485" s="67"/>
      <c r="E485" s="67"/>
      <c r="F485" s="67"/>
      <c r="G485" s="67"/>
      <c r="H485" s="67"/>
      <c r="I485" s="67"/>
      <c r="J485" s="6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10" ht="12.75">
      <c r="A486" s="43"/>
      <c r="B486" s="43"/>
      <c r="C486" s="67"/>
      <c r="D486" s="67"/>
      <c r="E486" s="67"/>
      <c r="F486" s="67"/>
      <c r="G486" s="67"/>
      <c r="H486" s="67"/>
      <c r="I486" s="67"/>
      <c r="J486" s="67"/>
    </row>
    <row r="487" spans="1:26" s="11" customFormat="1" ht="12.75">
      <c r="A487" s="43"/>
      <c r="B487" s="43"/>
      <c r="C487" s="67"/>
      <c r="D487" s="67"/>
      <c r="E487" s="67"/>
      <c r="F487" s="67"/>
      <c r="G487" s="67"/>
      <c r="H487" s="67"/>
      <c r="I487" s="67"/>
      <c r="J487" s="67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s="11" customFormat="1" ht="12.75">
      <c r="A488" s="29"/>
      <c r="B488" s="29"/>
      <c r="C488" s="64"/>
      <c r="D488" s="64"/>
      <c r="E488" s="64"/>
      <c r="F488" s="64"/>
      <c r="G488" s="64"/>
      <c r="H488" s="64"/>
      <c r="I488" s="64"/>
      <c r="J488" s="6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s="11" customFormat="1" ht="17.25" customHeight="1">
      <c r="A489" s="29"/>
      <c r="B489" s="29"/>
      <c r="C489" s="64"/>
      <c r="D489" s="64"/>
      <c r="E489" s="64"/>
      <c r="F489" s="64"/>
      <c r="G489" s="64"/>
      <c r="H489" s="64"/>
      <c r="I489" s="64"/>
      <c r="J489" s="6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s="11" customFormat="1" ht="17.25" customHeight="1">
      <c r="A490" s="29"/>
      <c r="B490" s="29"/>
      <c r="C490" s="64"/>
      <c r="D490" s="64"/>
      <c r="E490" s="64"/>
      <c r="F490" s="64"/>
      <c r="G490" s="64"/>
      <c r="H490" s="64"/>
      <c r="I490" s="64"/>
      <c r="J490" s="6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10" ht="12.75">
      <c r="A491" s="29"/>
      <c r="B491" s="29"/>
      <c r="C491" s="64"/>
      <c r="D491" s="64"/>
      <c r="E491" s="64"/>
      <c r="F491" s="64"/>
      <c r="G491" s="64"/>
      <c r="H491" s="64"/>
      <c r="I491" s="64"/>
      <c r="J491" s="64"/>
    </row>
    <row r="492" spans="1:10" ht="12.75">
      <c r="A492" s="29"/>
      <c r="B492" s="29"/>
      <c r="C492" s="64"/>
      <c r="D492" s="64"/>
      <c r="E492" s="64"/>
      <c r="F492" s="64"/>
      <c r="G492" s="64"/>
      <c r="H492" s="64"/>
      <c r="I492" s="64"/>
      <c r="J492" s="64"/>
    </row>
    <row r="493" spans="1:10" ht="12.75">
      <c r="A493" s="29"/>
      <c r="B493" s="29"/>
      <c r="C493" s="64"/>
      <c r="D493" s="64"/>
      <c r="E493" s="64"/>
      <c r="F493" s="64"/>
      <c r="G493" s="64"/>
      <c r="H493" s="64"/>
      <c r="I493" s="64"/>
      <c r="J493" s="64"/>
    </row>
    <row r="494" spans="1:10" ht="12.75">
      <c r="A494" s="29"/>
      <c r="B494" s="29"/>
      <c r="C494" s="64"/>
      <c r="D494" s="64"/>
      <c r="E494" s="64"/>
      <c r="F494" s="64"/>
      <c r="G494" s="64"/>
      <c r="H494" s="64"/>
      <c r="I494" s="64"/>
      <c r="J494" s="64"/>
    </row>
    <row r="495" spans="1:10" ht="12.75">
      <c r="A495" s="29"/>
      <c r="B495" s="29"/>
      <c r="C495" s="64"/>
      <c r="D495" s="64"/>
      <c r="E495" s="64"/>
      <c r="F495" s="64"/>
      <c r="G495" s="64"/>
      <c r="H495" s="64"/>
      <c r="I495" s="64"/>
      <c r="J495" s="64"/>
    </row>
    <row r="496" spans="1:10" ht="12.75">
      <c r="A496" s="29"/>
      <c r="B496" s="29"/>
      <c r="C496" s="64"/>
      <c r="D496" s="64"/>
      <c r="E496" s="64"/>
      <c r="F496" s="64"/>
      <c r="G496" s="64"/>
      <c r="H496" s="64"/>
      <c r="I496" s="64"/>
      <c r="J496" s="64"/>
    </row>
    <row r="497" spans="1:10" ht="12.75">
      <c r="A497" s="29"/>
      <c r="B497" s="29"/>
      <c r="C497" s="64"/>
      <c r="D497" s="64"/>
      <c r="E497" s="64"/>
      <c r="F497" s="64"/>
      <c r="G497" s="64"/>
      <c r="H497" s="64"/>
      <c r="I497" s="64"/>
      <c r="J497" s="64"/>
    </row>
    <row r="498" spans="1:10" ht="12.75">
      <c r="A498" s="64"/>
      <c r="B498" s="29"/>
      <c r="C498" s="64"/>
      <c r="D498" s="64"/>
      <c r="E498" s="64"/>
      <c r="F498" s="64"/>
      <c r="G498" s="64"/>
      <c r="H498" s="64"/>
      <c r="I498" s="64"/>
      <c r="J498" s="64"/>
    </row>
    <row r="499" spans="1:10" ht="15.75">
      <c r="A499" s="53"/>
      <c r="B499" s="53"/>
      <c r="C499" s="65"/>
      <c r="D499" s="65"/>
      <c r="E499" s="65"/>
      <c r="F499" s="65"/>
      <c r="G499" s="65"/>
      <c r="H499" s="65"/>
      <c r="I499" s="65"/>
      <c r="J499" s="65"/>
    </row>
    <row r="500" spans="1:10" ht="15.75">
      <c r="A500" s="57"/>
      <c r="B500" s="57"/>
      <c r="C500" s="66"/>
      <c r="D500" s="66"/>
      <c r="E500" s="66"/>
      <c r="F500" s="66"/>
      <c r="G500" s="66"/>
      <c r="H500" s="66"/>
      <c r="I500" s="66"/>
      <c r="J500" s="66"/>
    </row>
    <row r="501" spans="1:10" ht="15.75">
      <c r="A501" s="57"/>
      <c r="B501" s="57"/>
      <c r="C501" s="66"/>
      <c r="D501" s="66"/>
      <c r="E501" s="66"/>
      <c r="F501" s="66"/>
      <c r="G501" s="66"/>
      <c r="H501" s="66"/>
      <c r="I501" s="66"/>
      <c r="J501" s="66"/>
    </row>
    <row r="502" spans="1:10" ht="12.75">
      <c r="A502" s="29"/>
      <c r="B502" s="29"/>
      <c r="C502" s="64"/>
      <c r="D502" s="64"/>
      <c r="E502" s="64"/>
      <c r="F502" s="64"/>
      <c r="G502" s="64"/>
      <c r="H502" s="64"/>
      <c r="I502" s="64"/>
      <c r="J502" s="64"/>
    </row>
    <row r="503" spans="1:26" s="24" customFormat="1" ht="15.75">
      <c r="A503" s="43"/>
      <c r="B503" s="43"/>
      <c r="C503" s="67"/>
      <c r="D503" s="67"/>
      <c r="E503" s="67"/>
      <c r="F503" s="67"/>
      <c r="G503" s="67"/>
      <c r="H503" s="67"/>
      <c r="I503" s="67"/>
      <c r="J503" s="67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s="15" customFormat="1" ht="17.25" customHeight="1">
      <c r="A504" s="43"/>
      <c r="B504" s="43"/>
      <c r="C504" s="67"/>
      <c r="D504" s="67"/>
      <c r="E504" s="67"/>
      <c r="F504" s="67"/>
      <c r="G504" s="67"/>
      <c r="H504" s="67"/>
      <c r="I504" s="67"/>
      <c r="J504" s="6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s="15" customFormat="1" ht="22.5" customHeight="1">
      <c r="A505" s="43"/>
      <c r="B505" s="43"/>
      <c r="C505" s="67"/>
      <c r="D505" s="67"/>
      <c r="E505" s="67"/>
      <c r="F505" s="67"/>
      <c r="G505" s="67"/>
      <c r="H505" s="67"/>
      <c r="I505" s="67"/>
      <c r="J505" s="6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10" ht="26.25" customHeight="1">
      <c r="A506" s="43"/>
      <c r="B506" s="43"/>
      <c r="C506" s="67"/>
      <c r="D506" s="67"/>
      <c r="E506" s="67"/>
      <c r="F506" s="67"/>
      <c r="G506" s="67"/>
      <c r="H506" s="67"/>
      <c r="I506" s="67"/>
      <c r="J506" s="67"/>
    </row>
    <row r="507" spans="1:26" s="11" customFormat="1" ht="12.75">
      <c r="A507" s="29"/>
      <c r="B507" s="29"/>
      <c r="C507" s="64"/>
      <c r="D507" s="64"/>
      <c r="E507" s="64"/>
      <c r="F507" s="64"/>
      <c r="G507" s="64"/>
      <c r="H507" s="64"/>
      <c r="I507" s="64"/>
      <c r="J507" s="6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s="11" customFormat="1" ht="27.75" customHeight="1">
      <c r="A508" s="29"/>
      <c r="B508" s="29"/>
      <c r="C508" s="64"/>
      <c r="D508" s="64"/>
      <c r="E508" s="64"/>
      <c r="F508" s="64"/>
      <c r="G508" s="64"/>
      <c r="H508" s="64"/>
      <c r="I508" s="64"/>
      <c r="J508" s="6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s="11" customFormat="1" ht="27.75" customHeight="1">
      <c r="A509" s="29"/>
      <c r="B509" s="29"/>
      <c r="C509" s="64"/>
      <c r="D509" s="64"/>
      <c r="E509" s="64"/>
      <c r="F509" s="64"/>
      <c r="G509" s="64"/>
      <c r="H509" s="64"/>
      <c r="I509" s="64"/>
      <c r="J509" s="6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s="11" customFormat="1" ht="24" customHeight="1">
      <c r="A510" s="29"/>
      <c r="B510" s="29"/>
      <c r="C510" s="64"/>
      <c r="D510" s="64"/>
      <c r="E510" s="64"/>
      <c r="F510" s="64"/>
      <c r="G510" s="64"/>
      <c r="H510" s="64"/>
      <c r="I510" s="64"/>
      <c r="J510" s="6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s="11" customFormat="1" ht="17.25" customHeight="1">
      <c r="A511" s="29"/>
      <c r="B511" s="29"/>
      <c r="C511" s="64"/>
      <c r="D511" s="64"/>
      <c r="E511" s="64"/>
      <c r="F511" s="64"/>
      <c r="G511" s="64"/>
      <c r="H511" s="64"/>
      <c r="I511" s="64"/>
      <c r="J511" s="6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s="11" customFormat="1" ht="17.25" customHeight="1">
      <c r="A512" s="29"/>
      <c r="B512" s="29"/>
      <c r="C512" s="64"/>
      <c r="D512" s="64"/>
      <c r="E512" s="64"/>
      <c r="F512" s="64"/>
      <c r="G512" s="64"/>
      <c r="H512" s="64"/>
      <c r="I512" s="64"/>
      <c r="J512" s="6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10" ht="12.75">
      <c r="A513" s="29"/>
      <c r="B513" s="29"/>
      <c r="C513" s="64"/>
      <c r="D513" s="64"/>
      <c r="E513" s="64"/>
      <c r="F513" s="64"/>
      <c r="G513" s="64"/>
      <c r="H513" s="64"/>
      <c r="I513" s="64"/>
      <c r="J513" s="64"/>
    </row>
    <row r="514" spans="1:10" ht="12.75">
      <c r="A514" s="29"/>
      <c r="B514" s="29"/>
      <c r="C514" s="64"/>
      <c r="D514" s="64"/>
      <c r="E514" s="64"/>
      <c r="F514" s="64"/>
      <c r="G514" s="64"/>
      <c r="H514" s="64"/>
      <c r="I514" s="64"/>
      <c r="J514" s="64"/>
    </row>
    <row r="515" spans="1:10" ht="12.75">
      <c r="A515" s="29"/>
      <c r="B515" s="29"/>
      <c r="C515" s="64"/>
      <c r="D515" s="64"/>
      <c r="E515" s="64"/>
      <c r="F515" s="64"/>
      <c r="G515" s="64"/>
      <c r="H515" s="64"/>
      <c r="I515" s="64"/>
      <c r="J515" s="64"/>
    </row>
    <row r="516" spans="1:10" ht="12.75">
      <c r="A516" s="29"/>
      <c r="B516" s="29"/>
      <c r="C516" s="64"/>
      <c r="D516" s="64"/>
      <c r="E516" s="64"/>
      <c r="F516" s="64"/>
      <c r="G516" s="64"/>
      <c r="H516" s="64"/>
      <c r="I516" s="64"/>
      <c r="J516" s="64"/>
    </row>
    <row r="517" spans="1:10" ht="12.75">
      <c r="A517" s="29"/>
      <c r="B517" s="29"/>
      <c r="C517" s="64"/>
      <c r="D517" s="64"/>
      <c r="E517" s="64"/>
      <c r="F517" s="64"/>
      <c r="G517" s="64"/>
      <c r="H517" s="64"/>
      <c r="I517" s="64"/>
      <c r="J517" s="64"/>
    </row>
    <row r="518" spans="1:10" ht="12.75">
      <c r="A518" s="29"/>
      <c r="B518" s="29"/>
      <c r="C518" s="64"/>
      <c r="D518" s="64"/>
      <c r="E518" s="64"/>
      <c r="F518" s="64"/>
      <c r="G518" s="64"/>
      <c r="H518" s="64"/>
      <c r="I518" s="64"/>
      <c r="J518" s="64"/>
    </row>
    <row r="519" spans="1:10" ht="15.75">
      <c r="A519" s="53"/>
      <c r="B519" s="53"/>
      <c r="C519" s="65"/>
      <c r="D519" s="65"/>
      <c r="E519" s="65"/>
      <c r="F519" s="65"/>
      <c r="G519" s="65"/>
      <c r="H519" s="65"/>
      <c r="I519" s="65"/>
      <c r="J519" s="65"/>
    </row>
    <row r="520" spans="1:10" ht="15.75">
      <c r="A520" s="57"/>
      <c r="B520" s="57"/>
      <c r="C520" s="66"/>
      <c r="D520" s="66"/>
      <c r="E520" s="66"/>
      <c r="F520" s="66"/>
      <c r="G520" s="66"/>
      <c r="H520" s="66"/>
      <c r="I520" s="66"/>
      <c r="J520" s="66"/>
    </row>
    <row r="521" spans="1:10" ht="15.75">
      <c r="A521" s="57"/>
      <c r="B521" s="57"/>
      <c r="C521" s="66"/>
      <c r="D521" s="66"/>
      <c r="E521" s="66"/>
      <c r="F521" s="66"/>
      <c r="G521" s="66"/>
      <c r="H521" s="66"/>
      <c r="I521" s="66"/>
      <c r="J521" s="66"/>
    </row>
    <row r="522" spans="1:10" ht="12.75">
      <c r="A522" s="29"/>
      <c r="B522" s="29"/>
      <c r="C522" s="64"/>
      <c r="D522" s="64"/>
      <c r="E522" s="64"/>
      <c r="F522" s="64"/>
      <c r="G522" s="64"/>
      <c r="H522" s="64"/>
      <c r="I522" s="64"/>
      <c r="J522" s="64"/>
    </row>
    <row r="523" spans="1:10" ht="17.25" customHeight="1">
      <c r="A523" s="43"/>
      <c r="B523" s="43"/>
      <c r="C523" s="67"/>
      <c r="D523" s="67"/>
      <c r="E523" s="67"/>
      <c r="F523" s="67"/>
      <c r="G523" s="67"/>
      <c r="H523" s="67"/>
      <c r="I523" s="67"/>
      <c r="J523" s="67"/>
    </row>
    <row r="524" spans="1:26" s="24" customFormat="1" ht="21.75" customHeight="1">
      <c r="A524" s="43"/>
      <c r="B524" s="43"/>
      <c r="C524" s="67"/>
      <c r="D524" s="67"/>
      <c r="E524" s="67"/>
      <c r="F524" s="67"/>
      <c r="G524" s="67"/>
      <c r="H524" s="67"/>
      <c r="I524" s="67"/>
      <c r="J524" s="67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s="15" customFormat="1" ht="17.25" customHeight="1">
      <c r="A525" s="43"/>
      <c r="B525" s="43"/>
      <c r="C525" s="67"/>
      <c r="D525" s="67"/>
      <c r="E525" s="67"/>
      <c r="F525" s="67"/>
      <c r="G525" s="67"/>
      <c r="H525" s="67"/>
      <c r="I525" s="67"/>
      <c r="J525" s="6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s="15" customFormat="1" ht="15.75" customHeight="1">
      <c r="A526" s="43"/>
      <c r="B526" s="43"/>
      <c r="C526" s="67"/>
      <c r="D526" s="67"/>
      <c r="E526" s="67"/>
      <c r="F526" s="67"/>
      <c r="G526" s="67"/>
      <c r="H526" s="67"/>
      <c r="I526" s="67"/>
      <c r="J526" s="6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10" ht="18.75" customHeight="1">
      <c r="A527" s="29"/>
      <c r="B527" s="29"/>
      <c r="C527" s="64"/>
      <c r="D527" s="64"/>
      <c r="E527" s="64"/>
      <c r="F527" s="64"/>
      <c r="G527" s="64"/>
      <c r="H527" s="64"/>
      <c r="I527" s="64"/>
      <c r="J527" s="64"/>
    </row>
    <row r="528" spans="1:26" s="11" customFormat="1" ht="15.75" customHeight="1">
      <c r="A528" s="29"/>
      <c r="B528" s="29"/>
      <c r="C528" s="64"/>
      <c r="D528" s="64"/>
      <c r="E528" s="64"/>
      <c r="F528" s="64"/>
      <c r="G528" s="64"/>
      <c r="H528" s="64"/>
      <c r="I528" s="64"/>
      <c r="J528" s="6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s="11" customFormat="1" ht="12.75">
      <c r="A529" s="29"/>
      <c r="B529" s="29"/>
      <c r="C529" s="64"/>
      <c r="D529" s="64"/>
      <c r="E529" s="64"/>
      <c r="F529" s="64"/>
      <c r="G529" s="64"/>
      <c r="H529" s="64"/>
      <c r="I529" s="64"/>
      <c r="J529" s="6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s="11" customFormat="1" ht="17.25" customHeight="1">
      <c r="A530" s="29"/>
      <c r="B530" s="29"/>
      <c r="C530" s="64"/>
      <c r="D530" s="64"/>
      <c r="E530" s="64"/>
      <c r="F530" s="64"/>
      <c r="G530" s="64"/>
      <c r="H530" s="64"/>
      <c r="I530" s="64"/>
      <c r="J530" s="6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10" ht="12.75">
      <c r="A531" s="29"/>
      <c r="B531" s="29"/>
      <c r="C531" s="64"/>
      <c r="D531" s="64"/>
      <c r="E531" s="64"/>
      <c r="F531" s="64"/>
      <c r="G531" s="64"/>
      <c r="H531" s="64"/>
      <c r="I531" s="64"/>
      <c r="J531" s="64"/>
    </row>
    <row r="532" spans="1:10" ht="12.75">
      <c r="A532" s="29"/>
      <c r="B532" s="29"/>
      <c r="C532" s="64"/>
      <c r="D532" s="64"/>
      <c r="E532" s="64"/>
      <c r="F532" s="64"/>
      <c r="G532" s="64"/>
      <c r="H532" s="64"/>
      <c r="I532" s="64"/>
      <c r="J532" s="64"/>
    </row>
    <row r="533" spans="1:10" ht="12.75">
      <c r="A533" s="29"/>
      <c r="B533" s="29"/>
      <c r="C533" s="64"/>
      <c r="D533" s="64"/>
      <c r="E533" s="64"/>
      <c r="F533" s="64"/>
      <c r="G533" s="64"/>
      <c r="H533" s="64"/>
      <c r="I533" s="64"/>
      <c r="J533" s="64"/>
    </row>
    <row r="534" spans="1:10" ht="12.75">
      <c r="A534" s="29"/>
      <c r="B534" s="29"/>
      <c r="C534" s="64"/>
      <c r="D534" s="64"/>
      <c r="E534" s="64"/>
      <c r="F534" s="64"/>
      <c r="G534" s="64"/>
      <c r="H534" s="64"/>
      <c r="I534" s="64"/>
      <c r="J534" s="64"/>
    </row>
    <row r="535" spans="1:10" ht="12.75">
      <c r="A535" s="29"/>
      <c r="B535" s="29"/>
      <c r="C535" s="64"/>
      <c r="D535" s="64"/>
      <c r="E535" s="64"/>
      <c r="F535" s="64"/>
      <c r="G535" s="64"/>
      <c r="H535" s="64"/>
      <c r="I535" s="64"/>
      <c r="J535" s="64"/>
    </row>
    <row r="536" spans="1:10" ht="12.75">
      <c r="A536" s="29"/>
      <c r="B536" s="29"/>
      <c r="C536" s="64"/>
      <c r="D536" s="64"/>
      <c r="E536" s="64"/>
      <c r="F536" s="64"/>
      <c r="G536" s="64"/>
      <c r="H536" s="64"/>
      <c r="I536" s="64"/>
      <c r="J536" s="64"/>
    </row>
    <row r="537" spans="1:10" ht="12.75">
      <c r="A537" s="29"/>
      <c r="B537" s="29"/>
      <c r="C537" s="64"/>
      <c r="D537" s="64"/>
      <c r="E537" s="64"/>
      <c r="F537" s="64"/>
      <c r="G537" s="64"/>
      <c r="H537" s="64"/>
      <c r="I537" s="64"/>
      <c r="J537" s="64"/>
    </row>
    <row r="538" spans="1:10" ht="12.75">
      <c r="A538" s="29"/>
      <c r="B538" s="29"/>
      <c r="C538" s="64"/>
      <c r="D538" s="64"/>
      <c r="E538" s="64"/>
      <c r="F538" s="64"/>
      <c r="G538" s="64"/>
      <c r="H538" s="64"/>
      <c r="I538" s="64"/>
      <c r="J538" s="64"/>
    </row>
    <row r="539" spans="1:10" ht="15.75">
      <c r="A539" s="53"/>
      <c r="B539" s="53"/>
      <c r="C539" s="65"/>
      <c r="D539" s="65"/>
      <c r="E539" s="65"/>
      <c r="F539" s="65"/>
      <c r="G539" s="65"/>
      <c r="H539" s="65"/>
      <c r="I539" s="65"/>
      <c r="J539" s="65"/>
    </row>
    <row r="540" spans="1:10" ht="15.75">
      <c r="A540" s="57"/>
      <c r="B540" s="57"/>
      <c r="C540" s="66"/>
      <c r="D540" s="66"/>
      <c r="E540" s="66"/>
      <c r="F540" s="66"/>
      <c r="G540" s="66"/>
      <c r="H540" s="66"/>
      <c r="I540" s="66"/>
      <c r="J540" s="66"/>
    </row>
    <row r="541" spans="1:10" ht="15.75">
      <c r="A541" s="57"/>
      <c r="B541" s="57"/>
      <c r="C541" s="66"/>
      <c r="D541" s="66"/>
      <c r="E541" s="66"/>
      <c r="F541" s="66"/>
      <c r="G541" s="66"/>
      <c r="H541" s="66"/>
      <c r="I541" s="66"/>
      <c r="J541" s="66"/>
    </row>
    <row r="542" spans="1:10" ht="12.75">
      <c r="A542" s="29"/>
      <c r="B542" s="29"/>
      <c r="C542" s="64"/>
      <c r="D542" s="64"/>
      <c r="E542" s="64"/>
      <c r="F542" s="64"/>
      <c r="G542" s="64"/>
      <c r="H542" s="64"/>
      <c r="I542" s="64"/>
      <c r="J542" s="64"/>
    </row>
    <row r="543" spans="1:26" s="24" customFormat="1" ht="15.75">
      <c r="A543" s="43"/>
      <c r="B543" s="43"/>
      <c r="C543" s="67"/>
      <c r="D543" s="67"/>
      <c r="E543" s="67"/>
      <c r="F543" s="67"/>
      <c r="G543" s="67"/>
      <c r="H543" s="67"/>
      <c r="I543" s="67"/>
      <c r="J543" s="67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s="15" customFormat="1" ht="17.25" customHeight="1">
      <c r="A544" s="43"/>
      <c r="B544" s="43"/>
      <c r="C544" s="67"/>
      <c r="D544" s="67"/>
      <c r="E544" s="67"/>
      <c r="F544" s="67"/>
      <c r="G544" s="67"/>
      <c r="H544" s="67"/>
      <c r="I544" s="67"/>
      <c r="J544" s="6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s="15" customFormat="1" ht="15.75" customHeight="1">
      <c r="A545" s="43"/>
      <c r="B545" s="43"/>
      <c r="C545" s="67"/>
      <c r="D545" s="67"/>
      <c r="E545" s="67"/>
      <c r="F545" s="67"/>
      <c r="G545" s="67"/>
      <c r="H545" s="67"/>
      <c r="I545" s="67"/>
      <c r="J545" s="6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10" ht="28.5" customHeight="1">
      <c r="A546" s="43"/>
      <c r="B546" s="43"/>
      <c r="C546" s="67"/>
      <c r="D546" s="67"/>
      <c r="E546" s="67"/>
      <c r="F546" s="67"/>
      <c r="G546" s="67"/>
      <c r="H546" s="67"/>
      <c r="I546" s="67"/>
      <c r="J546" s="67"/>
    </row>
    <row r="547" spans="1:26" s="11" customFormat="1" ht="12.75">
      <c r="A547" s="43"/>
      <c r="B547" s="43"/>
      <c r="C547" s="67"/>
      <c r="D547" s="67"/>
      <c r="E547" s="67"/>
      <c r="F547" s="67"/>
      <c r="G547" s="67"/>
      <c r="H547" s="67"/>
      <c r="I547" s="67"/>
      <c r="J547" s="67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s="11" customFormat="1" ht="12.75">
      <c r="A548" s="43"/>
      <c r="B548" s="43"/>
      <c r="C548" s="67"/>
      <c r="D548" s="67"/>
      <c r="E548" s="67"/>
      <c r="F548" s="67"/>
      <c r="G548" s="67"/>
      <c r="H548" s="67"/>
      <c r="I548" s="67"/>
      <c r="J548" s="67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s="11" customFormat="1" ht="17.25" customHeight="1">
      <c r="A549" s="29"/>
      <c r="B549" s="29"/>
      <c r="C549" s="64"/>
      <c r="D549" s="64"/>
      <c r="E549" s="64"/>
      <c r="F549" s="64"/>
      <c r="G549" s="64"/>
      <c r="H549" s="64"/>
      <c r="I549" s="64"/>
      <c r="J549" s="6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s="11" customFormat="1" ht="17.25" customHeight="1">
      <c r="A550" s="29"/>
      <c r="B550" s="29"/>
      <c r="C550" s="64"/>
      <c r="D550" s="64"/>
      <c r="E550" s="64"/>
      <c r="F550" s="64"/>
      <c r="G550" s="64"/>
      <c r="H550" s="64"/>
      <c r="I550" s="64"/>
      <c r="J550" s="6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10" ht="12.75">
      <c r="A551" s="29"/>
      <c r="B551" s="29"/>
      <c r="C551" s="64"/>
      <c r="D551" s="64"/>
      <c r="E551" s="64"/>
      <c r="F551" s="64"/>
      <c r="G551" s="64"/>
      <c r="H551" s="64"/>
      <c r="I551" s="64"/>
      <c r="J551" s="64"/>
    </row>
    <row r="552" spans="1:10" ht="12.75">
      <c r="A552" s="29"/>
      <c r="B552" s="29"/>
      <c r="C552" s="64"/>
      <c r="D552" s="64"/>
      <c r="E552" s="64"/>
      <c r="F552" s="64"/>
      <c r="G552" s="64"/>
      <c r="H552" s="64"/>
      <c r="I552" s="64"/>
      <c r="J552" s="64"/>
    </row>
    <row r="553" spans="1:10" ht="12.75">
      <c r="A553" s="29"/>
      <c r="B553" s="29"/>
      <c r="C553" s="64"/>
      <c r="D553" s="64"/>
      <c r="E553" s="64"/>
      <c r="F553" s="64"/>
      <c r="G553" s="64"/>
      <c r="H553" s="64"/>
      <c r="I553" s="64"/>
      <c r="J553" s="64"/>
    </row>
    <row r="554" spans="1:10" s="25" customFormat="1" ht="12.75">
      <c r="A554" s="29"/>
      <c r="B554" s="29"/>
      <c r="C554" s="64"/>
      <c r="D554" s="64"/>
      <c r="E554" s="64"/>
      <c r="F554" s="64"/>
      <c r="G554" s="64"/>
      <c r="H554" s="64"/>
      <c r="I554" s="64"/>
      <c r="J554" s="64"/>
    </row>
    <row r="555" spans="1:10" s="25" customFormat="1" ht="12.75">
      <c r="A555" s="29"/>
      <c r="B555" s="29"/>
      <c r="C555" s="64"/>
      <c r="D555" s="64"/>
      <c r="E555" s="64"/>
      <c r="F555" s="64"/>
      <c r="G555" s="64"/>
      <c r="H555" s="64"/>
      <c r="I555" s="64"/>
      <c r="J555" s="64"/>
    </row>
    <row r="556" spans="1:10" s="25" customFormat="1" ht="12.75">
      <c r="A556" s="29"/>
      <c r="B556" s="29"/>
      <c r="C556" s="64"/>
      <c r="D556" s="64"/>
      <c r="E556" s="64"/>
      <c r="F556" s="64"/>
      <c r="G556" s="64"/>
      <c r="H556" s="64"/>
      <c r="I556" s="64"/>
      <c r="J556" s="64"/>
    </row>
    <row r="557" spans="1:10" s="25" customFormat="1" ht="12.75">
      <c r="A557" s="29"/>
      <c r="B557" s="29"/>
      <c r="C557" s="64"/>
      <c r="D557" s="64"/>
      <c r="E557" s="64"/>
      <c r="F557" s="64"/>
      <c r="G557" s="64"/>
      <c r="H557" s="64"/>
      <c r="I557" s="64"/>
      <c r="J557" s="64"/>
    </row>
    <row r="558" spans="1:10" s="25" customFormat="1" ht="12.75">
      <c r="A558" s="29"/>
      <c r="B558" s="29"/>
      <c r="C558" s="64"/>
      <c r="D558" s="64"/>
      <c r="E558" s="64"/>
      <c r="F558" s="64"/>
      <c r="G558" s="64"/>
      <c r="H558" s="64"/>
      <c r="I558" s="64"/>
      <c r="J558" s="64"/>
    </row>
    <row r="559" spans="1:10" s="25" customFormat="1" ht="12.75">
      <c r="A559" s="29"/>
      <c r="B559" s="29"/>
      <c r="C559" s="64"/>
      <c r="D559" s="64"/>
      <c r="E559" s="64"/>
      <c r="F559" s="64"/>
      <c r="G559" s="64"/>
      <c r="H559" s="64"/>
      <c r="I559" s="64"/>
      <c r="J559" s="64"/>
    </row>
    <row r="560" spans="1:10" s="25" customFormat="1" ht="15.75">
      <c r="A560" s="53"/>
      <c r="B560" s="53"/>
      <c r="C560" s="65"/>
      <c r="D560" s="65"/>
      <c r="E560" s="65"/>
      <c r="F560" s="65"/>
      <c r="G560" s="65"/>
      <c r="H560" s="65"/>
      <c r="I560" s="65"/>
      <c r="J560" s="65"/>
    </row>
    <row r="561" spans="1:10" s="25" customFormat="1" ht="15.75">
      <c r="A561" s="57"/>
      <c r="B561" s="57"/>
      <c r="C561" s="66"/>
      <c r="D561" s="66"/>
      <c r="E561" s="66"/>
      <c r="F561" s="66"/>
      <c r="G561" s="66"/>
      <c r="H561" s="66"/>
      <c r="I561" s="66"/>
      <c r="J561" s="66"/>
    </row>
    <row r="562" spans="1:10" s="25" customFormat="1" ht="16.5" customHeight="1">
      <c r="A562" s="57"/>
      <c r="B562" s="57"/>
      <c r="C562" s="66"/>
      <c r="D562" s="66"/>
      <c r="E562" s="66"/>
      <c r="F562" s="66"/>
      <c r="G562" s="66"/>
      <c r="H562" s="66"/>
      <c r="I562" s="66"/>
      <c r="J562" s="66"/>
    </row>
    <row r="563" spans="1:10" s="25" customFormat="1" ht="14.25" customHeight="1">
      <c r="A563" s="29"/>
      <c r="B563" s="29"/>
      <c r="C563" s="64"/>
      <c r="D563" s="64"/>
      <c r="E563" s="64"/>
      <c r="F563" s="64"/>
      <c r="G563" s="64"/>
      <c r="H563" s="64"/>
      <c r="I563" s="64"/>
      <c r="J563" s="64"/>
    </row>
    <row r="564" spans="1:10" s="25" customFormat="1" ht="17.25" customHeight="1">
      <c r="A564" s="43"/>
      <c r="B564" s="43"/>
      <c r="C564" s="67"/>
      <c r="D564" s="67"/>
      <c r="E564" s="67"/>
      <c r="F564" s="67"/>
      <c r="G564" s="67"/>
      <c r="H564" s="67"/>
      <c r="I564" s="67"/>
      <c r="J564" s="67"/>
    </row>
    <row r="565" spans="1:10" s="25" customFormat="1" ht="12.75">
      <c r="A565" s="43"/>
      <c r="B565" s="43"/>
      <c r="C565" s="67"/>
      <c r="D565" s="67"/>
      <c r="E565" s="67"/>
      <c r="F565" s="67"/>
      <c r="G565" s="67"/>
      <c r="H565" s="67"/>
      <c r="I565" s="67"/>
      <c r="J565" s="67"/>
    </row>
    <row r="566" spans="1:10" s="25" customFormat="1" ht="12.75">
      <c r="A566" s="43"/>
      <c r="B566" s="43"/>
      <c r="C566" s="67"/>
      <c r="D566" s="67"/>
      <c r="E566" s="67"/>
      <c r="F566" s="67"/>
      <c r="G566" s="67"/>
      <c r="H566" s="67"/>
      <c r="I566" s="67"/>
      <c r="J566" s="67"/>
    </row>
    <row r="567" spans="1:10" s="25" customFormat="1" ht="12.75">
      <c r="A567" s="29"/>
      <c r="B567" s="29"/>
      <c r="C567" s="64"/>
      <c r="D567" s="64"/>
      <c r="E567" s="64"/>
      <c r="F567" s="64"/>
      <c r="G567" s="64"/>
      <c r="H567" s="64"/>
      <c r="I567" s="64"/>
      <c r="J567" s="64"/>
    </row>
    <row r="568" spans="1:10" s="25" customFormat="1" ht="12.75">
      <c r="A568" s="29"/>
      <c r="B568" s="29"/>
      <c r="C568" s="64"/>
      <c r="D568" s="64"/>
      <c r="E568" s="64"/>
      <c r="F568" s="64"/>
      <c r="G568" s="64"/>
      <c r="H568" s="64"/>
      <c r="I568" s="64"/>
      <c r="J568" s="64"/>
    </row>
    <row r="569" spans="1:10" s="25" customFormat="1" ht="12.75">
      <c r="A569" s="29"/>
      <c r="B569" s="29"/>
      <c r="C569" s="64"/>
      <c r="D569" s="64"/>
      <c r="E569" s="64"/>
      <c r="F569" s="64"/>
      <c r="G569" s="64"/>
      <c r="H569" s="64"/>
      <c r="I569" s="64"/>
      <c r="J569" s="64"/>
    </row>
    <row r="570" spans="1:10" s="25" customFormat="1" ht="12.75">
      <c r="A570" s="29"/>
      <c r="B570" s="29"/>
      <c r="C570" s="64"/>
      <c r="D570" s="64"/>
      <c r="E570" s="64"/>
      <c r="F570" s="64"/>
      <c r="G570" s="64"/>
      <c r="H570" s="64"/>
      <c r="I570" s="64"/>
      <c r="J570" s="64"/>
    </row>
    <row r="571" spans="1:10" s="25" customFormat="1" ht="12.75">
      <c r="A571" s="29"/>
      <c r="B571" s="29"/>
      <c r="C571" s="64"/>
      <c r="D571" s="64"/>
      <c r="E571" s="64"/>
      <c r="F571" s="64"/>
      <c r="G571" s="64"/>
      <c r="H571" s="64"/>
      <c r="I571" s="64"/>
      <c r="J571" s="64"/>
    </row>
    <row r="572" spans="1:10" s="25" customFormat="1" ht="12.75">
      <c r="A572" s="29"/>
      <c r="B572" s="29"/>
      <c r="C572" s="64"/>
      <c r="D572" s="64"/>
      <c r="E572" s="64"/>
      <c r="F572" s="64"/>
      <c r="G572" s="64"/>
      <c r="H572" s="64"/>
      <c r="I572" s="64"/>
      <c r="J572" s="64"/>
    </row>
    <row r="573" spans="1:10" s="25" customFormat="1" ht="12.75">
      <c r="A573" s="29"/>
      <c r="B573" s="29"/>
      <c r="C573" s="64"/>
      <c r="D573" s="64"/>
      <c r="E573" s="64"/>
      <c r="F573" s="64"/>
      <c r="G573" s="64"/>
      <c r="H573" s="64"/>
      <c r="I573" s="64"/>
      <c r="J573" s="64"/>
    </row>
    <row r="574" spans="1:10" s="25" customFormat="1" ht="12.75">
      <c r="A574" s="29"/>
      <c r="B574" s="29"/>
      <c r="C574" s="64"/>
      <c r="D574" s="64"/>
      <c r="E574" s="64"/>
      <c r="F574" s="64"/>
      <c r="G574" s="64"/>
      <c r="H574" s="64"/>
      <c r="I574" s="64"/>
      <c r="J574" s="64"/>
    </row>
    <row r="575" spans="1:10" s="25" customFormat="1" ht="12.75">
      <c r="A575" s="29"/>
      <c r="B575" s="29"/>
      <c r="C575" s="64"/>
      <c r="D575" s="64"/>
      <c r="E575" s="64"/>
      <c r="F575" s="64"/>
      <c r="G575" s="64"/>
      <c r="H575" s="64"/>
      <c r="I575" s="64"/>
      <c r="J575" s="64"/>
    </row>
    <row r="576" spans="1:10" s="25" customFormat="1" ht="20.25" customHeight="1">
      <c r="A576" s="29"/>
      <c r="B576" s="29"/>
      <c r="C576" s="64"/>
      <c r="D576" s="64"/>
      <c r="E576" s="64"/>
      <c r="F576" s="64"/>
      <c r="G576" s="64"/>
      <c r="H576" s="64"/>
      <c r="I576" s="64"/>
      <c r="J576" s="64"/>
    </row>
    <row r="577" spans="1:10" s="25" customFormat="1" ht="12.75">
      <c r="A577" s="29"/>
      <c r="B577" s="29"/>
      <c r="C577" s="64"/>
      <c r="D577" s="64"/>
      <c r="E577" s="64"/>
      <c r="F577" s="64"/>
      <c r="G577" s="64"/>
      <c r="H577" s="64"/>
      <c r="I577" s="64"/>
      <c r="J577" s="64"/>
    </row>
    <row r="578" spans="1:10" s="25" customFormat="1" ht="12.75">
      <c r="A578" s="29"/>
      <c r="B578" s="29"/>
      <c r="C578" s="64"/>
      <c r="D578" s="64"/>
      <c r="E578" s="64"/>
      <c r="F578" s="64"/>
      <c r="G578" s="64"/>
      <c r="H578" s="64"/>
      <c r="I578" s="64"/>
      <c r="J578" s="64"/>
    </row>
    <row r="579" spans="1:10" s="25" customFormat="1" ht="15.75">
      <c r="A579" s="53"/>
      <c r="B579" s="53"/>
      <c r="C579" s="65"/>
      <c r="D579" s="65"/>
      <c r="E579" s="65"/>
      <c r="F579" s="65"/>
      <c r="G579" s="65"/>
      <c r="H579" s="65"/>
      <c r="I579" s="65"/>
      <c r="J579" s="65"/>
    </row>
    <row r="580" spans="1:10" s="25" customFormat="1" ht="15.75">
      <c r="A580" s="57"/>
      <c r="B580" s="57"/>
      <c r="C580" s="66"/>
      <c r="D580" s="66"/>
      <c r="E580" s="66"/>
      <c r="F580" s="66"/>
      <c r="G580" s="66"/>
      <c r="H580" s="66"/>
      <c r="I580" s="66"/>
      <c r="J580" s="66"/>
    </row>
    <row r="581" spans="1:10" s="25" customFormat="1" ht="15.75">
      <c r="A581" s="57"/>
      <c r="B581" s="57"/>
      <c r="C581" s="66"/>
      <c r="D581" s="66"/>
      <c r="E581" s="66"/>
      <c r="F581" s="66"/>
      <c r="G581" s="66"/>
      <c r="H581" s="66"/>
      <c r="I581" s="66"/>
      <c r="J581" s="66"/>
    </row>
    <row r="582" spans="1:10" s="25" customFormat="1" ht="12.75">
      <c r="A582" s="29"/>
      <c r="B582" s="29"/>
      <c r="C582" s="64"/>
      <c r="D582" s="64"/>
      <c r="E582" s="64"/>
      <c r="F582" s="64"/>
      <c r="G582" s="64"/>
      <c r="H582" s="64"/>
      <c r="I582" s="64"/>
      <c r="J582" s="64"/>
    </row>
    <row r="583" spans="1:10" s="25" customFormat="1" ht="12.75">
      <c r="A583" s="43"/>
      <c r="B583" s="43"/>
      <c r="C583" s="67"/>
      <c r="D583" s="67"/>
      <c r="E583" s="67"/>
      <c r="F583" s="67"/>
      <c r="G583" s="67"/>
      <c r="H583" s="67"/>
      <c r="I583" s="67"/>
      <c r="J583" s="67"/>
    </row>
    <row r="584" spans="1:10" s="25" customFormat="1" ht="12.75">
      <c r="A584" s="43"/>
      <c r="B584" s="43"/>
      <c r="C584" s="67"/>
      <c r="D584" s="67"/>
      <c r="E584" s="67"/>
      <c r="F584" s="67"/>
      <c r="G584" s="67"/>
      <c r="H584" s="67"/>
      <c r="I584" s="67"/>
      <c r="J584" s="67"/>
    </row>
    <row r="585" spans="1:10" s="25" customFormat="1" ht="12.75">
      <c r="A585" s="43"/>
      <c r="B585" s="43"/>
      <c r="C585" s="67"/>
      <c r="D585" s="67"/>
      <c r="E585" s="67"/>
      <c r="F585" s="67"/>
      <c r="G585" s="67"/>
      <c r="H585" s="67"/>
      <c r="I585" s="67"/>
      <c r="J585" s="67"/>
    </row>
    <row r="586" spans="1:10" ht="12.75">
      <c r="A586" s="43"/>
      <c r="B586" s="43"/>
      <c r="C586" s="67"/>
      <c r="D586" s="67"/>
      <c r="E586" s="67"/>
      <c r="F586" s="67"/>
      <c r="G586" s="67"/>
      <c r="H586" s="67"/>
      <c r="I586" s="67"/>
      <c r="J586" s="67"/>
    </row>
    <row r="587" spans="1:10" ht="18" customHeight="1">
      <c r="A587" s="29"/>
      <c r="B587" s="29"/>
      <c r="C587" s="64"/>
      <c r="D587" s="64"/>
      <c r="E587" s="64"/>
      <c r="F587" s="64"/>
      <c r="G587" s="64"/>
      <c r="H587" s="64"/>
      <c r="I587" s="64"/>
      <c r="J587" s="64"/>
    </row>
    <row r="588" spans="1:10" ht="12.75">
      <c r="A588" s="29"/>
      <c r="B588" s="29"/>
      <c r="C588" s="64"/>
      <c r="D588" s="64"/>
      <c r="E588" s="64"/>
      <c r="F588" s="64"/>
      <c r="G588" s="64"/>
      <c r="H588" s="64"/>
      <c r="I588" s="64"/>
      <c r="J588" s="64"/>
    </row>
    <row r="589" spans="1:10" ht="12.75">
      <c r="A589" s="29"/>
      <c r="B589" s="29"/>
      <c r="C589" s="64"/>
      <c r="D589" s="64"/>
      <c r="E589" s="64"/>
      <c r="F589" s="64"/>
      <c r="G589" s="64"/>
      <c r="H589" s="64"/>
      <c r="I589" s="64"/>
      <c r="J589" s="64"/>
    </row>
    <row r="590" spans="1:10" ht="12.75">
      <c r="A590" s="29"/>
      <c r="B590" s="29"/>
      <c r="C590" s="64"/>
      <c r="D590" s="64"/>
      <c r="E590" s="64"/>
      <c r="F590" s="64"/>
      <c r="G590" s="64"/>
      <c r="H590" s="64"/>
      <c r="I590" s="64"/>
      <c r="J590" s="64"/>
    </row>
    <row r="591" spans="1:10" ht="12.75">
      <c r="A591" s="29"/>
      <c r="B591" s="29"/>
      <c r="C591" s="64"/>
      <c r="D591" s="64"/>
      <c r="E591" s="64"/>
      <c r="F591" s="64"/>
      <c r="G591" s="64"/>
      <c r="H591" s="64"/>
      <c r="I591" s="64"/>
      <c r="J591" s="64"/>
    </row>
    <row r="592" spans="1:10" ht="12.75">
      <c r="A592" s="29"/>
      <c r="B592" s="29"/>
      <c r="C592" s="64"/>
      <c r="D592" s="64"/>
      <c r="E592" s="64"/>
      <c r="F592" s="64"/>
      <c r="G592" s="64"/>
      <c r="H592" s="64"/>
      <c r="I592" s="64"/>
      <c r="J592" s="64"/>
    </row>
    <row r="593" spans="1:10" ht="12.75">
      <c r="A593" s="29"/>
      <c r="B593" s="29"/>
      <c r="C593" s="64"/>
      <c r="D593" s="64"/>
      <c r="E593" s="64"/>
      <c r="F593" s="64"/>
      <c r="G593" s="64"/>
      <c r="H593" s="64"/>
      <c r="I593" s="64"/>
      <c r="J593" s="64"/>
    </row>
    <row r="594" spans="1:10" ht="12.75">
      <c r="A594" s="29"/>
      <c r="B594" s="29"/>
      <c r="C594" s="64"/>
      <c r="D594" s="64"/>
      <c r="E594" s="64"/>
      <c r="F594" s="64"/>
      <c r="G594" s="64"/>
      <c r="H594" s="64"/>
      <c r="I594" s="64"/>
      <c r="J594" s="64"/>
    </row>
    <row r="595" spans="1:10" ht="12.75">
      <c r="A595" s="29"/>
      <c r="B595" s="29"/>
      <c r="C595" s="64"/>
      <c r="D595" s="64"/>
      <c r="E595" s="64"/>
      <c r="F595" s="64"/>
      <c r="G595" s="64"/>
      <c r="H595" s="64"/>
      <c r="I595" s="64"/>
      <c r="J595" s="64"/>
    </row>
    <row r="596" spans="1:10" ht="12.75">
      <c r="A596" s="64"/>
      <c r="B596" s="29"/>
      <c r="C596" s="64"/>
      <c r="D596" s="64"/>
      <c r="E596" s="64"/>
      <c r="F596" s="64"/>
      <c r="G596" s="64"/>
      <c r="H596" s="64"/>
      <c r="I596" s="64"/>
      <c r="J596" s="64"/>
    </row>
    <row r="597" spans="1:10" ht="12.75">
      <c r="A597" s="29"/>
      <c r="B597" s="29"/>
      <c r="C597" s="64"/>
      <c r="D597" s="64"/>
      <c r="E597" s="64"/>
      <c r="F597" s="64"/>
      <c r="G597" s="64"/>
      <c r="H597" s="64"/>
      <c r="I597" s="64"/>
      <c r="J597" s="64"/>
    </row>
    <row r="598" spans="1:10" ht="12.75">
      <c r="A598" s="64"/>
      <c r="B598" s="29"/>
      <c r="C598" s="64"/>
      <c r="D598" s="64"/>
      <c r="E598" s="64"/>
      <c r="F598" s="64"/>
      <c r="G598" s="64"/>
      <c r="H598" s="64"/>
      <c r="I598" s="64"/>
      <c r="J598" s="64"/>
    </row>
    <row r="599" spans="1:26" s="22" customFormat="1" ht="25.5" customHeight="1">
      <c r="A599" s="29"/>
      <c r="B599" s="29"/>
      <c r="C599" s="64"/>
      <c r="D599" s="64"/>
      <c r="E599" s="64"/>
      <c r="F599" s="64"/>
      <c r="G599" s="64"/>
      <c r="H599" s="64"/>
      <c r="I599" s="64"/>
      <c r="J599" s="64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10" ht="12.75">
      <c r="A600" s="29"/>
      <c r="B600" s="29"/>
      <c r="C600" s="64"/>
      <c r="D600" s="64"/>
      <c r="E600" s="64"/>
      <c r="F600" s="64"/>
      <c r="G600" s="64"/>
      <c r="H600" s="64"/>
      <c r="I600" s="64"/>
      <c r="J600" s="64"/>
    </row>
    <row r="601" spans="1:10" ht="12.75">
      <c r="A601" s="29"/>
      <c r="B601" s="29"/>
      <c r="C601" s="64"/>
      <c r="D601" s="64"/>
      <c r="E601" s="64"/>
      <c r="F601" s="64"/>
      <c r="G601" s="64"/>
      <c r="H601" s="64"/>
      <c r="I601" s="64"/>
      <c r="J601" s="64"/>
    </row>
    <row r="602" spans="1:10" s="25" customFormat="1" ht="12.75">
      <c r="A602" s="29"/>
      <c r="B602" s="29"/>
      <c r="C602" s="64"/>
      <c r="D602" s="64"/>
      <c r="E602" s="64"/>
      <c r="F602" s="64"/>
      <c r="G602" s="64"/>
      <c r="H602" s="64"/>
      <c r="I602" s="64"/>
      <c r="J602" s="64"/>
    </row>
    <row r="603" spans="1:10" s="25" customFormat="1" ht="12.75">
      <c r="A603" s="29"/>
      <c r="B603" s="29"/>
      <c r="C603" s="64"/>
      <c r="D603" s="64"/>
      <c r="E603" s="64"/>
      <c r="F603" s="64"/>
      <c r="G603" s="64"/>
      <c r="H603" s="64"/>
      <c r="I603" s="64"/>
      <c r="J603" s="64"/>
    </row>
    <row r="604" spans="1:10" s="25" customFormat="1" ht="12.75">
      <c r="A604" s="29"/>
      <c r="B604" s="29"/>
      <c r="C604" s="64"/>
      <c r="D604" s="64"/>
      <c r="E604" s="64"/>
      <c r="F604" s="64"/>
      <c r="G604" s="64"/>
      <c r="H604" s="64"/>
      <c r="I604" s="64"/>
      <c r="J604" s="64"/>
    </row>
    <row r="605" spans="1:10" s="25" customFormat="1" ht="12.75">
      <c r="A605" s="29"/>
      <c r="B605" s="29"/>
      <c r="C605" s="64"/>
      <c r="D605" s="64"/>
      <c r="E605" s="64"/>
      <c r="F605" s="64"/>
      <c r="G605" s="64"/>
      <c r="H605" s="64"/>
      <c r="I605" s="64"/>
      <c r="J605" s="64"/>
    </row>
    <row r="606" spans="1:10" s="25" customFormat="1" ht="12.75">
      <c r="A606" s="29"/>
      <c r="B606" s="29"/>
      <c r="C606" s="64"/>
      <c r="D606" s="64"/>
      <c r="E606" s="64"/>
      <c r="F606" s="64"/>
      <c r="G606" s="64"/>
      <c r="H606" s="64"/>
      <c r="I606" s="64"/>
      <c r="J606" s="64"/>
    </row>
    <row r="607" spans="1:10" s="25" customFormat="1" ht="12.75">
      <c r="A607" s="29"/>
      <c r="B607" s="29"/>
      <c r="C607" s="64"/>
      <c r="D607" s="64"/>
      <c r="E607" s="64"/>
      <c r="F607" s="64"/>
      <c r="G607" s="64"/>
      <c r="H607" s="64"/>
      <c r="I607" s="64"/>
      <c r="J607" s="64"/>
    </row>
    <row r="608" spans="1:10" s="25" customFormat="1" ht="12.75">
      <c r="A608" s="29"/>
      <c r="B608" s="29"/>
      <c r="C608" s="64"/>
      <c r="D608" s="64"/>
      <c r="E608" s="64"/>
      <c r="F608" s="64"/>
      <c r="G608" s="64"/>
      <c r="H608" s="64"/>
      <c r="I608" s="64"/>
      <c r="J608" s="64"/>
    </row>
    <row r="609" spans="1:10" s="25" customFormat="1" ht="12.75">
      <c r="A609" s="29"/>
      <c r="B609" s="29"/>
      <c r="C609" s="64"/>
      <c r="D609" s="64"/>
      <c r="E609" s="64"/>
      <c r="F609" s="64"/>
      <c r="G609" s="64"/>
      <c r="H609" s="64"/>
      <c r="I609" s="64"/>
      <c r="J609" s="64"/>
    </row>
    <row r="610" spans="1:10" s="25" customFormat="1" ht="12.75">
      <c r="A610" s="29"/>
      <c r="B610" s="29"/>
      <c r="C610" s="64"/>
      <c r="D610" s="64"/>
      <c r="E610" s="64"/>
      <c r="F610" s="64"/>
      <c r="G610" s="64"/>
      <c r="H610" s="64"/>
      <c r="I610" s="64"/>
      <c r="J610" s="64"/>
    </row>
    <row r="611" spans="1:10" s="25" customFormat="1" ht="12.75">
      <c r="A611" s="64"/>
      <c r="B611" s="29"/>
      <c r="C611" s="64"/>
      <c r="D611" s="64"/>
      <c r="E611" s="64"/>
      <c r="F611" s="64"/>
      <c r="G611" s="64"/>
      <c r="H611" s="64"/>
      <c r="I611" s="64"/>
      <c r="J611" s="64"/>
    </row>
    <row r="612" spans="1:10" s="25" customFormat="1" ht="12.75">
      <c r="A612" s="29"/>
      <c r="B612" s="29"/>
      <c r="C612" s="64"/>
      <c r="D612" s="64"/>
      <c r="E612" s="64"/>
      <c r="F612" s="64"/>
      <c r="G612" s="64"/>
      <c r="H612" s="64"/>
      <c r="I612" s="64"/>
      <c r="J612" s="64"/>
    </row>
    <row r="613" spans="1:10" s="25" customFormat="1" ht="12.75">
      <c r="A613" s="29"/>
      <c r="B613" s="29"/>
      <c r="C613" s="64"/>
      <c r="D613" s="64"/>
      <c r="E613" s="64"/>
      <c r="F613" s="64"/>
      <c r="G613" s="64"/>
      <c r="H613" s="64"/>
      <c r="I613" s="64"/>
      <c r="J613" s="64"/>
    </row>
    <row r="614" spans="1:10" s="25" customFormat="1" ht="12.75">
      <c r="A614" s="29"/>
      <c r="B614" s="29"/>
      <c r="C614" s="64"/>
      <c r="D614" s="64"/>
      <c r="E614" s="64"/>
      <c r="F614" s="64"/>
      <c r="G614" s="64"/>
      <c r="H614" s="64"/>
      <c r="I614" s="64"/>
      <c r="J614" s="64"/>
    </row>
    <row r="615" spans="1:10" s="25" customFormat="1" ht="12.75">
      <c r="A615" s="29"/>
      <c r="B615" s="29"/>
      <c r="C615" s="64"/>
      <c r="D615" s="64"/>
      <c r="E615" s="64"/>
      <c r="F615" s="64"/>
      <c r="G615" s="64"/>
      <c r="H615" s="64"/>
      <c r="I615" s="64"/>
      <c r="J615" s="64"/>
    </row>
    <row r="616" spans="1:10" s="25" customFormat="1" ht="12.75">
      <c r="A616" s="29"/>
      <c r="B616" s="29"/>
      <c r="C616" s="64"/>
      <c r="D616" s="64"/>
      <c r="E616" s="64"/>
      <c r="F616" s="64"/>
      <c r="G616" s="64"/>
      <c r="H616" s="64"/>
      <c r="I616" s="64"/>
      <c r="J616" s="64"/>
    </row>
    <row r="617" spans="1:10" s="25" customFormat="1" ht="12.75">
      <c r="A617" s="29"/>
      <c r="B617" s="29"/>
      <c r="C617" s="64"/>
      <c r="D617" s="64"/>
      <c r="E617" s="64"/>
      <c r="F617" s="64"/>
      <c r="G617" s="64"/>
      <c r="H617" s="64"/>
      <c r="I617" s="64"/>
      <c r="J617" s="64"/>
    </row>
    <row r="618" spans="1:10" s="25" customFormat="1" ht="12.75">
      <c r="A618" s="29"/>
      <c r="B618" s="29"/>
      <c r="C618" s="64"/>
      <c r="D618" s="64"/>
      <c r="E618" s="64"/>
      <c r="F618" s="64"/>
      <c r="G618" s="64"/>
      <c r="H618" s="64"/>
      <c r="I618" s="64"/>
      <c r="J618" s="64"/>
    </row>
    <row r="619" spans="1:10" s="25" customFormat="1" ht="12.75">
      <c r="A619" s="29"/>
      <c r="B619" s="29"/>
      <c r="C619" s="64"/>
      <c r="D619" s="64"/>
      <c r="E619" s="64"/>
      <c r="F619" s="64"/>
      <c r="G619" s="64"/>
      <c r="H619" s="64"/>
      <c r="I619" s="64"/>
      <c r="J619" s="64"/>
    </row>
    <row r="620" spans="1:10" s="25" customFormat="1" ht="12.75">
      <c r="A620" s="29"/>
      <c r="B620" s="29"/>
      <c r="C620" s="64"/>
      <c r="D620" s="64"/>
      <c r="E620" s="64"/>
      <c r="F620" s="64"/>
      <c r="G620" s="64"/>
      <c r="H620" s="64"/>
      <c r="I620" s="64"/>
      <c r="J620" s="64"/>
    </row>
    <row r="621" spans="1:10" s="25" customFormat="1" ht="12.75">
      <c r="A621" s="29"/>
      <c r="B621" s="29"/>
      <c r="C621" s="64"/>
      <c r="D621" s="64"/>
      <c r="E621" s="64"/>
      <c r="F621" s="64"/>
      <c r="G621" s="64"/>
      <c r="H621" s="64"/>
      <c r="I621" s="64"/>
      <c r="J621" s="64"/>
    </row>
    <row r="622" spans="1:10" s="25" customFormat="1" ht="12.75">
      <c r="A622" s="64"/>
      <c r="B622" s="29"/>
      <c r="C622" s="64"/>
      <c r="D622" s="64"/>
      <c r="E622" s="64"/>
      <c r="F622" s="64"/>
      <c r="G622" s="64"/>
      <c r="H622" s="64"/>
      <c r="I622" s="64"/>
      <c r="J622" s="64"/>
    </row>
    <row r="623" spans="1:10" s="25" customFormat="1" ht="12.75">
      <c r="A623" s="29"/>
      <c r="B623" s="29"/>
      <c r="C623" s="64"/>
      <c r="D623" s="64"/>
      <c r="E623" s="64"/>
      <c r="F623" s="64"/>
      <c r="G623" s="64"/>
      <c r="H623" s="64"/>
      <c r="I623" s="64"/>
      <c r="J623" s="64"/>
    </row>
    <row r="624" spans="1:10" s="25" customFormat="1" ht="12.75">
      <c r="A624" s="29"/>
      <c r="B624" s="29"/>
      <c r="C624" s="64"/>
      <c r="D624" s="64"/>
      <c r="E624" s="64"/>
      <c r="F624" s="64"/>
      <c r="G624" s="64"/>
      <c r="H624" s="64"/>
      <c r="I624" s="64"/>
      <c r="J624" s="64"/>
    </row>
    <row r="625" spans="1:10" s="25" customFormat="1" ht="12.75">
      <c r="A625" s="29"/>
      <c r="B625" s="29"/>
      <c r="C625" s="64"/>
      <c r="D625" s="64"/>
      <c r="E625" s="64"/>
      <c r="F625" s="64"/>
      <c r="G625" s="64"/>
      <c r="H625" s="64"/>
      <c r="I625" s="64"/>
      <c r="J625" s="64"/>
    </row>
    <row r="626" spans="1:10" s="25" customFormat="1" ht="12.75">
      <c r="A626" s="29"/>
      <c r="B626" s="29"/>
      <c r="C626" s="64"/>
      <c r="D626" s="64"/>
      <c r="E626" s="64"/>
      <c r="F626" s="64"/>
      <c r="G626" s="64"/>
      <c r="H626" s="64"/>
      <c r="I626" s="64"/>
      <c r="J626" s="64"/>
    </row>
    <row r="627" spans="1:10" s="25" customFormat="1" ht="12.75">
      <c r="A627" s="29"/>
      <c r="B627" s="29"/>
      <c r="C627" s="64"/>
      <c r="D627" s="64"/>
      <c r="E627" s="64"/>
      <c r="F627" s="64"/>
      <c r="G627" s="64"/>
      <c r="H627" s="64"/>
      <c r="I627" s="64"/>
      <c r="J627" s="64"/>
    </row>
    <row r="628" spans="1:10" s="25" customFormat="1" ht="12.75">
      <c r="A628" s="29"/>
      <c r="B628" s="29"/>
      <c r="C628" s="64"/>
      <c r="D628" s="64"/>
      <c r="E628" s="64"/>
      <c r="F628" s="64"/>
      <c r="G628" s="64"/>
      <c r="H628" s="64"/>
      <c r="I628" s="64"/>
      <c r="J628" s="64"/>
    </row>
    <row r="629" spans="1:10" s="25" customFormat="1" ht="12.75">
      <c r="A629" s="29"/>
      <c r="B629" s="29"/>
      <c r="C629" s="64"/>
      <c r="D629" s="64"/>
      <c r="E629" s="64"/>
      <c r="F629" s="64"/>
      <c r="G629" s="64"/>
      <c r="H629" s="64"/>
      <c r="I629" s="64"/>
      <c r="J629" s="64"/>
    </row>
    <row r="630" spans="1:10" s="25" customFormat="1" ht="12.75">
      <c r="A630" s="29"/>
      <c r="B630" s="29"/>
      <c r="C630" s="64"/>
      <c r="D630" s="64"/>
      <c r="E630" s="64"/>
      <c r="F630" s="64"/>
      <c r="G630" s="64"/>
      <c r="H630" s="64"/>
      <c r="I630" s="64"/>
      <c r="J630" s="64"/>
    </row>
    <row r="631" spans="1:10" s="25" customFormat="1" ht="12.75">
      <c r="A631" s="29"/>
      <c r="B631" s="29"/>
      <c r="C631" s="64"/>
      <c r="D631" s="64"/>
      <c r="E631" s="64"/>
      <c r="F631" s="64"/>
      <c r="G631" s="64"/>
      <c r="H631" s="64"/>
      <c r="I631" s="64"/>
      <c r="J631" s="64"/>
    </row>
    <row r="632" spans="1:10" s="25" customFormat="1" ht="12.75">
      <c r="A632" s="29"/>
      <c r="B632" s="29"/>
      <c r="C632" s="64"/>
      <c r="D632" s="64"/>
      <c r="E632" s="64"/>
      <c r="F632" s="64"/>
      <c r="G632" s="64"/>
      <c r="H632" s="64"/>
      <c r="I632" s="64"/>
      <c r="J632" s="64"/>
    </row>
    <row r="633" spans="1:10" s="25" customFormat="1" ht="12.75">
      <c r="A633" s="64"/>
      <c r="B633" s="29"/>
      <c r="C633" s="64"/>
      <c r="D633" s="64"/>
      <c r="E633" s="64"/>
      <c r="F633" s="64"/>
      <c r="G633" s="64"/>
      <c r="H633" s="64"/>
      <c r="I633" s="64"/>
      <c r="J633" s="64"/>
    </row>
    <row r="634" spans="1:10" s="25" customFormat="1" ht="12.75">
      <c r="A634" s="29"/>
      <c r="B634" s="29"/>
      <c r="C634" s="64"/>
      <c r="D634" s="64"/>
      <c r="E634" s="64"/>
      <c r="F634" s="64"/>
      <c r="G634" s="64"/>
      <c r="H634" s="64"/>
      <c r="I634" s="64"/>
      <c r="J634" s="64"/>
    </row>
    <row r="635" spans="1:10" s="25" customFormat="1" ht="15.75">
      <c r="A635" s="68"/>
      <c r="B635" s="17"/>
      <c r="C635" s="68"/>
      <c r="D635" s="68"/>
      <c r="E635" s="68"/>
      <c r="F635" s="68"/>
      <c r="G635" s="68"/>
      <c r="H635" s="68"/>
      <c r="I635" s="68"/>
      <c r="J635" s="68"/>
    </row>
    <row r="636" spans="1:10" s="25" customFormat="1" ht="12.75">
      <c r="A636" s="29"/>
      <c r="B636" s="29"/>
      <c r="C636" s="64"/>
      <c r="D636" s="64"/>
      <c r="E636" s="64"/>
      <c r="F636" s="64"/>
      <c r="G636" s="64"/>
      <c r="H636" s="64"/>
      <c r="I636" s="64"/>
      <c r="J636" s="64"/>
    </row>
    <row r="637" spans="1:10" s="25" customFormat="1" ht="12.75">
      <c r="A637" s="29"/>
      <c r="B637" s="29"/>
      <c r="C637" s="64"/>
      <c r="D637" s="64"/>
      <c r="E637" s="64"/>
      <c r="F637" s="64"/>
      <c r="G637" s="64"/>
      <c r="H637" s="64"/>
      <c r="I637" s="64"/>
      <c r="J637" s="64"/>
    </row>
    <row r="638" spans="1:10" s="25" customFormat="1" ht="12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</row>
    <row r="639" spans="1:10" s="25" customFormat="1" ht="12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</row>
    <row r="640" spans="1:10" s="25" customFormat="1" ht="12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</row>
    <row r="641" spans="1:10" s="25" customFormat="1" ht="12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</row>
    <row r="642" spans="1:10" s="25" customFormat="1" ht="12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</row>
    <row r="643" spans="1:10" s="25" customFormat="1" ht="12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</row>
    <row r="644" spans="1:10" s="25" customFormat="1" ht="12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</row>
    <row r="645" spans="1:10" s="25" customFormat="1" ht="12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</row>
    <row r="646" spans="1:10" s="25" customFormat="1" ht="12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</row>
    <row r="647" spans="1:10" s="25" customFormat="1" ht="12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</row>
    <row r="648" spans="1:10" s="25" customFormat="1" ht="12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</row>
    <row r="649" spans="1:10" s="25" customFormat="1" ht="12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</row>
    <row r="650" spans="1:10" s="25" customFormat="1" ht="12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</row>
    <row r="651" spans="1:10" s="25" customFormat="1" ht="12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</row>
    <row r="652" spans="1:10" s="25" customFormat="1" ht="12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</row>
    <row r="653" spans="1:10" s="25" customFormat="1" ht="12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</row>
    <row r="654" spans="1:10" s="25" customFormat="1" ht="12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</row>
    <row r="655" spans="1:10" s="25" customFormat="1" ht="12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</row>
    <row r="656" spans="1:10" s="25" customFormat="1" ht="12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</row>
    <row r="657" spans="1:10" s="25" customFormat="1" ht="12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</row>
    <row r="658" spans="1:10" s="25" customFormat="1" ht="12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</row>
  </sheetData>
  <sheetProtection/>
  <mergeCells count="8">
    <mergeCell ref="A1:C1"/>
    <mergeCell ref="A2:J2"/>
    <mergeCell ref="A5:A6"/>
    <mergeCell ref="B5:B6"/>
    <mergeCell ref="C5:D5"/>
    <mergeCell ref="E5:F5"/>
    <mergeCell ref="G5:H5"/>
    <mergeCell ref="I5:J5"/>
  </mergeCells>
  <printOptions/>
  <pageMargins left="0.3937007874015748" right="0.23" top="0.4" bottom="0.37" header="0.17" footer="0.17"/>
  <pageSetup horizontalDpi="600" verticalDpi="600" orientation="landscape" paperSize="9" scale="63" r:id="rId1"/>
  <rowBreaks count="15" manualBreakCount="15">
    <brk id="39" max="9" man="1"/>
    <brk id="72" max="9" man="1"/>
    <brk id="114" max="9" man="1"/>
    <brk id="156" max="9" man="1"/>
    <brk id="190" max="9" man="1"/>
    <brk id="236" max="9" man="1"/>
    <brk id="264" max="9" man="1"/>
    <brk id="313" max="9" man="1"/>
    <brk id="332" max="9" man="1"/>
    <brk id="377" max="9" man="1"/>
    <brk id="400" max="9" man="1"/>
    <brk id="420" max="9" man="1"/>
    <brk id="502" max="255" man="1"/>
    <brk id="542" max="255" man="1"/>
    <brk id="5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26.25390625" style="375" customWidth="1"/>
    <col min="2" max="2" width="14.75390625" style="376" bestFit="1" customWidth="1"/>
    <col min="3" max="3" width="12.25390625" style="376" customWidth="1"/>
    <col min="4" max="4" width="15.625" style="376" bestFit="1" customWidth="1"/>
    <col min="5" max="5" width="12.25390625" style="376" customWidth="1"/>
    <col min="6" max="6" width="12.00390625" style="376" customWidth="1"/>
    <col min="7" max="7" width="10.125" style="376" customWidth="1"/>
    <col min="8" max="8" width="10.25390625" style="376" bestFit="1" customWidth="1"/>
    <col min="9" max="10" width="10.125" style="376" bestFit="1" customWidth="1"/>
    <col min="11" max="11" width="9.25390625" style="376" bestFit="1" customWidth="1"/>
    <col min="12" max="12" width="16.375" style="376" bestFit="1" customWidth="1"/>
    <col min="13" max="16384" width="9.125" style="376" customWidth="1"/>
  </cols>
  <sheetData>
    <row r="1" ht="16.5" customHeight="1"/>
    <row r="2" ht="15">
      <c r="A2" s="377" t="s">
        <v>448</v>
      </c>
    </row>
    <row r="3" spans="1:4" ht="15">
      <c r="A3" s="579" t="s">
        <v>334</v>
      </c>
      <c r="B3" s="579"/>
      <c r="C3" s="579"/>
      <c r="D3" s="579"/>
    </row>
    <row r="4" spans="1:3" ht="15">
      <c r="A4" s="378"/>
      <c r="B4" s="379"/>
      <c r="C4" s="380"/>
    </row>
    <row r="5" ht="15">
      <c r="A5" s="381"/>
    </row>
    <row r="6" spans="1:7" ht="15.75" thickBot="1">
      <c r="A6" s="382" t="s">
        <v>313</v>
      </c>
      <c r="B6" s="383"/>
      <c r="C6" s="384"/>
      <c r="D6" s="384"/>
      <c r="E6" s="384"/>
      <c r="F6" s="384"/>
      <c r="G6" s="384"/>
    </row>
    <row r="7" spans="1:7" ht="57.75" thickBot="1">
      <c r="A7" s="385" t="s">
        <v>314</v>
      </c>
      <c r="B7" s="386" t="s">
        <v>315</v>
      </c>
      <c r="C7" s="386" t="s">
        <v>316</v>
      </c>
      <c r="D7" s="386" t="s">
        <v>317</v>
      </c>
      <c r="E7" s="386" t="s">
        <v>318</v>
      </c>
      <c r="F7" s="386" t="s">
        <v>319</v>
      </c>
      <c r="G7" s="386" t="s">
        <v>320</v>
      </c>
    </row>
    <row r="8" spans="1:7" ht="15.75" thickBot="1">
      <c r="A8" s="387" t="s">
        <v>21</v>
      </c>
      <c r="B8" s="388">
        <v>110</v>
      </c>
      <c r="C8" s="389">
        <v>14820981</v>
      </c>
      <c r="D8" s="389">
        <f>SUM(C8:C8)</f>
        <v>14820981</v>
      </c>
      <c r="E8" s="389">
        <v>550000</v>
      </c>
      <c r="F8" s="389">
        <f>SUM(D8:E8)</f>
        <v>15370981</v>
      </c>
      <c r="G8" s="389">
        <f>F8/B8</f>
        <v>139736.19090909092</v>
      </c>
    </row>
    <row r="9" spans="1:7" ht="15.75" customHeight="1" thickBot="1">
      <c r="A9" s="387" t="s">
        <v>27</v>
      </c>
      <c r="B9" s="388">
        <v>57</v>
      </c>
      <c r="C9" s="389">
        <v>13634236</v>
      </c>
      <c r="D9" s="389">
        <f>SUM(C9:C9)</f>
        <v>13634236</v>
      </c>
      <c r="E9" s="389">
        <v>0</v>
      </c>
      <c r="F9" s="389">
        <f>SUM(D9:E9)</f>
        <v>13634236</v>
      </c>
      <c r="G9" s="389">
        <f>F9/B9</f>
        <v>239197.12280701756</v>
      </c>
    </row>
    <row r="10" spans="1:7" ht="15.75" thickBot="1">
      <c r="A10" s="387" t="s">
        <v>20</v>
      </c>
      <c r="B10" s="388">
        <v>19</v>
      </c>
      <c r="C10" s="389">
        <v>4462989</v>
      </c>
      <c r="D10" s="389">
        <f>SUM(C10:C10)</f>
        <v>4462989</v>
      </c>
      <c r="E10" s="389">
        <v>150000</v>
      </c>
      <c r="F10" s="389">
        <f>SUM(D10:E10)</f>
        <v>4612989</v>
      </c>
      <c r="G10" s="389">
        <f>F10/B10</f>
        <v>242788.8947368421</v>
      </c>
    </row>
    <row r="11" spans="1:7" ht="15.75" thickBot="1">
      <c r="A11" s="387" t="s">
        <v>22</v>
      </c>
      <c r="B11" s="388">
        <v>127</v>
      </c>
      <c r="C11" s="389">
        <v>744081</v>
      </c>
      <c r="D11" s="389">
        <f>SUM(C11:C11)</f>
        <v>744081</v>
      </c>
      <c r="E11" s="389">
        <v>1000000</v>
      </c>
      <c r="F11" s="389">
        <f>SUM(D11:E11)</f>
        <v>1744081</v>
      </c>
      <c r="G11" s="389">
        <f>F11/B11</f>
        <v>13732.92125984252</v>
      </c>
    </row>
    <row r="12" spans="1:7" ht="18.75" customHeight="1" thickBot="1">
      <c r="A12" s="387" t="s">
        <v>28</v>
      </c>
      <c r="B12" s="388">
        <v>24</v>
      </c>
      <c r="C12" s="389">
        <v>8250544</v>
      </c>
      <c r="D12" s="389">
        <f>SUM(C12:C12)</f>
        <v>8250544</v>
      </c>
      <c r="E12" s="389">
        <v>327000</v>
      </c>
      <c r="F12" s="389">
        <f>SUM(D12:E12)</f>
        <v>8577544</v>
      </c>
      <c r="G12" s="389">
        <f>F12/B12</f>
        <v>357397.6666666667</v>
      </c>
    </row>
    <row r="13" spans="1:7" ht="15.75" thickBot="1">
      <c r="A13" s="390" t="s">
        <v>321</v>
      </c>
      <c r="B13" s="391">
        <f>SUM(B8:B12)</f>
        <v>337</v>
      </c>
      <c r="C13" s="392">
        <f>SUM(C8:C12)</f>
        <v>41912831</v>
      </c>
      <c r="D13" s="392">
        <f>SUM(D8:D12)</f>
        <v>41912831</v>
      </c>
      <c r="E13" s="392">
        <f>SUM(E8:E12)</f>
        <v>2027000</v>
      </c>
      <c r="F13" s="392">
        <f>SUM(F8:F12)</f>
        <v>43939831</v>
      </c>
      <c r="G13" s="392">
        <f>C13/B13</f>
        <v>124370.41839762611</v>
      </c>
    </row>
    <row r="15" spans="1:7" ht="18" customHeight="1" thickBot="1">
      <c r="A15" s="394" t="s">
        <v>322</v>
      </c>
      <c r="B15" s="395"/>
      <c r="C15" s="384"/>
      <c r="D15" s="384"/>
      <c r="E15" s="384"/>
      <c r="F15" s="384"/>
      <c r="G15" s="384"/>
    </row>
    <row r="16" spans="1:7" ht="57.75" thickBot="1">
      <c r="A16" s="385" t="s">
        <v>314</v>
      </c>
      <c r="B16" s="386" t="s">
        <v>315</v>
      </c>
      <c r="C16" s="386" t="s">
        <v>316</v>
      </c>
      <c r="D16" s="386" t="s">
        <v>317</v>
      </c>
      <c r="E16" s="386" t="s">
        <v>318</v>
      </c>
      <c r="F16" s="386" t="s">
        <v>319</v>
      </c>
      <c r="G16" s="386" t="s">
        <v>320</v>
      </c>
    </row>
    <row r="17" spans="1:7" ht="15.75" thickBot="1">
      <c r="A17" s="387" t="s">
        <v>323</v>
      </c>
      <c r="B17" s="388">
        <v>29</v>
      </c>
      <c r="C17" s="396">
        <f>1535386/30*B17</f>
        <v>1484206.4666666666</v>
      </c>
      <c r="D17" s="389">
        <f>SUM(C17:C17)</f>
        <v>1484206.4666666666</v>
      </c>
      <c r="E17" s="389"/>
      <c r="F17" s="389">
        <f>SUM(D17:E17)</f>
        <v>1484206.4666666666</v>
      </c>
      <c r="G17" s="389">
        <f>F17/B17</f>
        <v>51179.53333333333</v>
      </c>
    </row>
    <row r="18" spans="1:7" ht="15.75" thickBot="1">
      <c r="A18" s="387" t="s">
        <v>324</v>
      </c>
      <c r="B18" s="388">
        <v>1</v>
      </c>
      <c r="C18" s="396">
        <f>1535386/30*B18</f>
        <v>51179.53333333333</v>
      </c>
      <c r="D18" s="389">
        <f>SUM(C18:C18)</f>
        <v>51179.53333333333</v>
      </c>
      <c r="E18" s="389">
        <v>0</v>
      </c>
      <c r="F18" s="389">
        <f>SUM(D18:E18)</f>
        <v>51179.53333333333</v>
      </c>
      <c r="G18" s="389">
        <f>F18/B18</f>
        <v>51179.53333333333</v>
      </c>
    </row>
    <row r="19" spans="1:7" ht="15.75" thickBot="1">
      <c r="A19" s="390" t="s">
        <v>321</v>
      </c>
      <c r="B19" s="391">
        <f>SUM(B17:B18)</f>
        <v>30</v>
      </c>
      <c r="C19" s="397">
        <f>SUM(C17:C18)</f>
        <v>1535386</v>
      </c>
      <c r="D19" s="392">
        <f>SUM(D17:D18)</f>
        <v>1535386</v>
      </c>
      <c r="E19" s="392">
        <f>SUM(E17:E18)</f>
        <v>0</v>
      </c>
      <c r="F19" s="392">
        <f>SUM(F17:F18)</f>
        <v>1535386</v>
      </c>
      <c r="G19" s="392">
        <f>C19/B19</f>
        <v>51179.53333333333</v>
      </c>
    </row>
    <row r="20" spans="1:7" ht="15">
      <c r="A20" s="398"/>
      <c r="B20" s="379"/>
      <c r="C20" s="379"/>
      <c r="D20" s="399"/>
      <c r="E20" s="399"/>
      <c r="F20" s="399"/>
      <c r="G20" s="400"/>
    </row>
    <row r="21" spans="1:7" ht="18.75" customHeight="1" thickBot="1">
      <c r="A21" s="577" t="s">
        <v>325</v>
      </c>
      <c r="B21" s="577"/>
      <c r="C21" s="384"/>
      <c r="D21" s="384"/>
      <c r="E21" s="384"/>
      <c r="F21" s="384"/>
      <c r="G21" s="384"/>
    </row>
    <row r="22" spans="1:7" ht="57.75" thickBot="1">
      <c r="A22" s="385" t="s">
        <v>314</v>
      </c>
      <c r="B22" s="386" t="s">
        <v>326</v>
      </c>
      <c r="C22" s="386" t="s">
        <v>316</v>
      </c>
      <c r="D22" s="386" t="s">
        <v>317</v>
      </c>
      <c r="E22" s="386" t="s">
        <v>318</v>
      </c>
      <c r="F22" s="386" t="s">
        <v>319</v>
      </c>
      <c r="G22" s="386" t="s">
        <v>320</v>
      </c>
    </row>
    <row r="23" spans="1:7" ht="19.5" customHeight="1" thickBot="1">
      <c r="A23" s="387" t="s">
        <v>327</v>
      </c>
      <c r="B23" s="388">
        <v>19</v>
      </c>
      <c r="C23" s="396">
        <v>2415550</v>
      </c>
      <c r="D23" s="389">
        <f>SUM(C23:C23)</f>
        <v>2415550</v>
      </c>
      <c r="E23" s="389">
        <v>0</v>
      </c>
      <c r="F23" s="389">
        <f>SUM(D23:E23)</f>
        <v>2415550</v>
      </c>
      <c r="G23" s="389">
        <f>F23/B23</f>
        <v>127134.21052631579</v>
      </c>
    </row>
    <row r="24" spans="1:7" ht="17.25" customHeight="1" thickBot="1">
      <c r="A24" s="387" t="s">
        <v>323</v>
      </c>
      <c r="B24" s="388">
        <v>2</v>
      </c>
      <c r="C24" s="396">
        <v>0</v>
      </c>
      <c r="D24" s="389">
        <f>SUM(C24:C24)</f>
        <v>0</v>
      </c>
      <c r="E24" s="389">
        <v>0</v>
      </c>
      <c r="F24" s="389">
        <f>SUM(D24:E24)</f>
        <v>0</v>
      </c>
      <c r="G24" s="389">
        <f>F24/B24</f>
        <v>0</v>
      </c>
    </row>
    <row r="25" spans="1:7" ht="15.75" thickBot="1">
      <c r="A25" s="390" t="s">
        <v>321</v>
      </c>
      <c r="B25" s="391">
        <f>SUM(B23:B24)</f>
        <v>21</v>
      </c>
      <c r="C25" s="397">
        <f>SUM(C23:C24)</f>
        <v>2415550</v>
      </c>
      <c r="D25" s="392">
        <f>SUM(D23:D24)</f>
        <v>2415550</v>
      </c>
      <c r="E25" s="392">
        <f>SUM(E23:E24)</f>
        <v>0</v>
      </c>
      <c r="F25" s="392">
        <f>SUM(F23:F24)</f>
        <v>2415550</v>
      </c>
      <c r="G25" s="392">
        <f>C25/B25</f>
        <v>115026.19047619047</v>
      </c>
    </row>
    <row r="26" spans="1:7" ht="15">
      <c r="A26" s="398"/>
      <c r="B26" s="401"/>
      <c r="C26" s="401"/>
      <c r="D26" s="403"/>
      <c r="E26" s="402"/>
      <c r="F26" s="402"/>
      <c r="G26" s="403"/>
    </row>
    <row r="27" spans="1:7" s="393" customFormat="1" ht="15.75" thickBot="1">
      <c r="A27" s="577" t="s">
        <v>335</v>
      </c>
      <c r="B27" s="577"/>
      <c r="C27" s="384"/>
      <c r="D27" s="384"/>
      <c r="E27" s="578"/>
      <c r="F27" s="578"/>
      <c r="G27" s="404"/>
    </row>
    <row r="28" spans="1:7" s="393" customFormat="1" ht="57.75" thickBot="1">
      <c r="A28" s="405" t="s">
        <v>328</v>
      </c>
      <c r="B28" s="386" t="s">
        <v>315</v>
      </c>
      <c r="C28" s="386" t="s">
        <v>316</v>
      </c>
      <c r="D28" s="386" t="s">
        <v>317</v>
      </c>
      <c r="E28" s="386" t="s">
        <v>318</v>
      </c>
      <c r="F28" s="386" t="s">
        <v>319</v>
      </c>
      <c r="G28" s="386" t="s">
        <v>320</v>
      </c>
    </row>
    <row r="29" spans="1:7" s="393" customFormat="1" ht="17.25" customHeight="1" thickBot="1">
      <c r="A29" s="407" t="s">
        <v>329</v>
      </c>
      <c r="B29" s="408">
        <v>4</v>
      </c>
      <c r="C29" s="389">
        <f>ROUND(200000*B29,0)</f>
        <v>800000</v>
      </c>
      <c r="D29" s="389">
        <f aca="true" t="shared" si="0" ref="D29:D34">SUM(C29:C29)</f>
        <v>800000</v>
      </c>
      <c r="E29" s="389">
        <v>0</v>
      </c>
      <c r="F29" s="389">
        <f aca="true" t="shared" si="1" ref="F29:F34">SUM(D29:E29)</f>
        <v>800000</v>
      </c>
      <c r="G29" s="389">
        <f aca="true" t="shared" si="2" ref="G29:G35">C29/B29</f>
        <v>200000</v>
      </c>
    </row>
    <row r="30" spans="1:7" s="393" customFormat="1" ht="15.75" thickBot="1">
      <c r="A30" s="407" t="s">
        <v>332</v>
      </c>
      <c r="B30" s="408">
        <v>7</v>
      </c>
      <c r="C30" s="389">
        <f>4635743-C29</f>
        <v>3835743</v>
      </c>
      <c r="D30" s="389">
        <f t="shared" si="0"/>
        <v>3835743</v>
      </c>
      <c r="E30" s="389">
        <v>0</v>
      </c>
      <c r="F30" s="389">
        <f t="shared" si="1"/>
        <v>3835743</v>
      </c>
      <c r="G30" s="389">
        <f t="shared" si="2"/>
        <v>547963.2857142857</v>
      </c>
    </row>
    <row r="31" spans="1:7" s="393" customFormat="1" ht="15.75" thickBot="1">
      <c r="A31" s="409" t="s">
        <v>330</v>
      </c>
      <c r="B31" s="410">
        <v>1</v>
      </c>
      <c r="C31" s="411">
        <v>0</v>
      </c>
      <c r="D31" s="411">
        <f t="shared" si="0"/>
        <v>0</v>
      </c>
      <c r="E31" s="411">
        <v>0</v>
      </c>
      <c r="F31" s="411">
        <f t="shared" si="1"/>
        <v>0</v>
      </c>
      <c r="G31" s="411">
        <f t="shared" si="2"/>
        <v>0</v>
      </c>
    </row>
    <row r="32" spans="1:7" s="393" customFormat="1" ht="15.75" thickBot="1">
      <c r="A32" s="409" t="s">
        <v>331</v>
      </c>
      <c r="B32" s="410">
        <v>1</v>
      </c>
      <c r="C32" s="411">
        <v>0</v>
      </c>
      <c r="D32" s="411">
        <f t="shared" si="0"/>
        <v>0</v>
      </c>
      <c r="E32" s="411">
        <v>0</v>
      </c>
      <c r="F32" s="411">
        <f t="shared" si="1"/>
        <v>0</v>
      </c>
      <c r="G32" s="411">
        <f t="shared" si="2"/>
        <v>0</v>
      </c>
    </row>
    <row r="33" spans="1:7" s="393" customFormat="1" ht="15.75" thickBot="1">
      <c r="A33" s="409" t="s">
        <v>333</v>
      </c>
      <c r="B33" s="410">
        <v>2</v>
      </c>
      <c r="C33" s="411">
        <v>0</v>
      </c>
      <c r="D33" s="411">
        <f t="shared" si="0"/>
        <v>0</v>
      </c>
      <c r="E33" s="411">
        <v>0</v>
      </c>
      <c r="F33" s="411">
        <f t="shared" si="1"/>
        <v>0</v>
      </c>
      <c r="G33" s="411">
        <f t="shared" si="2"/>
        <v>0</v>
      </c>
    </row>
    <row r="34" spans="1:7" s="393" customFormat="1" ht="15.75" thickBot="1">
      <c r="A34" s="409" t="s">
        <v>336</v>
      </c>
      <c r="B34" s="410">
        <v>1</v>
      </c>
      <c r="C34" s="411">
        <v>0</v>
      </c>
      <c r="D34" s="411">
        <f t="shared" si="0"/>
        <v>0</v>
      </c>
      <c r="E34" s="411">
        <v>0</v>
      </c>
      <c r="F34" s="411">
        <f t="shared" si="1"/>
        <v>0</v>
      </c>
      <c r="G34" s="411">
        <f t="shared" si="2"/>
        <v>0</v>
      </c>
    </row>
    <row r="35" spans="1:7" s="393" customFormat="1" ht="15.75" thickBot="1">
      <c r="A35" s="412" t="s">
        <v>1</v>
      </c>
      <c r="B35" s="413">
        <f>SUM(B29:B34)</f>
        <v>16</v>
      </c>
      <c r="C35" s="414">
        <f>SUM(C29:C34)</f>
        <v>4635743</v>
      </c>
      <c r="D35" s="414">
        <f>SUM(D29:D34)</f>
        <v>4635743</v>
      </c>
      <c r="E35" s="415">
        <f>SUM(E29:E34)</f>
        <v>0</v>
      </c>
      <c r="F35" s="414">
        <f>SUM(F29:F34)</f>
        <v>4635743</v>
      </c>
      <c r="G35" s="392">
        <f t="shared" si="2"/>
        <v>289733.9375</v>
      </c>
    </row>
    <row r="36" spans="1:7" s="393" customFormat="1" ht="15">
      <c r="A36" s="417"/>
      <c r="B36" s="406"/>
      <c r="C36" s="416"/>
      <c r="D36" s="416"/>
      <c r="E36" s="416"/>
      <c r="F36" s="416"/>
      <c r="G36" s="418"/>
    </row>
    <row r="37" spans="1:7" s="393" customFormat="1" ht="15.75" thickBot="1">
      <c r="A37" s="577" t="s">
        <v>352</v>
      </c>
      <c r="B37" s="577"/>
      <c r="C37" s="438" t="s">
        <v>402</v>
      </c>
      <c r="D37" s="384"/>
      <c r="E37" s="578"/>
      <c r="F37" s="578"/>
      <c r="G37" s="404"/>
    </row>
    <row r="38" spans="1:12" s="393" customFormat="1" ht="57.75" thickBot="1">
      <c r="A38" s="427" t="s">
        <v>328</v>
      </c>
      <c r="B38" s="429" t="s">
        <v>353</v>
      </c>
      <c r="C38" s="429" t="s">
        <v>354</v>
      </c>
      <c r="D38" s="429" t="s">
        <v>355</v>
      </c>
      <c r="E38" s="429" t="s">
        <v>356</v>
      </c>
      <c r="F38" s="429" t="s">
        <v>357</v>
      </c>
      <c r="G38" s="429" t="s">
        <v>358</v>
      </c>
      <c r="H38" s="430" t="s">
        <v>359</v>
      </c>
      <c r="I38" s="427" t="s">
        <v>360</v>
      </c>
      <c r="J38" s="427" t="s">
        <v>361</v>
      </c>
      <c r="K38" s="428" t="s">
        <v>362</v>
      </c>
      <c r="L38" s="428" t="s">
        <v>3</v>
      </c>
    </row>
    <row r="39" spans="1:12" s="393" customFormat="1" ht="17.25" customHeight="1" thickBot="1">
      <c r="A39" s="407" t="s">
        <v>332</v>
      </c>
      <c r="B39" s="432">
        <v>0</v>
      </c>
      <c r="C39" s="389">
        <v>0</v>
      </c>
      <c r="D39" s="389">
        <v>0</v>
      </c>
      <c r="E39" s="389">
        <v>2314957</v>
      </c>
      <c r="F39" s="389">
        <v>0</v>
      </c>
      <c r="G39" s="389">
        <v>0</v>
      </c>
      <c r="H39" s="424">
        <v>0</v>
      </c>
      <c r="I39" s="431">
        <v>0</v>
      </c>
      <c r="J39" s="431"/>
      <c r="K39" s="431">
        <v>0</v>
      </c>
      <c r="L39" s="431">
        <f aca="true" t="shared" si="3" ref="L39:L45">B39+C39+D39+E39+F39+G39+H39+I39+J39+K39</f>
        <v>2314957</v>
      </c>
    </row>
    <row r="40" spans="1:12" s="393" customFormat="1" ht="15.75" thickBot="1">
      <c r="A40" s="407" t="s">
        <v>330</v>
      </c>
      <c r="B40" s="432"/>
      <c r="C40" s="389"/>
      <c r="D40" s="389"/>
      <c r="E40" s="389"/>
      <c r="F40" s="389">
        <v>0</v>
      </c>
      <c r="G40" s="389">
        <v>12779</v>
      </c>
      <c r="H40" s="424">
        <v>0</v>
      </c>
      <c r="I40" s="431"/>
      <c r="J40" s="431"/>
      <c r="K40" s="431"/>
      <c r="L40" s="431">
        <f t="shared" si="3"/>
        <v>12779</v>
      </c>
    </row>
    <row r="41" spans="1:12" s="393" customFormat="1" ht="15.75" thickBot="1">
      <c r="A41" s="407" t="s">
        <v>323</v>
      </c>
      <c r="B41" s="432"/>
      <c r="C41" s="423"/>
      <c r="D41" s="423"/>
      <c r="E41" s="423"/>
      <c r="F41" s="423">
        <v>0</v>
      </c>
      <c r="G41" s="423">
        <v>213356</v>
      </c>
      <c r="H41" s="425">
        <v>2093777</v>
      </c>
      <c r="I41" s="431"/>
      <c r="J41" s="431"/>
      <c r="K41" s="431"/>
      <c r="L41" s="431">
        <f t="shared" si="3"/>
        <v>2307133</v>
      </c>
    </row>
    <row r="42" spans="1:12" s="393" customFormat="1" ht="15.75" thickBot="1">
      <c r="A42" s="407" t="s">
        <v>363</v>
      </c>
      <c r="B42" s="432"/>
      <c r="C42" s="423"/>
      <c r="D42" s="423"/>
      <c r="E42" s="423"/>
      <c r="F42" s="423">
        <v>0</v>
      </c>
      <c r="G42" s="423">
        <v>25558</v>
      </c>
      <c r="H42" s="425">
        <v>0</v>
      </c>
      <c r="I42" s="431"/>
      <c r="J42" s="431"/>
      <c r="K42" s="431"/>
      <c r="L42" s="431">
        <f t="shared" si="3"/>
        <v>25558</v>
      </c>
    </row>
    <row r="43" spans="1:12" s="393" customFormat="1" ht="15.75" thickBot="1">
      <c r="A43" s="407" t="s">
        <v>324</v>
      </c>
      <c r="B43" s="432"/>
      <c r="C43" s="423"/>
      <c r="D43" s="423"/>
      <c r="E43" s="423"/>
      <c r="F43" s="423">
        <v>0</v>
      </c>
      <c r="G43" s="423">
        <v>12779</v>
      </c>
      <c r="H43" s="425">
        <v>0</v>
      </c>
      <c r="I43" s="431"/>
      <c r="J43" s="431"/>
      <c r="K43" s="431"/>
      <c r="L43" s="431">
        <f t="shared" si="3"/>
        <v>12779</v>
      </c>
    </row>
    <row r="44" spans="1:12" s="393" customFormat="1" ht="15.75" thickBot="1">
      <c r="A44" s="407" t="s">
        <v>364</v>
      </c>
      <c r="B44" s="432"/>
      <c r="C44" s="423"/>
      <c r="D44" s="423"/>
      <c r="E44" s="423"/>
      <c r="F44" s="423">
        <v>0</v>
      </c>
      <c r="G44" s="423">
        <v>12779</v>
      </c>
      <c r="H44" s="425">
        <v>0</v>
      </c>
      <c r="I44" s="431"/>
      <c r="J44" s="431"/>
      <c r="K44" s="431"/>
      <c r="L44" s="431">
        <f t="shared" si="3"/>
        <v>12779</v>
      </c>
    </row>
    <row r="45" spans="1:12" s="393" customFormat="1" ht="15.75" thickBot="1">
      <c r="A45" s="407" t="s">
        <v>333</v>
      </c>
      <c r="B45" s="432">
        <f>18145054-419000</f>
        <v>17726054</v>
      </c>
      <c r="C45" s="423">
        <f>6184606-633603-89000</f>
        <v>5462003</v>
      </c>
      <c r="D45" s="423">
        <f>3745078-633603</f>
        <v>3111475</v>
      </c>
      <c r="E45" s="423">
        <v>6944873</v>
      </c>
      <c r="F45" s="423">
        <v>6812184</v>
      </c>
      <c r="G45" s="423">
        <f>781062-102000</f>
        <v>679062</v>
      </c>
      <c r="H45" s="425">
        <v>0</v>
      </c>
      <c r="I45" s="431">
        <f>2040257-191000</f>
        <v>1849257</v>
      </c>
      <c r="J45" s="431">
        <f>5468280-89000</f>
        <v>5379280</v>
      </c>
      <c r="K45" s="431">
        <v>109244</v>
      </c>
      <c r="L45" s="431">
        <f t="shared" si="3"/>
        <v>48073432</v>
      </c>
    </row>
    <row r="46" spans="1:12" s="393" customFormat="1" ht="15.75" thickBot="1">
      <c r="A46" s="412" t="s">
        <v>1</v>
      </c>
      <c r="B46" s="414">
        <f aca="true" t="shared" si="4" ref="B46:L46">SUM(B39:B45)</f>
        <v>17726054</v>
      </c>
      <c r="C46" s="414">
        <f t="shared" si="4"/>
        <v>5462003</v>
      </c>
      <c r="D46" s="414">
        <f t="shared" si="4"/>
        <v>3111475</v>
      </c>
      <c r="E46" s="414">
        <f t="shared" si="4"/>
        <v>9259830</v>
      </c>
      <c r="F46" s="415">
        <f t="shared" si="4"/>
        <v>6812184</v>
      </c>
      <c r="G46" s="415">
        <f t="shared" si="4"/>
        <v>956313</v>
      </c>
      <c r="H46" s="426">
        <f t="shared" si="4"/>
        <v>2093777</v>
      </c>
      <c r="I46" s="433">
        <f t="shared" si="4"/>
        <v>1849257</v>
      </c>
      <c r="J46" s="433">
        <f t="shared" si="4"/>
        <v>5379280</v>
      </c>
      <c r="K46" s="433">
        <f t="shared" si="4"/>
        <v>109244</v>
      </c>
      <c r="L46" s="433">
        <f t="shared" si="4"/>
        <v>52759417</v>
      </c>
    </row>
    <row r="47" spans="1:2" ht="15">
      <c r="A47" s="420"/>
      <c r="B47" s="419"/>
    </row>
    <row r="48" spans="1:7" s="393" customFormat="1" ht="15.75" thickBot="1">
      <c r="A48" s="577" t="s">
        <v>352</v>
      </c>
      <c r="B48" s="577"/>
      <c r="C48" s="438" t="s">
        <v>403</v>
      </c>
      <c r="D48" s="384"/>
      <c r="E48" s="578"/>
      <c r="F48" s="578"/>
      <c r="G48" s="404"/>
    </row>
    <row r="49" spans="1:3" s="393" customFormat="1" ht="57.75" thickBot="1">
      <c r="A49" s="427" t="s">
        <v>328</v>
      </c>
      <c r="B49" s="429" t="s">
        <v>405</v>
      </c>
      <c r="C49" s="428" t="s">
        <v>3</v>
      </c>
    </row>
    <row r="50" spans="1:3" s="393" customFormat="1" ht="15.75" thickBot="1">
      <c r="A50" s="407" t="s">
        <v>333</v>
      </c>
      <c r="B50" s="423">
        <v>1267206</v>
      </c>
      <c r="C50" s="431">
        <f>B50</f>
        <v>1267206</v>
      </c>
    </row>
    <row r="51" spans="1:3" s="393" customFormat="1" ht="15.75" thickBot="1">
      <c r="A51" s="412" t="s">
        <v>1</v>
      </c>
      <c r="B51" s="414">
        <f>SUM(B50:B50)</f>
        <v>1267206</v>
      </c>
      <c r="C51" s="433">
        <f>SUM(C50:C50)</f>
        <v>1267206</v>
      </c>
    </row>
    <row r="52" ht="15">
      <c r="A52" s="420"/>
    </row>
    <row r="53" spans="1:7" s="393" customFormat="1" ht="15.75" thickBot="1">
      <c r="A53" s="577" t="s">
        <v>352</v>
      </c>
      <c r="B53" s="577"/>
      <c r="C53" s="438" t="s">
        <v>404</v>
      </c>
      <c r="D53" s="384"/>
      <c r="E53" s="578"/>
      <c r="F53" s="578"/>
      <c r="G53" s="404"/>
    </row>
    <row r="54" spans="1:7" s="393" customFormat="1" ht="43.5" thickBot="1">
      <c r="A54" s="427" t="s">
        <v>328</v>
      </c>
      <c r="B54" s="429" t="s">
        <v>353</v>
      </c>
      <c r="C54" s="429" t="s">
        <v>354</v>
      </c>
      <c r="D54" s="429" t="s">
        <v>358</v>
      </c>
      <c r="E54" s="427" t="s">
        <v>360</v>
      </c>
      <c r="F54" s="427" t="s">
        <v>361</v>
      </c>
      <c r="G54" s="428" t="s">
        <v>3</v>
      </c>
    </row>
    <row r="55" spans="1:7" s="393" customFormat="1" ht="15.75" thickBot="1">
      <c r="A55" s="407" t="s">
        <v>333</v>
      </c>
      <c r="B55" s="432">
        <v>419000</v>
      </c>
      <c r="C55" s="423">
        <v>89000</v>
      </c>
      <c r="D55" s="423">
        <v>102000</v>
      </c>
      <c r="E55" s="431">
        <v>191000</v>
      </c>
      <c r="F55" s="431">
        <v>89000</v>
      </c>
      <c r="G55" s="431">
        <f>B55+C55+D55+E55+F55</f>
        <v>890000</v>
      </c>
    </row>
    <row r="56" spans="1:7" s="393" customFormat="1" ht="15.75" thickBot="1">
      <c r="A56" s="412" t="s">
        <v>1</v>
      </c>
      <c r="B56" s="414">
        <f aca="true" t="shared" si="5" ref="B56:G56">SUM(B55:B55)</f>
        <v>419000</v>
      </c>
      <c r="C56" s="414">
        <f t="shared" si="5"/>
        <v>89000</v>
      </c>
      <c r="D56" s="415">
        <f t="shared" si="5"/>
        <v>102000</v>
      </c>
      <c r="E56" s="433">
        <f t="shared" si="5"/>
        <v>191000</v>
      </c>
      <c r="F56" s="433">
        <f t="shared" si="5"/>
        <v>89000</v>
      </c>
      <c r="G56" s="433">
        <f t="shared" si="5"/>
        <v>890000</v>
      </c>
    </row>
    <row r="57" ht="15">
      <c r="A57" s="420"/>
    </row>
    <row r="58" ht="15">
      <c r="A58" s="420"/>
    </row>
    <row r="59" ht="15">
      <c r="A59" s="420"/>
    </row>
    <row r="60" ht="15">
      <c r="A60" s="420"/>
    </row>
    <row r="61" ht="15">
      <c r="A61" s="420"/>
    </row>
    <row r="62" ht="15">
      <c r="A62" s="420"/>
    </row>
    <row r="63" ht="15">
      <c r="A63" s="420"/>
    </row>
    <row r="64" ht="15">
      <c r="A64" s="420"/>
    </row>
    <row r="65" ht="15">
      <c r="A65" s="420"/>
    </row>
    <row r="66" ht="15">
      <c r="A66" s="420"/>
    </row>
    <row r="67" ht="15">
      <c r="A67" s="420"/>
    </row>
    <row r="68" ht="15">
      <c r="A68" s="420"/>
    </row>
    <row r="69" ht="15">
      <c r="A69" s="420"/>
    </row>
    <row r="70" ht="15">
      <c r="A70" s="420"/>
    </row>
    <row r="71" ht="15">
      <c r="A71" s="420"/>
    </row>
    <row r="72" ht="15">
      <c r="A72" s="420"/>
    </row>
    <row r="73" ht="15">
      <c r="A73" s="420"/>
    </row>
    <row r="74" ht="15">
      <c r="A74" s="420"/>
    </row>
    <row r="75" ht="15">
      <c r="A75" s="420"/>
    </row>
    <row r="76" ht="15">
      <c r="A76" s="420"/>
    </row>
    <row r="77" ht="15">
      <c r="A77" s="420"/>
    </row>
    <row r="78" ht="15">
      <c r="A78" s="420"/>
    </row>
    <row r="79" ht="15">
      <c r="A79" s="420"/>
    </row>
    <row r="80" ht="15">
      <c r="A80" s="420"/>
    </row>
    <row r="81" ht="15">
      <c r="A81" s="420"/>
    </row>
    <row r="82" ht="15">
      <c r="A82" s="420"/>
    </row>
    <row r="83" ht="15">
      <c r="A83" s="420"/>
    </row>
    <row r="84" ht="15">
      <c r="A84" s="420"/>
    </row>
    <row r="85" ht="15">
      <c r="A85" s="420"/>
    </row>
    <row r="86" ht="15">
      <c r="A86" s="420"/>
    </row>
    <row r="87" ht="15">
      <c r="A87" s="420"/>
    </row>
    <row r="88" ht="15">
      <c r="A88" s="420"/>
    </row>
    <row r="89" ht="15">
      <c r="A89" s="420"/>
    </row>
    <row r="90" ht="15">
      <c r="A90" s="420"/>
    </row>
    <row r="91" ht="15">
      <c r="A91" s="420"/>
    </row>
    <row r="92" ht="15">
      <c r="A92" s="420"/>
    </row>
    <row r="93" ht="15">
      <c r="A93" s="420"/>
    </row>
    <row r="94" ht="15">
      <c r="A94" s="420"/>
    </row>
  </sheetData>
  <sheetProtection/>
  <mergeCells count="10">
    <mergeCell ref="A48:B48"/>
    <mergeCell ref="E48:F48"/>
    <mergeCell ref="A53:B53"/>
    <mergeCell ref="E53:F53"/>
    <mergeCell ref="A3:D3"/>
    <mergeCell ref="A21:B21"/>
    <mergeCell ref="A27:B27"/>
    <mergeCell ref="E27:F27"/>
    <mergeCell ref="A37:B37"/>
    <mergeCell ref="E37:F3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8" customWidth="1"/>
    <col min="2" max="2" width="27.875" style="8" customWidth="1"/>
    <col min="3" max="3" width="10.25390625" style="8" customWidth="1"/>
    <col min="4" max="4" width="11.00390625" style="8" customWidth="1"/>
    <col min="5" max="5" width="11.00390625" style="2" customWidth="1"/>
    <col min="6" max="6" width="11.00390625" style="8" customWidth="1"/>
    <col min="7" max="8" width="11.00390625" style="2" customWidth="1"/>
    <col min="9" max="9" width="11.125" style="8" customWidth="1"/>
    <col min="10" max="10" width="12.75390625" style="8" customWidth="1"/>
    <col min="11" max="11" width="13.75390625" style="8" customWidth="1"/>
    <col min="12" max="39" width="9.125" style="8" customWidth="1"/>
    <col min="40" max="42" width="0" style="8" hidden="1" customWidth="1"/>
    <col min="43" max="16384" width="9.125" style="8" customWidth="1"/>
  </cols>
  <sheetData>
    <row r="1" spans="1:8" ht="13.5">
      <c r="A1" s="569" t="s">
        <v>449</v>
      </c>
      <c r="B1" s="569"/>
      <c r="C1" s="569"/>
      <c r="D1" s="569"/>
      <c r="E1" s="3"/>
      <c r="F1" s="3"/>
      <c r="G1" s="3"/>
      <c r="H1" s="3"/>
    </row>
    <row r="2" spans="2:13" ht="12.75">
      <c r="B2" s="580" t="s">
        <v>6</v>
      </c>
      <c r="C2" s="580"/>
      <c r="D2" s="580"/>
      <c r="E2" s="580"/>
      <c r="F2" s="580"/>
      <c r="G2" s="580"/>
      <c r="H2" s="580"/>
      <c r="I2" s="580"/>
      <c r="J2" s="334"/>
      <c r="K2" s="334"/>
      <c r="L2" s="334"/>
      <c r="M2" s="334"/>
    </row>
    <row r="3" spans="2:13" ht="12.75" customHeight="1">
      <c r="B3" s="580" t="s">
        <v>406</v>
      </c>
      <c r="C3" s="580"/>
      <c r="D3" s="580"/>
      <c r="E3" s="580"/>
      <c r="F3" s="580"/>
      <c r="G3" s="580"/>
      <c r="H3" s="580"/>
      <c r="I3" s="580"/>
      <c r="J3" s="334"/>
      <c r="K3" s="334"/>
      <c r="L3" s="334"/>
      <c r="M3" s="334"/>
    </row>
    <row r="4" ht="12.75" customHeight="1" thickBot="1">
      <c r="B4" s="9"/>
    </row>
    <row r="5" spans="1:9" s="10" customFormat="1" ht="27" customHeight="1" thickBot="1">
      <c r="A5" s="328"/>
      <c r="B5" s="329"/>
      <c r="C5" s="330">
        <v>2017</v>
      </c>
      <c r="D5" s="330">
        <v>2018</v>
      </c>
      <c r="E5" s="330">
        <v>2019</v>
      </c>
      <c r="F5" s="330">
        <v>2020</v>
      </c>
      <c r="G5" s="330">
        <v>2021</v>
      </c>
      <c r="H5" s="331" t="s">
        <v>258</v>
      </c>
      <c r="I5" s="332" t="s">
        <v>3</v>
      </c>
    </row>
    <row r="6" spans="1:9" ht="21" customHeight="1">
      <c r="A6" s="310" t="s">
        <v>2</v>
      </c>
      <c r="B6" s="311" t="s">
        <v>257</v>
      </c>
      <c r="C6" s="312">
        <f>22983000+6327000</f>
        <v>29310000</v>
      </c>
      <c r="D6" s="313">
        <f>41600000+753000</f>
        <v>42353000</v>
      </c>
      <c r="E6" s="313">
        <f>19909000+4594000-3899000</f>
        <v>20604000</v>
      </c>
      <c r="F6" s="313"/>
      <c r="G6" s="313"/>
      <c r="H6" s="312"/>
      <c r="I6" s="314">
        <f aca="true" t="shared" si="0" ref="I6:I17">SUM(C6:H6)</f>
        <v>92267000</v>
      </c>
    </row>
    <row r="7" spans="1:9" ht="21" customHeight="1">
      <c r="A7" s="315"/>
      <c r="B7" s="316" t="s">
        <v>232</v>
      </c>
      <c r="C7" s="317">
        <v>21834000</v>
      </c>
      <c r="D7" s="318">
        <v>40235350</v>
      </c>
      <c r="E7" s="318">
        <f>18914000-10849350</f>
        <v>8064650</v>
      </c>
      <c r="F7" s="318"/>
      <c r="G7" s="318"/>
      <c r="H7" s="317"/>
      <c r="I7" s="319">
        <f t="shared" si="0"/>
        <v>70134000</v>
      </c>
    </row>
    <row r="8" spans="1:9" ht="21" customHeight="1" thickBot="1">
      <c r="A8" s="320"/>
      <c r="B8" s="321" t="s">
        <v>235</v>
      </c>
      <c r="C8" s="322">
        <f>1149000+6327000</f>
        <v>7476000</v>
      </c>
      <c r="D8" s="323">
        <v>2117650</v>
      </c>
      <c r="E8" s="323">
        <f>995000+4594000+6950350</f>
        <v>12539350</v>
      </c>
      <c r="F8" s="323"/>
      <c r="G8" s="323"/>
      <c r="H8" s="322"/>
      <c r="I8" s="324">
        <f t="shared" si="0"/>
        <v>22133000</v>
      </c>
    </row>
    <row r="9" spans="1:9" ht="32.25" customHeight="1">
      <c r="A9" s="310" t="s">
        <v>229</v>
      </c>
      <c r="B9" s="311" t="s">
        <v>228</v>
      </c>
      <c r="C9" s="312">
        <v>24664207</v>
      </c>
      <c r="D9" s="313">
        <v>5335793</v>
      </c>
      <c r="E9" s="313"/>
      <c r="F9" s="313"/>
      <c r="G9" s="313"/>
      <c r="H9" s="312"/>
      <c r="I9" s="314">
        <f t="shared" si="0"/>
        <v>30000000</v>
      </c>
    </row>
    <row r="10" spans="1:9" ht="21" customHeight="1">
      <c r="A10" s="315"/>
      <c r="B10" s="316" t="s">
        <v>232</v>
      </c>
      <c r="C10" s="317">
        <v>24664207</v>
      </c>
      <c r="D10" s="318">
        <v>5335793</v>
      </c>
      <c r="E10" s="318"/>
      <c r="F10" s="318"/>
      <c r="G10" s="318"/>
      <c r="H10" s="317"/>
      <c r="I10" s="319">
        <f t="shared" si="0"/>
        <v>30000000</v>
      </c>
    </row>
    <row r="11" spans="1:9" ht="21" customHeight="1" thickBot="1">
      <c r="A11" s="320"/>
      <c r="B11" s="321" t="s">
        <v>235</v>
      </c>
      <c r="C11" s="322"/>
      <c r="D11" s="323"/>
      <c r="E11" s="323"/>
      <c r="F11" s="323"/>
      <c r="G11" s="323"/>
      <c r="H11" s="322"/>
      <c r="I11" s="324">
        <f t="shared" si="0"/>
        <v>0</v>
      </c>
    </row>
    <row r="12" spans="1:9" ht="21" customHeight="1">
      <c r="A12" s="310" t="s">
        <v>230</v>
      </c>
      <c r="B12" s="311" t="s">
        <v>231</v>
      </c>
      <c r="C12" s="312">
        <f>31366000+2380000</f>
        <v>33746000</v>
      </c>
      <c r="D12" s="313">
        <v>17251596</v>
      </c>
      <c r="E12" s="313">
        <v>11297000</v>
      </c>
      <c r="F12" s="313">
        <f>10842000-7726596</f>
        <v>3115404</v>
      </c>
      <c r="G12" s="313"/>
      <c r="H12" s="312"/>
      <c r="I12" s="314">
        <f t="shared" si="0"/>
        <v>65410000</v>
      </c>
    </row>
    <row r="13" spans="1:9" ht="21" customHeight="1">
      <c r="A13" s="315"/>
      <c r="B13" s="316" t="s">
        <v>232</v>
      </c>
      <c r="C13" s="317">
        <f>C12</f>
        <v>33746000</v>
      </c>
      <c r="D13" s="318">
        <f>D12</f>
        <v>17251596</v>
      </c>
      <c r="E13" s="318">
        <f>E12</f>
        <v>11297000</v>
      </c>
      <c r="F13" s="318">
        <f>F12</f>
        <v>3115404</v>
      </c>
      <c r="G13" s="318"/>
      <c r="H13" s="317"/>
      <c r="I13" s="319">
        <f t="shared" si="0"/>
        <v>65410000</v>
      </c>
    </row>
    <row r="14" spans="1:9" ht="21" customHeight="1" thickBot="1">
      <c r="A14" s="320"/>
      <c r="B14" s="321" t="s">
        <v>235</v>
      </c>
      <c r="C14" s="322"/>
      <c r="D14" s="323"/>
      <c r="E14" s="323"/>
      <c r="F14" s="323"/>
      <c r="G14" s="323"/>
      <c r="H14" s="322"/>
      <c r="I14" s="324">
        <f t="shared" si="0"/>
        <v>0</v>
      </c>
    </row>
    <row r="15" spans="1:9" s="10" customFormat="1" ht="21.75" customHeight="1">
      <c r="A15" s="310"/>
      <c r="B15" s="325" t="s">
        <v>1</v>
      </c>
      <c r="C15" s="325">
        <f aca="true" t="shared" si="1" ref="C15:H17">C12+C9+C6</f>
        <v>87720207</v>
      </c>
      <c r="D15" s="325">
        <f t="shared" si="1"/>
        <v>64940389</v>
      </c>
      <c r="E15" s="325">
        <f t="shared" si="1"/>
        <v>31901000</v>
      </c>
      <c r="F15" s="325">
        <f t="shared" si="1"/>
        <v>3115404</v>
      </c>
      <c r="G15" s="325">
        <f t="shared" si="1"/>
        <v>0</v>
      </c>
      <c r="H15" s="325">
        <f t="shared" si="1"/>
        <v>0</v>
      </c>
      <c r="I15" s="314">
        <f t="shared" si="0"/>
        <v>187677000</v>
      </c>
    </row>
    <row r="16" spans="1:10" ht="19.5" customHeight="1">
      <c r="A16" s="326"/>
      <c r="B16" s="316" t="s">
        <v>232</v>
      </c>
      <c r="C16" s="317">
        <f t="shared" si="1"/>
        <v>80244207</v>
      </c>
      <c r="D16" s="317">
        <f t="shared" si="1"/>
        <v>62822739</v>
      </c>
      <c r="E16" s="317">
        <f t="shared" si="1"/>
        <v>19361650</v>
      </c>
      <c r="F16" s="317">
        <f t="shared" si="1"/>
        <v>3115404</v>
      </c>
      <c r="G16" s="317">
        <f t="shared" si="1"/>
        <v>0</v>
      </c>
      <c r="H16" s="317">
        <f t="shared" si="1"/>
        <v>0</v>
      </c>
      <c r="I16" s="319">
        <f t="shared" si="0"/>
        <v>165544000</v>
      </c>
      <c r="J16" s="9"/>
    </row>
    <row r="17" spans="1:10" ht="19.5" customHeight="1" thickBot="1">
      <c r="A17" s="327"/>
      <c r="B17" s="321" t="s">
        <v>235</v>
      </c>
      <c r="C17" s="333">
        <f t="shared" si="1"/>
        <v>7476000</v>
      </c>
      <c r="D17" s="333">
        <f t="shared" si="1"/>
        <v>2117650</v>
      </c>
      <c r="E17" s="333">
        <f t="shared" si="1"/>
        <v>12539350</v>
      </c>
      <c r="F17" s="333">
        <f t="shared" si="1"/>
        <v>0</v>
      </c>
      <c r="G17" s="333">
        <f t="shared" si="1"/>
        <v>0</v>
      </c>
      <c r="H17" s="333">
        <f t="shared" si="1"/>
        <v>0</v>
      </c>
      <c r="I17" s="324">
        <f t="shared" si="0"/>
        <v>22133000</v>
      </c>
      <c r="J17" s="309"/>
    </row>
    <row r="18" spans="2:10" ht="12.75">
      <c r="B18" s="309"/>
      <c r="C18" s="309"/>
      <c r="D18" s="309"/>
      <c r="E18" s="309"/>
      <c r="F18" s="309"/>
      <c r="G18" s="309"/>
      <c r="H18" s="309"/>
      <c r="I18" s="309"/>
      <c r="J18" s="309"/>
    </row>
  </sheetData>
  <sheetProtection/>
  <mergeCells count="3">
    <mergeCell ref="A1:D1"/>
    <mergeCell ref="B2:I2"/>
    <mergeCell ref="B3:I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27.625" style="309" customWidth="1"/>
    <col min="2" max="2" width="8.25390625" style="9" customWidth="1"/>
    <col min="3" max="3" width="9.75390625" style="9" customWidth="1"/>
    <col min="4" max="4" width="8.625" style="9" customWidth="1"/>
    <col min="5" max="5" width="10.875" style="9" customWidth="1"/>
    <col min="6" max="6" width="10.375" style="9" bestFit="1" customWidth="1"/>
    <col min="7" max="16384" width="9.125" style="8" customWidth="1"/>
  </cols>
  <sheetData>
    <row r="1" spans="1:4" ht="13.5">
      <c r="A1" s="569" t="s">
        <v>450</v>
      </c>
      <c r="B1" s="569"/>
      <c r="C1" s="569"/>
      <c r="D1" s="569"/>
    </row>
    <row r="2" spans="1:7" ht="13.5">
      <c r="A2" s="585" t="s">
        <v>6</v>
      </c>
      <c r="B2" s="586"/>
      <c r="C2" s="586"/>
      <c r="D2" s="586"/>
      <c r="E2" s="586"/>
      <c r="F2" s="586"/>
      <c r="G2" s="586"/>
    </row>
    <row r="3" spans="1:7" ht="12.75">
      <c r="A3" s="583" t="s">
        <v>259</v>
      </c>
      <c r="B3" s="583"/>
      <c r="C3" s="583"/>
      <c r="D3" s="583"/>
      <c r="E3" s="584"/>
      <c r="F3" s="584"/>
      <c r="G3" s="584"/>
    </row>
    <row r="4" spans="1:5" ht="12.75">
      <c r="A4" s="335"/>
      <c r="B4" s="582" t="s">
        <v>407</v>
      </c>
      <c r="C4" s="582"/>
      <c r="D4" s="582"/>
      <c r="E4" s="337"/>
    </row>
    <row r="5" spans="1:5" ht="12.75">
      <c r="A5" s="335"/>
      <c r="B5" s="336"/>
      <c r="C5" s="336"/>
      <c r="D5" s="336"/>
      <c r="E5" s="337"/>
    </row>
    <row r="6" spans="1:7" ht="13.5">
      <c r="A6" s="589" t="s">
        <v>260</v>
      </c>
      <c r="B6" s="590"/>
      <c r="C6" s="590"/>
      <c r="D6" s="590"/>
      <c r="E6" s="590"/>
      <c r="F6" s="590"/>
      <c r="G6" s="590"/>
    </row>
    <row r="7" spans="1:5" ht="26.25" customHeight="1">
      <c r="A7" s="591" t="s">
        <v>261</v>
      </c>
      <c r="B7" s="584"/>
      <c r="C7" s="584"/>
      <c r="D7" s="584"/>
      <c r="E7" s="340">
        <v>98845055</v>
      </c>
    </row>
    <row r="8" spans="1:5" ht="38.25">
      <c r="A8" s="335" t="s">
        <v>262</v>
      </c>
      <c r="B8" s="336"/>
      <c r="C8" s="336"/>
      <c r="D8" s="336"/>
      <c r="E8" s="341">
        <v>33402176</v>
      </c>
    </row>
    <row r="9" spans="1:5" ht="12.75">
      <c r="A9" s="342" t="s">
        <v>263</v>
      </c>
      <c r="B9" s="336"/>
      <c r="C9" s="336"/>
      <c r="D9" s="336"/>
      <c r="E9" s="337">
        <f>E7-E8</f>
        <v>65442879</v>
      </c>
    </row>
    <row r="10" spans="1:5" ht="12.75">
      <c r="A10" s="335"/>
      <c r="B10" s="336"/>
      <c r="C10" s="336"/>
      <c r="D10" s="336"/>
      <c r="E10" s="337"/>
    </row>
    <row r="11" spans="1:6" s="345" customFormat="1" ht="25.5">
      <c r="A11" s="342" t="s">
        <v>264</v>
      </c>
      <c r="B11" s="336"/>
      <c r="C11" s="336"/>
      <c r="D11" s="336"/>
      <c r="E11" s="343">
        <v>150000</v>
      </c>
      <c r="F11" s="344"/>
    </row>
    <row r="12" spans="1:5" ht="12.75">
      <c r="A12" s="335"/>
      <c r="B12" s="336"/>
      <c r="C12" s="336"/>
      <c r="D12" s="336"/>
      <c r="E12" s="337"/>
    </row>
    <row r="13" spans="1:5" ht="13.5">
      <c r="A13" s="589" t="s">
        <v>265</v>
      </c>
      <c r="B13" s="590"/>
      <c r="C13" s="346"/>
      <c r="D13" s="346"/>
      <c r="E13" s="347">
        <f>E8+E11</f>
        <v>33552176</v>
      </c>
    </row>
    <row r="14" spans="1:5" ht="13.5">
      <c r="A14" s="338"/>
      <c r="B14" s="339"/>
      <c r="C14" s="346"/>
      <c r="D14" s="346"/>
      <c r="E14" s="347"/>
    </row>
    <row r="15" spans="1:7" ht="13.5">
      <c r="A15" s="589" t="s">
        <v>266</v>
      </c>
      <c r="B15" s="584"/>
      <c r="C15" s="584"/>
      <c r="D15" s="584"/>
      <c r="E15" s="584"/>
      <c r="F15" s="584"/>
      <c r="G15" s="584"/>
    </row>
    <row r="16" spans="1:7" ht="12.75">
      <c r="A16" s="593" t="s">
        <v>308</v>
      </c>
      <c r="B16" s="584"/>
      <c r="C16" s="584"/>
      <c r="D16" s="584"/>
      <c r="E16" s="584"/>
      <c r="F16" s="584"/>
      <c r="G16" s="584"/>
    </row>
    <row r="17" spans="1:5" ht="12.75">
      <c r="A17" s="335"/>
      <c r="B17" s="336"/>
      <c r="C17" s="336"/>
      <c r="D17" s="336"/>
      <c r="E17" s="337"/>
    </row>
    <row r="18" spans="1:7" s="345" customFormat="1" ht="13.5">
      <c r="A18" s="587" t="s">
        <v>267</v>
      </c>
      <c r="B18" s="588"/>
      <c r="C18" s="588"/>
      <c r="D18" s="588"/>
      <c r="E18" s="588"/>
      <c r="F18" s="588"/>
      <c r="G18" s="588"/>
    </row>
    <row r="19" spans="1:7" ht="12.75">
      <c r="A19" s="348" t="s">
        <v>8</v>
      </c>
      <c r="B19" s="349"/>
      <c r="C19" s="349"/>
      <c r="D19" s="349"/>
      <c r="E19" s="3">
        <v>48091620</v>
      </c>
      <c r="F19" s="3"/>
      <c r="G19" s="2"/>
    </row>
    <row r="20" spans="1:7" s="353" customFormat="1" ht="12.75">
      <c r="A20" s="350" t="s">
        <v>268</v>
      </c>
      <c r="B20" s="351"/>
      <c r="C20" s="351"/>
      <c r="D20" s="351"/>
      <c r="E20" s="352">
        <v>3883195</v>
      </c>
      <c r="F20" s="352"/>
      <c r="G20" s="25"/>
    </row>
    <row r="21" spans="1:7" s="345" customFormat="1" ht="12.75">
      <c r="A21" s="348" t="s">
        <v>263</v>
      </c>
      <c r="B21" s="354"/>
      <c r="C21" s="354"/>
      <c r="D21" s="354"/>
      <c r="E21" s="355">
        <f>E19-E20</f>
        <v>44208425</v>
      </c>
      <c r="F21" s="355"/>
      <c r="G21" s="5"/>
    </row>
    <row r="22" spans="1:7" s="345" customFormat="1" ht="12.75">
      <c r="A22" s="348"/>
      <c r="B22" s="354"/>
      <c r="C22" s="354"/>
      <c r="D22" s="354"/>
      <c r="E22" s="355"/>
      <c r="F22" s="355"/>
      <c r="G22" s="5"/>
    </row>
    <row r="23" spans="1:7" ht="15" customHeight="1">
      <c r="A23" s="356"/>
      <c r="B23" s="349"/>
      <c r="C23" s="349"/>
      <c r="D23" s="349"/>
      <c r="E23" s="439">
        <v>1</v>
      </c>
      <c r="F23" s="439">
        <v>0.4</v>
      </c>
      <c r="G23" s="2"/>
    </row>
    <row r="24" spans="1:7" ht="12.75">
      <c r="A24" s="348" t="s">
        <v>269</v>
      </c>
      <c r="B24" s="349"/>
      <c r="C24" s="349"/>
      <c r="D24" s="349"/>
      <c r="E24" s="3">
        <v>96371364</v>
      </c>
      <c r="F24" s="3">
        <v>38548545</v>
      </c>
      <c r="G24" s="2"/>
    </row>
    <row r="25" spans="1:7" ht="12.75">
      <c r="A25" s="356" t="s">
        <v>270</v>
      </c>
      <c r="B25" s="349"/>
      <c r="C25" s="349"/>
      <c r="D25" s="349"/>
      <c r="E25" s="3">
        <v>4255414</v>
      </c>
      <c r="F25" s="3">
        <v>1702165</v>
      </c>
      <c r="G25" s="2"/>
    </row>
    <row r="26" spans="1:7" ht="12.75">
      <c r="A26" s="356" t="s">
        <v>271</v>
      </c>
      <c r="B26" s="349"/>
      <c r="C26" s="349"/>
      <c r="D26" s="349"/>
      <c r="E26" s="3">
        <v>2501240</v>
      </c>
      <c r="F26" s="3">
        <v>1000496</v>
      </c>
      <c r="G26" s="2"/>
    </row>
    <row r="27" spans="1:7" s="10" customFormat="1" ht="13.5">
      <c r="A27" s="348" t="s">
        <v>263</v>
      </c>
      <c r="B27" s="357"/>
      <c r="C27" s="357"/>
      <c r="D27" s="357"/>
      <c r="E27" s="358">
        <f>E24-E25-E26</f>
        <v>89614710</v>
      </c>
      <c r="F27" s="358">
        <f>F24-F25-F26</f>
        <v>35845884</v>
      </c>
      <c r="G27" s="359"/>
    </row>
    <row r="28" spans="1:7" ht="12.75">
      <c r="A28" s="356"/>
      <c r="B28" s="360"/>
      <c r="C28" s="360"/>
      <c r="D28" s="360"/>
      <c r="E28" s="3"/>
      <c r="F28" s="3"/>
      <c r="G28" s="2"/>
    </row>
    <row r="29" spans="1:7" ht="28.5" customHeight="1">
      <c r="A29" s="581" t="s">
        <v>272</v>
      </c>
      <c r="B29" s="581"/>
      <c r="C29" s="581"/>
      <c r="D29" s="581"/>
      <c r="E29" s="358">
        <f>E20+(E25+E26)*0.4</f>
        <v>6585856.6</v>
      </c>
      <c r="F29" s="3"/>
      <c r="G29" s="2"/>
    </row>
    <row r="30" spans="1:4" ht="12.75">
      <c r="A30" s="335"/>
      <c r="B30" s="346"/>
      <c r="C30" s="346"/>
      <c r="D30" s="346"/>
    </row>
    <row r="31" spans="1:7" ht="13.5">
      <c r="A31" s="592" t="s">
        <v>273</v>
      </c>
      <c r="B31" s="584"/>
      <c r="C31" s="584"/>
      <c r="D31" s="584"/>
      <c r="E31" s="584"/>
      <c r="F31" s="584"/>
      <c r="G31" s="584"/>
    </row>
    <row r="32" spans="1:4" ht="27" customHeight="1">
      <c r="A32" s="596" t="s">
        <v>274</v>
      </c>
      <c r="B32" s="584"/>
      <c r="C32" s="584"/>
      <c r="D32" s="346"/>
    </row>
    <row r="33" spans="1:5" ht="12.75">
      <c r="A33" s="596" t="s">
        <v>309</v>
      </c>
      <c r="B33" s="584"/>
      <c r="C33" s="584"/>
      <c r="D33" s="584"/>
      <c r="E33" s="3"/>
    </row>
    <row r="34" spans="1:4" ht="12.75">
      <c r="A34" s="335"/>
      <c r="B34" s="346"/>
      <c r="C34" s="346"/>
      <c r="D34" s="346"/>
    </row>
    <row r="35" spans="1:5" ht="13.5">
      <c r="A35" s="589" t="s">
        <v>265</v>
      </c>
      <c r="B35" s="590"/>
      <c r="C35" s="346"/>
      <c r="D35" s="346"/>
      <c r="E35" s="347">
        <f>E33</f>
        <v>0</v>
      </c>
    </row>
    <row r="36" spans="1:4" ht="12.75">
      <c r="A36" s="335"/>
      <c r="B36" s="346"/>
      <c r="C36" s="346"/>
      <c r="D36" s="346"/>
    </row>
    <row r="37" spans="1:7" ht="13.5">
      <c r="A37" s="589" t="s">
        <v>275</v>
      </c>
      <c r="B37" s="590"/>
      <c r="C37" s="590"/>
      <c r="D37" s="590"/>
      <c r="E37" s="590"/>
      <c r="F37" s="590"/>
      <c r="G37" s="590"/>
    </row>
    <row r="38" spans="1:5" ht="12.75">
      <c r="A38" s="596" t="s">
        <v>276</v>
      </c>
      <c r="B38" s="584"/>
      <c r="C38" s="584"/>
      <c r="D38" s="346"/>
      <c r="E38" s="3"/>
    </row>
    <row r="39" spans="1:5" ht="12.75">
      <c r="A39" s="335" t="s">
        <v>268</v>
      </c>
      <c r="B39" s="361"/>
      <c r="C39" s="361"/>
      <c r="D39" s="361"/>
      <c r="E39" s="3"/>
    </row>
    <row r="40" spans="1:6" s="10" customFormat="1" ht="13.5">
      <c r="A40" s="342" t="s">
        <v>263</v>
      </c>
      <c r="B40" s="362"/>
      <c r="C40" s="362"/>
      <c r="D40" s="362"/>
      <c r="E40" s="344">
        <f>E38-E39</f>
        <v>0</v>
      </c>
      <c r="F40" s="347"/>
    </row>
    <row r="41" spans="1:4" ht="12.75">
      <c r="A41" s="335"/>
      <c r="B41" s="346"/>
      <c r="C41" s="346"/>
      <c r="D41" s="346"/>
    </row>
    <row r="42" spans="1:5" ht="13.5">
      <c r="A42" s="589" t="s">
        <v>265</v>
      </c>
      <c r="B42" s="590"/>
      <c r="C42" s="346"/>
      <c r="D42" s="346"/>
      <c r="E42" s="347">
        <f>E39</f>
        <v>0</v>
      </c>
    </row>
    <row r="43" spans="1:4" ht="12.75">
      <c r="A43" s="335"/>
      <c r="B43" s="346"/>
      <c r="C43" s="346"/>
      <c r="D43" s="346"/>
    </row>
    <row r="44" spans="1:6" s="345" customFormat="1" ht="12.75">
      <c r="A44" s="594" t="s">
        <v>277</v>
      </c>
      <c r="B44" s="595"/>
      <c r="C44" s="595"/>
      <c r="D44" s="363"/>
      <c r="E44" s="344">
        <f>E42+E35+E29+E13</f>
        <v>40138032.6</v>
      </c>
      <c r="F44" s="344"/>
    </row>
    <row r="45" spans="1:4" ht="12.75">
      <c r="A45" s="335"/>
      <c r="B45" s="346"/>
      <c r="C45" s="346"/>
      <c r="D45" s="346"/>
    </row>
  </sheetData>
  <sheetProtection/>
  <mergeCells count="19">
    <mergeCell ref="A31:G31"/>
    <mergeCell ref="A16:G16"/>
    <mergeCell ref="A44:C44"/>
    <mergeCell ref="A32:C32"/>
    <mergeCell ref="A33:D33"/>
    <mergeCell ref="A35:B35"/>
    <mergeCell ref="A37:G37"/>
    <mergeCell ref="A38:C38"/>
    <mergeCell ref="A42:B42"/>
    <mergeCell ref="A1:D1"/>
    <mergeCell ref="A29:D29"/>
    <mergeCell ref="B4:D4"/>
    <mergeCell ref="A3:G3"/>
    <mergeCell ref="A2:G2"/>
    <mergeCell ref="A18:G18"/>
    <mergeCell ref="A6:G6"/>
    <mergeCell ref="A7:D7"/>
    <mergeCell ref="A13:B13"/>
    <mergeCell ref="A15:G15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2" max="2" width="12.25390625" style="0" bestFit="1" customWidth="1"/>
    <col min="3" max="5" width="10.875" style="0" bestFit="1" customWidth="1"/>
    <col min="6" max="6" width="12.25390625" style="0" bestFit="1" customWidth="1"/>
    <col min="7" max="9" width="11.375" style="0" bestFit="1" customWidth="1"/>
    <col min="10" max="13" width="10.875" style="0" bestFit="1" customWidth="1"/>
    <col min="14" max="14" width="12.875" style="0" bestFit="1" customWidth="1"/>
  </cols>
  <sheetData>
    <row r="1" spans="1:14" ht="13.5">
      <c r="A1" s="16" t="s">
        <v>451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3.5">
      <c r="A2" s="16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2.75">
      <c r="A3" s="597" t="s">
        <v>444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</row>
    <row r="4" spans="1:14" ht="12.7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</row>
    <row r="5" spans="1:14" ht="12.75">
      <c r="A5" s="443"/>
      <c r="B5" s="444" t="s">
        <v>408</v>
      </c>
      <c r="C5" s="444" t="s">
        <v>409</v>
      </c>
      <c r="D5" s="444" t="s">
        <v>410</v>
      </c>
      <c r="E5" s="444" t="s">
        <v>411</v>
      </c>
      <c r="F5" s="444" t="s">
        <v>412</v>
      </c>
      <c r="G5" s="444" t="s">
        <v>413</v>
      </c>
      <c r="H5" s="444" t="s">
        <v>414</v>
      </c>
      <c r="I5" s="444" t="s">
        <v>415</v>
      </c>
      <c r="J5" s="444" t="s">
        <v>416</v>
      </c>
      <c r="K5" s="444" t="s">
        <v>417</v>
      </c>
      <c r="L5" s="444" t="s">
        <v>418</v>
      </c>
      <c r="M5" s="444" t="s">
        <v>419</v>
      </c>
      <c r="N5" s="445" t="s">
        <v>3</v>
      </c>
    </row>
    <row r="6" spans="1:14" ht="22.5">
      <c r="A6" s="452" t="s">
        <v>420</v>
      </c>
      <c r="B6" s="446">
        <v>74248234</v>
      </c>
      <c r="C6" s="446">
        <v>74248234</v>
      </c>
      <c r="D6" s="446">
        <v>74248234</v>
      </c>
      <c r="E6" s="446">
        <v>74248234</v>
      </c>
      <c r="F6" s="446">
        <v>74248234</v>
      </c>
      <c r="G6" s="446">
        <v>74248234</v>
      </c>
      <c r="H6" s="446">
        <v>74248234</v>
      </c>
      <c r="I6" s="446">
        <v>74248234</v>
      </c>
      <c r="J6" s="446">
        <v>74248234</v>
      </c>
      <c r="K6" s="446">
        <v>74248234</v>
      </c>
      <c r="L6" s="446">
        <v>74248234</v>
      </c>
      <c r="M6" s="446">
        <f>74248234-31</f>
        <v>74248203</v>
      </c>
      <c r="N6" s="447">
        <f aca="true" t="shared" si="0" ref="N6:N17">SUM(B6:M6)</f>
        <v>890978777</v>
      </c>
    </row>
    <row r="7" spans="1:14" ht="22.5">
      <c r="A7" s="452" t="s">
        <v>421</v>
      </c>
      <c r="B7" s="448">
        <v>0</v>
      </c>
      <c r="C7" s="448">
        <v>0</v>
      </c>
      <c r="D7" s="446">
        <v>227429655</v>
      </c>
      <c r="E7" s="446">
        <v>0</v>
      </c>
      <c r="F7" s="446">
        <v>10000000</v>
      </c>
      <c r="G7" s="446">
        <v>5000000</v>
      </c>
      <c r="H7" s="446">
        <v>0</v>
      </c>
      <c r="I7" s="446">
        <v>0</v>
      </c>
      <c r="J7" s="446">
        <v>227429654</v>
      </c>
      <c r="K7" s="446">
        <v>0</v>
      </c>
      <c r="L7" s="446">
        <v>0</v>
      </c>
      <c r="M7" s="446">
        <v>20000000</v>
      </c>
      <c r="N7" s="447">
        <f t="shared" si="0"/>
        <v>489859309</v>
      </c>
    </row>
    <row r="8" spans="1:14" ht="12.75">
      <c r="A8" s="452" t="s">
        <v>422</v>
      </c>
      <c r="B8" s="446">
        <v>21500430</v>
      </c>
      <c r="C8" s="446">
        <v>21500433</v>
      </c>
      <c r="D8" s="446">
        <v>21500433</v>
      </c>
      <c r="E8" s="446">
        <v>21500433</v>
      </c>
      <c r="F8" s="446">
        <v>21500433</v>
      </c>
      <c r="G8" s="446">
        <v>21500433</v>
      </c>
      <c r="H8" s="446">
        <v>21500433</v>
      </c>
      <c r="I8" s="446">
        <v>21500433</v>
      </c>
      <c r="J8" s="446">
        <v>21500433</v>
      </c>
      <c r="K8" s="446">
        <v>21500433</v>
      </c>
      <c r="L8" s="446">
        <v>21500433</v>
      </c>
      <c r="M8" s="446">
        <v>21500430</v>
      </c>
      <c r="N8" s="447">
        <f t="shared" si="0"/>
        <v>258005190</v>
      </c>
    </row>
    <row r="9" spans="1:14" ht="22.5">
      <c r="A9" s="452" t="s">
        <v>423</v>
      </c>
      <c r="B9" s="449">
        <v>2281682</v>
      </c>
      <c r="C9" s="449">
        <v>2281673</v>
      </c>
      <c r="D9" s="449">
        <v>2281673</v>
      </c>
      <c r="E9" s="449">
        <v>2281673</v>
      </c>
      <c r="F9" s="449">
        <v>2281673</v>
      </c>
      <c r="G9" s="449">
        <f>2281673+715350</f>
        <v>2997023</v>
      </c>
      <c r="H9" s="449">
        <v>2281673</v>
      </c>
      <c r="I9" s="449">
        <v>2281673</v>
      </c>
      <c r="J9" s="449">
        <v>2281673</v>
      </c>
      <c r="K9" s="449">
        <v>2281673</v>
      </c>
      <c r="L9" s="449">
        <v>2281673</v>
      </c>
      <c r="M9" s="449">
        <v>2281673</v>
      </c>
      <c r="N9" s="447">
        <f t="shared" si="0"/>
        <v>28095435</v>
      </c>
    </row>
    <row r="10" spans="1:14" ht="22.5">
      <c r="A10" s="452" t="s">
        <v>424</v>
      </c>
      <c r="B10" s="449"/>
      <c r="C10" s="449"/>
      <c r="D10" s="449"/>
      <c r="E10" s="449">
        <v>120075</v>
      </c>
      <c r="F10" s="449"/>
      <c r="G10" s="449"/>
      <c r="H10" s="449">
        <v>41600000</v>
      </c>
      <c r="I10" s="449"/>
      <c r="J10" s="449"/>
      <c r="K10" s="449"/>
      <c r="L10" s="449"/>
      <c r="M10" s="449"/>
      <c r="N10" s="447">
        <f t="shared" si="0"/>
        <v>41720075</v>
      </c>
    </row>
    <row r="11" spans="1:14" ht="22.5">
      <c r="A11" s="452" t="s">
        <v>425</v>
      </c>
      <c r="B11" s="446"/>
      <c r="C11" s="446">
        <v>80000000</v>
      </c>
      <c r="D11" s="446">
        <v>25000000</v>
      </c>
      <c r="E11" s="446">
        <v>15000000</v>
      </c>
      <c r="F11" s="446">
        <f>4800000+1790065</f>
        <v>6590065</v>
      </c>
      <c r="G11" s="446">
        <v>7000000</v>
      </c>
      <c r="H11" s="446">
        <v>10000000</v>
      </c>
      <c r="I11" s="446">
        <v>10000000</v>
      </c>
      <c r="J11" s="446">
        <v>26248000</v>
      </c>
      <c r="K11" s="446">
        <v>15502562</v>
      </c>
      <c r="L11" s="446">
        <v>5000000</v>
      </c>
      <c r="M11" s="446">
        <v>5000000</v>
      </c>
      <c r="N11" s="447">
        <f t="shared" si="0"/>
        <v>205340627</v>
      </c>
    </row>
    <row r="12" spans="1:14" ht="30" customHeight="1">
      <c r="A12" s="452" t="s">
        <v>426</v>
      </c>
      <c r="B12" s="446">
        <v>1191199</v>
      </c>
      <c r="C12" s="446">
        <v>1191199</v>
      </c>
      <c r="D12" s="446">
        <v>1191197</v>
      </c>
      <c r="E12" s="446">
        <v>1191196</v>
      </c>
      <c r="F12" s="446">
        <v>1191196</v>
      </c>
      <c r="G12" s="446">
        <v>1191196</v>
      </c>
      <c r="H12" s="446">
        <v>1191196</v>
      </c>
      <c r="I12" s="446">
        <v>1191196</v>
      </c>
      <c r="J12" s="446">
        <v>1191196</v>
      </c>
      <c r="K12" s="446">
        <v>1191196</v>
      </c>
      <c r="L12" s="446">
        <v>1191196</v>
      </c>
      <c r="M12" s="446">
        <v>1191196</v>
      </c>
      <c r="N12" s="447">
        <f t="shared" si="0"/>
        <v>14294359</v>
      </c>
    </row>
    <row r="13" spans="1:14" ht="21.75">
      <c r="A13" s="453" t="s">
        <v>427</v>
      </c>
      <c r="B13" s="447">
        <f aca="true" t="shared" si="1" ref="B13:M13">B6+B7+B8+B9+B10+B11+B12</f>
        <v>99221545</v>
      </c>
      <c r="C13" s="447">
        <f t="shared" si="1"/>
        <v>179221539</v>
      </c>
      <c r="D13" s="447">
        <f t="shared" si="1"/>
        <v>351651192</v>
      </c>
      <c r="E13" s="447">
        <f t="shared" si="1"/>
        <v>114341611</v>
      </c>
      <c r="F13" s="447">
        <f t="shared" si="1"/>
        <v>115811601</v>
      </c>
      <c r="G13" s="447">
        <f t="shared" si="1"/>
        <v>111936886</v>
      </c>
      <c r="H13" s="447">
        <f t="shared" si="1"/>
        <v>150821536</v>
      </c>
      <c r="I13" s="447">
        <f t="shared" si="1"/>
        <v>109221536</v>
      </c>
      <c r="J13" s="447">
        <f t="shared" si="1"/>
        <v>352899190</v>
      </c>
      <c r="K13" s="447">
        <f t="shared" si="1"/>
        <v>114724098</v>
      </c>
      <c r="L13" s="447">
        <f t="shared" si="1"/>
        <v>104221536</v>
      </c>
      <c r="M13" s="447">
        <f t="shared" si="1"/>
        <v>124221502</v>
      </c>
      <c r="N13" s="447">
        <f t="shared" si="0"/>
        <v>1928293772</v>
      </c>
    </row>
    <row r="14" spans="1:14" ht="12.75">
      <c r="A14" s="453" t="s">
        <v>428</v>
      </c>
      <c r="B14" s="447">
        <f aca="true" t="shared" si="2" ref="B14:M14">B13-B28</f>
        <v>-86378297</v>
      </c>
      <c r="C14" s="447">
        <f t="shared" si="2"/>
        <v>-4833949</v>
      </c>
      <c r="D14" s="447">
        <f t="shared" si="2"/>
        <v>106432507</v>
      </c>
      <c r="E14" s="447">
        <f t="shared" si="2"/>
        <v>-63711867</v>
      </c>
      <c r="F14" s="447">
        <f t="shared" si="2"/>
        <v>-385498792</v>
      </c>
      <c r="G14" s="447">
        <f t="shared" si="2"/>
        <v>-151316592</v>
      </c>
      <c r="H14" s="447">
        <f t="shared" si="2"/>
        <v>-332431942</v>
      </c>
      <c r="I14" s="447">
        <f t="shared" si="2"/>
        <v>-259031942</v>
      </c>
      <c r="J14" s="447">
        <f t="shared" si="2"/>
        <v>74305023</v>
      </c>
      <c r="K14" s="447">
        <f t="shared" si="2"/>
        <v>-68529380</v>
      </c>
      <c r="L14" s="447">
        <f t="shared" si="2"/>
        <v>-79031942</v>
      </c>
      <c r="M14" s="447">
        <f t="shared" si="2"/>
        <v>-91334267</v>
      </c>
      <c r="N14" s="447">
        <f t="shared" si="0"/>
        <v>-1341361440</v>
      </c>
    </row>
    <row r="15" spans="1:14" ht="27" customHeight="1">
      <c r="A15" s="452" t="s">
        <v>429</v>
      </c>
      <c r="B15" s="446">
        <v>1369911367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7">
        <f t="shared" si="0"/>
        <v>1369911367</v>
      </c>
    </row>
    <row r="16" spans="1:14" ht="23.25" customHeight="1">
      <c r="A16" s="452" t="s">
        <v>430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7">
        <f t="shared" si="0"/>
        <v>0</v>
      </c>
    </row>
    <row r="17" spans="1:14" ht="21.75" customHeight="1">
      <c r="A17" s="452" t="s">
        <v>431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7">
        <f t="shared" si="0"/>
        <v>0</v>
      </c>
    </row>
    <row r="18" spans="1:14" ht="21.75">
      <c r="A18" s="453" t="s">
        <v>432</v>
      </c>
      <c r="B18" s="447">
        <f aca="true" t="shared" si="3" ref="B18:N18">B13+B15+B17</f>
        <v>1469132912</v>
      </c>
      <c r="C18" s="447">
        <f t="shared" si="3"/>
        <v>179221539</v>
      </c>
      <c r="D18" s="447">
        <f t="shared" si="3"/>
        <v>351651192</v>
      </c>
      <c r="E18" s="447">
        <f t="shared" si="3"/>
        <v>114341611</v>
      </c>
      <c r="F18" s="447">
        <f t="shared" si="3"/>
        <v>115811601</v>
      </c>
      <c r="G18" s="447">
        <f t="shared" si="3"/>
        <v>111936886</v>
      </c>
      <c r="H18" s="447">
        <f t="shared" si="3"/>
        <v>150821536</v>
      </c>
      <c r="I18" s="447">
        <f t="shared" si="3"/>
        <v>109221536</v>
      </c>
      <c r="J18" s="447">
        <f t="shared" si="3"/>
        <v>352899190</v>
      </c>
      <c r="K18" s="447">
        <f t="shared" si="3"/>
        <v>114724098</v>
      </c>
      <c r="L18" s="447">
        <f t="shared" si="3"/>
        <v>104221536</v>
      </c>
      <c r="M18" s="447">
        <f t="shared" si="3"/>
        <v>124221502</v>
      </c>
      <c r="N18" s="447">
        <f t="shared" si="3"/>
        <v>3298205139</v>
      </c>
    </row>
    <row r="19" spans="1:14" ht="12.75">
      <c r="A19" s="454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1"/>
    </row>
    <row r="20" spans="1:14" ht="17.25" customHeight="1">
      <c r="A20" s="452" t="s">
        <v>433</v>
      </c>
      <c r="B20" s="446">
        <v>61320245</v>
      </c>
      <c r="C20" s="446">
        <v>61320245</v>
      </c>
      <c r="D20" s="446">
        <v>61320245</v>
      </c>
      <c r="E20" s="446">
        <v>61320245</v>
      </c>
      <c r="F20" s="446">
        <v>61320245</v>
      </c>
      <c r="G20" s="446">
        <v>61320245</v>
      </c>
      <c r="H20" s="446">
        <v>61320245</v>
      </c>
      <c r="I20" s="446">
        <v>61320245</v>
      </c>
      <c r="J20" s="446">
        <v>61320245</v>
      </c>
      <c r="K20" s="446">
        <v>61320245</v>
      </c>
      <c r="L20" s="446">
        <v>61320245</v>
      </c>
      <c r="M20" s="446">
        <v>61320256</v>
      </c>
      <c r="N20" s="447">
        <f aca="true" t="shared" si="4" ref="N20:N27">SUM(B20:M20)</f>
        <v>735842951</v>
      </c>
    </row>
    <row r="21" spans="1:14" ht="12.75">
      <c r="A21" s="452" t="s">
        <v>434</v>
      </c>
      <c r="B21" s="446">
        <v>13667067</v>
      </c>
      <c r="C21" s="446">
        <v>13667067</v>
      </c>
      <c r="D21" s="446">
        <v>13667067</v>
      </c>
      <c r="E21" s="446">
        <v>13667067</v>
      </c>
      <c r="F21" s="446">
        <v>13667067</v>
      </c>
      <c r="G21" s="446">
        <v>13667067</v>
      </c>
      <c r="H21" s="446">
        <v>13667067</v>
      </c>
      <c r="I21" s="446">
        <v>13667067</v>
      </c>
      <c r="J21" s="446">
        <v>13667067</v>
      </c>
      <c r="K21" s="446">
        <v>13667067</v>
      </c>
      <c r="L21" s="446">
        <v>13667067</v>
      </c>
      <c r="M21" s="446">
        <v>13667072</v>
      </c>
      <c r="N21" s="447">
        <f t="shared" si="4"/>
        <v>164004809</v>
      </c>
    </row>
    <row r="22" spans="1:14" ht="12.75">
      <c r="A22" s="452" t="s">
        <v>435</v>
      </c>
      <c r="B22" s="446">
        <v>71071216</v>
      </c>
      <c r="C22" s="446">
        <v>71071220</v>
      </c>
      <c r="D22" s="446">
        <v>71071220</v>
      </c>
      <c r="E22" s="446">
        <v>71071220</v>
      </c>
      <c r="F22" s="446">
        <f>71071220+1379435</f>
        <v>72450655</v>
      </c>
      <c r="G22" s="446">
        <v>71071220</v>
      </c>
      <c r="H22" s="446">
        <v>71071220</v>
      </c>
      <c r="I22" s="446">
        <v>71071220</v>
      </c>
      <c r="J22" s="446">
        <v>71071220</v>
      </c>
      <c r="K22" s="446">
        <v>71071220</v>
      </c>
      <c r="L22" s="446">
        <v>71071220</v>
      </c>
      <c r="M22" s="446">
        <v>71071220</v>
      </c>
      <c r="N22" s="447">
        <f t="shared" si="4"/>
        <v>854234071</v>
      </c>
    </row>
    <row r="23" spans="1:14" ht="14.25" customHeight="1">
      <c r="A23" s="452" t="s">
        <v>436</v>
      </c>
      <c r="B23" s="446">
        <v>2041600</v>
      </c>
      <c r="C23" s="446">
        <v>2041600</v>
      </c>
      <c r="D23" s="446">
        <v>2041600</v>
      </c>
      <c r="E23" s="446">
        <v>2041600</v>
      </c>
      <c r="F23" s="446">
        <v>2041600</v>
      </c>
      <c r="G23" s="446">
        <v>2041600</v>
      </c>
      <c r="H23" s="446">
        <v>2041600</v>
      </c>
      <c r="I23" s="446">
        <v>2041600</v>
      </c>
      <c r="J23" s="446">
        <v>2041600</v>
      </c>
      <c r="K23" s="446">
        <v>2041600</v>
      </c>
      <c r="L23" s="446">
        <v>2041600</v>
      </c>
      <c r="M23" s="446">
        <v>2042400</v>
      </c>
      <c r="N23" s="447">
        <f t="shared" si="4"/>
        <v>24500000</v>
      </c>
    </row>
    <row r="24" spans="1:14" ht="22.5">
      <c r="A24" s="452" t="s">
        <v>437</v>
      </c>
      <c r="B24" s="446">
        <v>31799714</v>
      </c>
      <c r="C24" s="446">
        <v>5153356</v>
      </c>
      <c r="D24" s="446">
        <v>5653346</v>
      </c>
      <c r="E24" s="446">
        <v>5153346</v>
      </c>
      <c r="F24" s="446">
        <v>5153346</v>
      </c>
      <c r="G24" s="446">
        <v>5153346</v>
      </c>
      <c r="H24" s="446">
        <v>5153346</v>
      </c>
      <c r="I24" s="446">
        <v>5153346</v>
      </c>
      <c r="J24" s="446">
        <v>5153346</v>
      </c>
      <c r="K24" s="446">
        <v>5153346</v>
      </c>
      <c r="L24" s="446">
        <v>5153346</v>
      </c>
      <c r="M24" s="446">
        <v>5153346</v>
      </c>
      <c r="N24" s="447">
        <f t="shared" si="4"/>
        <v>88986530</v>
      </c>
    </row>
    <row r="25" spans="1:14" ht="12.75">
      <c r="A25" s="452" t="s">
        <v>438</v>
      </c>
      <c r="B25" s="449"/>
      <c r="C25" s="449">
        <v>25000000</v>
      </c>
      <c r="D25" s="449">
        <v>85000000</v>
      </c>
      <c r="E25" s="449">
        <v>24000000</v>
      </c>
      <c r="F25" s="449">
        <f>326000000-1379435+4800000+1790065</f>
        <v>331210630</v>
      </c>
      <c r="G25" s="449">
        <v>100000000</v>
      </c>
      <c r="H25" s="449">
        <v>325000000</v>
      </c>
      <c r="I25" s="449">
        <v>210000000</v>
      </c>
      <c r="J25" s="449">
        <v>115340689</v>
      </c>
      <c r="K25" s="449">
        <v>25000000</v>
      </c>
      <c r="L25" s="449">
        <v>25000000</v>
      </c>
      <c r="M25" s="449">
        <v>19680000</v>
      </c>
      <c r="N25" s="447">
        <f t="shared" si="4"/>
        <v>1285231319</v>
      </c>
    </row>
    <row r="26" spans="1:14" ht="12.75">
      <c r="A26" s="452" t="s">
        <v>439</v>
      </c>
      <c r="B26" s="446">
        <v>5700000</v>
      </c>
      <c r="C26" s="446"/>
      <c r="D26" s="446">
        <v>5300000</v>
      </c>
      <c r="E26" s="446">
        <v>800000</v>
      </c>
      <c r="F26" s="446">
        <v>10000000</v>
      </c>
      <c r="G26" s="446">
        <v>10000000</v>
      </c>
      <c r="H26" s="446">
        <v>5000000</v>
      </c>
      <c r="I26" s="446">
        <v>5000000</v>
      </c>
      <c r="J26" s="446">
        <v>10000000</v>
      </c>
      <c r="K26" s="446">
        <v>5000000</v>
      </c>
      <c r="L26" s="446">
        <v>5000000</v>
      </c>
      <c r="M26" s="446">
        <v>42621475</v>
      </c>
      <c r="N26" s="447">
        <f t="shared" si="4"/>
        <v>104421475</v>
      </c>
    </row>
    <row r="27" spans="1:14" ht="22.5">
      <c r="A27" s="452" t="s">
        <v>440</v>
      </c>
      <c r="B27" s="446"/>
      <c r="C27" s="446">
        <v>5802000</v>
      </c>
      <c r="D27" s="446">
        <v>1165207</v>
      </c>
      <c r="E27" s="446"/>
      <c r="F27" s="446">
        <v>5466850</v>
      </c>
      <c r="G27" s="446"/>
      <c r="H27" s="446"/>
      <c r="I27" s="446"/>
      <c r="J27" s="446"/>
      <c r="K27" s="446"/>
      <c r="L27" s="446"/>
      <c r="M27" s="446"/>
      <c r="N27" s="447">
        <f t="shared" si="4"/>
        <v>12434057</v>
      </c>
    </row>
    <row r="28" spans="1:14" ht="21.75">
      <c r="A28" s="453" t="s">
        <v>441</v>
      </c>
      <c r="B28" s="447">
        <f aca="true" t="shared" si="5" ref="B28:N28">B20+B21+B22+B23+B24+B25+B26+B27</f>
        <v>185599842</v>
      </c>
      <c r="C28" s="447">
        <f t="shared" si="5"/>
        <v>184055488</v>
      </c>
      <c r="D28" s="447">
        <f t="shared" si="5"/>
        <v>245218685</v>
      </c>
      <c r="E28" s="447">
        <f t="shared" si="5"/>
        <v>178053478</v>
      </c>
      <c r="F28" s="447">
        <f t="shared" si="5"/>
        <v>501310393</v>
      </c>
      <c r="G28" s="447">
        <f t="shared" si="5"/>
        <v>263253478</v>
      </c>
      <c r="H28" s="447">
        <f t="shared" si="5"/>
        <v>483253478</v>
      </c>
      <c r="I28" s="447">
        <f t="shared" si="5"/>
        <v>368253478</v>
      </c>
      <c r="J28" s="447">
        <f t="shared" si="5"/>
        <v>278594167</v>
      </c>
      <c r="K28" s="447">
        <f t="shared" si="5"/>
        <v>183253478</v>
      </c>
      <c r="L28" s="447">
        <f t="shared" si="5"/>
        <v>183253478</v>
      </c>
      <c r="M28" s="447">
        <f t="shared" si="5"/>
        <v>215555769</v>
      </c>
      <c r="N28" s="447">
        <f t="shared" si="5"/>
        <v>3269655212</v>
      </c>
    </row>
    <row r="29" spans="1:14" ht="24" customHeight="1">
      <c r="A29" s="452" t="s">
        <v>442</v>
      </c>
      <c r="B29" s="446">
        <v>28549927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7">
        <f>SUM(B29:M29)</f>
        <v>28549927</v>
      </c>
    </row>
    <row r="30" spans="1:14" ht="21.75">
      <c r="A30" s="453" t="s">
        <v>443</v>
      </c>
      <c r="B30" s="447">
        <f aca="true" t="shared" si="6" ref="B30:N30">B28+B29</f>
        <v>214149769</v>
      </c>
      <c r="C30" s="447">
        <f t="shared" si="6"/>
        <v>184055488</v>
      </c>
      <c r="D30" s="447">
        <f t="shared" si="6"/>
        <v>245218685</v>
      </c>
      <c r="E30" s="447">
        <f t="shared" si="6"/>
        <v>178053478</v>
      </c>
      <c r="F30" s="447">
        <f t="shared" si="6"/>
        <v>501310393</v>
      </c>
      <c r="G30" s="447">
        <f t="shared" si="6"/>
        <v>263253478</v>
      </c>
      <c r="H30" s="447">
        <f t="shared" si="6"/>
        <v>483253478</v>
      </c>
      <c r="I30" s="447">
        <f t="shared" si="6"/>
        <v>368253478</v>
      </c>
      <c r="J30" s="447">
        <f t="shared" si="6"/>
        <v>278594167</v>
      </c>
      <c r="K30" s="447">
        <f t="shared" si="6"/>
        <v>183253478</v>
      </c>
      <c r="L30" s="447">
        <f t="shared" si="6"/>
        <v>183253478</v>
      </c>
      <c r="M30" s="447">
        <f t="shared" si="6"/>
        <v>215555769</v>
      </c>
      <c r="N30" s="447">
        <f t="shared" si="6"/>
        <v>3298205139</v>
      </c>
    </row>
  </sheetData>
  <sheetProtection/>
  <mergeCells count="1">
    <mergeCell ref="A3:N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2018-02-16T07:17:53Z</cp:lastPrinted>
  <dcterms:created xsi:type="dcterms:W3CDTF">2007-11-15T07:32:30Z</dcterms:created>
  <dcterms:modified xsi:type="dcterms:W3CDTF">2018-02-26T09:17:27Z</dcterms:modified>
  <cp:category/>
  <cp:version/>
  <cp:contentType/>
  <cp:contentStatus/>
</cp:coreProperties>
</file>