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firstSheet="23" activeTab="32"/>
  </bookViews>
  <sheets>
    <sheet name="kvi mérleg" sheetId="1" r:id="rId1"/>
    <sheet name="önk,műk.felh.össz" sheetId="2" r:id="rId2"/>
    <sheet name="önk.műk" sheetId="3" r:id="rId3"/>
    <sheet name="ph műk." sheetId="4" r:id="rId4"/>
    <sheet name="óv.műk" sheetId="5" r:id="rId5"/>
    <sheet name="gamesz műk" sheetId="6" r:id="rId6"/>
    <sheet name="gond.műk" sheetId="7" r:id="rId7"/>
    <sheet name="műv.műk." sheetId="8" r:id="rId8"/>
    <sheet name="beruh" sheetId="9" r:id="rId9"/>
    <sheet name="bev-kia" sheetId="10" r:id="rId10"/>
    <sheet name="önk.bev" sheetId="11" r:id="rId11"/>
    <sheet name="ph  bev" sheetId="12" r:id="rId12"/>
    <sheet name="óvoda  bev" sheetId="13" r:id="rId13"/>
    <sheet name="gamesz bev." sheetId="14" r:id="rId14"/>
    <sheet name="gond.bev" sheetId="15" r:id="rId15"/>
    <sheet name="műv.bev" sheetId="16" r:id="rId16"/>
    <sheet name="önk.kia" sheetId="17" r:id="rId17"/>
    <sheet name="ph kia" sheetId="18" r:id="rId18"/>
    <sheet name="óvoda kia" sheetId="19" r:id="rId19"/>
    <sheet name="gameszkia" sheetId="20" r:id="rId20"/>
    <sheet name="gond.kia" sheetId="21" r:id="rId21"/>
    <sheet name="műv.kia" sheetId="22" r:id="rId22"/>
    <sheet name="tám" sheetId="23" r:id="rId23"/>
    <sheet name="kölcsön" sheetId="24" r:id="rId24"/>
    <sheet name="többéves" sheetId="25" r:id="rId25"/>
    <sheet name="közvetett" sheetId="26" r:id="rId26"/>
    <sheet name="adósság" sheetId="27" r:id="rId27"/>
    <sheet name="eu" sheetId="28" r:id="rId28"/>
    <sheet name="pénzkészlet" sheetId="29" r:id="rId29"/>
    <sheet name="vagyon" sheetId="30" r:id="rId30"/>
    <sheet name="vagyon tételes" sheetId="31" r:id="rId31"/>
    <sheet name="pénzmar." sheetId="32" r:id="rId32"/>
    <sheet name="Munka10" sheetId="33" r:id="rId33"/>
    <sheet name="Munka3" sheetId="34" r:id="rId34"/>
  </sheets>
  <externalReferences>
    <externalReference r:id="rId37"/>
    <externalReference r:id="rId38"/>
    <externalReference r:id="rId39"/>
    <externalReference r:id="rId40"/>
  </externalReferences>
  <definedNames/>
  <calcPr fullCalcOnLoad="1"/>
</workbook>
</file>

<file path=xl/sharedStrings.xml><?xml version="1.0" encoding="utf-8"?>
<sst xmlns="http://schemas.openxmlformats.org/spreadsheetml/2006/main" count="10597" uniqueCount="5298">
  <si>
    <t>Arzénmenetesítő (AS-1044)</t>
  </si>
  <si>
    <t>1319.</t>
  </si>
  <si>
    <t>Kazán</t>
  </si>
  <si>
    <t>1320.</t>
  </si>
  <si>
    <t>Játszótéri eszköz -Junior torony</t>
  </si>
  <si>
    <t>1321.</t>
  </si>
  <si>
    <t>Játszótéri eszköz -csúzdás bástya, homokozó</t>
  </si>
  <si>
    <t>1322.</t>
  </si>
  <si>
    <t>Vidám játszótér</t>
  </si>
  <si>
    <t>1323.</t>
  </si>
  <si>
    <t>Játszótéri eszk. Junior Torony</t>
  </si>
  <si>
    <t>1324.</t>
  </si>
  <si>
    <t>Játszótéri eszk. Rugós mérleghinta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</si>
  <si>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</si>
  <si>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</si>
  <si>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</si>
  <si>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</si>
  <si>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</si>
  <si>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</si>
  <si>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</si>
  <si>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</si>
  <si>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</si>
  <si>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</si>
  <si>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</si>
  <si>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</si>
  <si>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</si>
  <si>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Forgalomképes ügyviteli számítástechnikai eszközök 0-ig leírt</t>
  </si>
  <si>
    <t>1347.</t>
  </si>
  <si>
    <t>1351.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</si>
  <si>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</si>
  <si>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</si>
  <si>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</si>
  <si>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</si>
  <si>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</si>
  <si>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</si>
  <si>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</si>
  <si>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</si>
  <si>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</si>
  <si>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</si>
  <si>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</si>
  <si>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</si>
  <si>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</si>
  <si>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</si>
  <si>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</si>
  <si>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</si>
  <si>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</si>
  <si>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</si>
  <si>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</si>
  <si>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</si>
  <si>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</si>
  <si>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</si>
  <si>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</si>
  <si>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</si>
  <si>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</si>
  <si>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</si>
  <si>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</si>
  <si>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</si>
  <si>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</si>
  <si>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</si>
  <si>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</si>
  <si>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</si>
  <si>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</si>
  <si>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</si>
  <si>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</si>
  <si>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</si>
  <si>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</si>
  <si>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</si>
  <si>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</si>
  <si>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</si>
  <si>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</si>
  <si>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</si>
  <si>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</si>
  <si>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</si>
  <si>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</si>
  <si>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</si>
  <si>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</si>
  <si>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</si>
  <si>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</si>
  <si>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</si>
  <si>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</si>
  <si>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</si>
  <si>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</si>
  <si>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</si>
  <si>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</si>
  <si>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</si>
  <si>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</si>
  <si>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</si>
  <si>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Telefon</t>
  </si>
  <si>
    <t>1428.</t>
  </si>
  <si>
    <t>1429.</t>
  </si>
  <si>
    <t>Számítógép Polg. Hiv.-tól</t>
  </si>
  <si>
    <t>1430.</t>
  </si>
  <si>
    <t>1431.</t>
  </si>
  <si>
    <t>Számítógép levonó</t>
  </si>
  <si>
    <t>1432.</t>
  </si>
  <si>
    <t>Vonalkod olvaso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</si>
  <si>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</si>
  <si>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</si>
  <si>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</si>
  <si>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</si>
  <si>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</si>
  <si>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</si>
  <si>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</si>
  <si>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</si>
  <si>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</si>
  <si>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</si>
  <si>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</si>
  <si>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Nyomtató canon lbp-11120</t>
  </si>
  <si>
    <t>1444.</t>
  </si>
  <si>
    <t>Számítógép központi server</t>
  </si>
  <si>
    <t>1445.</t>
  </si>
  <si>
    <t>1446.</t>
  </si>
  <si>
    <t>1447.</t>
  </si>
  <si>
    <t>1448.</t>
  </si>
  <si>
    <t>1449.</t>
  </si>
  <si>
    <t>1450.</t>
  </si>
  <si>
    <t>1451.</t>
  </si>
  <si>
    <t>Villanyírógép</t>
  </si>
  <si>
    <t>1452.</t>
  </si>
  <si>
    <t>Szünetmentesítő</t>
  </si>
  <si>
    <t>1453.</t>
  </si>
  <si>
    <t>1454.</t>
  </si>
  <si>
    <t>Nyomtató (canon b7c 4400)</t>
  </si>
  <si>
    <t>1455.</t>
  </si>
  <si>
    <t>Külső modem</t>
  </si>
  <si>
    <t>1456.</t>
  </si>
  <si>
    <t>Számítógép elemekből (monitor nélkül)</t>
  </si>
  <si>
    <t>1457.</t>
  </si>
  <si>
    <t>Számítógép elemekből (monitorral)</t>
  </si>
  <si>
    <t>1458.</t>
  </si>
  <si>
    <t>1459.</t>
  </si>
  <si>
    <t>1460.</t>
  </si>
  <si>
    <t>1461.</t>
  </si>
  <si>
    <t>1462.</t>
  </si>
  <si>
    <t>P4 számítógép</t>
  </si>
  <si>
    <t>1463.</t>
  </si>
  <si>
    <t>Számítógép SERVER</t>
  </si>
  <si>
    <t>1464.</t>
  </si>
  <si>
    <t>Számítógép GEP P4</t>
  </si>
  <si>
    <t>1465.</t>
  </si>
  <si>
    <t>Számítógép se s-775</t>
  </si>
  <si>
    <t>1466.</t>
  </si>
  <si>
    <t>ált.iskola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</si>
  <si>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</si>
  <si>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</si>
  <si>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</si>
  <si>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</si>
  <si>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</si>
  <si>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</si>
  <si>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</si>
  <si>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</si>
  <si>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</si>
  <si>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</si>
  <si>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</si>
  <si>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</si>
  <si>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</si>
  <si>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</si>
  <si>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</si>
  <si>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</si>
  <si>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</si>
  <si>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</si>
  <si>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</si>
  <si>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</si>
  <si>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</si>
  <si>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</si>
  <si>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</si>
  <si>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</si>
  <si>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</si>
  <si>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</si>
  <si>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</si>
  <si>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</si>
  <si>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</si>
  <si>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</si>
  <si>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</si>
  <si>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</si>
  <si>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</si>
  <si>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</si>
  <si>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</si>
  <si>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</si>
  <si>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</si>
  <si>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</si>
  <si>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</si>
  <si>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</si>
  <si>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</si>
  <si>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</si>
  <si>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</si>
  <si>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</si>
  <si>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</si>
  <si>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</si>
  <si>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</si>
  <si>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</si>
  <si>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</si>
  <si>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</si>
  <si>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</si>
  <si>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</si>
  <si>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</si>
  <si>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</si>
  <si>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</si>
  <si>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</si>
  <si>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</si>
  <si>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</si>
  <si>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</si>
  <si>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</si>
  <si>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</si>
  <si>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</si>
  <si>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</si>
  <si>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</si>
  <si>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</si>
  <si>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</si>
  <si>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</si>
  <si>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</si>
  <si>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</si>
  <si>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</si>
  <si>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</si>
  <si>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</si>
  <si>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</si>
  <si>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</si>
  <si>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</si>
  <si>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</si>
  <si>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</si>
  <si>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</si>
  <si>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</si>
  <si>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</si>
  <si>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</si>
  <si>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</si>
  <si>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</si>
  <si>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</si>
  <si>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</si>
  <si>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</si>
  <si>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</si>
  <si>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</si>
  <si>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</si>
  <si>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</si>
  <si>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</si>
  <si>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</si>
  <si>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</si>
  <si>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</si>
  <si>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</si>
  <si>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</si>
  <si>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</si>
  <si>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</si>
  <si>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</si>
  <si>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</si>
  <si>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</si>
  <si>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</si>
  <si>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</si>
  <si>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</si>
  <si>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</si>
  <si>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</si>
  <si>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</si>
  <si>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</si>
  <si>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</si>
  <si>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</si>
  <si>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</si>
  <si>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</si>
  <si>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</si>
  <si>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</si>
  <si>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</si>
  <si>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</si>
  <si>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</si>
  <si>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</si>
  <si>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</si>
  <si>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</si>
  <si>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</si>
  <si>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</si>
  <si>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</si>
  <si>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</si>
  <si>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</si>
  <si>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</si>
  <si>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</si>
  <si>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</si>
  <si>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</si>
  <si>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</si>
  <si>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</si>
  <si>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</si>
  <si>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</si>
  <si>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</si>
  <si>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</si>
  <si>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Rubi kőtörő b-14</t>
  </si>
  <si>
    <t>1602.</t>
  </si>
  <si>
    <t>Fs -100 alj. Növény tisztító</t>
  </si>
  <si>
    <t>1603.</t>
  </si>
  <si>
    <t>Fs -400 alj. Növény tisztító</t>
  </si>
  <si>
    <t>1604.</t>
  </si>
  <si>
    <t>Ms -361 motoros fűrész</t>
  </si>
  <si>
    <t>1605.</t>
  </si>
  <si>
    <t>Támasztó létra</t>
  </si>
  <si>
    <t>1606.</t>
  </si>
  <si>
    <t>Távriasztó</t>
  </si>
  <si>
    <t>1607.</t>
  </si>
  <si>
    <t>Audia méter hallásvizsgáló</t>
  </si>
  <si>
    <t>1608.</t>
  </si>
  <si>
    <t>Csecsemő mérleg</t>
  </si>
  <si>
    <t>1609.</t>
  </si>
  <si>
    <t>1610.</t>
  </si>
  <si>
    <t>Kettesy látásélesség tábla</t>
  </si>
  <si>
    <t>1611.</t>
  </si>
  <si>
    <t>1612.</t>
  </si>
  <si>
    <t>Minidopler</t>
  </si>
  <si>
    <t>1613.</t>
  </si>
  <si>
    <t>Ekg készülék</t>
  </si>
  <si>
    <t>1614.</t>
  </si>
  <si>
    <t>Háziorvosi táska</t>
  </si>
  <si>
    <t>1615.</t>
  </si>
  <si>
    <t>1616.</t>
  </si>
  <si>
    <t>Ülőgarnitúra 4 db-ból</t>
  </si>
  <si>
    <t>1617.</t>
  </si>
  <si>
    <t>Urh adó-vevő</t>
  </si>
  <si>
    <t>1618.</t>
  </si>
  <si>
    <t>Mt-i mentőtáska</t>
  </si>
  <si>
    <t>1619.</t>
  </si>
  <si>
    <t>1620.</t>
  </si>
  <si>
    <t>1621.</t>
  </si>
  <si>
    <t>1622.</t>
  </si>
  <si>
    <t>Sterilizátor</t>
  </si>
  <si>
    <t>1623.</t>
  </si>
  <si>
    <t>Talicskás permetező</t>
  </si>
  <si>
    <t>1624.</t>
  </si>
  <si>
    <t>Hűtőszekrény</t>
  </si>
  <si>
    <t>1625.</t>
  </si>
  <si>
    <t>1626.</t>
  </si>
  <si>
    <t>1627.</t>
  </si>
  <si>
    <t>Fagyasztószekrény 60l</t>
  </si>
  <si>
    <t>1628.</t>
  </si>
  <si>
    <t>1629.</t>
  </si>
  <si>
    <t>24 órás vérnyomásmérő</t>
  </si>
  <si>
    <t>1630.</t>
  </si>
  <si>
    <t>Fúrógép</t>
  </si>
  <si>
    <t>1631.</t>
  </si>
  <si>
    <t>Oxigén palack</t>
  </si>
  <si>
    <t>1632.</t>
  </si>
  <si>
    <t>Motorfűrész</t>
  </si>
  <si>
    <t>1633.</t>
  </si>
  <si>
    <t>Gyorsdaraboló</t>
  </si>
  <si>
    <t>1634.</t>
  </si>
  <si>
    <t>fs-400ALJ. NÖVÉNY TISZTITÓ</t>
  </si>
  <si>
    <t>1635.</t>
  </si>
  <si>
    <t>Mosógép</t>
  </si>
  <si>
    <t>1636.</t>
  </si>
  <si>
    <t>Gyermek szekrénysor</t>
  </si>
  <si>
    <t>1637.</t>
  </si>
  <si>
    <t>Szekrénysor</t>
  </si>
  <si>
    <t>1638.</t>
  </si>
  <si>
    <t>office xp program jegyző gép</t>
  </si>
  <si>
    <t>office xp program aljegyző gép</t>
  </si>
  <si>
    <t>office xp program szociális  gép</t>
  </si>
  <si>
    <t>office xp program adó I. gép</t>
  </si>
  <si>
    <t>office xp program adó II. gép</t>
  </si>
  <si>
    <t>office xp program képviselő szoba</t>
  </si>
  <si>
    <t>office xp program gépírás</t>
  </si>
  <si>
    <t>Vin-mankó szoc. nyivt. Program</t>
  </si>
  <si>
    <t>OEM Windows XP Prof. Prog. Gaz. Nyilv.</t>
  </si>
  <si>
    <t>OEM Windows XP Prof. Prog. Főkönyv</t>
  </si>
  <si>
    <t>OEM Windows XP Prof. Prog. Analitika</t>
  </si>
  <si>
    <t>OEM Windows XP Prof. Prog. GAMESZ</t>
  </si>
  <si>
    <t>OEM Windows XP Prof. Prog. GAMESZ fők.</t>
  </si>
  <si>
    <t>Windows 2000 Server+suser+5 suser</t>
  </si>
  <si>
    <t>OEM Windows XP Prof. Prog. Szoc.Gné</t>
  </si>
  <si>
    <t>OEM Windows Prog. Műszaki</t>
  </si>
  <si>
    <t>OEM Windows XP Prog. Iktatás</t>
  </si>
  <si>
    <t>OEM MS OFFICE XP SB HUN PR/ANAL</t>
  </si>
  <si>
    <t>OEM MS OFFICE SB PROG./NYI</t>
  </si>
  <si>
    <t>OEM MS OFFICE XP SB HUN PR/IKTATÁS</t>
  </si>
  <si>
    <t>OEM MS OFFICE XP SB HUN PR./MŰSZAKI</t>
  </si>
  <si>
    <t>OEM MS OFFICE XP SB PR/SZOC</t>
  </si>
  <si>
    <t>OEM MS OFFICE XP SB HUN. Prog. GAMESZ</t>
  </si>
  <si>
    <t>OEM MS OFFICE XP SB HUN. Prog./KÖNYVELÉS</t>
  </si>
  <si>
    <t>Norton antivírus pr/analitika</t>
  </si>
  <si>
    <t>Norton antivírus pr/gamesz vezető</t>
  </si>
  <si>
    <t>Norton antivírus pr/műszaki</t>
  </si>
  <si>
    <t>Norton antivírus pr/nyivt.gép</t>
  </si>
  <si>
    <t>Norton antivírus 2004 pr/Gamesz</t>
  </si>
  <si>
    <t>Norton antivírus 2004 pr/könyvelés</t>
  </si>
  <si>
    <t>Panda vírusprogram könyvelés</t>
  </si>
  <si>
    <t>Windows XP home oem hu prog. Inigép</t>
  </si>
  <si>
    <t>Office Program gazd.II gép</t>
  </si>
  <si>
    <t>Telefonvonal vagyoni értékű jog</t>
  </si>
  <si>
    <t>Forgalomképes 0-ig leírt  szellemi termékek</t>
  </si>
  <si>
    <t>Zöldterület fejl. Terve</t>
  </si>
  <si>
    <t>Rekonstukciós terv Jánoshalmi 12</t>
  </si>
  <si>
    <t>Környezetvédelmi program terv</t>
  </si>
  <si>
    <t>Hulladékgazd. Terv</t>
  </si>
  <si>
    <t>Belterületi csapad.víz. Elvezetési program</t>
  </si>
  <si>
    <t>Mélykút Nagyk. Rendezési terv</t>
  </si>
  <si>
    <t>O-ig leírt szellemi t.</t>
  </si>
  <si>
    <t>3. Immateriális javak folyamatban levő beruházása</t>
  </si>
  <si>
    <t>Település komplex . terv</t>
  </si>
  <si>
    <t>Településközpont környezetrendezési tender  terv</t>
  </si>
  <si>
    <t>III.sz.Óvoda tornaszoba kialakítása eng.terv</t>
  </si>
  <si>
    <t>Külterületi földutak engedélyezési terv</t>
  </si>
  <si>
    <t>Önkormányzat rendezési terv</t>
  </si>
  <si>
    <t>Tanuszoda  terv</t>
  </si>
  <si>
    <t>Helyi hulladákgazdálkodás terv</t>
  </si>
  <si>
    <t>Belsőségi csapadékvíz elvezetés</t>
  </si>
  <si>
    <t xml:space="preserve"> </t>
  </si>
  <si>
    <t>I. Immateriális javak mindösszesen:</t>
  </si>
  <si>
    <t>,</t>
  </si>
  <si>
    <t xml:space="preserve">II. Tárgyi eszközök </t>
  </si>
  <si>
    <r>
      <t>1. Ingatlanok és a kapcsolódó vagyoni értékű jogok</t>
    </r>
    <r>
      <rPr>
        <sz val="10"/>
        <rFont val="Arial CE"/>
        <family val="0"/>
      </rPr>
      <t xml:space="preserve"> </t>
    </r>
  </si>
  <si>
    <t>Korlátozottan forgalomképes földterületek aktívált állománya</t>
  </si>
  <si>
    <t>0143/1</t>
  </si>
  <si>
    <t>kiegéső gyermekvéd.tám.</t>
  </si>
  <si>
    <t>kölsön vissza</t>
  </si>
  <si>
    <t>kölcsön bevétel</t>
  </si>
  <si>
    <t>225.</t>
  </si>
  <si>
    <t>2378</t>
  </si>
  <si>
    <t>Kandó K. u. út telek</t>
  </si>
  <si>
    <t>226.</t>
  </si>
  <si>
    <t>2392</t>
  </si>
  <si>
    <t>Rákóczi u. kert</t>
  </si>
  <si>
    <t>227.</t>
  </si>
  <si>
    <t>2392/1</t>
  </si>
  <si>
    <t>228.</t>
  </si>
  <si>
    <t>2393</t>
  </si>
  <si>
    <t>Rákóczi u. közt.(Kandó/Május1 )</t>
  </si>
  <si>
    <t>229.</t>
  </si>
  <si>
    <t>2407</t>
  </si>
  <si>
    <t>Május 1. u. út telek</t>
  </si>
  <si>
    <t>230.</t>
  </si>
  <si>
    <t>2422/2</t>
  </si>
  <si>
    <t>Rákóczi u. közt.(Zalka/Május1)</t>
  </si>
  <si>
    <t>231.</t>
  </si>
  <si>
    <t>2422/35</t>
  </si>
  <si>
    <t>Zalka M. u. közter. Telek vendéglő mellett</t>
  </si>
  <si>
    <t>232.</t>
  </si>
  <si>
    <t>2422/36</t>
  </si>
  <si>
    <t>Zalka M. u. közter. Telek páros oldal</t>
  </si>
  <si>
    <t>233.</t>
  </si>
  <si>
    <t>2422/37</t>
  </si>
  <si>
    <t>Zalka m. kövesút telek</t>
  </si>
  <si>
    <t>234.</t>
  </si>
  <si>
    <t>2422/4</t>
  </si>
  <si>
    <t>Zalka M. árok telek páratlan o.</t>
  </si>
  <si>
    <t>235.</t>
  </si>
  <si>
    <t>2462</t>
  </si>
  <si>
    <t>Béke u. út telek</t>
  </si>
  <si>
    <t>236.</t>
  </si>
  <si>
    <t>2589</t>
  </si>
  <si>
    <t>Közterület Öregmajor</t>
  </si>
  <si>
    <t>237.</t>
  </si>
  <si>
    <t>263</t>
  </si>
  <si>
    <t>Új u. út telek</t>
  </si>
  <si>
    <t>238.</t>
  </si>
  <si>
    <t>2689</t>
  </si>
  <si>
    <t xml:space="preserve">Zalka m. telek (Zalka/Mátyás k. köz) </t>
  </si>
  <si>
    <t>239.</t>
  </si>
  <si>
    <t>2746</t>
  </si>
  <si>
    <t>Kis u. út telek</t>
  </si>
  <si>
    <t>240.</t>
  </si>
  <si>
    <t>2779</t>
  </si>
  <si>
    <t>241.</t>
  </si>
  <si>
    <t>2800/14</t>
  </si>
  <si>
    <t>Kisfaludy u. út telek</t>
  </si>
  <si>
    <t>242.</t>
  </si>
  <si>
    <t>2803/11</t>
  </si>
  <si>
    <t>Alsótemető mögötti földút telek</t>
  </si>
  <si>
    <t>243.</t>
  </si>
  <si>
    <t>2804</t>
  </si>
  <si>
    <t>Mező I. u. telek</t>
  </si>
  <si>
    <t>244.</t>
  </si>
  <si>
    <t>284</t>
  </si>
  <si>
    <t>Mocsár Árpád u.</t>
  </si>
  <si>
    <t>245.</t>
  </si>
  <si>
    <t>285</t>
  </si>
  <si>
    <t>246.</t>
  </si>
  <si>
    <t>288</t>
  </si>
  <si>
    <t>247.</t>
  </si>
  <si>
    <t>289</t>
  </si>
  <si>
    <t>248.</t>
  </si>
  <si>
    <t>291</t>
  </si>
  <si>
    <t>249.</t>
  </si>
  <si>
    <t>299/29</t>
  </si>
  <si>
    <t>Bartók B. u. út telek</t>
  </si>
  <si>
    <t>250.</t>
  </si>
  <si>
    <t>313/1</t>
  </si>
  <si>
    <t>Szegedi út kerékpár út</t>
  </si>
  <si>
    <t>251.</t>
  </si>
  <si>
    <t>3501/2</t>
  </si>
  <si>
    <t>Öregmajor közterület</t>
  </si>
  <si>
    <t>252.</t>
  </si>
  <si>
    <t>3522/1</t>
  </si>
  <si>
    <t>253.</t>
  </si>
  <si>
    <t>3522/10</t>
  </si>
  <si>
    <t>254.</t>
  </si>
  <si>
    <t>3522/11</t>
  </si>
  <si>
    <t>255.</t>
  </si>
  <si>
    <t>3522/2</t>
  </si>
  <si>
    <t>256.</t>
  </si>
  <si>
    <t>3522/3</t>
  </si>
  <si>
    <t>257.</t>
  </si>
  <si>
    <t>3522/4</t>
  </si>
  <si>
    <t>258.</t>
  </si>
  <si>
    <t>3522/5</t>
  </si>
  <si>
    <t>259.</t>
  </si>
  <si>
    <t>3522/6</t>
  </si>
  <si>
    <t>260.</t>
  </si>
  <si>
    <t>3522/7</t>
  </si>
  <si>
    <t>261.</t>
  </si>
  <si>
    <t>3522/8</t>
  </si>
  <si>
    <t>262.</t>
  </si>
  <si>
    <t>3522/9</t>
  </si>
  <si>
    <t>263.</t>
  </si>
  <si>
    <t>3652</t>
  </si>
  <si>
    <t>264.</t>
  </si>
  <si>
    <t>407</t>
  </si>
  <si>
    <t>265.</t>
  </si>
  <si>
    <t>457</t>
  </si>
  <si>
    <t>Ady E. u. út telek</t>
  </si>
  <si>
    <t>266.</t>
  </si>
  <si>
    <t>4790</t>
  </si>
  <si>
    <t>Belvíz elvezető árok Szalmázó hegy</t>
  </si>
  <si>
    <t>267.</t>
  </si>
  <si>
    <t>490</t>
  </si>
  <si>
    <t>Eötvös - Honvéd szakasz telek</t>
  </si>
  <si>
    <t>268.</t>
  </si>
  <si>
    <t>548</t>
  </si>
  <si>
    <t>Kinizsi u. földút telek</t>
  </si>
  <si>
    <t>269.</t>
  </si>
  <si>
    <t>56/1</t>
  </si>
  <si>
    <t>Tópart út telek</t>
  </si>
  <si>
    <t>271.</t>
  </si>
  <si>
    <t>717</t>
  </si>
  <si>
    <t>Petőfi tér út telek</t>
  </si>
  <si>
    <t>272.</t>
  </si>
  <si>
    <t>718</t>
  </si>
  <si>
    <t>Szt László u. út telek</t>
  </si>
  <si>
    <t>273.</t>
  </si>
  <si>
    <t>772</t>
  </si>
  <si>
    <t>Beépítetlen telek Bem tér</t>
  </si>
  <si>
    <t>274.</t>
  </si>
  <si>
    <t>781</t>
  </si>
  <si>
    <t>Bem tér út telek</t>
  </si>
  <si>
    <t>275.</t>
  </si>
  <si>
    <t>787</t>
  </si>
  <si>
    <t>Sallai u. földút telek</t>
  </si>
  <si>
    <t>276.</t>
  </si>
  <si>
    <t>839</t>
  </si>
  <si>
    <t>Templom u. út telek</t>
  </si>
  <si>
    <t>277.</t>
  </si>
  <si>
    <t>863</t>
  </si>
  <si>
    <t>Galamb u. út telek</t>
  </si>
  <si>
    <t>278.</t>
  </si>
  <si>
    <t>864</t>
  </si>
  <si>
    <t>Bercsényi u. út telek</t>
  </si>
  <si>
    <t>279.</t>
  </si>
  <si>
    <t>91</t>
  </si>
  <si>
    <t>Csapadékvíz elvezető árok Rigó- Zrínyi u.</t>
  </si>
  <si>
    <t>280.</t>
  </si>
  <si>
    <t>913</t>
  </si>
  <si>
    <t>Kölcsey u. földút telek</t>
  </si>
  <si>
    <t>281.</t>
  </si>
  <si>
    <t>947</t>
  </si>
  <si>
    <t>Madách u. út telek</t>
  </si>
  <si>
    <t>282.</t>
  </si>
  <si>
    <t>0170/5</t>
  </si>
  <si>
    <t>Telek, ipari elkerülő</t>
  </si>
  <si>
    <t>03621</t>
  </si>
  <si>
    <t>621</t>
  </si>
  <si>
    <t>Nagy u Telek (közterület)</t>
  </si>
  <si>
    <t>621/5</t>
  </si>
  <si>
    <t>Nagy u. Telek</t>
  </si>
  <si>
    <t>0366/1</t>
  </si>
  <si>
    <t>Buszváró Jánoshalmi úton</t>
  </si>
  <si>
    <t>Utasváró (Öregmajor)</t>
  </si>
  <si>
    <t>Garázs Rákóczi u. 6-8</t>
  </si>
  <si>
    <t>Sporpálya aszfalt Iskola</t>
  </si>
  <si>
    <t>Sportpályához dróháló Kerettel Isk.</t>
  </si>
  <si>
    <t xml:space="preserve">Forgalomképes egyéb építmények </t>
  </si>
  <si>
    <t>Nagy u. 101 kerítés</t>
  </si>
  <si>
    <t>Kerítés Szent László 17</t>
  </si>
  <si>
    <t>Kerítés Rákóczi u. 30</t>
  </si>
  <si>
    <t>Kerítés Rákóczi u. 43</t>
  </si>
  <si>
    <t>Kerítés Rákóczi u. 45</t>
  </si>
  <si>
    <t xml:space="preserve">Kerítés Madách u. 20. </t>
  </si>
  <si>
    <t>Tároló könyvtár alt. Fűtési rendszerhez</t>
  </si>
  <si>
    <t>Kerítés Epreskert</t>
  </si>
  <si>
    <t>Fóliasátor Epreskert</t>
  </si>
  <si>
    <t>Tároló Kazánprogram II. Óvoda</t>
  </si>
  <si>
    <t xml:space="preserve"> Korlátozottan forgalomképes 0-ig leírt  egyéb épületek</t>
  </si>
  <si>
    <t>POLG.HIV.</t>
  </si>
  <si>
    <t>Lakás+ óvoda Széchenyi u. 110</t>
  </si>
  <si>
    <t>Lakás Hunyadi u. 18</t>
  </si>
  <si>
    <t>Helyiség Petőfi t. 9.</t>
  </si>
  <si>
    <t>lakás Rákóczi u.5.</t>
  </si>
  <si>
    <t xml:space="preserve">Falugazdász ház Rákóczi u. 13.  </t>
  </si>
  <si>
    <t>Nullági leírt Forgalomképtelen zöldterületek</t>
  </si>
  <si>
    <t>Park zöldterület</t>
  </si>
  <si>
    <t xml:space="preserve">  57/3</t>
  </si>
  <si>
    <t>Alsó temető melleti liget zöldfelület</t>
  </si>
  <si>
    <t>Közterület Honvéd u. zöldfelület</t>
  </si>
  <si>
    <t>Közterület Jáhosh. Út zöldterület</t>
  </si>
  <si>
    <t xml:space="preserve"> Tel (0ig) leírt Korlátozottan forgalomképes parkok zöld felületek (ültetvények)</t>
  </si>
  <si>
    <t>Zöldfelület Játszótér</t>
  </si>
  <si>
    <t>57/8</t>
  </si>
  <si>
    <t>Zöldfelület Sporttelep</t>
  </si>
  <si>
    <t>57/7</t>
  </si>
  <si>
    <t>Zöldfelület Művelődésiház-strand</t>
  </si>
  <si>
    <t xml:space="preserve"> Korlátozottan forgalomképes 0-ig leírt  egyéb építmények</t>
  </si>
  <si>
    <t>1219492</t>
  </si>
  <si>
    <t>Drótfonatos kerítés lópálya</t>
  </si>
  <si>
    <t>Forgalomképes ügyviteli számítástechnikai eszközök akt.áll.</t>
  </si>
  <si>
    <t>Szerver gép (tudásdepó)</t>
  </si>
  <si>
    <t>Cimkenyomtató (tudásdepó)</t>
  </si>
  <si>
    <t>Számítógép konf. Dell gx60</t>
  </si>
  <si>
    <t>Tp link wireless router tiop</t>
  </si>
  <si>
    <t>Interaktív tábla smart tiop</t>
  </si>
  <si>
    <t>Notebook hp620 tiop</t>
  </si>
  <si>
    <t>270.</t>
  </si>
  <si>
    <t>Projektor MP515 tiop</t>
  </si>
  <si>
    <t>Nyomtató canon (könyvelés)</t>
  </si>
  <si>
    <t>Nyomtató canon (17.szoba)</t>
  </si>
  <si>
    <t>Laptop Samsung (Kovács T.)</t>
  </si>
  <si>
    <t>Laptop Samsung (Mikó L.né.)</t>
  </si>
  <si>
    <t>Laptop Samsung (Racsmán R..)</t>
  </si>
  <si>
    <t>Laptop Samsung (Novák L.)</t>
  </si>
  <si>
    <t>Laptop Samsung (Dr. Sztantics P.)</t>
  </si>
  <si>
    <t>Laptop Samsung (Földes I.)</t>
  </si>
  <si>
    <t>Laptop Samsung (Kopcsek T.)</t>
  </si>
  <si>
    <t>Laptop Samsung (Dr Márai L.)</t>
  </si>
  <si>
    <t>Laptop Samsung (Fuszkó A)</t>
  </si>
  <si>
    <t>LaptopSamsung(13.iroda PuskásJ)</t>
  </si>
  <si>
    <t>Infrakamera WPS4 (Polg.Hiv.épület)</t>
  </si>
  <si>
    <t>HDD Külső A_DATA 1 TB (Néptánc)</t>
  </si>
  <si>
    <t xml:space="preserve">Eu támogatással megvalósuló projektek </t>
  </si>
  <si>
    <t>EU-s projekt neve, azonosítója:</t>
  </si>
  <si>
    <t>KEOP-1.2.0/09-11-2011-0039                  Mélykút Város szennyvízcsatornázási és szennyvíztisztítási beruházása )</t>
  </si>
  <si>
    <t>Ezer forint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</si>
  <si>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</si>
  <si>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</si>
  <si>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</si>
  <si>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</si>
  <si>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</si>
  <si>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</si>
  <si>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</si>
  <si>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</si>
  <si>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</si>
  <si>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Beruházások, beszerzések</t>
  </si>
  <si>
    <t>Szolgáltatások igénybe vétele</t>
  </si>
  <si>
    <t>Adminisztratív költségek</t>
  </si>
  <si>
    <t>TÁMOP-3.2.13-12/1-2012-0242 Néptánc ami összeköt</t>
  </si>
  <si>
    <t>TÁMOP-2.4.A/11-1/2012-0058 Tudásdepo express II.</t>
  </si>
  <si>
    <t>Támogatott neve</t>
  </si>
  <si>
    <t>Hozzájárulás  (E Ft)</t>
  </si>
  <si>
    <t>Támogatási szerződés szerinti bevételek, kiadások</t>
  </si>
  <si>
    <t>Eredeti</t>
  </si>
  <si>
    <t>Évenkénti üteme</t>
  </si>
  <si>
    <t>Összes bevétel,
kiadás</t>
  </si>
  <si>
    <t>2013. előtt</t>
  </si>
  <si>
    <t>2013. évi</t>
  </si>
  <si>
    <t>2013.után</t>
  </si>
  <si>
    <t>Teljesítés %-a 
2013. XII. 31-ig</t>
  </si>
  <si>
    <t>12=(10+11)</t>
  </si>
  <si>
    <t>13=(12/3)</t>
  </si>
  <si>
    <t>Személyi jellegű</t>
  </si>
  <si>
    <t>Kiadások összesen:</t>
  </si>
  <si>
    <t>Helyi, nemzetiségi önkormányzattól átvett pénzeszköz</t>
  </si>
  <si>
    <t>Társulástól átvett pénzeszköz</t>
  </si>
  <si>
    <t xml:space="preserve"> EU támogatás</t>
  </si>
  <si>
    <t xml:space="preserve"> Egyéb működési támogatás államháztartáson belülről</t>
  </si>
  <si>
    <t>EU támogatás</t>
  </si>
  <si>
    <t>Egyéb felhalmozási támogatás államháztartáson belülről</t>
  </si>
  <si>
    <t xml:space="preserve">  Települési önkormányzatok kulturális feladatainak támog.</t>
  </si>
  <si>
    <t xml:space="preserve">  Települési önkormányzatok szociális és gyermekjóléti fel.tám.</t>
  </si>
  <si>
    <t>Működőképesség megörzését szolg.tám</t>
  </si>
  <si>
    <t>Szerkezetátalakítási tartalék</t>
  </si>
  <si>
    <t>Működési célú kölcsön visszatérülése</t>
  </si>
  <si>
    <t>7.2</t>
  </si>
  <si>
    <t>7.3</t>
  </si>
  <si>
    <t>V. Átvett pénzeszközök államháztartáson kívülről (7.1.+7.2.+7.3)</t>
  </si>
  <si>
    <t>BEVÉTEL</t>
  </si>
  <si>
    <t>KIADÁS</t>
  </si>
  <si>
    <t>MEGNEVEZÉS</t>
  </si>
  <si>
    <t>eredeti előirányzat</t>
  </si>
  <si>
    <t>módosított előirányzat</t>
  </si>
  <si>
    <t>2013. háromnegyedéves teljesítés</t>
  </si>
  <si>
    <t>I</t>
  </si>
  <si>
    <t>MŰKÖDÉSI KÖLTSÉGVETÉS</t>
  </si>
  <si>
    <t>Közhatalmi bevételek (1.1-1.4)</t>
  </si>
  <si>
    <t>Munkaadókat terhelő jár.és szoc.hozzár. adó</t>
  </si>
  <si>
    <t>1.3</t>
  </si>
  <si>
    <t>1.4</t>
  </si>
  <si>
    <t>Egyéb fizetési köt.szárm. Bev.</t>
  </si>
  <si>
    <t>Intézményi működési bevételek (2.1-2.6)</t>
  </si>
  <si>
    <t>Lakosságnak juttatott támogatások</t>
  </si>
  <si>
    <t>2.1</t>
  </si>
  <si>
    <t>Áru és készletértékesítés</t>
  </si>
  <si>
    <t>Szociális, rászorultság jellegű ellátások</t>
  </si>
  <si>
    <t>2.2</t>
  </si>
  <si>
    <t xml:space="preserve"> Működési célú pénzmaradvány átadás</t>
  </si>
  <si>
    <t>2.3</t>
  </si>
  <si>
    <t xml:space="preserve">Műk. célú pénzeszköz átadás ÁHT  kív </t>
  </si>
  <si>
    <t>2.4</t>
  </si>
  <si>
    <t>5.5</t>
  </si>
  <si>
    <t>Működési célú támogatásértékű kiadás</t>
  </si>
  <si>
    <t>2.5</t>
  </si>
  <si>
    <t>Általános forgalmi adó bevétel</t>
  </si>
  <si>
    <t>5.6</t>
  </si>
  <si>
    <t>kölcsön</t>
  </si>
  <si>
    <t>2.6</t>
  </si>
  <si>
    <t>5.7</t>
  </si>
  <si>
    <t>Pénzforgalom nélküli kiadások</t>
  </si>
  <si>
    <t>2.7</t>
  </si>
  <si>
    <t>5.8</t>
  </si>
  <si>
    <t>Intézményfinanszírozás</t>
  </si>
  <si>
    <t>Átengedett központi adók</t>
  </si>
  <si>
    <t>5.9             Korrekció intézményfinanszírozás miatt</t>
  </si>
  <si>
    <r>
      <t xml:space="preserve">Támogatások </t>
    </r>
    <r>
      <rPr>
        <sz val="7"/>
        <rFont val="Times New Roman"/>
        <family val="1"/>
      </rPr>
      <t>(4.1-4.6)</t>
    </r>
  </si>
  <si>
    <t>Tartalékok</t>
  </si>
  <si>
    <t>4.1</t>
  </si>
  <si>
    <t>Helyi önkormányzatok általános támogatása</t>
  </si>
  <si>
    <t>4.2</t>
  </si>
  <si>
    <t>A tel. önkorm. egyes köznev és gyerm.étk fel. tám.</t>
  </si>
  <si>
    <t>4.3</t>
  </si>
  <si>
    <t>Tel. Önkorm. Szoc. és gyerm.jól fel.tám.</t>
  </si>
  <si>
    <t>4.4</t>
  </si>
  <si>
    <t xml:space="preserve">Tel.önkorm.kult. feladatainak tám. </t>
  </si>
  <si>
    <t>4.5</t>
  </si>
  <si>
    <t>4.6</t>
  </si>
  <si>
    <r>
      <t xml:space="preserve">Támogatásértékű bevételek </t>
    </r>
    <r>
      <rPr>
        <sz val="7"/>
        <rFont val="Times New Roman"/>
        <family val="1"/>
      </rPr>
      <t>(5.1-5.3)</t>
    </r>
  </si>
  <si>
    <t>TB pénzügyi alapjából átvett pénzeszköz</t>
  </si>
  <si>
    <t>Elkülönített állami pénzalaptól átvett pénzeszköz</t>
  </si>
  <si>
    <t>Egyéb működési célú támogatásértékű bevétel</t>
  </si>
  <si>
    <t>Működési célú pénzeszköz átvétel államháztartáson kívülről</t>
  </si>
  <si>
    <t>Önkormányzati támogatás</t>
  </si>
  <si>
    <t>Korrekció önkormányzati támogatás miatt</t>
  </si>
  <si>
    <t>A</t>
  </si>
  <si>
    <t xml:space="preserve">MŰKÖDÉSI KÖLTSÉGVETÉSI BEVÉTELEK ÖSSZESEN: </t>
  </si>
  <si>
    <t>E</t>
  </si>
  <si>
    <t xml:space="preserve">MŰKÖDÉSI KÖLTSÉGVETÉSI KIADÁSOK ÖSSZESEN: </t>
  </si>
  <si>
    <t>B</t>
  </si>
  <si>
    <t>MŰKÖDÉSI KÖLTSÉGVETÉS EGYENLEGE</t>
  </si>
  <si>
    <t>F</t>
  </si>
  <si>
    <t>C</t>
  </si>
  <si>
    <t>HIÁNY BELSŐ FINANSZRYOZÁSÁRA MŰKÖDÉSI PÉNZMARADVÁNY</t>
  </si>
  <si>
    <t>D</t>
  </si>
  <si>
    <t>127412 Összesen:</t>
  </si>
  <si>
    <t>Szennyvíz beruházás</t>
  </si>
  <si>
    <t xml:space="preserve"> Folyamatban lévő beruházása összesen</t>
  </si>
  <si>
    <t>II. Tárgyi eszközök mindösszesen</t>
  </si>
  <si>
    <t>III. Befektetett pénzügyi eszközök</t>
  </si>
  <si>
    <t>1. Egyéb tartós részesedések</t>
  </si>
  <si>
    <t>1232.</t>
  </si>
  <si>
    <t>ÉPTESZ Kft apport</t>
  </si>
  <si>
    <t>1233.</t>
  </si>
  <si>
    <t>Duna-Tisza Regionális Fejlesztési Rt.</t>
  </si>
  <si>
    <t>1234.</t>
  </si>
  <si>
    <t>Hulladéklerakó társulás Vaskút</t>
  </si>
  <si>
    <t>1235.</t>
  </si>
  <si>
    <t>Homokhátsági Regionális Hulladéklerakó Rt.</t>
  </si>
  <si>
    <t>1236.</t>
  </si>
  <si>
    <t>OTP törzsrészvény</t>
  </si>
  <si>
    <t>1237.</t>
  </si>
  <si>
    <t>Jánoshalmi Kistérs.EÜ</t>
  </si>
  <si>
    <t>Baja Víz Kft</t>
  </si>
  <si>
    <t>2. Tartósan adott kölcsönök</t>
  </si>
  <si>
    <t>III. Befektetett pénzügyi eszközök összesen</t>
  </si>
  <si>
    <t>Mélyk Kölcsey 11. telek</t>
  </si>
  <si>
    <t>Forg.képes</t>
  </si>
  <si>
    <t>Korlátozottan forgalomképes egyéb épületek, (intézmények)akt.állománya</t>
  </si>
  <si>
    <t>Orvosi szolgálati lakás/rendelő Templom u. 12.</t>
  </si>
  <si>
    <t xml:space="preserve">Községháza  </t>
  </si>
  <si>
    <t>708/2</t>
  </si>
  <si>
    <t>Garázs / Raktár Petőfi tér 1.</t>
  </si>
  <si>
    <t>1926</t>
  </si>
  <si>
    <t>Marhalevél kezelő épület</t>
  </si>
  <si>
    <t xml:space="preserve">II sz. Óvoda </t>
  </si>
  <si>
    <t xml:space="preserve">Iroda + helyiség Rákóczi u. 5.  </t>
  </si>
  <si>
    <t>Garázs Templom u. 12.</t>
  </si>
  <si>
    <t>Vásártéri WC épület</t>
  </si>
  <si>
    <t>Hunyadi u. 18 tárolóhelyiség</t>
  </si>
  <si>
    <t>CKÖ Közösségi Ház</t>
  </si>
  <si>
    <t>705</t>
  </si>
  <si>
    <t>Garázs/Raktár pmh udvarán</t>
  </si>
  <si>
    <t>Rákóczi u. 5. helyiség</t>
  </si>
  <si>
    <t>Tároló ép. Rákóczi 13. (Kazánprogram)</t>
  </si>
  <si>
    <t>Könyvtár ép. Felúj EMVA 6.352.01.01</t>
  </si>
  <si>
    <t>Rákóczi 5. Raktár</t>
  </si>
  <si>
    <t>Lakás Honvéd u. 41.</t>
  </si>
  <si>
    <t>Lakás Rákóczi u. 6-8</t>
  </si>
  <si>
    <t>3522</t>
  </si>
  <si>
    <t>Öregmajor buszváró épület</t>
  </si>
  <si>
    <t>Tanya Mélykút</t>
  </si>
  <si>
    <t>Buszváró Rákóczi u. 55. főút</t>
  </si>
  <si>
    <t>0137/2</t>
  </si>
  <si>
    <t>Gyepmesteri telep</t>
  </si>
  <si>
    <t>Buszváró Petőfi tér</t>
  </si>
  <si>
    <t>Üzlethehyiség buszváró Petőfi tér 1</t>
  </si>
  <si>
    <t>Üzlethehyiség Nagy u. régi buszváró 1</t>
  </si>
  <si>
    <t>Buszmegálló Bácsalmási út 0169/11 hrsz</t>
  </si>
  <si>
    <t>Buszmegálló Jánoshalmi út 1940 hrsz</t>
  </si>
  <si>
    <t>korl forg.képes</t>
  </si>
  <si>
    <t>Forgalomképes egyéb épületek  aktivált állománya</t>
  </si>
  <si>
    <t>Jánoshalmi u. 22 Lakóing</t>
  </si>
  <si>
    <t>Lakás Galamb u. 3.</t>
  </si>
  <si>
    <t>Lakás Rákóczi u. 39.</t>
  </si>
  <si>
    <t>Lakás Rákóczi u. 43.</t>
  </si>
  <si>
    <t>Lakás Rákóczi u. 45.</t>
  </si>
  <si>
    <t>Lakás Petőfi t. 3</t>
  </si>
  <si>
    <t>709/2</t>
  </si>
  <si>
    <t>Garázs Petőfi tér 3.</t>
  </si>
  <si>
    <t>712/3/A</t>
  </si>
  <si>
    <t>Lakás Tópart 55.</t>
  </si>
  <si>
    <t>Garázs Szt. László u. 17.</t>
  </si>
  <si>
    <t>Garázs Rákóczi u. 39</t>
  </si>
  <si>
    <t>Lakás Szent László u. 17</t>
  </si>
  <si>
    <t>Lakóház Világos u. 12</t>
  </si>
  <si>
    <t>Mátyás k. u. 39 lakóház</t>
  </si>
  <si>
    <t>Kinizsi u. 25. lakóház hagyaték</t>
  </si>
  <si>
    <t>Lakóház Nagy u. 101.</t>
  </si>
  <si>
    <t>Lakóház Jánoshalmi u. 12.</t>
  </si>
  <si>
    <t>Zalka M. 16. lakóház</t>
  </si>
  <si>
    <t>289/2001</t>
  </si>
  <si>
    <t>Lakóház Madách u. 20.</t>
  </si>
  <si>
    <t>Új u. 57 lakóház</t>
  </si>
  <si>
    <t>Honvéd u. 26. ( DoszpodA. Hagyaték)</t>
  </si>
  <si>
    <t>Garázs épület 711/a/4 hrsz. Tópőart 55</t>
  </si>
  <si>
    <t>712/5</t>
  </si>
  <si>
    <t>Lakás Petőfi tér 7.</t>
  </si>
  <si>
    <t>Garázs épület Petőfi tér 6-7.</t>
  </si>
  <si>
    <t>Garázs Petőfi tér 6-7.</t>
  </si>
  <si>
    <t>Lakás épület Petőfi tér 6</t>
  </si>
  <si>
    <t>Attila u.38.Lakóház (Dora I.)</t>
  </si>
  <si>
    <t>Széchenyi u.145.Lakóház</t>
  </si>
  <si>
    <t>Jókai u.37. Lakóház</t>
  </si>
  <si>
    <t>1481</t>
  </si>
  <si>
    <t>Széchenyi u.147.Lakóház</t>
  </si>
  <si>
    <t>Új u.121. Lakóház</t>
  </si>
  <si>
    <t xml:space="preserve">Mélyk. Attila u. 29 </t>
  </si>
  <si>
    <t>Mélyk. Kölcsey u 11</t>
  </si>
  <si>
    <t>1996/1</t>
  </si>
  <si>
    <t>Kerti szerszámos tároló (2032) pályázat</t>
  </si>
  <si>
    <t>Korlátozottan forgalomképes ültetvények (parkok zöld felületek)</t>
  </si>
  <si>
    <t>Mátyás kir. Fásítás</t>
  </si>
  <si>
    <t>142/3</t>
  </si>
  <si>
    <t>Széchenyi u. fásítás</t>
  </si>
  <si>
    <t>1504/6</t>
  </si>
  <si>
    <t>Széchenyi u. őshon fák 2005</t>
  </si>
  <si>
    <t>Vasútállomás őshonos fák 2005</t>
  </si>
  <si>
    <t>Jánoshalmi u. fásítás</t>
  </si>
  <si>
    <t>Szabadság tér őshonos fák tel 2005</t>
  </si>
  <si>
    <t>621/2</t>
  </si>
  <si>
    <t>Nagy u. fásítás</t>
  </si>
  <si>
    <t>704</t>
  </si>
  <si>
    <t>Kossuth u. fásítás</t>
  </si>
  <si>
    <t>912</t>
  </si>
  <si>
    <t>Hunyadi u. fásítás</t>
  </si>
  <si>
    <t>II/2245</t>
  </si>
  <si>
    <t>Rákóczi u. fásítás</t>
  </si>
  <si>
    <t>Tópart fásítás</t>
  </si>
  <si>
    <t>Lópálya Fásítás(2007)Nyárfa</t>
  </si>
  <si>
    <t>Gyepmesteri telep Fásítás</t>
  </si>
  <si>
    <t>0190/51</t>
  </si>
  <si>
    <t>Alk.út mellet Fásítás</t>
  </si>
  <si>
    <t>korl.forg.képes</t>
  </si>
  <si>
    <t>Forgalomképtelen építmények, utak, járdák, csatornák</t>
  </si>
  <si>
    <t>285.</t>
  </si>
  <si>
    <t>Rigó u. csatorna</t>
  </si>
  <si>
    <t>286.</t>
  </si>
  <si>
    <t>57/4</t>
  </si>
  <si>
    <t>Parkoló/Művelődési ház előtt</t>
  </si>
  <si>
    <t>287.</t>
  </si>
  <si>
    <t>Deák F. u. aszfaltbeton út</t>
  </si>
  <si>
    <t>288.</t>
  </si>
  <si>
    <t>Traktorosok u. aszfaltbeton út</t>
  </si>
  <si>
    <t>289.</t>
  </si>
  <si>
    <t>717/1</t>
  </si>
  <si>
    <t>Petőfi tér aszfaltbeton út</t>
  </si>
  <si>
    <t>290.</t>
  </si>
  <si>
    <t>Öregmajor aszfaltbeton út</t>
  </si>
  <si>
    <t>291.</t>
  </si>
  <si>
    <t>Munkácsy -Vezér u. aszfaltbeton út</t>
  </si>
  <si>
    <t>292.</t>
  </si>
  <si>
    <t>Rigó u.- i aszfaltbeton út</t>
  </si>
  <si>
    <t>293.</t>
  </si>
  <si>
    <t>Szt László u.-i aszfaltbeton út</t>
  </si>
  <si>
    <t>294.</t>
  </si>
  <si>
    <t>Honvéd u. aszfalt út</t>
  </si>
  <si>
    <t>295.</t>
  </si>
  <si>
    <t>Eötvös - Honvéd u. közötti szakasz út</t>
  </si>
  <si>
    <t>296.</t>
  </si>
  <si>
    <t>1020</t>
  </si>
  <si>
    <t>Zöldfa u. aszfaltbeton út</t>
  </si>
  <si>
    <t>297.</t>
  </si>
  <si>
    <t>2283</t>
  </si>
  <si>
    <t>Damjanich u. aszfaltbeton út</t>
  </si>
  <si>
    <t>298.</t>
  </si>
  <si>
    <t>Rákóczi u. aszfaltbeton út II. szakasz</t>
  </si>
  <si>
    <t>299.</t>
  </si>
  <si>
    <t>0313/1</t>
  </si>
  <si>
    <t>Kerékpárút aszfaltbeton út II.</t>
  </si>
  <si>
    <t>300.</t>
  </si>
  <si>
    <t>Eötvös u. aszfalt út</t>
  </si>
  <si>
    <t>301.</t>
  </si>
  <si>
    <t>302.</t>
  </si>
  <si>
    <t>Sportpálya temető előtti út Jánoshalmi u.</t>
  </si>
  <si>
    <t>303.</t>
  </si>
  <si>
    <t>Kerékpárút Jánoshalmi út mellett</t>
  </si>
  <si>
    <t>304.</t>
  </si>
  <si>
    <t>263/1</t>
  </si>
  <si>
    <t>Új u. szakasz útépítés</t>
  </si>
  <si>
    <t>305.</t>
  </si>
  <si>
    <t>Eötvös u. járda</t>
  </si>
  <si>
    <t>306.</t>
  </si>
  <si>
    <t>Rákóczi F. u. II. járda</t>
  </si>
  <si>
    <t>307.</t>
  </si>
  <si>
    <t>Öregmajor járda</t>
  </si>
  <si>
    <t>308.</t>
  </si>
  <si>
    <t>Damjanich u. járda</t>
  </si>
  <si>
    <t>309.</t>
  </si>
  <si>
    <t>Zöldfa u. járda</t>
  </si>
  <si>
    <t>310.</t>
  </si>
  <si>
    <t>Széchenyi u. járda</t>
  </si>
  <si>
    <t>311.</t>
  </si>
  <si>
    <t>Munkácsy u. kövesút</t>
  </si>
  <si>
    <t>312.</t>
  </si>
  <si>
    <t>Munkácsy u. járda</t>
  </si>
  <si>
    <t>313.</t>
  </si>
  <si>
    <t>Vezér u. kövesút</t>
  </si>
  <si>
    <t>314.</t>
  </si>
  <si>
    <t>Vezér u járda</t>
  </si>
  <si>
    <t>315.</t>
  </si>
  <si>
    <t>Petőfi tér járda</t>
  </si>
  <si>
    <t>316.</t>
  </si>
  <si>
    <t>Szt László u járda</t>
  </si>
  <si>
    <t>317.</t>
  </si>
  <si>
    <t>Deák F. u. járda</t>
  </si>
  <si>
    <t>318.</t>
  </si>
  <si>
    <t>Rigó u. járda</t>
  </si>
  <si>
    <t>319.</t>
  </si>
  <si>
    <t>Traktorosok u. járda</t>
  </si>
  <si>
    <t>320.</t>
  </si>
  <si>
    <t>Tópart járda</t>
  </si>
  <si>
    <t>321.</t>
  </si>
  <si>
    <t>Árpád u. járda</t>
  </si>
  <si>
    <t>322.</t>
  </si>
  <si>
    <t>Mélykút Város szennyvízcsatornázási és szennyvíztisztítási beruházása (KEOP-1.2.0/09-11-2011-0039)  (nettó ktg)</t>
  </si>
  <si>
    <t>Mélykút Város szennyvízcsatornázási és szennyvíztisztítási beruházása (KEOP-1.2.0/09-11-2011-0039) áfa</t>
  </si>
  <si>
    <t>Jánoshalma-Mélykút Ivóvíz-minősgjavító program</t>
  </si>
  <si>
    <t>romos ngatlanok  vásárlás</t>
  </si>
  <si>
    <t>ebből: Mélykút, Attila u. 29.</t>
  </si>
  <si>
    <t xml:space="preserve">              Mélykút, Kölcsey u. 11</t>
  </si>
  <si>
    <t>Önfenntartást segítő projekt</t>
  </si>
  <si>
    <t xml:space="preserve"> ebből:           Engedélyezési és kiviteli terv</t>
  </si>
  <si>
    <t xml:space="preserve">                       tároló</t>
  </si>
  <si>
    <t xml:space="preserve">                       gépkocsi</t>
  </si>
  <si>
    <t xml:space="preserve">                       locsolórendszr</t>
  </si>
  <si>
    <t xml:space="preserve">                      kazán</t>
  </si>
  <si>
    <t xml:space="preserve">                      permetező</t>
  </si>
  <si>
    <t xml:space="preserve">                     rotakapa</t>
  </si>
  <si>
    <t xml:space="preserve">                     kultivátor</t>
  </si>
  <si>
    <t>Néptánc mai összeköt</t>
  </si>
  <si>
    <t>naperőmű</t>
  </si>
  <si>
    <t>Kerékpárút építése Mélykúton az 55. sz.főút mellett (DAOP-3.1.2/B-09-2010-0005</t>
  </si>
  <si>
    <t>kazán sportvendégló</t>
  </si>
  <si>
    <t>közbiztonság növelése</t>
  </si>
  <si>
    <t>startmunka mintaprogram</t>
  </si>
  <si>
    <t>kerti szerszámtároló terv</t>
  </si>
  <si>
    <t>fordított áfa falumegújítás és pályázattal kapcsolatosan</t>
  </si>
  <si>
    <t xml:space="preserve">Autóbusz megálló </t>
  </si>
  <si>
    <t>Önkormányzat összesen</t>
  </si>
  <si>
    <t>számítógép</t>
  </si>
  <si>
    <t>műtrágyaszóró</t>
  </si>
  <si>
    <t>a Mélykút Város Önkormányzat GAMESZ 2013. évi bevételi és kiadási előirányzatairól, valamint engedélyezett létszámkeretéről</t>
  </si>
  <si>
    <t>Mélykút Város Önkormányzat GAMESZ  bevételei feladatonként 2013. év</t>
  </si>
  <si>
    <t>Önkormány-zati támogatás műk. Célú</t>
  </si>
  <si>
    <t>Pénzfor-galom nélküli bevétel</t>
  </si>
  <si>
    <t>Zöldterület(Park)</t>
  </si>
  <si>
    <t>Ált gazd, társadalmi, tervezési tevékenys</t>
  </si>
  <si>
    <t>Város- és község gzadálkodás.</t>
  </si>
  <si>
    <t>Támogatási célú finanszírozási műveletek</t>
  </si>
  <si>
    <t>Háziorvosi alapellátás</t>
  </si>
  <si>
    <t>ügyeleti ellátás</t>
  </si>
  <si>
    <t>Egyéb másh.nem sor.járóbeteg ell.</t>
  </si>
  <si>
    <t>család és nővédelmi egészségügyi. Gondozás</t>
  </si>
  <si>
    <t>Ifjúság egészségügyi gondozás</t>
  </si>
  <si>
    <t>közmunka</t>
  </si>
  <si>
    <t>Fogászat</t>
  </si>
  <si>
    <t>Start munkap.-Téli közfoglalkoztatás</t>
  </si>
  <si>
    <t>Összesen eirzat</t>
  </si>
  <si>
    <t>Összesen teljesítés</t>
  </si>
  <si>
    <t>Mélykút Város Önkormányzat Gondozási Köpont  bevételei feladatonként 2013. év</t>
  </si>
  <si>
    <t>Végleges pénz--eszköz átvétel</t>
  </si>
  <si>
    <t>Pénzforga-lom nélküli bevétel</t>
  </si>
  <si>
    <t>Óvodai intézményi étkeztetés</t>
  </si>
  <si>
    <t xml:space="preserve">Iskolai intézményi étkeztetés </t>
  </si>
  <si>
    <t>Éttermi mozgó vendéglátás</t>
  </si>
  <si>
    <t>Időskorúak tartós bentlakásos szociális ellátása</t>
  </si>
  <si>
    <t xml:space="preserve">Idősek nappali ellátása </t>
  </si>
  <si>
    <t xml:space="preserve">Szociális étkeztetés </t>
  </si>
  <si>
    <t>Házi segítségnyújtás</t>
  </si>
  <si>
    <t>Falugondnoki, tanya-gondnoki szolgáltatás</t>
  </si>
  <si>
    <t>Gyermekjóléti szolgálat</t>
  </si>
  <si>
    <t>Családsegítő szolgálat</t>
  </si>
  <si>
    <t>Művelődési Ház és Fenyő Miksa Könyvtár  bevételei feladatonként 2013. év</t>
  </si>
  <si>
    <t xml:space="preserve">Folyóirat, időszaki kiadvány kiadása </t>
  </si>
  <si>
    <t>Könyvtári állomány gyarapítása, nyilvántartása</t>
  </si>
  <si>
    <t>Könyvtári szolgáltatások</t>
  </si>
  <si>
    <t>Közművelődési tevékenységek és támogatásuk(Alkotóház)</t>
  </si>
  <si>
    <t>Közművelődési intézmények, közösségi színterek működtetése</t>
  </si>
  <si>
    <t>Sportlétesítmények működtetése és fejlesztése</t>
  </si>
  <si>
    <t>összesen eirzat</t>
  </si>
  <si>
    <t>összesen teljesítés</t>
  </si>
  <si>
    <t>GAMESZ 2013. évi  kiadási előirányzata feladatonként</t>
  </si>
  <si>
    <t>Szakfeladat</t>
  </si>
  <si>
    <t>Egyéb folyó kiadás</t>
  </si>
  <si>
    <t>M.c. pénzmaradvány elvonás</t>
  </si>
  <si>
    <t>hosszú időtartamú közfogl.</t>
  </si>
  <si>
    <t>Gondozási Központ 2013. évi kiadási előirányzata feladatonként</t>
  </si>
  <si>
    <t>M.C.pénzmaradvány átadás</t>
  </si>
  <si>
    <t>Önkormányzatok elszámolásai a költségve-tési szerveikkel</t>
  </si>
  <si>
    <t xml:space="preserve">eirzat összesen </t>
  </si>
  <si>
    <t>teljesítés összesen</t>
  </si>
  <si>
    <t>Művelődési Ház és Fenyő Miksa Könyvtár  2013. évi kiadási előirányzata feladatonként</t>
  </si>
  <si>
    <t>Munka-adókat terhelő járulék</t>
  </si>
  <si>
    <t>Beru-házás</t>
  </si>
  <si>
    <t>eirzat összesen</t>
  </si>
  <si>
    <t>Windows XP OEM</t>
  </si>
  <si>
    <t>Ms oem Windows xp Home magyar</t>
  </si>
  <si>
    <t>Ms oem office 2007 W32 magyar</t>
  </si>
  <si>
    <t>Oem Windows xp proff.</t>
  </si>
  <si>
    <t>Program windows 7 home premium</t>
  </si>
  <si>
    <t xml:space="preserve">Panda Antivírus 2010 1év boksz 3 pc </t>
  </si>
  <si>
    <t>Program-visual I x fog.</t>
  </si>
  <si>
    <t>Windows 7 pro 64 bit hu rendszer</t>
  </si>
  <si>
    <t>Windows 7 pro 64 bit hu oem</t>
  </si>
  <si>
    <t>Windows 7 Home Premium</t>
  </si>
  <si>
    <t>Gond.közp</t>
  </si>
  <si>
    <t>Élelmezési program</t>
  </si>
  <si>
    <t>MS OEM Windows sp home magyar</t>
  </si>
  <si>
    <t>Müv.Ház</t>
  </si>
  <si>
    <t>Számítógép program windows vista home</t>
  </si>
  <si>
    <t>Ms windows xp program</t>
  </si>
  <si>
    <t>OEM WIN XP HOME program</t>
  </si>
  <si>
    <t>OEM Office 2007/basic hun</t>
  </si>
  <si>
    <t>Windows xp</t>
  </si>
  <si>
    <t>Windoes xp home</t>
  </si>
  <si>
    <t>Vírusírtó program</t>
  </si>
  <si>
    <t>WINDOW 7</t>
  </si>
  <si>
    <t>POLG.HIV</t>
  </si>
  <si>
    <t>Ms Windows 7 3. sz PHIV</t>
  </si>
  <si>
    <t>Ms Windows 7 14. sz PHIV</t>
  </si>
  <si>
    <t xml:space="preserve">MS Oem Office 3. sz. PHIV </t>
  </si>
  <si>
    <t xml:space="preserve">MS Oem Office 14. sz. PHIV </t>
  </si>
  <si>
    <t>Ms Windows 7 Home 16. sz</t>
  </si>
  <si>
    <t>Ms Windows 7 Home jegyző</t>
  </si>
  <si>
    <t>Ms Windows 7 Prémium 12. sz</t>
  </si>
  <si>
    <t>Ms Windows 7 Home 13.sz</t>
  </si>
  <si>
    <t>115.</t>
  </si>
  <si>
    <t>2013.vagyon</t>
  </si>
  <si>
    <t>1215.</t>
  </si>
  <si>
    <t>Attila utca útépítés terv</t>
  </si>
  <si>
    <t>1216.</t>
  </si>
  <si>
    <t xml:space="preserve">Dózsa Gy.  utca útépítés </t>
  </si>
  <si>
    <t>vízjogi engedély</t>
  </si>
  <si>
    <t xml:space="preserve">kamera </t>
  </si>
  <si>
    <t>program Win 7</t>
  </si>
  <si>
    <t>Notebook</t>
  </si>
  <si>
    <t>nyomtataó</t>
  </si>
  <si>
    <t>Polgármesteri hivatal összesen</t>
  </si>
  <si>
    <t>sterilizátor</t>
  </si>
  <si>
    <t>vándorfólia</t>
  </si>
  <si>
    <t>fóliasátor</t>
  </si>
  <si>
    <t>palántázó</t>
  </si>
  <si>
    <t>MTZ erőgép</t>
  </si>
  <si>
    <t>2 db fűnyírógép</t>
  </si>
  <si>
    <t>rézsűkasza</t>
  </si>
  <si>
    <t>2 részes hűtőkamra</t>
  </si>
  <si>
    <t>burgonyakirázó</t>
  </si>
  <si>
    <t>csigás növényolajprés</t>
  </si>
  <si>
    <t>GAMESZ összesen</t>
  </si>
  <si>
    <t>arzénmentesítő</t>
  </si>
  <si>
    <t>Gondozási központ</t>
  </si>
  <si>
    <t>könyvtár felújítás</t>
  </si>
  <si>
    <t>Mélykút Város Önkormányzat felújítási  kiadásai  célonként</t>
  </si>
  <si>
    <t>ezer Ft</t>
  </si>
  <si>
    <t>teljesítés</t>
  </si>
  <si>
    <t>Falumegújítás és fejlesztés (könyvtár, szökőkút felújítás, játszótéri játék beszerzés)</t>
  </si>
  <si>
    <t>Önkormányzat</t>
  </si>
  <si>
    <t>Művelődési Ház és Fenyő Miksa Könyvtár</t>
  </si>
  <si>
    <t>Önkormányzat mindösszesen</t>
  </si>
  <si>
    <r>
      <t xml:space="preserve">Támogatások </t>
    </r>
    <r>
      <rPr>
        <sz val="7"/>
        <color indexed="8"/>
        <rFont val="Times New Roman"/>
        <family val="1"/>
      </rPr>
      <t>(4.1-4.6)</t>
    </r>
  </si>
  <si>
    <r>
      <t xml:space="preserve">Támogatásértékű bevételek </t>
    </r>
    <r>
      <rPr>
        <sz val="7"/>
        <color indexed="8"/>
        <rFont val="Times New Roman"/>
        <family val="1"/>
      </rPr>
      <t>(5.1-5.3)</t>
    </r>
  </si>
  <si>
    <r>
      <t xml:space="preserve">Felhalmozási támogatások </t>
    </r>
    <r>
      <rPr>
        <sz val="7"/>
        <color indexed="8"/>
        <rFont val="Times New Roman"/>
        <family val="1"/>
      </rPr>
      <t>(5.1+…+5.8.)</t>
    </r>
  </si>
  <si>
    <r>
      <t xml:space="preserve">Felhalmozási célú támogatásértékű bevételek </t>
    </r>
    <r>
      <rPr>
        <sz val="7"/>
        <color indexed="8"/>
        <rFont val="Times New Roman"/>
        <family val="1"/>
      </rPr>
      <t>(5.1-5.6)</t>
    </r>
  </si>
  <si>
    <t>függő</t>
  </si>
  <si>
    <t>az önkormányzat 2013. évi bevételi és kiadási előirányzatairól, valamint engedélyezett létszámkeretéről</t>
  </si>
  <si>
    <t>Ezer forintban !</t>
  </si>
  <si>
    <t>Száma</t>
  </si>
  <si>
    <t>Előirányzat-csoport, kiemelt előirányzat megnevezése</t>
  </si>
  <si>
    <t>Bevételek</t>
  </si>
  <si>
    <t>I. Önkormányzatok működési bevételei</t>
  </si>
  <si>
    <t>I/1. Közhatalmi bevételek (2.1.+…+2.4.)</t>
  </si>
  <si>
    <t>III. Támogatások, kiegészítések (5.1+…+5.8.)</t>
  </si>
  <si>
    <t>Ált. működéshez és ágazati feladathoz kapcsolódó támogatások</t>
  </si>
  <si>
    <t>5.3.</t>
  </si>
  <si>
    <t>5.4.</t>
  </si>
  <si>
    <t>Címzett és céltámogatások</t>
  </si>
  <si>
    <t>Megyei önkormányzatok működésének támogatása</t>
  </si>
  <si>
    <t>Vis maior támogatás</t>
  </si>
  <si>
    <t>Egyéb támogatás, kiegészítés</t>
  </si>
  <si>
    <t>IV. Átvett pénzeszközök államháztartáson belülről (6.1.+…6.2.)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</si>
  <si>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</si>
  <si>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</si>
  <si>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</si>
  <si>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</si>
  <si>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 xml:space="preserve">   Egyéb működési támogatás államháztartáson belülről</t>
  </si>
  <si>
    <t xml:space="preserve">   Egyéb felhalmozási támogatás államháztartáson belülről</t>
  </si>
  <si>
    <t>V. Átvett pénzeszközök államháztartáson kívülről (7.1.+7.2.)</t>
  </si>
  <si>
    <t>Működési célú pénzeszköz átvétel államháztartáson kívülről, kölcsönök visszatérülése</t>
  </si>
  <si>
    <t>7.2.</t>
  </si>
  <si>
    <t>Felhalmozási célú pénzeszköz átvétel államháztartáson kívülről, kölcsönök visszatérülése</t>
  </si>
  <si>
    <t>VI. Felhalmozási célú bevételek (8.1+8.2.+8.3.)</t>
  </si>
  <si>
    <r>
      <t>KÖLTSÉGVETÉSI BEVÉTELEK ÖSSZESEN (2+……+8</t>
    </r>
    <r>
      <rPr>
        <b/>
        <i/>
        <sz val="8"/>
        <rFont val="Times New Roman"/>
        <family val="1"/>
      </rPr>
      <t>)</t>
    </r>
  </si>
  <si>
    <t>10.</t>
  </si>
  <si>
    <t>VIII. Finanszírozási bevételek (11.1.+11.2.)</t>
  </si>
  <si>
    <t>Működési célú finanszírozási bevételek</t>
  </si>
  <si>
    <t xml:space="preserve">  Felhalmozási célú finanszírozási bevételek</t>
  </si>
  <si>
    <t>Függő bevétel</t>
  </si>
  <si>
    <t>BEVÉTELEK ÖSSZESEN: (10+11)</t>
  </si>
  <si>
    <t>Kiadások</t>
  </si>
  <si>
    <t>I. Működési költségvetés kiadásai (1.1+…+1.5.)</t>
  </si>
  <si>
    <t xml:space="preserve"> - az 1.5-ből: - Lakosságnak juttatott támogatások</t>
  </si>
  <si>
    <t xml:space="preserve">      - Szociális, rászorultság jellegű ellátások</t>
  </si>
  <si>
    <t xml:space="preserve">     -  Működési célú pénzeszköz átadás államháztartáson belülre</t>
  </si>
  <si>
    <t xml:space="preserve">     - Működési célú pénzeszköz átadás államháztartáson kívülre</t>
  </si>
  <si>
    <t xml:space="preserve">     - Működési támogatás átadás</t>
  </si>
  <si>
    <t xml:space="preserve">     - Garancia és kezességvállalásból származó kifizetés</t>
  </si>
  <si>
    <t xml:space="preserve">     - Kamatkiadások</t>
  </si>
  <si>
    <t>1.13.</t>
  </si>
  <si>
    <t xml:space="preserve">     - kölcsön nyújtása</t>
  </si>
  <si>
    <t>II. Felhalmozási költségvetés kiadásai (2.1+…+2.7)</t>
  </si>
  <si>
    <t xml:space="preserve">Beruházások </t>
  </si>
  <si>
    <t xml:space="preserve"> Egyéb felhalmozási kiadások</t>
  </si>
  <si>
    <t xml:space="preserve">     2.3-ból  - Felhalmozási célú pénzeszköz átadás államháztartáson kívülre</t>
  </si>
  <si>
    <t xml:space="preserve">  - Felhalmozási célú pénzeszközátadás államháztartáson belülre</t>
  </si>
  <si>
    <t xml:space="preserve">  - Pénzügyi befektetések kiadásai</t>
  </si>
  <si>
    <t xml:space="preserve">  - Lakástámogatás</t>
  </si>
  <si>
    <t xml:space="preserve">  - EU-s forrásból finanszírozott támogatással megvalósuló programok, projektek kiadásai</t>
  </si>
  <si>
    <t xml:space="preserve">  - EU-s forrásból finanszírozott támogatással megvalósuló programok, projektek    önkormányzati hozzájárulásának kiadásai</t>
  </si>
  <si>
    <t>III. Tartalékok (3.1.+3.2)</t>
  </si>
  <si>
    <t>V. Költségvetési szervek finanszírozása</t>
  </si>
  <si>
    <t>KÖLTSÉGVETÉSI KIADÁSOK ÖSSZESEN: (1+2+3+4)</t>
  </si>
  <si>
    <t>V. Finanszírozási kiadások (6.1.+6.2.)</t>
  </si>
  <si>
    <t>6.1</t>
  </si>
  <si>
    <t>Működési célú finanszírozási kiadások</t>
  </si>
  <si>
    <t>67.2.</t>
  </si>
  <si>
    <t>Felhalmozási célú pénzügyi műveletek kiadások</t>
  </si>
  <si>
    <t>Függő kisdás</t>
  </si>
  <si>
    <t>KIADÁSOK ÖSSZESEN: (5+6)</t>
  </si>
  <si>
    <t>Éves engedélyezett létszám előirányzat (fő)</t>
  </si>
  <si>
    <t>Közfoglalkoztatottak létszáma (fő)</t>
  </si>
  <si>
    <t>I. Intézményi működési bevételek (1.1.+…+1.8.)</t>
  </si>
  <si>
    <t>1.5.</t>
  </si>
  <si>
    <t>Kamat bevétel</t>
  </si>
  <si>
    <t>Egyéb saját bevétel</t>
  </si>
  <si>
    <t>II. Átvett pénzeszközök  államháztartáson belülről (2.1.+2.4.)</t>
  </si>
  <si>
    <t>Működési támogatás államháztartáson belülről</t>
  </si>
  <si>
    <t xml:space="preserve"> - ebből EU támogatás</t>
  </si>
  <si>
    <t>Felhalmozási támogatás államháztartáson belülről</t>
  </si>
  <si>
    <t>III. Átvett pénzeszköz államháztartáson kívülről (3.1.+3.2.)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</si>
  <si>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</si>
  <si>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</si>
  <si>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</si>
  <si>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</si>
  <si>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Költségvetési maradvány igénybevétele</t>
  </si>
  <si>
    <t>Vállalkozási maradvány igénybevétele</t>
  </si>
  <si>
    <t>VI. Függő, átfutó, kiegyenlítő bevételek</t>
  </si>
  <si>
    <t>Öregmajor vízmű gép-berendezés</t>
  </si>
  <si>
    <t>Búvárszivattyú</t>
  </si>
  <si>
    <t>Új utca útépítés</t>
  </si>
  <si>
    <t>1218.</t>
  </si>
  <si>
    <t>Jelzőlámpás gyalogátkelő</t>
  </si>
  <si>
    <t>1219.</t>
  </si>
  <si>
    <t>Kinizsi u. útépítés</t>
  </si>
  <si>
    <t>1220.</t>
  </si>
  <si>
    <t>Öregmajor útépítés terv</t>
  </si>
  <si>
    <t>1221.</t>
  </si>
  <si>
    <t>Táncsics u (Mikszáth-Felszabadulás ) útburkolat felújítás</t>
  </si>
  <si>
    <t>1222.</t>
  </si>
  <si>
    <t>Árpád u (Új u-Vezér u között) útburkolat felújítás</t>
  </si>
  <si>
    <t>1223.</t>
  </si>
  <si>
    <t>Nagy u (Kossuth-Eötvös u) útburkolat felújítás</t>
  </si>
  <si>
    <t>1224.</t>
  </si>
  <si>
    <t>Árpád u (Bartók-Tópart u között) útburkolat felújítás</t>
  </si>
  <si>
    <t>1225.</t>
  </si>
  <si>
    <t>Táncsics u (Hunyadi u -Felszabadulás között) útburkolat felújítás</t>
  </si>
  <si>
    <t>1226.</t>
  </si>
  <si>
    <t>Kölcsey u  útépítés 50 m-s szakasz</t>
  </si>
  <si>
    <t>1227.</t>
  </si>
  <si>
    <t>Dankó u  útépítés 50 m-s szakasz</t>
  </si>
  <si>
    <t>Jánoshalma-Mélykút.ivóvízminőség javító program</t>
  </si>
  <si>
    <t>Mindösszesen</t>
  </si>
  <si>
    <t>FELHALMOZÁSI  KÖLTSÉGVETÉS ÖSSZEGE</t>
  </si>
  <si>
    <t>F O R R Á S O K    Ö S S Z E S E N</t>
  </si>
  <si>
    <t>Előző évi állományi érték</t>
  </si>
  <si>
    <t>Tárgyévi állományi érték</t>
  </si>
  <si>
    <t/>
  </si>
  <si>
    <t>01</t>
  </si>
  <si>
    <t>03</t>
  </si>
  <si>
    <t>04</t>
  </si>
  <si>
    <t>06</t>
  </si>
  <si>
    <t>I. Immateriális javak összesen (01+...+06)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</si>
  <si>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</si>
  <si>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</si>
  <si>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</si>
  <si>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</si>
  <si>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</si>
  <si>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</si>
  <si>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</si>
  <si>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</si>
  <si>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</si>
  <si>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II. Tárgyi eszközök összesen (08+...+15)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</si>
  <si>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</si>
  <si>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</si>
  <si>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</si>
  <si>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</si>
  <si>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</si>
  <si>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</si>
  <si>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</si>
  <si>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</si>
  <si>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</si>
  <si>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</si>
  <si>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III. Befektetett pénzügyi eszközök összesen (17+19+20+21+24+25)</t>
  </si>
  <si>
    <t>27</t>
  </si>
  <si>
    <t>28</t>
  </si>
  <si>
    <t>29</t>
  </si>
  <si>
    <t>30</t>
  </si>
  <si>
    <t>31</t>
  </si>
  <si>
    <t>32</t>
  </si>
  <si>
    <t>IV. Üzemeltetésre, kezelésre átadott, koncesszióba, vagyonkezelésbe adott, illetve vagyonkezelésbe              vett eszközök  (27+…+31)</t>
  </si>
  <si>
    <t>33</t>
  </si>
  <si>
    <t>A) BEFEKTETETT ESZKÖZÖK ÖSSZESEN (07+16+26+32)</t>
  </si>
  <si>
    <t>34</t>
  </si>
  <si>
    <t>35</t>
  </si>
  <si>
    <t>36</t>
  </si>
  <si>
    <t>37</t>
  </si>
  <si>
    <t>38</t>
  </si>
  <si>
    <t>39</t>
  </si>
  <si>
    <t>40</t>
  </si>
  <si>
    <t>I. Készletek összesen (34+…+39)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</si>
  <si>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</si>
  <si>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</si>
  <si>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</si>
  <si>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</si>
  <si>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</si>
  <si>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</si>
  <si>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</si>
  <si>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</si>
  <si>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</si>
  <si>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</si>
  <si>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</si>
  <si>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II. Követelések összesen (41+42+43+45)</t>
  </si>
  <si>
    <t>53</t>
  </si>
  <si>
    <t>55</t>
  </si>
  <si>
    <t>56</t>
  </si>
  <si>
    <t>57</t>
  </si>
  <si>
    <t>58</t>
  </si>
  <si>
    <t>59</t>
  </si>
  <si>
    <t>III. Értékpapírok összesen (53+56)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</si>
  <si>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</si>
  <si>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</si>
  <si>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</si>
  <si>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</si>
  <si>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</si>
  <si>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</si>
  <si>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</si>
  <si>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</si>
  <si>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</si>
  <si>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IV. Pénzeszközök összesen (60+61+64+65)</t>
  </si>
  <si>
    <t>69</t>
  </si>
  <si>
    <t>70</t>
  </si>
  <si>
    <t>71</t>
  </si>
  <si>
    <t>72</t>
  </si>
  <si>
    <t>73</t>
  </si>
  <si>
    <t>V. Egyéb aktív pénzügyi elszámolások összesen (69+...+72)</t>
  </si>
  <si>
    <t>74</t>
  </si>
  <si>
    <t>B) FORGÓESZKÖZÖK ÖSSZESEN (40+52+59+68+73)</t>
  </si>
  <si>
    <t>75</t>
  </si>
  <si>
    <t>ESZKÖZÖK ÖSSZESEN (33+74)</t>
  </si>
  <si>
    <t>FORRÁSOK</t>
  </si>
  <si>
    <t>76</t>
  </si>
  <si>
    <t>77</t>
  </si>
  <si>
    <t>78</t>
  </si>
  <si>
    <t>I. Tartós tőke (76+77)</t>
  </si>
  <si>
    <t>79</t>
  </si>
  <si>
    <t>80</t>
  </si>
  <si>
    <t>81</t>
  </si>
  <si>
    <t>II. Tőkeváltozások (79+80)</t>
  </si>
  <si>
    <t>82</t>
  </si>
  <si>
    <t>83</t>
  </si>
  <si>
    <t>84</t>
  </si>
  <si>
    <t>III. Értékelési tartalék (82+83)</t>
  </si>
  <si>
    <t>85</t>
  </si>
  <si>
    <t>D) SAJÁT TŐKE ÖSSZESEN (78+81+84)</t>
  </si>
  <si>
    <t>87</t>
  </si>
  <si>
    <t>88</t>
  </si>
  <si>
    <t>89</t>
  </si>
  <si>
    <t>90</t>
  </si>
  <si>
    <t>92</t>
  </si>
  <si>
    <t>93</t>
  </si>
  <si>
    <t>I. Költségvetési tartalékok összesen (86+89+...+92)</t>
  </si>
  <si>
    <t>94</t>
  </si>
  <si>
    <t>95</t>
  </si>
  <si>
    <t>96</t>
  </si>
  <si>
    <t>97</t>
  </si>
  <si>
    <t>98</t>
  </si>
  <si>
    <t>99</t>
  </si>
  <si>
    <t>100</t>
  </si>
  <si>
    <t>II. Vállalkozási tartalékok összesen (94+97+98+99)</t>
  </si>
  <si>
    <t>101</t>
  </si>
  <si>
    <t>E) TARTALÉKOK ÖSSZESEN (93+100)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</si>
  <si>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</si>
  <si>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</si>
  <si>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</si>
  <si>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</si>
  <si>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</si>
  <si>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</si>
  <si>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</si>
  <si>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</si>
  <si>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</si>
  <si>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I. Hosszú lejáratú kötelezettségek összesen (102+…+108)</t>
  </si>
  <si>
    <t>111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</si>
  <si>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</si>
  <si>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</si>
  <si>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</si>
  <si>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</si>
  <si>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</si>
  <si>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</si>
  <si>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</si>
  <si>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</si>
  <si>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</si>
  <si>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</si>
  <si>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Ebből: - tárgyévi költségvetést terhelő szállítói kötelezettségek</t>
  </si>
  <si>
    <t>123</t>
  </si>
  <si>
    <t>- tárgyévet követő évet terhelő szállítói kötelezettségek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</si>
  <si>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</si>
  <si>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</si>
  <si>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</si>
  <si>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</si>
  <si>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</si>
  <si>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</si>
  <si>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</si>
  <si>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</si>
  <si>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</si>
  <si>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</si>
  <si>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</si>
  <si>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</si>
  <si>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</si>
  <si>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</si>
  <si>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- egyéb különféle kötelezettségek (4499-ből)</t>
  </si>
  <si>
    <t>138</t>
  </si>
  <si>
    <t>II. Rövid lejáratú kötelezettségek összesen (111+113+117+121+124)</t>
  </si>
  <si>
    <t>139</t>
  </si>
  <si>
    <t>140</t>
  </si>
  <si>
    <t>141</t>
  </si>
  <si>
    <t>142</t>
  </si>
  <si>
    <t>143</t>
  </si>
  <si>
    <t>144</t>
  </si>
  <si>
    <t>145</t>
  </si>
  <si>
    <t>III. Egyéb passzív pénzügyi elszámolások összesen (139+...+142)</t>
  </si>
  <si>
    <t>146</t>
  </si>
  <si>
    <t>F) KÖTELEZETTSÉGEK ÖSSZESEN (110+138+145)</t>
  </si>
  <si>
    <t>147</t>
  </si>
  <si>
    <t>FORRÁSOK ÖSSZESEN (85+101+146)</t>
  </si>
  <si>
    <t>ezer Ft-ban</t>
  </si>
  <si>
    <t>sorszám</t>
  </si>
  <si>
    <t xml:space="preserve">1. Alapítás-átszervezés aktivált értéke </t>
  </si>
  <si>
    <t xml:space="preserve">2. Kísérleti fejlesztés aktivált értéke </t>
  </si>
  <si>
    <t xml:space="preserve">3. Vagyoni értékű jogok </t>
  </si>
  <si>
    <t xml:space="preserve">4. Szellemi termékek </t>
  </si>
  <si>
    <t>5. Immateriális javakra adott előlegek</t>
  </si>
  <si>
    <t xml:space="preserve">6. Immateriális javak értékhelyesbítése </t>
  </si>
  <si>
    <t xml:space="preserve">1. Ingatlanok és a kapcsolódó vagyoni értékű jogok </t>
  </si>
  <si>
    <t>2. Gépek, berendezések és felszerelések</t>
  </si>
  <si>
    <t xml:space="preserve">3. Járművek </t>
  </si>
  <si>
    <t xml:space="preserve">4. Tenyészállatok </t>
  </si>
  <si>
    <t xml:space="preserve">5. Beruházások,felújítások </t>
  </si>
  <si>
    <t xml:space="preserve">6. Beruházásra adott előlegek </t>
  </si>
  <si>
    <t xml:space="preserve">7. Állami készletek, tartalékok </t>
  </si>
  <si>
    <t xml:space="preserve">8. Tárgyi eszközök értékhelyesbítése </t>
  </si>
  <si>
    <t xml:space="preserve">1. Tartós részesedés </t>
  </si>
  <si>
    <t>Ebből - tartós társulási részesedés</t>
  </si>
  <si>
    <t xml:space="preserve">2. Tartós hitelviszonyt megtestesítő értékpapír </t>
  </si>
  <si>
    <t xml:space="preserve">3. Tartósan adott kölcsön </t>
  </si>
  <si>
    <t xml:space="preserve">4. Hosszú lejáratú betétek </t>
  </si>
  <si>
    <t xml:space="preserve">Ebből:  4/a Hosszú lejáratú betétek bekerülési (könyv szerinti) értéke </t>
  </si>
  <si>
    <t xml:space="preserve">4/b Hosszú lejáratú betétek elszámolt értékvesztése </t>
  </si>
  <si>
    <t>5. Egyéb hosszú lejáratú követelések</t>
  </si>
  <si>
    <t xml:space="preserve">6. Befektetett pénzügyi eszközök értékhelyesbítése </t>
  </si>
  <si>
    <t xml:space="preserve">1. Üzemeltetésre, kezelésre átadott eszközök </t>
  </si>
  <si>
    <t xml:space="preserve">2. Koncesszióba adott eszközök </t>
  </si>
  <si>
    <t xml:space="preserve">3. Vagyonkezelésbe adott eszközök </t>
  </si>
  <si>
    <t xml:space="preserve">4. Vagyonkezelésbe vett eszközök </t>
  </si>
  <si>
    <t>5. Üzemeltetésre, kezelésre átadott, koncesszióba, vagyonkezelésbe adott, illetve vagyonkezelésbe vett eszközök értékhelyesbítése</t>
  </si>
  <si>
    <t xml:space="preserve">1. Anyagok </t>
  </si>
  <si>
    <t xml:space="preserve">2. Befejezetlen termelés és félkész termékek </t>
  </si>
  <si>
    <t xml:space="preserve">3. Növendék-, hízó és egyéb állatok </t>
  </si>
  <si>
    <t xml:space="preserve">4. Késztermékek </t>
  </si>
  <si>
    <t>5. Áruk, betétdíja gönyölegek, közvetített szolgáltatások</t>
  </si>
  <si>
    <t xml:space="preserve">6. Követelés fejében átvett eszközök, készletek </t>
  </si>
  <si>
    <t>1. Követelések áruszállításból és szolgáltatásból (vevők)</t>
  </si>
  <si>
    <t xml:space="preserve">2. Adósok </t>
  </si>
  <si>
    <t xml:space="preserve">3. Rövid lejáratú adott kölcsönök </t>
  </si>
  <si>
    <t xml:space="preserve">Ebből: - tartósan adott kölcsönökből a mérlegfordulónapot követő egy éven belül esedékes részletek </t>
  </si>
  <si>
    <t>4. Egyéb követelések</t>
  </si>
  <si>
    <t>Ebből: - támogatási program előlege</t>
  </si>
  <si>
    <t>- Előfinanszírozás miatti előlegek</t>
  </si>
  <si>
    <t xml:space="preserve">- támogatási programok szabálytalan kifizetése miatti követelések </t>
  </si>
  <si>
    <t xml:space="preserve">- nemzetközi támogatási programok miatti követelések </t>
  </si>
  <si>
    <t xml:space="preserve">- garancia- és kezességvállalásból származó követelések </t>
  </si>
  <si>
    <t xml:space="preserve">- egyéb hosszú lejáratú követelésekből a mérlegfordulónapot követő egy éven belül esedékes részletek </t>
  </si>
  <si>
    <t xml:space="preserve">1. Forgatási célú részesedés </t>
  </si>
  <si>
    <t>1/a Forgatási célú részesedés bekerülési (könyv szerinti) értéke (</t>
  </si>
  <si>
    <t xml:space="preserve">1/b Forgatási célú részesedés elszámolt értékvesztése </t>
  </si>
  <si>
    <t xml:space="preserve">2. Forgatási célú hitelviszonyt megtestesítő értékpapír </t>
  </si>
  <si>
    <t xml:space="preserve">2/a Forgatási célú hitelviszonyt megtestesítő értékpapír bekerülési (könyv szerinti) értéke </t>
  </si>
  <si>
    <t xml:space="preserve">2/b Forgatási célú hitelviszonyt megtestesítő értékpapír elszámolt értékvesztése </t>
  </si>
  <si>
    <t xml:space="preserve">1. Pénztárak, csekkek, betétkönyvek </t>
  </si>
  <si>
    <t>2. Költségvetési pénzforgalmi számlák</t>
  </si>
  <si>
    <t xml:space="preserve">Ebből:  2/a Költségvetési pénzforgalmi számlák bekerülési (könyv szerinti) értéke </t>
  </si>
  <si>
    <t>2/b Költségvetési pénzforgalmi számlák elszámolt értékvesztése</t>
  </si>
  <si>
    <t xml:space="preserve">3. Elszámolási számlák </t>
  </si>
  <si>
    <t xml:space="preserve">4. Idegen pénzeszközök számlái </t>
  </si>
  <si>
    <t xml:space="preserve">Ebből:  4/a Idegen pénzeszközök bekerülési (könyv szerinti) értéke </t>
  </si>
  <si>
    <t xml:space="preserve">4/b Idegen pénzeszközök elszámolt értékvesztése </t>
  </si>
  <si>
    <t xml:space="preserve">1. Költségvetési aktív függő elszámolások </t>
  </si>
  <si>
    <t xml:space="preserve">2. Költségvetési aktív átfutó elszámolások </t>
  </si>
  <si>
    <t xml:space="preserve">3. Költségvetési aktív kiegyenlítő elszámolások </t>
  </si>
  <si>
    <t>4. Költségvetésen kívüli aktív pénzügyi elszámolások</t>
  </si>
  <si>
    <t xml:space="preserve">1. Kezelésbe vett eszközök tartós tőkéje </t>
  </si>
  <si>
    <t xml:space="preserve">2. Saját tulajdonban lévő eszközök tartós tőkéje </t>
  </si>
  <si>
    <t xml:space="preserve">1. Kezelésbe vett eszközök tőkeváltozása </t>
  </si>
  <si>
    <t xml:space="preserve">2. Saját tulajdonban lévő eszközök tőkeváltozása </t>
  </si>
  <si>
    <t xml:space="preserve">1. Kezelésbe vett eszközök értékelési tartaléka </t>
  </si>
  <si>
    <t xml:space="preserve">2. Saját tulajdonban lévő eszközök értékelési tartaléka </t>
  </si>
  <si>
    <t>1. Költségvetési tartalék elszámolása</t>
  </si>
  <si>
    <t xml:space="preserve">Ebből: - tárgyévi költségvetési tartalék elszámolása </t>
  </si>
  <si>
    <t>BEVÉTELEK ÖSSZESEN: (5+6+7)</t>
  </si>
  <si>
    <t>II. Felhalmozási költségvetés kiadásai (2.1+…+2.4)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</si>
  <si>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</si>
  <si>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</si>
  <si>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</si>
  <si>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</si>
  <si>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</si>
  <si>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Kamatbevétel</t>
  </si>
  <si>
    <t>Egyébsaját bevétel</t>
  </si>
  <si>
    <t>Módosított</t>
  </si>
  <si>
    <t>a Mélykút Város Önkormányzat Gondozási Központ 2013. évi bevételi és kiadási előirányzatairól, valamint engedélyezett létszámkeretéről</t>
  </si>
  <si>
    <t>Művelődési Ház és Fenyő Miksa Könyvtár 2013. évi bevételi és kiadási előirányzatairól, valamint engedélyezett létszámkeretéről</t>
  </si>
  <si>
    <t>Jelmagyarázat:</t>
  </si>
  <si>
    <t>mód.előirányzat</t>
  </si>
  <si>
    <t>Szakfe-ladat</t>
  </si>
  <si>
    <t>Ellátott feladatok</t>
  </si>
  <si>
    <t>Közha-talmi bevétel</t>
  </si>
  <si>
    <t>Támoga-tások, kiegészí-tések</t>
  </si>
  <si>
    <t xml:space="preserve">Támogatásértékű működési bevételek </t>
  </si>
  <si>
    <t>Végleges pénz-eszköz átvétel</t>
  </si>
  <si>
    <t>Intézményi felhelm. Bev.</t>
  </si>
  <si>
    <t>Felhalmozási és tőkejellegű bev.</t>
  </si>
  <si>
    <t>Támogatásértékű felhalmozási bev.</t>
  </si>
  <si>
    <t>Kölcsön bev.</t>
  </si>
  <si>
    <t>Felhalmozási célú pénzeszközátvétel ÁHT  kívülről</t>
  </si>
  <si>
    <t>Felhalmozási célú kölcsön</t>
  </si>
  <si>
    <t xml:space="preserve">Finanszirozási bevétel felhalmozási célú </t>
  </si>
  <si>
    <t>Pénzforgalom nélküli bevétel</t>
  </si>
  <si>
    <t>Bevételek mindössze-sen</t>
  </si>
  <si>
    <t xml:space="preserve"> Víztermelés, kezelés ellátás</t>
  </si>
  <si>
    <t>Szennyvíz gyűjtése, tisztítása, elhelyezése</t>
  </si>
  <si>
    <t>Útépítés</t>
  </si>
  <si>
    <t>Gépkocsi tároló bérbeadás</t>
  </si>
  <si>
    <t>lakóingatlan bérbeadása, üzemeltetése</t>
  </si>
  <si>
    <t>Nem lakóingatlan bérbeadása, üzemeltetése</t>
  </si>
  <si>
    <t>Zöldterület kezelés</t>
  </si>
  <si>
    <t>Önkormányzatok és társ. ált. végrehajtó igazgatási tevékenysége</t>
  </si>
  <si>
    <t>Önkormányzatoi vagyonnal való gazd.</t>
  </si>
  <si>
    <t>kiemelt állami és önkorm.rendezv</t>
  </si>
  <si>
    <t>Közvilágítás</t>
  </si>
  <si>
    <t xml:space="preserve">  Város-és község gazdálkodás</t>
  </si>
  <si>
    <t>Önk. És társulásaik elszámolása</t>
  </si>
  <si>
    <t>Önk. Elszámolásai költségvetési szerveikkel</t>
  </si>
  <si>
    <t>Minősített időszaki tevékenységek (belvízvédelem)</t>
  </si>
  <si>
    <t>Fogorvosi alapellátás</t>
  </si>
  <si>
    <t>Ált iskoali tanaulók nappali rendsz, okt.1-4. évf.</t>
  </si>
  <si>
    <t>Ált iskoali tanaulók nappali rendsz, okt 5-8.évf.</t>
  </si>
  <si>
    <t>szoc ösztöndíj</t>
  </si>
  <si>
    <t>Rendszeres szoc.segély</t>
  </si>
  <si>
    <t>Időskorúak járadéka</t>
  </si>
  <si>
    <t>lakásfenntartási támogatás</t>
  </si>
  <si>
    <t>Ápolási díj</t>
  </si>
  <si>
    <t>óvodáztatási támogatás</t>
  </si>
  <si>
    <t>Átmeneti segély</t>
  </si>
  <si>
    <t>Temetési segély</t>
  </si>
  <si>
    <t>Rendkívüli gyermekvédelmei támogatás</t>
  </si>
  <si>
    <t xml:space="preserve">Adósságkezelési szolgáltatás </t>
  </si>
  <si>
    <t>Közgyógyellátás</t>
  </si>
  <si>
    <t>Köztemetés</t>
  </si>
  <si>
    <t>Esélyegy.komplex program</t>
  </si>
  <si>
    <t>Közh.foglalk.</t>
  </si>
  <si>
    <t>köztemető fenntartás, üzemeltetés</t>
  </si>
  <si>
    <t>Összesen</t>
  </si>
  <si>
    <t>Intéz-ményi működési bevétel</t>
  </si>
  <si>
    <t>Önkor-mányzatok sajátos működési bev.</t>
  </si>
  <si>
    <t>Önkormányzati támogatás műk.célú</t>
  </si>
  <si>
    <t>Felhalmozási és tőke jellegű bevétel</t>
  </si>
  <si>
    <t>Önkor-mányzati támogatás felh.célú</t>
  </si>
  <si>
    <t>Nem lakóing.bérbeadása</t>
  </si>
  <si>
    <t>Önkormányzat igazgatási tevékenysége</t>
  </si>
  <si>
    <t>Rendszeres szociális segély</t>
  </si>
  <si>
    <t>Lakásfenntartási támogatás normatív alapon</t>
  </si>
  <si>
    <t>Ápolási díj alanyi jogon</t>
  </si>
  <si>
    <t>Foglalkoztatást helyettesítő támogatás</t>
  </si>
  <si>
    <t>összesen</t>
  </si>
  <si>
    <t>mód.elői.</t>
  </si>
  <si>
    <t>Önkormányzatok sajátos működési bev.</t>
  </si>
  <si>
    <t>Támogatások, kiegészítések</t>
  </si>
  <si>
    <t>Működési költségvetés</t>
  </si>
  <si>
    <t>FelhalmozásiKöltségvetési bevételek</t>
  </si>
  <si>
    <t>ÓVODA</t>
  </si>
  <si>
    <t>Windows XP home hun oem</t>
  </si>
  <si>
    <t xml:space="preserve">Telefonvona </t>
  </si>
  <si>
    <t>Program Nod32 Vírusvédelem</t>
  </si>
  <si>
    <t>Virusál IX ügyelet</t>
  </si>
  <si>
    <t>Windows XP Program</t>
  </si>
  <si>
    <t>Windows program</t>
  </si>
  <si>
    <t>Dos 6.2</t>
  </si>
  <si>
    <t>Safar program</t>
  </si>
  <si>
    <t>IX doki program</t>
  </si>
  <si>
    <t>Telefonvonal</t>
  </si>
  <si>
    <t>Start office program.</t>
  </si>
  <si>
    <t>Labor program modul licence</t>
  </si>
  <si>
    <t>Isdn 30 belépési díj</t>
  </si>
  <si>
    <t xml:space="preserve">Ms om windows xp home magyar </t>
  </si>
  <si>
    <t>Program oem office 2003 basic hu cd</t>
  </si>
  <si>
    <t>Windows ME oper. Rendszer</t>
  </si>
  <si>
    <t>Program</t>
  </si>
  <si>
    <t>Élelmezési menza program</t>
  </si>
  <si>
    <t>MŰV. H.</t>
  </si>
  <si>
    <t>Hálózati program</t>
  </si>
  <si>
    <t>Szakmai program</t>
  </si>
  <si>
    <t>Szoftver</t>
  </si>
  <si>
    <t>Könyvtári adatbázis</t>
  </si>
  <si>
    <t>Szoftver Ms Könyvtári</t>
  </si>
  <si>
    <t>Forg.kép. Oig Vagyoni.ért. Jog összesen</t>
  </si>
  <si>
    <t>Vagyoni értékű jog  Jog összesen</t>
  </si>
  <si>
    <t>Ált.Iskola</t>
  </si>
  <si>
    <t>Intézmény felújítási terv</t>
  </si>
  <si>
    <t>Szellemi termékek összesen:</t>
  </si>
  <si>
    <t>535.</t>
  </si>
  <si>
    <t>545.</t>
  </si>
  <si>
    <t>Ált.isk</t>
  </si>
  <si>
    <t>Ált.Isk. telek</t>
  </si>
  <si>
    <t>Sportpálya aszfalt telek</t>
  </si>
  <si>
    <t>Központi rendelő telek</t>
  </si>
  <si>
    <t>Rákóczi u. 11. sz telek</t>
  </si>
  <si>
    <t>Idősek otthona telek</t>
  </si>
  <si>
    <t>Idősek klubja telek</t>
  </si>
  <si>
    <t>Napköziotthon telek</t>
  </si>
  <si>
    <t>Müv.ház. Sportcentrum</t>
  </si>
  <si>
    <t>Könyvtár telek</t>
  </si>
  <si>
    <t>Óvoda</t>
  </si>
  <si>
    <t>Óvoda telek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</si>
  <si>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</si>
  <si>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</si>
  <si>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</si>
  <si>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</si>
  <si>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</si>
  <si>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</si>
  <si>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</si>
  <si>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</si>
  <si>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</si>
  <si>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</si>
  <si>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</si>
  <si>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</si>
  <si>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</si>
  <si>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</si>
  <si>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</si>
  <si>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</si>
  <si>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</si>
  <si>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</si>
  <si>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</si>
  <si>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</si>
  <si>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</si>
  <si>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</si>
  <si>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</si>
  <si>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</si>
  <si>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</si>
  <si>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</si>
  <si>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</si>
  <si>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</si>
  <si>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</si>
  <si>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</si>
  <si>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</si>
  <si>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</si>
  <si>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</si>
  <si>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</si>
  <si>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</si>
  <si>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</si>
  <si>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</si>
  <si>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</si>
  <si>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</si>
  <si>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</si>
  <si>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</si>
  <si>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</si>
  <si>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</si>
  <si>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</si>
  <si>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</si>
  <si>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</si>
  <si>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</si>
  <si>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</si>
  <si>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</si>
  <si>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</si>
  <si>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</si>
  <si>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</si>
  <si>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</si>
  <si>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</si>
  <si>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</si>
  <si>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</si>
  <si>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</si>
  <si>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</si>
  <si>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</si>
  <si>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</si>
  <si>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</si>
  <si>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</si>
  <si>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</si>
  <si>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Ált.isk. garázs</t>
  </si>
  <si>
    <t>671.</t>
  </si>
  <si>
    <t>Ált.isk. Rákóczi u. 1-3</t>
  </si>
  <si>
    <t>672.</t>
  </si>
  <si>
    <t>Központi orvosi ügyelet, Nagy u. 4</t>
  </si>
  <si>
    <t>673.</t>
  </si>
  <si>
    <t>Központi rendelő Nagy u.4.</t>
  </si>
  <si>
    <t>674.</t>
  </si>
  <si>
    <t>Rákóczi u. 11. 993 Hrsz</t>
  </si>
  <si>
    <t>675.</t>
  </si>
  <si>
    <t>Idősek otthona, Hunyadi 31</t>
  </si>
  <si>
    <t>676.</t>
  </si>
  <si>
    <t>Idősek klubja,Damjanich 6</t>
  </si>
  <si>
    <t>677.</t>
  </si>
  <si>
    <t>Napközi konyha</t>
  </si>
  <si>
    <t>678.</t>
  </si>
  <si>
    <t>Könyvtár, Petőfi tér 2.</t>
  </si>
  <si>
    <t>679.</t>
  </si>
  <si>
    <t>Müvelődési ház</t>
  </si>
  <si>
    <t>680.</t>
  </si>
  <si>
    <t>Fürdő épület</t>
  </si>
  <si>
    <t>681.</t>
  </si>
  <si>
    <t>Olvasóterem</t>
  </si>
  <si>
    <t>682.</t>
  </si>
  <si>
    <t>Sportcsarnok</t>
  </si>
  <si>
    <t>683.</t>
  </si>
  <si>
    <t>I.sz. óvoda Petőfi tér 5.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</si>
  <si>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</si>
  <si>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</si>
  <si>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</si>
  <si>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</si>
  <si>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</si>
  <si>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</si>
  <si>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</si>
  <si>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</si>
  <si>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</si>
  <si>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</si>
  <si>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</si>
  <si>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</si>
  <si>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</si>
  <si>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</si>
  <si>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</si>
  <si>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</si>
  <si>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</si>
  <si>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</si>
  <si>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</si>
  <si>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</si>
  <si>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</si>
  <si>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</si>
  <si>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</si>
  <si>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</si>
  <si>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</si>
  <si>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</si>
  <si>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</si>
  <si>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</si>
  <si>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</si>
  <si>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</si>
  <si>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</si>
  <si>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</si>
  <si>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</si>
  <si>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</si>
  <si>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</si>
  <si>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</si>
  <si>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</si>
  <si>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</si>
  <si>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</si>
  <si>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</si>
  <si>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</si>
  <si>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</si>
  <si>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</si>
  <si>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</si>
  <si>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</si>
  <si>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</si>
  <si>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</si>
  <si>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</si>
  <si>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</si>
  <si>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</si>
  <si>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</si>
  <si>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</si>
  <si>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</si>
  <si>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</si>
  <si>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</si>
  <si>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</si>
  <si>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</si>
  <si>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</si>
  <si>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</si>
  <si>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</si>
  <si>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</si>
  <si>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</si>
  <si>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</si>
  <si>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</si>
  <si>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</si>
  <si>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</si>
  <si>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</si>
  <si>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</si>
  <si>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</si>
  <si>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</si>
  <si>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</si>
  <si>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</si>
  <si>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</si>
  <si>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</si>
  <si>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</si>
  <si>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</si>
  <si>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</si>
  <si>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</si>
  <si>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</si>
  <si>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</si>
  <si>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</si>
  <si>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</si>
  <si>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</si>
  <si>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</si>
  <si>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</si>
  <si>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</si>
  <si>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</si>
  <si>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</si>
  <si>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</si>
  <si>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</si>
  <si>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</si>
  <si>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</si>
  <si>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</si>
  <si>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</si>
  <si>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</si>
  <si>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</si>
  <si>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</si>
  <si>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</si>
  <si>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</si>
  <si>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</si>
  <si>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</si>
  <si>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</si>
  <si>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</si>
  <si>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</si>
  <si>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</si>
  <si>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</si>
  <si>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</si>
  <si>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</si>
  <si>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</si>
  <si>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</si>
  <si>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</si>
  <si>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</si>
  <si>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</si>
  <si>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</si>
  <si>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</si>
  <si>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</si>
  <si>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</si>
  <si>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</si>
  <si>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</si>
  <si>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</si>
  <si>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</si>
  <si>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</si>
  <si>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</si>
  <si>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</si>
  <si>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</si>
  <si>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</si>
  <si>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</si>
  <si>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</si>
  <si>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</si>
  <si>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</si>
  <si>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</si>
  <si>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</si>
  <si>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</si>
  <si>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</si>
  <si>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</si>
  <si>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</si>
  <si>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</si>
  <si>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</si>
  <si>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</si>
  <si>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</si>
  <si>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</si>
  <si>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</si>
  <si>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</si>
  <si>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</si>
  <si>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</si>
  <si>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</si>
  <si>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</si>
  <si>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</si>
  <si>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</si>
  <si>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</si>
  <si>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</si>
  <si>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</si>
  <si>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</si>
  <si>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</si>
  <si>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</si>
  <si>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</si>
  <si>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</si>
  <si>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</si>
  <si>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</si>
  <si>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</si>
  <si>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</si>
  <si>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</si>
  <si>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</si>
  <si>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</si>
  <si>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</si>
  <si>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</si>
  <si>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</si>
  <si>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</si>
  <si>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</si>
  <si>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</si>
  <si>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</si>
  <si>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</si>
  <si>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</si>
  <si>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</si>
  <si>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</si>
  <si>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</si>
  <si>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</si>
  <si>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</si>
  <si>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</si>
  <si>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</si>
  <si>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</si>
  <si>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</si>
  <si>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</si>
  <si>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</si>
  <si>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</si>
  <si>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</si>
  <si>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</si>
  <si>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</si>
  <si>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</si>
  <si>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</si>
  <si>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</si>
  <si>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</si>
  <si>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</si>
  <si>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</si>
  <si>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</si>
  <si>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</si>
  <si>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</si>
  <si>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</si>
  <si>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</si>
  <si>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</si>
  <si>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</si>
  <si>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</si>
  <si>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</si>
  <si>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</si>
  <si>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</si>
  <si>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</si>
  <si>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</si>
  <si>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</si>
  <si>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</si>
  <si>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</si>
  <si>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</si>
  <si>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</si>
  <si>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</si>
  <si>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</si>
  <si>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</si>
  <si>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</si>
  <si>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</si>
  <si>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</si>
  <si>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</si>
  <si>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</si>
  <si>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</si>
  <si>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</si>
  <si>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</si>
  <si>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</si>
  <si>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</si>
  <si>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</si>
  <si>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</si>
  <si>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</si>
  <si>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</si>
  <si>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</si>
  <si>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</si>
  <si>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</si>
  <si>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</si>
  <si>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</si>
  <si>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</si>
  <si>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</si>
  <si>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</si>
  <si>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</si>
  <si>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</si>
  <si>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</si>
  <si>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</si>
  <si>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</si>
  <si>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</si>
  <si>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</si>
  <si>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</si>
  <si>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</si>
  <si>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</si>
  <si>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</si>
  <si>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</si>
  <si>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</si>
  <si>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</si>
  <si>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</si>
  <si>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</si>
  <si>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</si>
  <si>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</si>
  <si>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</si>
  <si>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</si>
  <si>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</si>
  <si>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</si>
  <si>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</si>
  <si>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</si>
  <si>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</si>
  <si>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</si>
  <si>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</si>
  <si>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</si>
  <si>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</si>
  <si>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</si>
  <si>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TIOP-1.2.3-11/1-2012-0379 eszközbeszerzés</t>
  </si>
  <si>
    <t>Önkormányzaton kívüli EU-s projektekhez történő hozzájárulás 2013. év</t>
  </si>
  <si>
    <t>Szennyvíztisztító kisberendezés</t>
  </si>
  <si>
    <t>Indukciós áramlásmérő</t>
  </si>
  <si>
    <t xml:space="preserve">Kapcsolószekrény </t>
  </si>
  <si>
    <t>Kapcsolószekrény öregmajor</t>
  </si>
  <si>
    <t>Klórgáz adagoló</t>
  </si>
  <si>
    <t>Szűrőtartály</t>
  </si>
  <si>
    <t>1301.</t>
  </si>
  <si>
    <t>Villanyhálózat</t>
  </si>
  <si>
    <t>1302.</t>
  </si>
  <si>
    <t>Aszfalt vágógép rz120</t>
  </si>
  <si>
    <t>Zagyszivattyú</t>
  </si>
  <si>
    <t>Búvárszivattyú sp35-11</t>
  </si>
  <si>
    <t>Klórozószivattyú</t>
  </si>
  <si>
    <t>Betonkeverő</t>
  </si>
  <si>
    <t>Fűnyíró MTD</t>
  </si>
  <si>
    <t>Lovaskocsi</t>
  </si>
  <si>
    <t>Hűtőláda/ temető</t>
  </si>
  <si>
    <t>Mosovíz f. sziv.</t>
  </si>
  <si>
    <t>Klorométer</t>
  </si>
  <si>
    <t>Klorgáz adagoló</t>
  </si>
  <si>
    <t>Vas és gáztalanító berendezés</t>
  </si>
  <si>
    <t>Áramfejlesztő stabil.</t>
  </si>
  <si>
    <t>Forgalomképes üzemeltetésre átadott 0-ig leírt gépjármű</t>
  </si>
  <si>
    <t>TA 1500 gépjármű</t>
  </si>
  <si>
    <t>Kistraktor</t>
  </si>
  <si>
    <t>IV. Üzemeltetésre, kezelésre, koncesszióba adott, vagyonkezelésbe vett eszközök</t>
  </si>
  <si>
    <t>A)  Befektetett eszközök összesen</t>
  </si>
  <si>
    <t>II. Követelések</t>
  </si>
  <si>
    <t>1. Követelések áruszállításból, szolgáltatásból (vevő)</t>
  </si>
  <si>
    <t>1338.</t>
  </si>
  <si>
    <t>Vevők előző évi követelés</t>
  </si>
  <si>
    <t>1339.</t>
  </si>
  <si>
    <t>Vevők tárgy évi követelés</t>
  </si>
  <si>
    <t>1340.</t>
  </si>
  <si>
    <t>Előzőévi államháztatáson kívüli továbbszámlázott szolgáltatás követelés</t>
  </si>
  <si>
    <t>1341.</t>
  </si>
  <si>
    <t>Tárgyévi államháztatáson kívüli továbbszámlázott szolgáltatás követelés</t>
  </si>
  <si>
    <t>2. Adósok</t>
  </si>
  <si>
    <t>1342.</t>
  </si>
  <si>
    <t>Adósok előző évi követelés helyi adó</t>
  </si>
  <si>
    <t>1343.</t>
  </si>
  <si>
    <t>Adósok folyó évi követelés helyi adó</t>
  </si>
  <si>
    <t>1344.</t>
  </si>
  <si>
    <t xml:space="preserve">Adósok előző évi követelés egyéb adósok  </t>
  </si>
  <si>
    <t>1345.</t>
  </si>
  <si>
    <t>Adósok folyó évi követelés egyéb adósok</t>
  </si>
  <si>
    <t>1346.</t>
  </si>
  <si>
    <t>Adósokkal szembeni köv.értékvesztése</t>
  </si>
  <si>
    <t>3. Rövid lejáratú kölcsönök</t>
  </si>
  <si>
    <t>Társul.kv.szervnek nyújtott felhalm.kölcsön</t>
  </si>
  <si>
    <t>Éven belüli műkc.támogatási kölcsön nyújtása Nonprofit</t>
  </si>
  <si>
    <t>Egyéb vállakozásnak nyújtott felhalmozási kölcsön</t>
  </si>
  <si>
    <t>3. Egyéb követelések</t>
  </si>
  <si>
    <t xml:space="preserve">Tárgyévi kvet.szembeni követelés  </t>
  </si>
  <si>
    <t>1348.</t>
  </si>
  <si>
    <t>Háztartásoknak nyújtott egyéb felhalmozási célú tám.kölcsön</t>
  </si>
  <si>
    <t>II. Követelések összesen:</t>
  </si>
  <si>
    <t>IV. Pénzeszközök</t>
  </si>
  <si>
    <t>1. Pénztárak, csekkek, betétkönyvek</t>
  </si>
  <si>
    <t>1349.</t>
  </si>
  <si>
    <t>Házi pénztár</t>
  </si>
  <si>
    <t>2. Költségvetési bankszámlák</t>
  </si>
  <si>
    <t>1350.</t>
  </si>
  <si>
    <t>Költségvetési elszámolási számla</t>
  </si>
  <si>
    <t>1352.</t>
  </si>
  <si>
    <t>Háziorvosi Szolgálat elszámolási számla</t>
  </si>
  <si>
    <t>1353.</t>
  </si>
  <si>
    <t>Bérlakások értékesítése elszámolási számla</t>
  </si>
  <si>
    <t>1354.</t>
  </si>
  <si>
    <t>Tiop intel.iskola</t>
  </si>
  <si>
    <t>1355.</t>
  </si>
  <si>
    <t>Ipari elkerülő DAOP</t>
  </si>
  <si>
    <t>1356.</t>
  </si>
  <si>
    <t>AK Esély Tanoda TÁMOP</t>
  </si>
  <si>
    <t>1357.</t>
  </si>
  <si>
    <t>TÁMOP  Tudásdepó Exp.</t>
  </si>
  <si>
    <t>1358.</t>
  </si>
  <si>
    <t>Néptánc ami összeköt pályázat</t>
  </si>
  <si>
    <t>TÁMOP  Tudásdepó Exp.3.2.4.A II.</t>
  </si>
  <si>
    <t>Gépjárműadó</t>
  </si>
  <si>
    <t>1359.</t>
  </si>
  <si>
    <t>Elkülönített elszámolási számla Talajterhelési díj besz.szla</t>
  </si>
  <si>
    <t>4. Idegen pénzeszközök</t>
  </si>
  <si>
    <t>1360.</t>
  </si>
  <si>
    <t>IV. Pénzeszközök összesen:</t>
  </si>
  <si>
    <t>V. Egyéb aktív pénzügyi elszámolások</t>
  </si>
  <si>
    <t>1. Költségvetési aktív függő elszámolások</t>
  </si>
  <si>
    <t>1361.</t>
  </si>
  <si>
    <t>Költségvetési függő kiadások</t>
  </si>
  <si>
    <t xml:space="preserve">3. Költségvetési kiegyenlítő kiadások </t>
  </si>
  <si>
    <t>1362.</t>
  </si>
  <si>
    <t>Költségvetési egyéb átfutó kiadás Kincstár forgótőke</t>
  </si>
  <si>
    <t>Egyéb aktív pénzügyi elszámolások</t>
  </si>
  <si>
    <t>B, Forgóeszközök összesen:</t>
  </si>
  <si>
    <t>ESZKÖZÖK ÖSSZESEN:</t>
  </si>
  <si>
    <t>D, Saját tőke</t>
  </si>
  <si>
    <t>1. Induló tőke</t>
  </si>
  <si>
    <t>1363.</t>
  </si>
  <si>
    <t xml:space="preserve">Induló tőke </t>
  </si>
  <si>
    <t>2. Tőkeváltozások</t>
  </si>
  <si>
    <t>1364.</t>
  </si>
  <si>
    <t>Tőkeváltozások</t>
  </si>
  <si>
    <t>D, Saját tőke összesen</t>
  </si>
  <si>
    <t>I. Költségvetési tartalékok</t>
  </si>
  <si>
    <t>1. Tárgyévi költségvetési tartalék elszámolása</t>
  </si>
  <si>
    <t>1365.</t>
  </si>
  <si>
    <t>Költségvetési tartalék elszámolása</t>
  </si>
  <si>
    <t>Előző évi kv.tartalék</t>
  </si>
  <si>
    <t>2. Költségvetési pénzmaradvány</t>
  </si>
  <si>
    <t>1366.</t>
  </si>
  <si>
    <t>I. Költségvetési tartalékok összesen:</t>
  </si>
  <si>
    <t>E, Tartalékok összesen</t>
  </si>
  <si>
    <t>II. Rövid lejáratú kötelezettségek</t>
  </si>
  <si>
    <t>Kimutatás Mélykút Város Önkormányzatának közvetett támogatásairól</t>
  </si>
  <si>
    <t xml:space="preserve"> Ezer forint 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</si>
  <si>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</si>
  <si>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</si>
  <si>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</si>
  <si>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</si>
  <si>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</si>
  <si>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</si>
  <si>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>Ebből:    Pótlék</t>
  </si>
  <si>
    <t xml:space="preserve">Magánszemélyek kommunális adója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</si>
  <si>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</si>
  <si>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</si>
  <si>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</si>
  <si>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</si>
  <si>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 (könyvtári beíratkozási díj)</t>
  </si>
  <si>
    <t>Egyéb kölcsön elengedése</t>
  </si>
  <si>
    <t xml:space="preserve"> Ezer forintban !</t>
  </si>
  <si>
    <t>Kötelezettség
jogcíme</t>
  </si>
  <si>
    <t>Kötelezettség- 
vállalás 
éve</t>
  </si>
  <si>
    <t>2013.
évi
teljesítés</t>
  </si>
  <si>
    <t>Kötelezettségek a következő években</t>
  </si>
  <si>
    <t>2016.</t>
  </si>
  <si>
    <t>2016. 
után</t>
  </si>
  <si>
    <t>10=(6+…+9)</t>
  </si>
  <si>
    <t>Működési célú
hiteltörlesztés (tőke+kamat)</t>
  </si>
  <si>
    <t>Felhalmozási célú
hiteltörlesztés (tőke+kamat)</t>
  </si>
  <si>
    <t>Egyéb</t>
  </si>
  <si>
    <t>Összesen (1+4+7+9+11)</t>
  </si>
  <si>
    <t xml:space="preserve">Szennyvíztisztitó és csatorna beruházás </t>
  </si>
  <si>
    <t>- felhalmozási célú kötvénykibocsátásból származó tartozások következő évet terhelő törlesztő részletei</t>
  </si>
  <si>
    <t xml:space="preserve">- működási célú kötvénykibocsátásból származó tartozások következő évet terhelő törlesztő részletei </t>
  </si>
  <si>
    <t>4. Kötelezettségek áruszállításból és szolgáltatásból (szállítók) (122+123)</t>
  </si>
  <si>
    <t xml:space="preserve">5. Egyéb rövid lejáratú kötelezettségek </t>
  </si>
  <si>
    <t xml:space="preserve">Ebből: - váltótartozások </t>
  </si>
  <si>
    <t xml:space="preserve">- munkavállalókkal szembeni különféle kötelezettségek </t>
  </si>
  <si>
    <t>- költségvetéssel szembeni kötelezettségek</t>
  </si>
  <si>
    <t xml:space="preserve">- helyi adó túlfizetése miatti kötelezettségek </t>
  </si>
  <si>
    <t xml:space="preserve">- támogatási program előlege miatti kötelezettségek </t>
  </si>
  <si>
    <t xml:space="preserve">- előfinanszírozás miatti kötelezettségek 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</si>
  <si>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</si>
  <si>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</si>
  <si>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</si>
  <si>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</si>
  <si>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</si>
  <si>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</si>
  <si>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</si>
  <si>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</si>
  <si>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</si>
  <si>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</si>
  <si>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</si>
  <si>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</si>
  <si>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</si>
  <si>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</si>
  <si>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</si>
  <si>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</si>
  <si>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</si>
  <si>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</si>
  <si>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</si>
  <si>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</si>
  <si>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</si>
  <si>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</si>
  <si>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</si>
  <si>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</si>
  <si>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</si>
  <si>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</si>
  <si>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</si>
  <si>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</si>
  <si>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</si>
  <si>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</si>
  <si>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</si>
  <si>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</si>
  <si>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</si>
  <si>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</si>
  <si>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</si>
  <si>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</si>
  <si>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</si>
  <si>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</si>
  <si>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</si>
  <si>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</si>
  <si>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</si>
  <si>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</si>
  <si>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</si>
  <si>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</si>
  <si>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</si>
  <si>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</si>
  <si>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</si>
  <si>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</si>
  <si>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</si>
  <si>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</si>
  <si>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</si>
  <si>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</si>
  <si>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</si>
  <si>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</si>
  <si>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</si>
  <si>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</si>
  <si>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</si>
  <si>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</si>
  <si>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</si>
  <si>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</si>
  <si>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</si>
  <si>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</si>
  <si>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</si>
  <si>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</si>
  <si>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</si>
  <si>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</si>
  <si>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</si>
  <si>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</si>
  <si>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</si>
  <si>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</si>
  <si>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</si>
  <si>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</si>
  <si>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</si>
  <si>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</si>
  <si>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</si>
  <si>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</si>
  <si>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</si>
  <si>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</si>
  <si>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</si>
  <si>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</si>
  <si>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Ált.isk. kerítés</t>
  </si>
  <si>
    <t>1092.</t>
  </si>
  <si>
    <t>Óvoda kerítés</t>
  </si>
  <si>
    <t>1093.</t>
  </si>
  <si>
    <t>Babakocsi tároló</t>
  </si>
  <si>
    <t>1094.</t>
  </si>
  <si>
    <t>Kötponti rendelő kerítés</t>
  </si>
  <si>
    <t>1095.</t>
  </si>
  <si>
    <t>Idősek klubja kerítés</t>
  </si>
  <si>
    <t>1096.</t>
  </si>
  <si>
    <t>Idősek otthona kerítés</t>
  </si>
  <si>
    <t>1097.</t>
  </si>
  <si>
    <t>Napköziotthon konyha kerítés</t>
  </si>
  <si>
    <t>1098.</t>
  </si>
  <si>
    <t>Müv.ház kerítés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</si>
  <si>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</si>
  <si>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</si>
  <si>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</si>
  <si>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</si>
  <si>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</si>
  <si>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</si>
  <si>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</si>
  <si>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</si>
  <si>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</si>
  <si>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</si>
  <si>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</si>
  <si>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</si>
  <si>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</si>
  <si>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</si>
  <si>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</si>
  <si>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</si>
  <si>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</si>
  <si>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</si>
  <si>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</si>
  <si>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</si>
  <si>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</si>
  <si>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</si>
  <si>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</si>
  <si>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</si>
  <si>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</si>
  <si>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</si>
  <si>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</si>
  <si>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Kút hidegvizes</t>
  </si>
  <si>
    <t>1126.</t>
  </si>
  <si>
    <t>Kút melegvizes</t>
  </si>
  <si>
    <t>Ingatlanok összesen:</t>
  </si>
  <si>
    <t>2. Gépek, berendezések, felszerelések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</si>
  <si>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</si>
  <si>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</si>
  <si>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</si>
  <si>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</si>
  <si>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</si>
  <si>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</si>
  <si>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</si>
  <si>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</si>
  <si>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</si>
  <si>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</si>
  <si>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</si>
  <si>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</si>
  <si>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</si>
  <si>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</si>
  <si>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</si>
  <si>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</si>
  <si>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</si>
  <si>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</si>
  <si>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</si>
  <si>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</si>
  <si>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</si>
  <si>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</si>
  <si>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</si>
  <si>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</si>
  <si>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</si>
  <si>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</si>
  <si>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</si>
  <si>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</si>
  <si>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</si>
  <si>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</si>
  <si>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</si>
  <si>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</si>
  <si>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</si>
  <si>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</si>
  <si>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</si>
  <si>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</si>
  <si>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</si>
  <si>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</si>
  <si>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</si>
  <si>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</si>
  <si>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</si>
  <si>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</si>
  <si>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</si>
  <si>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</si>
  <si>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</si>
  <si>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</si>
  <si>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</si>
  <si>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</si>
  <si>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</si>
  <si>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</si>
  <si>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</si>
  <si>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</si>
  <si>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</si>
  <si>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</si>
  <si>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</si>
  <si>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</si>
  <si>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</si>
  <si>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</si>
  <si>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</si>
  <si>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</si>
  <si>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</si>
  <si>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</si>
  <si>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</si>
  <si>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</si>
  <si>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</si>
  <si>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</si>
  <si>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1198.</t>
  </si>
  <si>
    <t>1201.</t>
  </si>
  <si>
    <t>Monitor sansung 19" s19A200NW</t>
  </si>
  <si>
    <t>Számítógép Notebook Asus (2013 év)</t>
  </si>
  <si>
    <t>Számítógép multifunkciós kész</t>
  </si>
  <si>
    <t>Notebook TOSIBA (Bényi J. 13. sz.)</t>
  </si>
  <si>
    <t>Notebook Asus 14 sz PHIV</t>
  </si>
  <si>
    <t>Notebokk Asus 3. sz PHIV</t>
  </si>
  <si>
    <t>Nyomtató Cannon Léz. 3. sz PH</t>
  </si>
  <si>
    <t>Nyomtató Cannon Léz. 12. sz PH</t>
  </si>
  <si>
    <t>Nyomtató LBP6020 Laser jegyző</t>
  </si>
  <si>
    <t>Notebook Dell Insprion 16. sz</t>
  </si>
  <si>
    <t>1229.</t>
  </si>
  <si>
    <t>Notebook Dell Inspiron jegyző</t>
  </si>
  <si>
    <t>1230.</t>
  </si>
  <si>
    <t>Notebook Dell Inspiron 12. sz</t>
  </si>
  <si>
    <t>Nyomtató Hp Laserjet 13. sz</t>
  </si>
  <si>
    <t>Nyomtató Cannon 13. sz</t>
  </si>
  <si>
    <t>Korl fkép egy gépek, berendezés</t>
  </si>
  <si>
    <t>Ágyeke-KMF-3-35</t>
  </si>
  <si>
    <t>Tárcsa-FVT 12</t>
  </si>
  <si>
    <t>Kombinátor-VVK-3.3 SV</t>
  </si>
  <si>
    <t>Bontókalapács EL. WAKKER E H23/230</t>
  </si>
  <si>
    <t>Talajfúrógép fúrószárral BT 45</t>
  </si>
  <si>
    <t>1238.</t>
  </si>
  <si>
    <t>Növényolajprés Csigás OP-222</t>
  </si>
  <si>
    <t>1239.</t>
  </si>
  <si>
    <t>Fóliaház</t>
  </si>
  <si>
    <t>1240.</t>
  </si>
  <si>
    <t>Fűnyírógép FS 460</t>
  </si>
  <si>
    <t>1241.</t>
  </si>
  <si>
    <t>Fűnyírógép FS 461</t>
  </si>
  <si>
    <t>1242.</t>
  </si>
  <si>
    <t>Palántázógép (sfoggi Itala St foggóujjas</t>
  </si>
  <si>
    <t>1243.</t>
  </si>
  <si>
    <t>Fóliasátor</t>
  </si>
  <si>
    <t>1244.</t>
  </si>
  <si>
    <t>Kétrészes fagyasztókamra 18c</t>
  </si>
  <si>
    <t>1245.</t>
  </si>
  <si>
    <t>Rézsükasza (Gh 4500)</t>
  </si>
  <si>
    <t>1246.</t>
  </si>
  <si>
    <t>Burgonykirázó kardántengellyel</t>
  </si>
  <si>
    <t>1247.</t>
  </si>
  <si>
    <t>Műtrágyaszáró</t>
  </si>
  <si>
    <t>1248.</t>
  </si>
  <si>
    <t>Gréder pöma H225</t>
  </si>
  <si>
    <t>1249.</t>
  </si>
  <si>
    <t>Mérleg elektronikus /150kg-os CAS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</si>
  <si>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</si>
  <si>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</si>
  <si>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</si>
  <si>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</si>
  <si>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</si>
  <si>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</si>
  <si>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</si>
  <si>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</si>
  <si>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</si>
  <si>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</si>
  <si>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</si>
  <si>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</si>
  <si>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</si>
  <si>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</si>
  <si>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</si>
  <si>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</si>
  <si>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</si>
  <si>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</si>
  <si>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</si>
  <si>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</si>
  <si>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</si>
  <si>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</si>
  <si>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</si>
  <si>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</si>
  <si>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</si>
  <si>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</si>
  <si>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</si>
  <si>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</si>
  <si>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</si>
  <si>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</si>
  <si>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</si>
  <si>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TR 5.5 áramfejlesztő</t>
  </si>
  <si>
    <t>1281.</t>
  </si>
  <si>
    <t>Motoros háti permetező</t>
  </si>
  <si>
    <t>1282.</t>
  </si>
  <si>
    <t>Fűnyíró fs 400</t>
  </si>
  <si>
    <t>1283.</t>
  </si>
  <si>
    <t>1284.</t>
  </si>
  <si>
    <t>Tolólap 2300</t>
  </si>
  <si>
    <t>1285.</t>
  </si>
  <si>
    <t>Fogászati kezelőegység</t>
  </si>
  <si>
    <t>1286.</t>
  </si>
  <si>
    <t>Stihl alj. Növény tisztító FS 400</t>
  </si>
  <si>
    <t>1287.</t>
  </si>
  <si>
    <t>Stihl alj. Növény tisztító FS 401</t>
  </si>
  <si>
    <t>1288.</t>
  </si>
  <si>
    <t>EGK készülék</t>
  </si>
  <si>
    <t>1289.</t>
  </si>
  <si>
    <t>1290.</t>
  </si>
  <si>
    <t>Térkő rázóasztal</t>
  </si>
  <si>
    <t>1291.</t>
  </si>
  <si>
    <t>Ágvágó</t>
  </si>
  <si>
    <t>1292.</t>
  </si>
  <si>
    <t>ct 103 csatornat. Tartozékkal</t>
  </si>
  <si>
    <t>1293.</t>
  </si>
  <si>
    <t>Fűnyíró tarktor</t>
  </si>
  <si>
    <t>1294.</t>
  </si>
  <si>
    <t>Faaprító gép</t>
  </si>
  <si>
    <t>1295.</t>
  </si>
  <si>
    <t>Szék-fogorvosi</t>
  </si>
  <si>
    <t>1296.</t>
  </si>
  <si>
    <t>Televízió crt TV21"GABA GT-2161</t>
  </si>
  <si>
    <t>1297.</t>
  </si>
  <si>
    <t>Hőlégsterilizátor (OH-300) 2013 évi</t>
  </si>
  <si>
    <t>1298.</t>
  </si>
  <si>
    <t>Fénymásológép multif. Xerox</t>
  </si>
  <si>
    <t>1299.</t>
  </si>
  <si>
    <t>Elektromos fazekas korongozógép</t>
  </si>
  <si>
    <t>1300.</t>
  </si>
  <si>
    <t>Projektor vetítővászon ,lézernyomtató</t>
  </si>
  <si>
    <t>Önjáró fűnyíró</t>
  </si>
  <si>
    <t>Acer prosector+ vetítővászon</t>
  </si>
  <si>
    <t>1303.</t>
  </si>
  <si>
    <t>Aljnövény tisztító fűkasza fs 100</t>
  </si>
  <si>
    <t>1304.</t>
  </si>
  <si>
    <t>Végerősítő/CPA-800B/</t>
  </si>
  <si>
    <t>1305.</t>
  </si>
  <si>
    <t>Gázzsámoly mm g 145</t>
  </si>
  <si>
    <t>1306.</t>
  </si>
  <si>
    <t>1307.</t>
  </si>
  <si>
    <t>Burgonyahámozó</t>
  </si>
  <si>
    <t>1308.</t>
  </si>
  <si>
    <t>Merülőszivattyú</t>
  </si>
  <si>
    <t>1309.</t>
  </si>
  <si>
    <t>Gyógyszerkocsi</t>
  </si>
  <si>
    <t>1310.</t>
  </si>
  <si>
    <t>Mérleg magasságmérővel</t>
  </si>
  <si>
    <t>1311.</t>
  </si>
  <si>
    <t>Ágytálmosó berendezés</t>
  </si>
  <si>
    <t>1312.</t>
  </si>
  <si>
    <t>Betegágy</t>
  </si>
  <si>
    <t>1313.</t>
  </si>
  <si>
    <t>1314.</t>
  </si>
  <si>
    <t>Betegemelő</t>
  </si>
  <si>
    <t>1315.</t>
  </si>
  <si>
    <t>Gáz főzőzsámoly NFG-1140</t>
  </si>
  <si>
    <t>1316.</t>
  </si>
  <si>
    <t>1317.</t>
  </si>
  <si>
    <t>Betegágy hordággyal</t>
  </si>
  <si>
    <t>1318.</t>
  </si>
  <si>
    <t>0174</t>
  </si>
  <si>
    <t>Kúriák földút telek</t>
  </si>
  <si>
    <t>40.</t>
  </si>
  <si>
    <t>0175/12</t>
  </si>
  <si>
    <t>41.</t>
  </si>
  <si>
    <t>0178/33</t>
  </si>
  <si>
    <t>42.</t>
  </si>
  <si>
    <t>0178/65</t>
  </si>
  <si>
    <t>43.</t>
  </si>
  <si>
    <t>0178/66</t>
  </si>
  <si>
    <t>44.</t>
  </si>
  <si>
    <t>0178/74</t>
  </si>
  <si>
    <t>45.</t>
  </si>
  <si>
    <t>0178/80</t>
  </si>
  <si>
    <t>46.</t>
  </si>
  <si>
    <t>0181/1</t>
  </si>
  <si>
    <t>Viszmeg dűlő földút telek</t>
  </si>
  <si>
    <t>47.</t>
  </si>
  <si>
    <t>0183/30</t>
  </si>
  <si>
    <t>48.</t>
  </si>
  <si>
    <t>0183/50</t>
  </si>
  <si>
    <t>49.</t>
  </si>
  <si>
    <t>0183/95</t>
  </si>
  <si>
    <t>50.</t>
  </si>
  <si>
    <t>0185/1</t>
  </si>
  <si>
    <t>51.</t>
  </si>
  <si>
    <t>0186/77</t>
  </si>
  <si>
    <t>52.</t>
  </si>
  <si>
    <t>0189</t>
  </si>
  <si>
    <t>Zártkert földút telek</t>
  </si>
  <si>
    <t>53.</t>
  </si>
  <si>
    <t>019/2</t>
  </si>
  <si>
    <t>Fekete major földút telek</t>
  </si>
  <si>
    <t>54.</t>
  </si>
  <si>
    <t>0190/3</t>
  </si>
  <si>
    <t>55.</t>
  </si>
  <si>
    <t>1012</t>
  </si>
  <si>
    <t>Földút 0190/51 hrsz</t>
  </si>
  <si>
    <t>56.</t>
  </si>
  <si>
    <t>0191</t>
  </si>
  <si>
    <t>57.</t>
  </si>
  <si>
    <t>0193</t>
  </si>
  <si>
    <t>58.</t>
  </si>
  <si>
    <t>0194</t>
  </si>
  <si>
    <t>59.</t>
  </si>
  <si>
    <t>0195</t>
  </si>
  <si>
    <t>Alsó-csordajárás földút telek</t>
  </si>
  <si>
    <t>60.</t>
  </si>
  <si>
    <t>0196/4</t>
  </si>
  <si>
    <t>61.</t>
  </si>
  <si>
    <t>0197/1</t>
  </si>
  <si>
    <t>62.</t>
  </si>
  <si>
    <t>0197/2</t>
  </si>
  <si>
    <t>63.</t>
  </si>
  <si>
    <t>0198</t>
  </si>
  <si>
    <t>Alsócsordajárás földút telek</t>
  </si>
  <si>
    <t>64.</t>
  </si>
  <si>
    <t>0199</t>
  </si>
  <si>
    <t>Alsócsordajárás földút</t>
  </si>
  <si>
    <t>65.</t>
  </si>
  <si>
    <t>02</t>
  </si>
  <si>
    <t>Halasi országút földút</t>
  </si>
  <si>
    <t>66.</t>
  </si>
  <si>
    <t>0200/55</t>
  </si>
  <si>
    <t>67.</t>
  </si>
  <si>
    <t>0200/84</t>
  </si>
  <si>
    <t>68.</t>
  </si>
  <si>
    <t>0202/1</t>
  </si>
  <si>
    <t>69.</t>
  </si>
  <si>
    <t>0202/2</t>
  </si>
  <si>
    <t>70.</t>
  </si>
  <si>
    <t>0203</t>
  </si>
  <si>
    <t>71.</t>
  </si>
  <si>
    <t>0204</t>
  </si>
  <si>
    <t>Sáncz földút telek</t>
  </si>
  <si>
    <t>72.</t>
  </si>
  <si>
    <t>0207</t>
  </si>
  <si>
    <t>73.</t>
  </si>
  <si>
    <t>0208/3</t>
  </si>
  <si>
    <t>Zalka M. földút telek</t>
  </si>
  <si>
    <t>74.</t>
  </si>
  <si>
    <t>0213/13</t>
  </si>
  <si>
    <t>Sáncz dűlő földút telek</t>
  </si>
  <si>
    <t>75.</t>
  </si>
  <si>
    <t>Hulladék lerakó telep homokbánya telek</t>
  </si>
  <si>
    <t>76.</t>
  </si>
  <si>
    <t>0213/6</t>
  </si>
  <si>
    <t>Szeméttelep telek</t>
  </si>
  <si>
    <t>77.</t>
  </si>
  <si>
    <t>0217</t>
  </si>
  <si>
    <t>78.</t>
  </si>
  <si>
    <t>0218</t>
  </si>
  <si>
    <t>79.</t>
  </si>
  <si>
    <t>022</t>
  </si>
  <si>
    <t>80.</t>
  </si>
  <si>
    <t>0227</t>
  </si>
  <si>
    <t>Baranyi földút telek</t>
  </si>
  <si>
    <t>81.</t>
  </si>
  <si>
    <t>0229</t>
  </si>
  <si>
    <t>82.</t>
  </si>
  <si>
    <t>023/7</t>
  </si>
  <si>
    <t>83.</t>
  </si>
  <si>
    <t>0230/23</t>
  </si>
  <si>
    <t>Baranyi  földút telek</t>
  </si>
  <si>
    <t>84.</t>
  </si>
  <si>
    <t>0237</t>
  </si>
  <si>
    <t>86.</t>
  </si>
  <si>
    <t>024</t>
  </si>
  <si>
    <t>87.</t>
  </si>
  <si>
    <t>0261</t>
  </si>
  <si>
    <t>88.</t>
  </si>
  <si>
    <t>0262</t>
  </si>
  <si>
    <t>89.</t>
  </si>
  <si>
    <t>0263/118</t>
  </si>
  <si>
    <t>Alsómajor földút telek</t>
  </si>
  <si>
    <t>90.</t>
  </si>
  <si>
    <t>0263/169</t>
  </si>
  <si>
    <t>91.</t>
  </si>
  <si>
    <t>0263/219</t>
  </si>
  <si>
    <t>92.</t>
  </si>
  <si>
    <t>0263/6</t>
  </si>
  <si>
    <t>93.</t>
  </si>
  <si>
    <t>0263/78</t>
  </si>
  <si>
    <t>94.</t>
  </si>
  <si>
    <t>0263/87</t>
  </si>
  <si>
    <t>95.</t>
  </si>
  <si>
    <t>0264</t>
  </si>
  <si>
    <t>96.</t>
  </si>
  <si>
    <t>0268</t>
  </si>
  <si>
    <t>Alsó major földút telek</t>
  </si>
  <si>
    <t>97.</t>
  </si>
  <si>
    <t>0270/82</t>
  </si>
  <si>
    <t>Öregmajor földút telek</t>
  </si>
  <si>
    <t>98.</t>
  </si>
  <si>
    <t>0271</t>
  </si>
  <si>
    <t>99.</t>
  </si>
  <si>
    <t>0274</t>
  </si>
  <si>
    <t>Öregmajor alsómajor földút telek</t>
  </si>
  <si>
    <t>100.</t>
  </si>
  <si>
    <t>0277/70</t>
  </si>
  <si>
    <t>101.</t>
  </si>
  <si>
    <t>0284</t>
  </si>
  <si>
    <t>Belvíz elvezető árok Alsó major telek</t>
  </si>
  <si>
    <t>102.</t>
  </si>
  <si>
    <t>0291/112</t>
  </si>
  <si>
    <t>Janka major földút telek</t>
  </si>
  <si>
    <t>104.</t>
  </si>
  <si>
    <t>0297</t>
  </si>
  <si>
    <t>105.</t>
  </si>
  <si>
    <t>0298</t>
  </si>
  <si>
    <t>Belvíz elvezető árok Janka major telek</t>
  </si>
  <si>
    <t>106.</t>
  </si>
  <si>
    <t>030/2</t>
  </si>
  <si>
    <t>107.</t>
  </si>
  <si>
    <t>0306</t>
  </si>
  <si>
    <t>108.</t>
  </si>
  <si>
    <t>0310</t>
  </si>
  <si>
    <t>109.</t>
  </si>
  <si>
    <t>0315</t>
  </si>
  <si>
    <t>110.</t>
  </si>
  <si>
    <t>0319</t>
  </si>
  <si>
    <t>111.</t>
  </si>
  <si>
    <t>032</t>
  </si>
  <si>
    <t>112.</t>
  </si>
  <si>
    <t>0332/28</t>
  </si>
  <si>
    <t>Földút Öregmajor telek</t>
  </si>
  <si>
    <t>0291/19</t>
  </si>
  <si>
    <t>Földút Öregm-Jankam. Telek</t>
  </si>
  <si>
    <t>0291-67</t>
  </si>
  <si>
    <t>0291/127</t>
  </si>
  <si>
    <t>0291/121</t>
  </si>
  <si>
    <t>113.</t>
  </si>
  <si>
    <t>034/2</t>
  </si>
  <si>
    <t>114.</t>
  </si>
  <si>
    <t>0361</t>
  </si>
  <si>
    <t>116.</t>
  </si>
  <si>
    <t>0370</t>
  </si>
  <si>
    <t>117.</t>
  </si>
  <si>
    <t>0373/63</t>
  </si>
  <si>
    <t>118.</t>
  </si>
  <si>
    <t>0373/67</t>
  </si>
  <si>
    <t>Felsőcsordajárás földút telek</t>
  </si>
  <si>
    <t>119.</t>
  </si>
  <si>
    <t>0373/91</t>
  </si>
  <si>
    <t>120.</t>
  </si>
  <si>
    <t>0377</t>
  </si>
  <si>
    <t>Felső csordajárás földút</t>
  </si>
  <si>
    <t>121.</t>
  </si>
  <si>
    <t>048/2</t>
  </si>
  <si>
    <t>122.</t>
  </si>
  <si>
    <t>05</t>
  </si>
  <si>
    <t xml:space="preserve">Fekete major földút </t>
  </si>
  <si>
    <t>123.</t>
  </si>
  <si>
    <t>050</t>
  </si>
  <si>
    <t>124.</t>
  </si>
  <si>
    <t>054/2</t>
  </si>
  <si>
    <t>125.</t>
  </si>
  <si>
    <t>056</t>
  </si>
  <si>
    <t>126.</t>
  </si>
  <si>
    <t>059/</t>
  </si>
  <si>
    <t>127.</t>
  </si>
  <si>
    <t>06/12</t>
  </si>
  <si>
    <t>128.</t>
  </si>
  <si>
    <t>061</t>
  </si>
  <si>
    <t>129.</t>
  </si>
  <si>
    <t>063</t>
  </si>
  <si>
    <t>130.</t>
  </si>
  <si>
    <t>065</t>
  </si>
  <si>
    <t>131.</t>
  </si>
  <si>
    <t>067/52</t>
  </si>
  <si>
    <t>132.</t>
  </si>
  <si>
    <t>067/78</t>
  </si>
  <si>
    <t>133.</t>
  </si>
  <si>
    <t>068</t>
  </si>
  <si>
    <t>134.</t>
  </si>
  <si>
    <t>07</t>
  </si>
  <si>
    <t>135.</t>
  </si>
  <si>
    <t>073</t>
  </si>
  <si>
    <t>136.</t>
  </si>
  <si>
    <t>074</t>
  </si>
  <si>
    <t>137.</t>
  </si>
  <si>
    <t>078</t>
  </si>
  <si>
    <t>138.</t>
  </si>
  <si>
    <t>086</t>
  </si>
  <si>
    <t>Csatorna Jánoshalmi-Honvéd bejövő föld</t>
  </si>
  <si>
    <t>139.</t>
  </si>
  <si>
    <t>089</t>
  </si>
  <si>
    <t>140.</t>
  </si>
  <si>
    <t>092/42</t>
  </si>
  <si>
    <t>Földút vasút mellett telek</t>
  </si>
  <si>
    <t>141.</t>
  </si>
  <si>
    <t>096</t>
  </si>
  <si>
    <t>142.</t>
  </si>
  <si>
    <t>1</t>
  </si>
  <si>
    <t>Petőfi téri parkoló telek</t>
  </si>
  <si>
    <t>143.</t>
  </si>
  <si>
    <t xml:space="preserve">1020 </t>
  </si>
  <si>
    <t>Zöldfa út telek</t>
  </si>
  <si>
    <t>144.</t>
  </si>
  <si>
    <t>10211</t>
  </si>
  <si>
    <t>Ms oem Windows xp magyar (B.J.)</t>
  </si>
  <si>
    <t>Kataszter E-kata program</t>
  </si>
  <si>
    <t>Saldo program</t>
  </si>
  <si>
    <t>OEM Win7 Home prémium (Családsegítő)</t>
  </si>
  <si>
    <t>OEM MSWin XP Home (titkárság)</t>
  </si>
  <si>
    <t>OEM MSWin XP Home ( dr. Dudás A.)</t>
  </si>
  <si>
    <t>Forg. képes</t>
  </si>
  <si>
    <t>Összesen:</t>
  </si>
  <si>
    <t xml:space="preserve"> Forgalomképes 0-ig leírt vagyonértékű jogok</t>
  </si>
  <si>
    <t>Program eset nod 32 vírusírtó</t>
  </si>
  <si>
    <t>Ms dem offisce 2003 sbe magyar progr.</t>
  </si>
  <si>
    <t>Ms dem offisce  sbe magyar progr.</t>
  </si>
  <si>
    <t>Szociális támogatások rendsz. Win Szoc</t>
  </si>
  <si>
    <t>Panda antivírus Platimun 2005 progr.</t>
  </si>
  <si>
    <t>Microsoft WindoWs Xp Home Hun Dem</t>
  </si>
  <si>
    <t>OEM Windows XP Home program-magyar</t>
  </si>
  <si>
    <t>Drogprevenció, drogmegelőzés prog.</t>
  </si>
  <si>
    <t>Ms Windows program xp home</t>
  </si>
  <si>
    <t>ISDN telefon vonal</t>
  </si>
  <si>
    <t>Mezőőri járulék 2004. nyilvántartó program</t>
  </si>
  <si>
    <t>Windows office prof. Prog.licens</t>
  </si>
  <si>
    <t>Iktató program</t>
  </si>
  <si>
    <t>WIN 98 oep program</t>
  </si>
  <si>
    <t>Folyó program</t>
  </si>
  <si>
    <t>Sáfár befektetett eszközök prog.</t>
  </si>
  <si>
    <t>MS Dos 6.2+Windows 3.1</t>
  </si>
  <si>
    <t>Start office szövegszer. Prog.</t>
  </si>
  <si>
    <t>Word for windows 6.0 3.5 hun prog</t>
  </si>
  <si>
    <t>Windows 98 hun cd program</t>
  </si>
  <si>
    <t>WIN 98  program</t>
  </si>
  <si>
    <t>Windows 98 hun pro.</t>
  </si>
  <si>
    <t>készletanalitika prog.</t>
  </si>
  <si>
    <t>Szoc. segélyt nyivt. Program</t>
  </si>
  <si>
    <t>MS Dos 6.22 program</t>
  </si>
  <si>
    <t>Win 98 cd oem hun prog.</t>
  </si>
  <si>
    <t>Syrius vagyonkataszter+tárgyi eszk.</t>
  </si>
  <si>
    <t>office xp program pogármester gép</t>
  </si>
  <si>
    <t xml:space="preserve">1- előző év(ek) költségvetési tartalék elszámolása </t>
  </si>
  <si>
    <t xml:space="preserve">2. Költségvetési pénzmaradvány </t>
  </si>
  <si>
    <t xml:space="preserve">3. Költségvetési kiadási megtakarítás </t>
  </si>
  <si>
    <t xml:space="preserve">4. Költségvetési bevételi lemaradás </t>
  </si>
  <si>
    <t>5. Előirányzat-maradvány (</t>
  </si>
  <si>
    <t xml:space="preserve">1. Vállalkozási tartalék elszámolása </t>
  </si>
  <si>
    <t>Ebből: - tárgyévi vállalkozási tartalék elszámolása</t>
  </si>
  <si>
    <t xml:space="preserve">1- előző év(ek) vállalkozási tartalék elszámolása </t>
  </si>
  <si>
    <t>2. Vállalkozási maradvány</t>
  </si>
  <si>
    <t xml:space="preserve">3. Vállalkozási kiadási megtakarítás </t>
  </si>
  <si>
    <t xml:space="preserve">4. Vállalkozási bevételi lemaradás </t>
  </si>
  <si>
    <t xml:space="preserve">1. Hosszú lejáratra kapott kölcsönök </t>
  </si>
  <si>
    <t xml:space="preserve">2. Tartozások fejlesztési célú kötvénykibocsátásból </t>
  </si>
  <si>
    <t xml:space="preserve">3. Tartozások működési célú kötvénykibocsátásból </t>
  </si>
  <si>
    <t xml:space="preserve">4. Beruházási és fejlesztési hitelek </t>
  </si>
  <si>
    <t xml:space="preserve">5. Működési célú hosszú lejáratú hitelek </t>
  </si>
  <si>
    <t xml:space="preserve">6. Pénzügyi lízing miatti kötelezettségek </t>
  </si>
  <si>
    <t xml:space="preserve">7. Egyéb hosszú lejáratú kötelezettségek </t>
  </si>
  <si>
    <t xml:space="preserve">Ebből: - hosszú lejáratú szállítói tartozások </t>
  </si>
  <si>
    <t xml:space="preserve">1. Rövid lejáratú kapott kölcsönök </t>
  </si>
  <si>
    <t xml:space="preserve">Ebből:  - hosszú lejáratra kapott kölcsönök következő évet terhelő törlesztő részletei </t>
  </si>
  <si>
    <t>2. Rövid lejáratú hitelek</t>
  </si>
  <si>
    <t>Ebből: - likvid hitelek</t>
  </si>
  <si>
    <t xml:space="preserve">- beruházási, fejlesztési hitelek következő évet terhelő törlesztő részletei </t>
  </si>
  <si>
    <t xml:space="preserve">- működési célú hosszú lejáratú hitelek következő évet terhelő törlesztő részletei </t>
  </si>
  <si>
    <t>3. Rövid lejáratú tartozások kötvénykibocsátásból (118+119+120)</t>
  </si>
  <si>
    <t>Ebből: - rövid lejáratú működési célú kötványkibocsátások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</si>
  <si>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</si>
  <si>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</si>
  <si>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</si>
  <si>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</si>
  <si>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</si>
  <si>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</si>
  <si>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</si>
  <si>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</si>
  <si>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</si>
  <si>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</si>
  <si>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</si>
  <si>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</si>
  <si>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</si>
  <si>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</si>
  <si>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</si>
  <si>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</si>
  <si>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</si>
  <si>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</si>
  <si>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</si>
  <si>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</si>
  <si>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</si>
  <si>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</si>
  <si>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</si>
  <si>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</si>
  <si>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</si>
  <si>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</si>
  <si>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</si>
  <si>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</si>
  <si>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</si>
  <si>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</si>
  <si>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</si>
  <si>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</si>
  <si>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</si>
  <si>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</si>
  <si>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</si>
  <si>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</si>
  <si>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</si>
  <si>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</si>
  <si>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</si>
  <si>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</si>
  <si>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</si>
  <si>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</si>
  <si>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</si>
  <si>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</si>
  <si>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</si>
  <si>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</si>
  <si>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</si>
  <si>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</si>
  <si>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</si>
  <si>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</si>
  <si>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</si>
  <si>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</si>
  <si>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</si>
  <si>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</si>
  <si>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</si>
  <si>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</si>
  <si>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</si>
  <si>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</si>
  <si>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</si>
  <si>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</si>
  <si>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</si>
  <si>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r>
      <t xml:space="preserve">Mélykút Város Önkormányzat </t>
    </r>
    <r>
      <rPr>
        <b/>
        <u val="single"/>
        <sz val="7"/>
        <color indexed="8"/>
        <rFont val="Times New Roman"/>
        <family val="1"/>
      </rPr>
      <t xml:space="preserve">összesített </t>
    </r>
    <r>
      <rPr>
        <b/>
        <sz val="7"/>
        <color indexed="8"/>
        <rFont val="Times New Roman"/>
        <family val="1"/>
      </rPr>
      <t xml:space="preserve">működési  és felhalmotási  célú bevéteeleinek és kiadásainak  2013.  évi mérlege    </t>
    </r>
    <r>
      <rPr>
        <b/>
        <i/>
        <sz val="9"/>
        <color indexed="8"/>
        <rFont val="Times New Roman"/>
        <family val="1"/>
      </rPr>
      <t>önként vállalt feladatok</t>
    </r>
  </si>
  <si>
    <r>
      <t xml:space="preserve">Mélykút Város Önkormányzat </t>
    </r>
    <r>
      <rPr>
        <b/>
        <u val="single"/>
        <sz val="7"/>
        <color indexed="8"/>
        <rFont val="Times New Roman"/>
        <family val="1"/>
      </rPr>
      <t xml:space="preserve">összesített </t>
    </r>
    <r>
      <rPr>
        <b/>
        <sz val="7"/>
        <color indexed="8"/>
        <rFont val="Times New Roman"/>
        <family val="1"/>
      </rPr>
      <t xml:space="preserve">működési  és felhalmotási  célú bevéteeleinek és kiadásainak  2013. évi mérlege </t>
    </r>
    <r>
      <rPr>
        <b/>
        <i/>
        <sz val="7"/>
        <color indexed="8"/>
        <rFont val="Times New Roman"/>
        <family val="1"/>
      </rPr>
      <t>(kötleező feladatok)</t>
    </r>
  </si>
  <si>
    <r>
      <t>Mélykút Város Önkormányzat  működési  és felhalmotási  célú bevéteeleinek és kiadásainak  2013. évi mérlege (</t>
    </r>
    <r>
      <rPr>
        <i/>
        <sz val="7"/>
        <rFont val="Times New Roman"/>
        <family val="1"/>
      </rPr>
      <t>kötelező feladat)</t>
    </r>
  </si>
  <si>
    <r>
      <t xml:space="preserve">Mélykút Város Önkormányzat  működési  és felhalmotási  célú bevéteeleinek és kiadásainak  2013. évi mérlege    </t>
    </r>
    <r>
      <rPr>
        <sz val="9"/>
        <rFont val="Times New Roman"/>
        <family val="1"/>
      </rPr>
      <t>ö</t>
    </r>
    <r>
      <rPr>
        <i/>
        <sz val="9"/>
        <rFont val="Times New Roman"/>
        <family val="1"/>
      </rPr>
      <t>nként vállalt feladat</t>
    </r>
  </si>
  <si>
    <r>
      <t xml:space="preserve">Mélykúti Polgármesteri Hivatal  működési  és felhalmozási  célú bevételeinek és kiadásainak  2013.. évi  mérlege </t>
    </r>
    <r>
      <rPr>
        <sz val="9"/>
        <rFont val="Times New Roman"/>
        <family val="1"/>
      </rPr>
      <t>(k</t>
    </r>
    <r>
      <rPr>
        <i/>
        <sz val="9"/>
        <rFont val="Times New Roman"/>
        <family val="1"/>
      </rPr>
      <t>ötelező feladat)</t>
    </r>
  </si>
  <si>
    <r>
      <t>Mélykút Város Önkormányzat Óvodája  működési  és felhalmotási  célú bevételeinek és kiadásainak  2013. évi mérlege (</t>
    </r>
    <r>
      <rPr>
        <i/>
        <sz val="9"/>
        <rFont val="Times New Roman"/>
        <family val="1"/>
      </rPr>
      <t>kötelező feladat)</t>
    </r>
  </si>
  <si>
    <r>
      <t>Mélykút Város Önkormányzat Gondozási Központ működési  és felhalmozási  célú bevéteeleinek és kiadásainak  2013. évi mérlege</t>
    </r>
    <r>
      <rPr>
        <i/>
        <sz val="7"/>
        <rFont val="Times New Roman"/>
        <family val="1"/>
      </rPr>
      <t xml:space="preserve"> (kötelező feladat)</t>
    </r>
  </si>
  <si>
    <r>
      <t xml:space="preserve">Mélykút Város Önkormányzat  GAMESZ működési  és felhalmotási  célú bevéteeleinek és kiadásainak  2013. évi mérlege </t>
    </r>
    <r>
      <rPr>
        <i/>
        <sz val="7"/>
        <rFont val="Times New Roman"/>
        <family val="1"/>
      </rPr>
      <t xml:space="preserve"> (kötelező feladat)</t>
    </r>
  </si>
  <si>
    <r>
      <t>Mélykút Város Önkormányzat  GAMESZműködési  és felhalmotási  célú bevéteeleinek és kiadásainak  2013. évi mérlege  (ö</t>
    </r>
    <r>
      <rPr>
        <i/>
        <sz val="7"/>
        <rFont val="Times New Roman"/>
        <family val="1"/>
      </rPr>
      <t>nként vállalt feladat)</t>
    </r>
  </si>
  <si>
    <r>
      <t>Művelődési Ház és Fenyő Miksa Könyvtár  működési  és felhalmotási  célú bevéteeleinek és kiadásainak  2013. évi mérlege  (</t>
    </r>
    <r>
      <rPr>
        <i/>
        <sz val="9"/>
        <rFont val="Times New Roman"/>
        <family val="1"/>
      </rPr>
      <t>Kötelező feladat)</t>
    </r>
  </si>
  <si>
    <t>Felhalmozási célú támogatásértékű bevételek</t>
  </si>
  <si>
    <r>
      <t>Művelődési Ház és Fenyő Miksa Könyvtár  működési  és felhalmotási  célú bevéteeleinek és kiadásainak  2013. évi mérlege  (</t>
    </r>
    <r>
      <rPr>
        <i/>
        <sz val="9"/>
        <rFont val="Times New Roman"/>
        <family val="1"/>
      </rPr>
      <t>önként vállalt feladat)</t>
    </r>
  </si>
  <si>
    <t>4.  melléklet a /2014() önkormányzati rendelethez</t>
  </si>
  <si>
    <t>5.a melléklet a   /2014.(). Önkormányzati rendlethez</t>
  </si>
  <si>
    <t>a Polgármesteri hivatal 2013. évi bevételi és kiadási előirányzatairól, valamint engedélyezett létszámkeretéről</t>
  </si>
  <si>
    <t>5.b melléklet a   /2014.(). Önkormányzati rendlethez</t>
  </si>
  <si>
    <t>a Mélykút Város Önkormányzat Óvodája 2013. lévi bevételi és kiadási előirányzatairól, valamint engedélyezett létszámkeretéről</t>
  </si>
  <si>
    <t>5/c. melléklet a ……/2014. (….) önkormányzati rendelethez</t>
  </si>
  <si>
    <t>5/d.. melléklet a ……/2014. (….) önkormányzati rendelethez</t>
  </si>
  <si>
    <t>5/e. melléklet a ……/2013. (….) önkormányzati rendelethez</t>
  </si>
  <si>
    <t>Mélykút Város Önkormányzat bevételeiről  feladatonként 2013.év</t>
  </si>
  <si>
    <t>Polgármesteri hivatal bevételei feladatonként 2013. év</t>
  </si>
  <si>
    <t>Mélykút Város Önkormányzat Óvodája bevételei feladatonként 2013. év</t>
  </si>
  <si>
    <t>az önkormányzat 2013. évi  kiadási előirányzata feladatonként  (adatok ezer Ft-ban)</t>
  </si>
  <si>
    <t>Polgármesteri hivatal  2013. évi   kiadási előirányzata feladatonként  (adatok ezer Ft-ban)</t>
  </si>
  <si>
    <t>Mélykút Város Önkormányzat Óvodája 2013.évi kiadásai feladatonként</t>
  </si>
  <si>
    <t>9,melléklet a   /2014.() önkormányzati rendelethez</t>
  </si>
  <si>
    <t>Támogatásértékű pénzeszközátadás  2013.év</t>
  </si>
  <si>
    <t>Mélykút Város  Önkormányzati  Vagyonkimutatatása 2013. év</t>
  </si>
  <si>
    <r>
      <t xml:space="preserve">16/a. melléklet a /2014. () önkormányzati rendelethez     </t>
    </r>
    <r>
      <rPr>
        <b/>
        <sz val="8"/>
        <color indexed="10"/>
        <rFont val="Arial CE"/>
        <family val="0"/>
      </rPr>
      <t xml:space="preserve">
</t>
    </r>
  </si>
  <si>
    <t>Mélykút Város  Önkormányzat vagyonáról tételesen 2013. év</t>
  </si>
  <si>
    <t xml:space="preserve">Kimutatás </t>
  </si>
  <si>
    <t>a Költségvetési szervek pénzmaradványának alalkulásáról 2013. év</t>
  </si>
  <si>
    <r>
      <t xml:space="preserve">Elvonás, kiegészítés
</t>
    </r>
    <r>
      <rPr>
        <b/>
        <sz val="8"/>
        <rFont val="Arial"/>
        <family val="2"/>
      </rPr>
      <t>±</t>
    </r>
  </si>
  <si>
    <t>Rövidlej.kötelezettség összesen</t>
  </si>
  <si>
    <t>2. Kötelezettségek áruszállításból és szolgáltatásból (szállítók)</t>
  </si>
  <si>
    <t>1995.</t>
  </si>
  <si>
    <t>1996.</t>
  </si>
  <si>
    <t>1997.</t>
  </si>
  <si>
    <t>1998.</t>
  </si>
  <si>
    <t>Tárgyévi egyéb különféle rövidlejáratú kötelezettség</t>
  </si>
  <si>
    <t>1999.</t>
  </si>
  <si>
    <t>Helyi önkorm-tól éven belüli támogatási kölcsön</t>
  </si>
  <si>
    <t>2000.</t>
  </si>
  <si>
    <t>Tárgyévi egyéb rövidlejáratú kötelezettségek</t>
  </si>
  <si>
    <t>2001.</t>
  </si>
  <si>
    <t>2. Költségvetési passzív függő elszámolások</t>
  </si>
  <si>
    <t>2002.</t>
  </si>
  <si>
    <t>Költégvetési passzív átfutó elszámolások</t>
  </si>
  <si>
    <t>2003.</t>
  </si>
  <si>
    <t>Költségvetésen kívüli egyéb passzív függő elszámolások</t>
  </si>
  <si>
    <t>Bem tér 13 telek</t>
  </si>
  <si>
    <t>711/a/4</t>
  </si>
  <si>
    <t>Garázs telek 711/a/4 hrsz.Tópart55</t>
  </si>
  <si>
    <t>1009</t>
  </si>
  <si>
    <t>Petőfi tér 6-7 telek</t>
  </si>
  <si>
    <t>2040/1</t>
  </si>
  <si>
    <t>Attila u.38.Telek (Dora I. vétel)</t>
  </si>
  <si>
    <t>1480</t>
  </si>
  <si>
    <t>Széchenyi u.145. Telek</t>
  </si>
  <si>
    <t>1616</t>
  </si>
  <si>
    <t>Jókai u.37. Telek(Dobszai)</t>
  </si>
  <si>
    <t>Széchenyi u.147. Telek</t>
  </si>
  <si>
    <t>216.</t>
  </si>
  <si>
    <t>509</t>
  </si>
  <si>
    <t>Új u.121. Telek vás.</t>
  </si>
  <si>
    <t>1965</t>
  </si>
  <si>
    <t>Közterület Bartók u.</t>
  </si>
  <si>
    <t>168.</t>
  </si>
  <si>
    <t>1786/6</t>
  </si>
  <si>
    <t>Vasút melletti terület</t>
  </si>
  <si>
    <t>169.</t>
  </si>
  <si>
    <t>1789</t>
  </si>
  <si>
    <t>Földterület Arany J. u. vége</t>
  </si>
  <si>
    <t>170.</t>
  </si>
  <si>
    <t>1794/1</t>
  </si>
  <si>
    <t>Honvéd u. út telek</t>
  </si>
  <si>
    <t>171.</t>
  </si>
  <si>
    <t>1795/1</t>
  </si>
  <si>
    <t>Csatorna melletti közterület</t>
  </si>
  <si>
    <t>172.</t>
  </si>
  <si>
    <t>1795/2</t>
  </si>
  <si>
    <t>Honvéd u.-i csatorna föld</t>
  </si>
  <si>
    <t>173.</t>
  </si>
  <si>
    <t>1796</t>
  </si>
  <si>
    <t>Közterület Honvéd u.</t>
  </si>
  <si>
    <t>174.</t>
  </si>
  <si>
    <t>1803</t>
  </si>
  <si>
    <t xml:space="preserve">Közterület Honvéd u. </t>
  </si>
  <si>
    <t>175.</t>
  </si>
  <si>
    <t>1804</t>
  </si>
  <si>
    <t>Honvéd u.-i áteresz föld</t>
  </si>
  <si>
    <t>176.</t>
  </si>
  <si>
    <t>1806</t>
  </si>
  <si>
    <t>Honvéd u.-i csatorna áteresz föld</t>
  </si>
  <si>
    <t>177.</t>
  </si>
  <si>
    <t>1808</t>
  </si>
  <si>
    <t>178.</t>
  </si>
  <si>
    <t>1830</t>
  </si>
  <si>
    <t>Pesti u. út telek</t>
  </si>
  <si>
    <t>179.</t>
  </si>
  <si>
    <t>1831</t>
  </si>
  <si>
    <t>Közterület Pesti temető előtti liget</t>
  </si>
  <si>
    <t>180.</t>
  </si>
  <si>
    <t>1833</t>
  </si>
  <si>
    <t>Pesti temető mögötti út föld</t>
  </si>
  <si>
    <t>181.</t>
  </si>
  <si>
    <t>1834</t>
  </si>
  <si>
    <t xml:space="preserve">Közterület pesti temető </t>
  </si>
  <si>
    <t>182.</t>
  </si>
  <si>
    <t>1835</t>
  </si>
  <si>
    <t>183.</t>
  </si>
  <si>
    <t>1837</t>
  </si>
  <si>
    <t>Új u. Kinizsi u. vége</t>
  </si>
  <si>
    <t>184.</t>
  </si>
  <si>
    <t>1890</t>
  </si>
  <si>
    <t>Mocsár Nagy u.</t>
  </si>
  <si>
    <t>185.</t>
  </si>
  <si>
    <t>1902</t>
  </si>
  <si>
    <t>Közterület Nagy u.</t>
  </si>
  <si>
    <t>186.</t>
  </si>
  <si>
    <t>1907</t>
  </si>
  <si>
    <t>187.</t>
  </si>
  <si>
    <t>1914</t>
  </si>
  <si>
    <t>Dankó P. u. út telek</t>
  </si>
  <si>
    <t>188.</t>
  </si>
  <si>
    <t>1915</t>
  </si>
  <si>
    <t>Mocsár Békás Bem tér</t>
  </si>
  <si>
    <t>189.</t>
  </si>
  <si>
    <t>1920</t>
  </si>
  <si>
    <t>Csatorna Jánoshalmi úttól föld</t>
  </si>
  <si>
    <t>190.</t>
  </si>
  <si>
    <t>1923/4</t>
  </si>
  <si>
    <t>Jánoshalmi út árok telek</t>
  </si>
  <si>
    <t>191.</t>
  </si>
  <si>
    <t>1925</t>
  </si>
  <si>
    <t>Sallai u.tól Vásártéren keresztül</t>
  </si>
  <si>
    <t>192.</t>
  </si>
  <si>
    <t>1929</t>
  </si>
  <si>
    <t>Közterület Lópálya mellett Jánoshalmi u.</t>
  </si>
  <si>
    <t>193.</t>
  </si>
  <si>
    <t>1930</t>
  </si>
  <si>
    <t>Csapadék elvezető árok Jánoshalmi út</t>
  </si>
  <si>
    <t>194.</t>
  </si>
  <si>
    <t>1932</t>
  </si>
  <si>
    <t>Kálvária temető előtti út telek</t>
  </si>
  <si>
    <t>195.</t>
  </si>
  <si>
    <t>1933</t>
  </si>
  <si>
    <t>Közterület Kálvária temető előtt</t>
  </si>
  <si>
    <t>196.</t>
  </si>
  <si>
    <t>1934</t>
  </si>
  <si>
    <t>Gyalogút Kálvária temető előtt föld</t>
  </si>
  <si>
    <t>197.</t>
  </si>
  <si>
    <t>1935</t>
  </si>
  <si>
    <t>198.</t>
  </si>
  <si>
    <t>1936</t>
  </si>
  <si>
    <t>Közterület Jánoshalmi Út</t>
  </si>
  <si>
    <t>199.</t>
  </si>
  <si>
    <t>1940</t>
  </si>
  <si>
    <t>Jánoshalmi úti út telek</t>
  </si>
  <si>
    <t>200.</t>
  </si>
  <si>
    <t>1951</t>
  </si>
  <si>
    <t>Közterület Jánoshalmi-Dózsa</t>
  </si>
  <si>
    <t>201.</t>
  </si>
  <si>
    <t>1961</t>
  </si>
  <si>
    <t>Dózsa Gy. u. út telek</t>
  </si>
  <si>
    <t>202.</t>
  </si>
  <si>
    <t>1994</t>
  </si>
  <si>
    <t>Csapadék elvezető árok Kálváriától Ny-ra</t>
  </si>
  <si>
    <t>203.</t>
  </si>
  <si>
    <t>2112</t>
  </si>
  <si>
    <t>Attila u. út telek</t>
  </si>
  <si>
    <t>204.</t>
  </si>
  <si>
    <t>2117</t>
  </si>
  <si>
    <t>Csapadék elvezető árok Dózsa-Attila u. között</t>
  </si>
  <si>
    <t>205.</t>
  </si>
  <si>
    <t>212/1</t>
  </si>
  <si>
    <t>Közterület Petőfi tér</t>
  </si>
  <si>
    <t>206.</t>
  </si>
  <si>
    <t>212/3</t>
  </si>
  <si>
    <t>207.</t>
  </si>
  <si>
    <t>215</t>
  </si>
  <si>
    <t>Arany J. u. telek</t>
  </si>
  <si>
    <t>208.</t>
  </si>
  <si>
    <t>2165</t>
  </si>
  <si>
    <t>Traktorosok u. út telek</t>
  </si>
  <si>
    <t>209.</t>
  </si>
  <si>
    <t>2190</t>
  </si>
  <si>
    <t>Táncsics-Mikszáth u. út telek</t>
  </si>
  <si>
    <t>210.</t>
  </si>
  <si>
    <t>2197</t>
  </si>
  <si>
    <t>Felszabadulás u. út telek</t>
  </si>
  <si>
    <t>211.</t>
  </si>
  <si>
    <t>221</t>
  </si>
  <si>
    <t>Munkácsy u. út telek</t>
  </si>
  <si>
    <t>212.</t>
  </si>
  <si>
    <t>2245</t>
  </si>
  <si>
    <t>Rákóczi F. u. II.telek</t>
  </si>
  <si>
    <t>2351/1</t>
  </si>
  <si>
    <t>Damjanich telek</t>
  </si>
  <si>
    <t>213.</t>
  </si>
  <si>
    <t>2247/2</t>
  </si>
  <si>
    <t>Kerékpárút Rákóczi F. u.</t>
  </si>
  <si>
    <t>214.</t>
  </si>
  <si>
    <t>2267</t>
  </si>
  <si>
    <t>Szabadság tér telek</t>
  </si>
  <si>
    <t>215.</t>
  </si>
  <si>
    <t>2268/2</t>
  </si>
  <si>
    <t>217.</t>
  </si>
  <si>
    <t>2311</t>
  </si>
  <si>
    <t>Magyar u. út telek</t>
  </si>
  <si>
    <t>218.</t>
  </si>
  <si>
    <t>2350</t>
  </si>
  <si>
    <t>Közterület Damjanich u. föld</t>
  </si>
  <si>
    <t>219.</t>
  </si>
  <si>
    <t>2358/13</t>
  </si>
  <si>
    <t>Rákóczi járda telek (Damj./Kandó 55. mellett)</t>
  </si>
  <si>
    <t>220.</t>
  </si>
  <si>
    <t>2358/15</t>
  </si>
  <si>
    <t>Belvízelvezető csatorna Rákóczi u. föld</t>
  </si>
  <si>
    <t>221.</t>
  </si>
  <si>
    <t>2358/16</t>
  </si>
  <si>
    <t>Rákóczi u. földterület</t>
  </si>
  <si>
    <t>222.</t>
  </si>
  <si>
    <t>2358/7</t>
  </si>
  <si>
    <t>Kákóczi u. köz. Telek</t>
  </si>
  <si>
    <t>223.</t>
  </si>
  <si>
    <t>2359</t>
  </si>
  <si>
    <t>Rákóczi u. telek</t>
  </si>
  <si>
    <t>224.</t>
  </si>
  <si>
    <t>2377</t>
  </si>
  <si>
    <t>Hámán K. u. út telek</t>
  </si>
  <si>
    <t>háziorvosi alapellátás</t>
  </si>
  <si>
    <t>egyéb önkormányzati eseti pénzbeli ellátás</t>
  </si>
  <si>
    <t>kieg.gyv. Tám.</t>
  </si>
  <si>
    <t>Mélykúti Mozgáskorltozottak Egyesülete</t>
  </si>
  <si>
    <t>Hitel, kölcsön állomány  2013. dec. 31-én</t>
  </si>
  <si>
    <t>2015. után</t>
  </si>
  <si>
    <t>Mélykúti Önkéntes Tűzoltő Egyesület</t>
  </si>
  <si>
    <t>Jánoshalma-Mélykút Ivóvízminőség-javító Önkormányzati Társulás</t>
  </si>
  <si>
    <t>Önkormányzati tulajdonú kft (ÉPTESZ Kft) JCB 4CX kotró-rakodógép beszerzéséhez</t>
  </si>
  <si>
    <t>Pacsirta u. kiépített járda</t>
  </si>
  <si>
    <t>349.</t>
  </si>
  <si>
    <t>Pacsirta - Magyar koz kiépített járda</t>
  </si>
  <si>
    <t>350.</t>
  </si>
  <si>
    <t>Tóth K. u. kiépített járda</t>
  </si>
  <si>
    <t>351.</t>
  </si>
  <si>
    <t>Botond u. kiépített járda</t>
  </si>
  <si>
    <t>352.</t>
  </si>
  <si>
    <t>Zrínyi u. kiépített út</t>
  </si>
  <si>
    <t>353.</t>
  </si>
  <si>
    <t>Zrínyi u. kiépített járda</t>
  </si>
  <si>
    <t>354.</t>
  </si>
  <si>
    <t>Világos u. kiépített járda</t>
  </si>
  <si>
    <t>355.</t>
  </si>
  <si>
    <t>Pacsirta u. parkoló</t>
  </si>
  <si>
    <t>356.</t>
  </si>
  <si>
    <t>1581/1</t>
  </si>
  <si>
    <t>Malom u. kiépített út</t>
  </si>
  <si>
    <t>357.</t>
  </si>
  <si>
    <t>Malom u. kiépített járda</t>
  </si>
  <si>
    <t>358.</t>
  </si>
  <si>
    <t>1634</t>
  </si>
  <si>
    <t>359.</t>
  </si>
  <si>
    <t>Jókai u. kiépített járda</t>
  </si>
  <si>
    <t>360.</t>
  </si>
  <si>
    <t>Lénárd u. kiépített járda</t>
  </si>
  <si>
    <t>361.</t>
  </si>
  <si>
    <t>Vas u. kiépített járda</t>
  </si>
  <si>
    <t>362.</t>
  </si>
  <si>
    <t>Honvéd u. kiépített járda</t>
  </si>
  <si>
    <t>363.</t>
  </si>
  <si>
    <t>Pesti u. kiépített út</t>
  </si>
  <si>
    <t>364.</t>
  </si>
  <si>
    <t>Dankó P. u. kiépített járda</t>
  </si>
  <si>
    <t>365.</t>
  </si>
  <si>
    <t>Jánoshalmi út kiépített járda</t>
  </si>
  <si>
    <t>366.</t>
  </si>
  <si>
    <t>Dózsa Gy. u. kiépített járda</t>
  </si>
  <si>
    <t>367.</t>
  </si>
  <si>
    <t>Attila u. kiépített járda</t>
  </si>
  <si>
    <t>368.</t>
  </si>
  <si>
    <t>Táncsics - Mikszáth u. kiépített járda</t>
  </si>
  <si>
    <t>369.</t>
  </si>
  <si>
    <t>Felszabadulás u. kiépített út</t>
  </si>
  <si>
    <t>370.</t>
  </si>
  <si>
    <t>Felszabadulás u. kiépített járda</t>
  </si>
  <si>
    <t>371.</t>
  </si>
  <si>
    <t>Szabadság tér kiépített járda</t>
  </si>
  <si>
    <t>372.</t>
  </si>
  <si>
    <t>Magyar u. kiépített út</t>
  </si>
  <si>
    <t>373.</t>
  </si>
  <si>
    <t>Magyar u. kiépített járda</t>
  </si>
  <si>
    <t>374.</t>
  </si>
  <si>
    <t>Hámán K. u. kiépített járda</t>
  </si>
  <si>
    <t>375.</t>
  </si>
  <si>
    <t>Kandó K u. kiépített út</t>
  </si>
  <si>
    <t>376.</t>
  </si>
  <si>
    <t>Kandó K. u. kiépített járda</t>
  </si>
  <si>
    <t>377.</t>
  </si>
  <si>
    <t>Május 1. u. kiépített út</t>
  </si>
  <si>
    <t>378.</t>
  </si>
  <si>
    <t>Május 1. u. kiépített járda</t>
  </si>
  <si>
    <t>379.</t>
  </si>
  <si>
    <t>2573</t>
  </si>
  <si>
    <t>Vörösmarty u. kiépített járda</t>
  </si>
  <si>
    <t>380.</t>
  </si>
  <si>
    <t>Kis u. kiépített járda</t>
  </si>
  <si>
    <t>381.</t>
  </si>
  <si>
    <t>Dózsa u. kiépített járda</t>
  </si>
  <si>
    <t>382.</t>
  </si>
  <si>
    <t>Kisfaludy u. kiépített járda</t>
  </si>
  <si>
    <t>383.</t>
  </si>
  <si>
    <t>Kigyós főcsatorna áteresz</t>
  </si>
  <si>
    <t>384.</t>
  </si>
  <si>
    <t>55.számú főút melletti kerékpárút</t>
  </si>
  <si>
    <t>385.</t>
  </si>
  <si>
    <t>Széchenyi u. kövesút</t>
  </si>
  <si>
    <t>386.</t>
  </si>
  <si>
    <t>Malom utca kövesút</t>
  </si>
  <si>
    <t>387.</t>
  </si>
  <si>
    <t>Kossuth -Vasútállomás járda</t>
  </si>
  <si>
    <t>388.</t>
  </si>
  <si>
    <t>389.</t>
  </si>
  <si>
    <t>Kerékpárút tópart</t>
  </si>
  <si>
    <t>390.</t>
  </si>
  <si>
    <t>Sallai utca járda</t>
  </si>
  <si>
    <t>391.</t>
  </si>
  <si>
    <t>Belvízelvezető csatorna</t>
  </si>
  <si>
    <t>392.</t>
  </si>
  <si>
    <t>Áll.hulladékgyűjtő telep bekötő út</t>
  </si>
  <si>
    <t>393.</t>
  </si>
  <si>
    <t>Kuriák düllő csapadékcsatorna</t>
  </si>
  <si>
    <t>394.</t>
  </si>
  <si>
    <t>395.</t>
  </si>
  <si>
    <t>Aszfalt út Alkotmány</t>
  </si>
  <si>
    <t>396.</t>
  </si>
  <si>
    <t>Bika dűlő csap.víz.csatorna</t>
  </si>
  <si>
    <t>397.</t>
  </si>
  <si>
    <t>398.</t>
  </si>
  <si>
    <t>399.</t>
  </si>
  <si>
    <t>Zalka M. járda</t>
  </si>
  <si>
    <t>400.</t>
  </si>
  <si>
    <t>401.</t>
  </si>
  <si>
    <t>402.</t>
  </si>
  <si>
    <t>0299/29</t>
  </si>
  <si>
    <t>Bartók u. köz szilárdburk. Út</t>
  </si>
  <si>
    <t>403.</t>
  </si>
  <si>
    <t>085</t>
  </si>
  <si>
    <t>Mező I. aszfalt u.</t>
  </si>
  <si>
    <t>404.</t>
  </si>
  <si>
    <t>Csatorna Jánoshalmi - Honvéd bejövő</t>
  </si>
  <si>
    <t>405.</t>
  </si>
  <si>
    <t>Tóth K. u. utca kövesút</t>
  </si>
  <si>
    <t>406.</t>
  </si>
  <si>
    <t>Jókai-Széchenyi járda</t>
  </si>
  <si>
    <t>407.</t>
  </si>
  <si>
    <t>408.</t>
  </si>
  <si>
    <t>Vass-Lénárd u. járda</t>
  </si>
  <si>
    <t>409.</t>
  </si>
  <si>
    <t>Vas utca aszfalt út</t>
  </si>
  <si>
    <t>410.</t>
  </si>
  <si>
    <t>Honvéd u. csatorna</t>
  </si>
  <si>
    <t>411.</t>
  </si>
  <si>
    <t>Honvéd u. csatorna átjáró</t>
  </si>
  <si>
    <t>412.</t>
  </si>
  <si>
    <t>Honvéd u. csatorna feletti átjáró</t>
  </si>
  <si>
    <t>413.</t>
  </si>
  <si>
    <t>Pesti u. járda</t>
  </si>
  <si>
    <t>414.</t>
  </si>
  <si>
    <t>Dankó u. kövesút</t>
  </si>
  <si>
    <t>415.</t>
  </si>
  <si>
    <t>Dankó u. szil.burk ( Bem t. 180 m2)</t>
  </si>
  <si>
    <t>416.</t>
  </si>
  <si>
    <t>Csatorna Jánoshalmi - Honvéd u.</t>
  </si>
  <si>
    <t>417.</t>
  </si>
  <si>
    <t>Jánoshalmi út árok</t>
  </si>
  <si>
    <t>418.</t>
  </si>
  <si>
    <t>419.</t>
  </si>
  <si>
    <t>420.</t>
  </si>
  <si>
    <t>1961/csatolt 2130</t>
  </si>
  <si>
    <t>Dózsa Gy.u.kövesút i. szakasz</t>
  </si>
  <si>
    <t>421.</t>
  </si>
  <si>
    <t>422.</t>
  </si>
  <si>
    <t>Belvízelvezető csatorna Dózsa - Attila u.</t>
  </si>
  <si>
    <t>423.</t>
  </si>
  <si>
    <t>Táncsics u. út</t>
  </si>
  <si>
    <t>424.</t>
  </si>
  <si>
    <t>Rákóci u. járda (Damj/Kandó)</t>
  </si>
  <si>
    <t>425.</t>
  </si>
  <si>
    <t xml:space="preserve">Belvízelvezető csatorna Rákóczi u. </t>
  </si>
  <si>
    <t>426.</t>
  </si>
  <si>
    <t>Rákóczi u. járda (Damj/Kandó)</t>
  </si>
  <si>
    <t>427.</t>
  </si>
  <si>
    <t>Zalka M. járda (páros oldal)</t>
  </si>
  <si>
    <t>428.</t>
  </si>
  <si>
    <t>Zalka M. kövesút (páros oldal)</t>
  </si>
  <si>
    <t>429.</t>
  </si>
  <si>
    <t>Zalka M. kövesút (középső rész)</t>
  </si>
  <si>
    <t>430.</t>
  </si>
  <si>
    <t>Zalka M. árok (páratlan)</t>
  </si>
  <si>
    <t>431.</t>
  </si>
  <si>
    <t>Béke u. járda</t>
  </si>
  <si>
    <t>432.</t>
  </si>
  <si>
    <t>236/1</t>
  </si>
  <si>
    <t>Új utca szilárd útburkolat 1-38</t>
  </si>
  <si>
    <t>433.</t>
  </si>
  <si>
    <t>54</t>
  </si>
  <si>
    <t>Tópart sportcs.előtti csap.víz elvez. árok</t>
  </si>
  <si>
    <t>434.</t>
  </si>
  <si>
    <t>Kisfaludy u. kövesút szakasz</t>
  </si>
  <si>
    <t>435.</t>
  </si>
  <si>
    <t xml:space="preserve">Öregmajor járda9-17 </t>
  </si>
  <si>
    <t>436.</t>
  </si>
  <si>
    <t>Öregmajor járda 29-42</t>
  </si>
  <si>
    <t>437.</t>
  </si>
  <si>
    <t>Kerékpárút Széchenyi - Tópart</t>
  </si>
  <si>
    <t>438.</t>
  </si>
  <si>
    <t>Bem tér szilárd burk. Út 300 m</t>
  </si>
  <si>
    <t>439.</t>
  </si>
  <si>
    <t>Tópart kövesút</t>
  </si>
  <si>
    <t>323.</t>
  </si>
  <si>
    <t>Árpád u. kövesút</t>
  </si>
  <si>
    <t>324.</t>
  </si>
  <si>
    <t>Arany J. u. járda</t>
  </si>
  <si>
    <t>325.</t>
  </si>
  <si>
    <t>Új u. járda</t>
  </si>
  <si>
    <t>326.</t>
  </si>
  <si>
    <t>Új u. kövesút (felső)</t>
  </si>
  <si>
    <t>327.</t>
  </si>
  <si>
    <t>Bartók B. u. járda</t>
  </si>
  <si>
    <t>328.</t>
  </si>
  <si>
    <t>Bartók B. u. kövesút</t>
  </si>
  <si>
    <t>329.</t>
  </si>
  <si>
    <t>Ady E. u. járda</t>
  </si>
  <si>
    <t>330.</t>
  </si>
  <si>
    <t>Ady E. u. kövesút</t>
  </si>
  <si>
    <t>331.</t>
  </si>
  <si>
    <t>Kinizsi u. járda</t>
  </si>
  <si>
    <t>332.</t>
  </si>
  <si>
    <t>Nagy u. járda</t>
  </si>
  <si>
    <t>333.</t>
  </si>
  <si>
    <t>Nagy u. kövesút</t>
  </si>
  <si>
    <t>334.</t>
  </si>
  <si>
    <t>Bem tér járda</t>
  </si>
  <si>
    <t>335.</t>
  </si>
  <si>
    <t>Templom u. járda</t>
  </si>
  <si>
    <t>336.</t>
  </si>
  <si>
    <t>Templom u. kövesút</t>
  </si>
  <si>
    <t>337.</t>
  </si>
  <si>
    <t>2299</t>
  </si>
  <si>
    <t>Galamb u. kövesút</t>
  </si>
  <si>
    <t>338.</t>
  </si>
  <si>
    <t>Galamb u. járda</t>
  </si>
  <si>
    <t>339.</t>
  </si>
  <si>
    <t>Bercsényi u. kövesút</t>
  </si>
  <si>
    <t>340.</t>
  </si>
  <si>
    <t>Bercsényi u. kjárda</t>
  </si>
  <si>
    <t>341.</t>
  </si>
  <si>
    <t>Kölcsey u. járda</t>
  </si>
  <si>
    <t>342.</t>
  </si>
  <si>
    <t>Madách u. kövesút</t>
  </si>
  <si>
    <t>343.</t>
  </si>
  <si>
    <t>Madách u. járda</t>
  </si>
  <si>
    <t>344.</t>
  </si>
  <si>
    <t>Kistemplom u. járda</t>
  </si>
  <si>
    <t>345.</t>
  </si>
  <si>
    <t>Mátyás kir u. kövesút</t>
  </si>
  <si>
    <t>346.</t>
  </si>
  <si>
    <t>Mátyás kir. u. járda</t>
  </si>
  <si>
    <t>347.</t>
  </si>
  <si>
    <t>Pacsirta u. kiépített út</t>
  </si>
  <si>
    <t>348.</t>
  </si>
  <si>
    <r>
      <t>Pénzkészlet 2013. január 1-jén
e</t>
    </r>
    <r>
      <rPr>
        <i/>
        <sz val="10"/>
        <rFont val="Times New Roman CE"/>
        <family val="0"/>
      </rPr>
      <t>bből:</t>
    </r>
  </si>
  <si>
    <r>
      <t>Záró pénzkészlet 2013. december 31-én
e</t>
    </r>
    <r>
      <rPr>
        <i/>
        <sz val="10"/>
        <rFont val="Times New Roman CE"/>
        <family val="0"/>
      </rPr>
      <t>bből:</t>
    </r>
  </si>
  <si>
    <t>Összeg  (E F)</t>
  </si>
  <si>
    <t>PCi5-3330+Monitor TIOP0379</t>
  </si>
  <si>
    <t>Szünetmentes tápegys. Tiop 0379</t>
  </si>
  <si>
    <t>Szünetmentes  Tiop 0379</t>
  </si>
  <si>
    <t>Szünetmentes Tiop 0379</t>
  </si>
  <si>
    <t>Mikrofonos fejhallg. Tiop0379</t>
  </si>
  <si>
    <t>Mikrofonos fejhallgató Tiop0379</t>
  </si>
  <si>
    <t>Nyomtató Hp Offic. 7500 A Tiop0379</t>
  </si>
  <si>
    <t>HDD 320 GB Seagate (gazdálk</t>
  </si>
  <si>
    <t>Hp Pavilon Notebook (Novák)</t>
  </si>
  <si>
    <t>Asus Andorid Table (Földes)</t>
  </si>
  <si>
    <t>Asus Notebook X55C (Földes)</t>
  </si>
  <si>
    <t>Asus alaplap (Kopcsek)</t>
  </si>
  <si>
    <t>Notebook Lenovo dr. Sztantics</t>
  </si>
  <si>
    <t>Notbeook Toshiba (Burai B)</t>
  </si>
  <si>
    <t>1231.</t>
  </si>
  <si>
    <t>Térfigyelő kamera szolgáló fejlesztés</t>
  </si>
  <si>
    <t>Forgalomképes egyéb gépek, ber. Akt.áll.</t>
  </si>
  <si>
    <t>Sthil motoros fűkasza fs-400</t>
  </si>
  <si>
    <t>Irodabútor 12. sz. iroda</t>
  </si>
  <si>
    <t>Irodabútor Családsegítő</t>
  </si>
  <si>
    <t>Canon fénymásológép</t>
  </si>
  <si>
    <t>Injektoros puska tartozékokkal</t>
  </si>
  <si>
    <t>Irodabútor Rákóczi u. 13</t>
  </si>
  <si>
    <t>Aljnövénytisztító</t>
  </si>
  <si>
    <t>Kazán CalorV65 Könyvtár alt. Fűtéshez</t>
  </si>
  <si>
    <t>SONY HDR_CX190 Kamera (Leader)</t>
  </si>
  <si>
    <t>Fényképezőgép Fujifilm SL300 (Leader)</t>
  </si>
  <si>
    <t>Vagyonvéd.rendszer Petőfi 9.</t>
  </si>
  <si>
    <t>Vagyonvéd.rendszer Epreskert 1996/1 hrsz</t>
  </si>
  <si>
    <t>Vagyonvéd.rendszer Tópart 22</t>
  </si>
  <si>
    <t>Turbós Gázkazán (Sportvend Tópart 58</t>
  </si>
  <si>
    <t>Calor Vegyestüz. Kazán 2032</t>
  </si>
  <si>
    <t>Permezetőgép</t>
  </si>
  <si>
    <t>Sony HDR CX190 (Kamera-Néptánc)</t>
  </si>
  <si>
    <t>Calor-V65 Kazán II. Óvoda 2033</t>
  </si>
  <si>
    <t>Calor-V65 Kazán Rákóczi 11 2033</t>
  </si>
  <si>
    <t>Rotációs kapa Craftsman 2032</t>
  </si>
  <si>
    <t>Kultivátor (5/2012) 2032</t>
  </si>
  <si>
    <t>Tv Plazma Panasonic (dr Márai)</t>
  </si>
  <si>
    <t>Samsung Galaxy Telefon (Kovács T)</t>
  </si>
  <si>
    <t>Locsoló rendszer</t>
  </si>
  <si>
    <t>Fénymásológép PolgHivtó (iroda)</t>
  </si>
  <si>
    <t>Fénymásoló Ricoh Aficio 2027</t>
  </si>
  <si>
    <t>LG BX-274 Projektor (Novák L.)</t>
  </si>
  <si>
    <t>LG BX-274 Projektor (Fuszkóné G J.)</t>
  </si>
  <si>
    <t>LG BX-274 Projektor (Mackzkó Jné)</t>
  </si>
  <si>
    <t>LG BX-274 Projektor (Hurton K.)</t>
  </si>
  <si>
    <t>Korlátozottan forgalomképes képzőművészeti alkotások áll.</t>
  </si>
  <si>
    <t>"Kőszegi dombok" festmény</t>
  </si>
  <si>
    <t xml:space="preserve">Festmény </t>
  </si>
  <si>
    <t>48-as Emlékmű Iskolánál</t>
  </si>
  <si>
    <t>Körkompozíció szobor</t>
  </si>
  <si>
    <t>1956-os Emlékmű (Park)</t>
  </si>
  <si>
    <t>Községháza címer</t>
  </si>
  <si>
    <t>Községháza betűi + címer</t>
  </si>
  <si>
    <t>Kultúra kompozíció (Műv.ház)</t>
  </si>
  <si>
    <t>Kézművesség kompozíció Alkotóház</t>
  </si>
  <si>
    <t>István király (szobor)</t>
  </si>
  <si>
    <t>Iskola falán freskó</t>
  </si>
  <si>
    <t>Petőfi Sándor szobor (park)</t>
  </si>
  <si>
    <t>Körkompozíicó (Fábol Sportpálya)</t>
  </si>
  <si>
    <t>korl.forg.kép.</t>
  </si>
  <si>
    <t>Forgalomképes képzőművészeti alkotások áll.</t>
  </si>
  <si>
    <t>Játszótéri játékok</t>
  </si>
  <si>
    <t>Forgalomképes hangszerek aktivált állománya</t>
  </si>
  <si>
    <t>Yamaha P85 digitális zongora</t>
  </si>
  <si>
    <t>Notebook msi (B.J.)</t>
  </si>
  <si>
    <t>Celeron számítógép gazdálkodás II</t>
  </si>
  <si>
    <t>Számítógép díjszámlálóhoz</t>
  </si>
  <si>
    <t>celeron 800 a+fan pga számítógép</t>
  </si>
  <si>
    <t>Hp laserjet 1000w nyomtató usb</t>
  </si>
  <si>
    <t>hp deskjet 656 c tintasugaras nyomtató</t>
  </si>
  <si>
    <t>q 1342a laser jet1000w nyomtató könyv.</t>
  </si>
  <si>
    <t>q 1342a laser jet1000w nyomtató könyv.1</t>
  </si>
  <si>
    <t>q 1342a laser jet1000w nyomtató aljegyz.</t>
  </si>
  <si>
    <t>q 1342a laser jet1000w nyomtató titkárság</t>
  </si>
  <si>
    <t>cpq evo d310 számítógép szoc. iroda</t>
  </si>
  <si>
    <t>cpq evo d310 számítógép titkárság</t>
  </si>
  <si>
    <t>Számítógép Cpq evo d310</t>
  </si>
  <si>
    <t>Számítógép EVO D310 jegyző</t>
  </si>
  <si>
    <t>Számítógép EVO D310 adó1</t>
  </si>
  <si>
    <t>Számítógép EVO D310 könyvelés ir 1</t>
  </si>
  <si>
    <t>Számítógép EVO D310 képv. Szoba</t>
  </si>
  <si>
    <t>Számítógép EVO D310 polg.</t>
  </si>
  <si>
    <t>Számítógép EVO D310 aljegyző</t>
  </si>
  <si>
    <t>HP Éaserjet 1000 nyomtató szoc II</t>
  </si>
  <si>
    <t>epson fx 2190 nyomtató/adócsop.</t>
  </si>
  <si>
    <t>epson fx 2190 nyomtató/pénzügy</t>
  </si>
  <si>
    <t>epson fx 2190 nyomtató/ gamesz könyv.</t>
  </si>
  <si>
    <t>Hp laser jet 1005 nyomtató adó</t>
  </si>
  <si>
    <t>Hp laser jet 1005 nyomtató könyvelés</t>
  </si>
  <si>
    <t>Hp laser jet 1500 nyomtató népesség</t>
  </si>
  <si>
    <t>Hp laser jet nyomtató könyvelés</t>
  </si>
  <si>
    <t>Hp laser jet 1005 nyomtató gamesz</t>
  </si>
  <si>
    <t>Hp laser jet 1500 nyomtató gamesz</t>
  </si>
  <si>
    <t>Számítógépes hálózat</t>
  </si>
  <si>
    <t>számítógép/gamesz főkönyvi könyv.</t>
  </si>
  <si>
    <t>Számítógép/gazd.anlitika</t>
  </si>
  <si>
    <t>Számítógép/gazd.főkönyv</t>
  </si>
  <si>
    <t>Számítógép/gazd.nyilvánt.</t>
  </si>
  <si>
    <t>Öregmajor Földút telek</t>
  </si>
  <si>
    <t>283.</t>
  </si>
  <si>
    <t>0374/9</t>
  </si>
  <si>
    <t>Földút Búzakalász</t>
  </si>
  <si>
    <t>284.</t>
  </si>
  <si>
    <t>979</t>
  </si>
  <si>
    <t>Kistemplom u. út telek</t>
  </si>
  <si>
    <t>Forg.képtelen</t>
  </si>
  <si>
    <t>Korlátozottan forgalomképes telkek aktivált állománya</t>
  </si>
  <si>
    <t>849</t>
  </si>
  <si>
    <t>Orvosi szolgálati lakás/rendelő telek</t>
  </si>
  <si>
    <t>1531</t>
  </si>
  <si>
    <t>Lakás + Óvoda Széchenyi u. 110. telek</t>
  </si>
  <si>
    <t>716</t>
  </si>
  <si>
    <t>Községháza telek</t>
  </si>
  <si>
    <t>1004</t>
  </si>
  <si>
    <t>II. sz. Óvoda telek</t>
  </si>
  <si>
    <t>990</t>
  </si>
  <si>
    <t>Iroda + helyiség Rákóczi u. 5. telek</t>
  </si>
  <si>
    <t>0137/98</t>
  </si>
  <si>
    <t>Gyepmesteri telep Telek</t>
  </si>
  <si>
    <t>Petőfi tér 9 telek</t>
  </si>
  <si>
    <t>2301</t>
  </si>
  <si>
    <t>Lakás Hunyadi 18. Telek</t>
  </si>
  <si>
    <t>Tüzelő tároló Hunyadi 18 telek</t>
  </si>
  <si>
    <t>504</t>
  </si>
  <si>
    <t>Lakás Honvéd 41. Telek</t>
  </si>
  <si>
    <t>1017</t>
  </si>
  <si>
    <t>Lakás Rákóczi u. 6-8 telek</t>
  </si>
  <si>
    <t>Irodaház garázs Rákóczi 6-8 telek</t>
  </si>
  <si>
    <t>169/5</t>
  </si>
  <si>
    <t>Izraelita temető zárt</t>
  </si>
  <si>
    <t>994</t>
  </si>
  <si>
    <t>Falugazdász ház Rákóczi u. 13. sz. telek</t>
  </si>
  <si>
    <t>1923/3</t>
  </si>
  <si>
    <t>Vásártér állatvásár Jánoshalmi út</t>
  </si>
  <si>
    <t>Vásártér Lópálya Jánoshalmi út</t>
  </si>
  <si>
    <t>3651/1</t>
  </si>
  <si>
    <t>Öregmajor Közösségi Ház</t>
  </si>
  <si>
    <t>2392/7</t>
  </si>
  <si>
    <t>Rákóczi u. Közt.(Kandó/Május1)</t>
  </si>
  <si>
    <t>Korl.forg.képes</t>
  </si>
  <si>
    <t>Forgalomképes telkek aktivált állománya</t>
  </si>
  <si>
    <t>Jánoshalmi u. 22 telek</t>
  </si>
  <si>
    <t>Damjanich telek 2351/1 508 m2</t>
  </si>
  <si>
    <t>684</t>
  </si>
  <si>
    <t>Lakás Szent László 17 telek</t>
  </si>
  <si>
    <t>860</t>
  </si>
  <si>
    <t>Lakás Galamb 3. Telek</t>
  </si>
  <si>
    <t>2247/4</t>
  </si>
  <si>
    <t>Lakás Rákóczi u. 39 telek</t>
  </si>
  <si>
    <t>2247/6</t>
  </si>
  <si>
    <t>Lakás Rákóczi u. 43 telek</t>
  </si>
  <si>
    <t>2247/7</t>
  </si>
  <si>
    <t>Lakás Rákóczi u. 45. Telek</t>
  </si>
  <si>
    <t>Garázs Rákóczi 39. Telek</t>
  </si>
  <si>
    <t>1262</t>
  </si>
  <si>
    <t>Telek Deák F. u.</t>
  </si>
  <si>
    <t>,529</t>
  </si>
  <si>
    <t>Öregmajor építési telek</t>
  </si>
  <si>
    <t>10348</t>
  </si>
  <si>
    <t>Világos u.12. telek</t>
  </si>
  <si>
    <t>112</t>
  </si>
  <si>
    <t>Káposztáskert Rigó</t>
  </si>
  <si>
    <t>1201</t>
  </si>
  <si>
    <t>Telek Magyar u. 64</t>
  </si>
  <si>
    <t>1220</t>
  </si>
  <si>
    <t>Mátyás K. u. 39. telek</t>
  </si>
  <si>
    <t>1539</t>
  </si>
  <si>
    <t>Lakótelek Széchenyi u. 94.</t>
  </si>
  <si>
    <t>1555</t>
  </si>
  <si>
    <t>Lakóház telek Széchenyi u. 62</t>
  </si>
  <si>
    <t>1862</t>
  </si>
  <si>
    <t>Lakóház Új u. 148.</t>
  </si>
  <si>
    <t>1869</t>
  </si>
  <si>
    <t>Kinizsi u. 25 telek (hagyaték)</t>
  </si>
  <si>
    <t>1885</t>
  </si>
  <si>
    <t>Építési telek Kinizsi u. 32</t>
  </si>
  <si>
    <t>1894</t>
  </si>
  <si>
    <t>Nagy u. 101 lakóház telek</t>
  </si>
  <si>
    <t>1989</t>
  </si>
  <si>
    <t>Lakóház telek  Jánoshalmi 12</t>
  </si>
  <si>
    <t>2140</t>
  </si>
  <si>
    <t>Madách u. 20 lakóház telek</t>
  </si>
  <si>
    <t>2431</t>
  </si>
  <si>
    <t>Lakóház Telek Zalka M. u. 16.</t>
  </si>
  <si>
    <t>2722</t>
  </si>
  <si>
    <t>Mátyás K. u. 61. telek (RadvánszkiM.)</t>
  </si>
  <si>
    <t>2800/22</t>
  </si>
  <si>
    <t>Építési telek Kisfaludy</t>
  </si>
  <si>
    <t>2800/23</t>
  </si>
  <si>
    <t>2800/24</t>
  </si>
  <si>
    <t>2800/25</t>
  </si>
  <si>
    <t>2800/26</t>
  </si>
  <si>
    <t>2800/27</t>
  </si>
  <si>
    <t>2800/28</t>
  </si>
  <si>
    <t>2800/29</t>
  </si>
  <si>
    <t>2800/7</t>
  </si>
  <si>
    <t>345</t>
  </si>
  <si>
    <t>Telek Új u. 57</t>
  </si>
  <si>
    <t>346</t>
  </si>
  <si>
    <t>Kossuth u. 19 beépítetlen terület</t>
  </si>
  <si>
    <t>3513</t>
  </si>
  <si>
    <t>Építési telek Öregmajor</t>
  </si>
  <si>
    <t>3531</t>
  </si>
  <si>
    <t>3532</t>
  </si>
  <si>
    <t>3533</t>
  </si>
  <si>
    <t>3536</t>
  </si>
  <si>
    <t>3543</t>
  </si>
  <si>
    <t>3544</t>
  </si>
  <si>
    <t>3545</t>
  </si>
  <si>
    <t>3546</t>
  </si>
  <si>
    <t>3548</t>
  </si>
  <si>
    <t>3551</t>
  </si>
  <si>
    <t>3554</t>
  </si>
  <si>
    <t>3555</t>
  </si>
  <si>
    <t>3560</t>
  </si>
  <si>
    <t>3563</t>
  </si>
  <si>
    <t>3571</t>
  </si>
  <si>
    <t>3858</t>
  </si>
  <si>
    <t>Beépítetlen terület Öregmajor</t>
  </si>
  <si>
    <t>469</t>
  </si>
  <si>
    <t>Honvéd u. 26. (Doszpod hagyaték)</t>
  </si>
  <si>
    <t>1987</t>
  </si>
  <si>
    <t>Mélyk. Attila u. 29 telek</t>
  </si>
  <si>
    <t>51</t>
  </si>
  <si>
    <t>Lakóház telek Mátyás k. 7.</t>
  </si>
  <si>
    <t>629</t>
  </si>
  <si>
    <t>Világos u. földút zártkert</t>
  </si>
  <si>
    <t>145.</t>
  </si>
  <si>
    <t>1044</t>
  </si>
  <si>
    <t>Mátyás kir. u. út telek</t>
  </si>
  <si>
    <t>146.</t>
  </si>
  <si>
    <t>1122</t>
  </si>
  <si>
    <t>Pacsirta u. út telek</t>
  </si>
  <si>
    <t>147.</t>
  </si>
  <si>
    <t>1148</t>
  </si>
  <si>
    <t>Pacsirta u. Magyar köz út telek</t>
  </si>
  <si>
    <t>148.</t>
  </si>
  <si>
    <t>1169</t>
  </si>
  <si>
    <t>Tóth Kálmán u. földút</t>
  </si>
  <si>
    <t>149.</t>
  </si>
  <si>
    <t>1200</t>
  </si>
  <si>
    <t>Botond u. földút</t>
  </si>
  <si>
    <t>150.</t>
  </si>
  <si>
    <t>1205</t>
  </si>
  <si>
    <t>Víztároló Botond u.</t>
  </si>
  <si>
    <t>151.</t>
  </si>
  <si>
    <t>1267</t>
  </si>
  <si>
    <t>Deák F. u. telek</t>
  </si>
  <si>
    <t>152.</t>
  </si>
  <si>
    <t>1294</t>
  </si>
  <si>
    <t>Rigó u. út telek</t>
  </si>
  <si>
    <t>153.</t>
  </si>
  <si>
    <t>1358</t>
  </si>
  <si>
    <t>Zrínyi u. út telek</t>
  </si>
  <si>
    <t>154.</t>
  </si>
  <si>
    <t>14213</t>
  </si>
  <si>
    <t>Széchenyi u. földút telek</t>
  </si>
  <si>
    <t>155.</t>
  </si>
  <si>
    <t>1474</t>
  </si>
  <si>
    <t>Világos u.földút</t>
  </si>
  <si>
    <t>156.</t>
  </si>
  <si>
    <t>1502</t>
  </si>
  <si>
    <t>Csapadék elvezető árok Széchenyi u.</t>
  </si>
  <si>
    <t>157.</t>
  </si>
  <si>
    <t>1524</t>
  </si>
  <si>
    <t>Jókai u. Széchenyi u. 1. köz</t>
  </si>
  <si>
    <t>158.</t>
  </si>
  <si>
    <t>1580</t>
  </si>
  <si>
    <t xml:space="preserve">Közterület Széchenyi </t>
  </si>
  <si>
    <t>159.</t>
  </si>
  <si>
    <t>1581</t>
  </si>
  <si>
    <t>Malom u. földút</t>
  </si>
  <si>
    <t>160.</t>
  </si>
  <si>
    <t>162</t>
  </si>
  <si>
    <t>Vezér u. út telek</t>
  </si>
  <si>
    <t>161.</t>
  </si>
  <si>
    <t>1634/1</t>
  </si>
  <si>
    <t>Jókai u. kiépített út</t>
  </si>
  <si>
    <t>162.</t>
  </si>
  <si>
    <t>1634/35</t>
  </si>
  <si>
    <t>Csapadék elvezető árok Jókai</t>
  </si>
  <si>
    <t>163.</t>
  </si>
  <si>
    <t>1682</t>
  </si>
  <si>
    <t>Vas u. Lénárd u. köz út telek</t>
  </si>
  <si>
    <t>164.</t>
  </si>
  <si>
    <t>1683</t>
  </si>
  <si>
    <t>Lénárd u. út telek</t>
  </si>
  <si>
    <t>165.</t>
  </si>
  <si>
    <t>1701</t>
  </si>
  <si>
    <t>Vas u. út telek</t>
  </si>
  <si>
    <t>166.</t>
  </si>
  <si>
    <t>175</t>
  </si>
  <si>
    <t>Árpád u. út telek</t>
  </si>
  <si>
    <t>167.</t>
  </si>
  <si>
    <t>1786/1</t>
  </si>
  <si>
    <t xml:space="preserve"> Működési célra véglegesen átadott pénzeszköz államháztartáson kívülre</t>
  </si>
  <si>
    <t>Támogatott szervezet megnevezése</t>
  </si>
  <si>
    <t>Támogatás célja</t>
  </si>
  <si>
    <t>Mélykúti Sportegyesület</t>
  </si>
  <si>
    <t>működési  kiadásaihoz hozzájárulás</t>
  </si>
  <si>
    <t>Budai Géza Diáksport Egyesület</t>
  </si>
  <si>
    <t>Mélykúti Szederinda Népzenei Egyesület</t>
  </si>
  <si>
    <t>Rockenbauer Pál Természetjáró Egyesület</t>
  </si>
  <si>
    <t>Mozgáskorlátozottak Mélykúti Egyesülete</t>
  </si>
  <si>
    <t>Mélykúti Lovasegyesület</t>
  </si>
  <si>
    <t>Mélykúti Egyházközségekért Alapítvány</t>
  </si>
  <si>
    <t>Nagycsaládosok Mélykúti Egyesülete</t>
  </si>
  <si>
    <t>Mélykúti Galamb-,DíszmadárKisállattenyésztő és Természetvédő Egyesület</t>
  </si>
  <si>
    <t xml:space="preserve">Települési Önkormányzatok Országos Szövetsége </t>
  </si>
  <si>
    <t>érdekképviseleti tagdíj</t>
  </si>
  <si>
    <t>FEBÖSZ tagdíj</t>
  </si>
  <si>
    <t>tagdíj</t>
  </si>
  <si>
    <t>Magyar Önkormányzatok Szövetsége</t>
  </si>
  <si>
    <t>Polgárvédelmi feladatok ellátásához hozzájárulás</t>
  </si>
  <si>
    <t>Felső-Bácskai Regionális Szilárd Hulladéklerakó Önk. Társ.Vaskút</t>
  </si>
  <si>
    <t>Homokhátásgi Regionális Hulladékkezelő Csongrád</t>
  </si>
  <si>
    <t>ÉPTESZ temető üzemeltetés</t>
  </si>
  <si>
    <t>működési bevételek és kiadások különbözete</t>
  </si>
  <si>
    <t>ÉPTESZ strand üzemeltetés</t>
  </si>
  <si>
    <t>fogászati tevékenység</t>
  </si>
  <si>
    <t>Mélykúti Viziközmű Társulás</t>
  </si>
  <si>
    <t>működési támogatás</t>
  </si>
  <si>
    <t>Működési célú pénzeszközátadás államháztartáson kívülre</t>
  </si>
  <si>
    <t>Bursa Hungarica ösztöndíj pályázat</t>
  </si>
  <si>
    <t>Ösztöndíjpályázat</t>
  </si>
  <si>
    <t>Pénzmaradvány átadás Polgármesteri Hivatalnak</t>
  </si>
  <si>
    <t>2012. évi pénzmaradvány</t>
  </si>
  <si>
    <t>Eu önerő előleg</t>
  </si>
  <si>
    <t>Klébelsberg Intézményfenntartó Központ</t>
  </si>
  <si>
    <t>2012. december 31-ei számlaegyenleg átadás</t>
  </si>
  <si>
    <t>Mélykút Roma Nemzetiségi Önkormányzat</t>
  </si>
  <si>
    <t>Működéshez</t>
  </si>
  <si>
    <t>alapítói hozzájéárulás</t>
  </si>
  <si>
    <t>Jánoshalma-Mélykút Ivóvízminőségjavító Önkormányzati Társulás</t>
  </si>
  <si>
    <t>működéshez</t>
  </si>
  <si>
    <t>ÉPTESZ Kft</t>
  </si>
  <si>
    <t xml:space="preserve">Néptánccsoport </t>
  </si>
  <si>
    <t>karakter cpő</t>
  </si>
  <si>
    <t>IV. Üzem-re, kezelésre, koncesszióba adott, vagyonkezelésbe vett eszközök</t>
  </si>
  <si>
    <t>Korl. Forgalomkép üzemeltetésre, kezelésre átadott telkek</t>
  </si>
  <si>
    <t>1993</t>
  </si>
  <si>
    <t>Kálvária temető telek</t>
  </si>
  <si>
    <t>1832</t>
  </si>
  <si>
    <t>Pesti temető telek</t>
  </si>
  <si>
    <t>Korl.forg.</t>
  </si>
  <si>
    <t xml:space="preserve"> Korl.Forgalomkép üzemeltetésre, kezelésre átadott közmű telkek</t>
  </si>
  <si>
    <t>57/2</t>
  </si>
  <si>
    <t>Kezelő épület</t>
  </si>
  <si>
    <t>Vízmű gépház telek</t>
  </si>
  <si>
    <t>Védőterület telkesítés</t>
  </si>
  <si>
    <t>Védőterület</t>
  </si>
  <si>
    <t>Park</t>
  </si>
  <si>
    <t>3547/4</t>
  </si>
  <si>
    <t>Park Öregmajor</t>
  </si>
  <si>
    <t>Öregmajor Vízmű kezelőépület</t>
  </si>
  <si>
    <t>Korl.Forgalomkép üzemeltetésre, kezelésre átadott egyéb épület (temető)</t>
  </si>
  <si>
    <t>WC/Raktár Kálvária temető</t>
  </si>
  <si>
    <t>ÉPTESZ</t>
  </si>
  <si>
    <t>Pesti temető épület</t>
  </si>
  <si>
    <t>Pesti temető wc épület</t>
  </si>
  <si>
    <t>Kálvária temető</t>
  </si>
  <si>
    <t xml:space="preserve">Korlátozottan forgalomképes üzemeltetésre, kezelésre átadott egyéb épületek </t>
  </si>
  <si>
    <t>Vízmű gépház vastalanító</t>
  </si>
  <si>
    <t>347/4</t>
  </si>
  <si>
    <t>Öregmajos Vízmű kezelőépület</t>
  </si>
  <si>
    <t>Korl. Forgalomkép  üzemeltetésre átadott különféle egyéb építmény (temető)</t>
  </si>
  <si>
    <t>Kálvária temető kerítés</t>
  </si>
  <si>
    <t>Pesti temető kerítés</t>
  </si>
  <si>
    <t>Korlátozottan forgalomképes üzemeltetésre, kezelésre átadott különféle egyéb építmények (közmű hálózat)</t>
  </si>
  <si>
    <t>Csőhálózat 100 AC</t>
  </si>
  <si>
    <t>Csőhálózat 100km</t>
  </si>
  <si>
    <t>Csőhálózat 150 AC</t>
  </si>
  <si>
    <t>Csőhálózat 15 km</t>
  </si>
  <si>
    <t>Csőhálózat 200 AC</t>
  </si>
  <si>
    <t>Csőhálózat 200 km</t>
  </si>
  <si>
    <t>Csőhálózat 3" horganyzott</t>
  </si>
  <si>
    <t>Csőhálózat 80 AC</t>
  </si>
  <si>
    <t>Csőhálózat 80 km</t>
  </si>
  <si>
    <t>Csőhálózat Öregmajor 100 km</t>
  </si>
  <si>
    <t>Földkábel 3 * 16/16</t>
  </si>
  <si>
    <t>Földkábel 3*16</t>
  </si>
  <si>
    <t>Hidrohenger Öregmajor</t>
  </si>
  <si>
    <t>Horganyzott cső 4</t>
  </si>
  <si>
    <t>Jelzőkábel 4 * 1,5</t>
  </si>
  <si>
    <t>Kerítés dísz</t>
  </si>
  <si>
    <t>Út beton</t>
  </si>
  <si>
    <t>Kerítés drótfonatos Műa.</t>
  </si>
  <si>
    <t>Kerítés Öregmajor</t>
  </si>
  <si>
    <t>Mélyfúrású kút I. /3.</t>
  </si>
  <si>
    <t>Mélyfúrású kút I. Öregmajor</t>
  </si>
  <si>
    <t xml:space="preserve">Mélyfúrású kút II. </t>
  </si>
  <si>
    <t>Terr. burkolat beton</t>
  </si>
  <si>
    <t>Térvilágítás hg. Lámpa</t>
  </si>
  <si>
    <t>Szennyvízcsatorna hálózat</t>
  </si>
  <si>
    <t>Víztároló medence vb.</t>
  </si>
  <si>
    <t>Vízkezelő egység Öregmajor</t>
  </si>
  <si>
    <t xml:space="preserve">Vízkezelő egység  </t>
  </si>
  <si>
    <t>Forgalomképes üzemeltetésre átadott egyéb építmény</t>
  </si>
  <si>
    <t>Őrbódé szeméttelep</t>
  </si>
  <si>
    <t>Faház öregmajor levendula</t>
  </si>
  <si>
    <t>Forg.kép</t>
  </si>
  <si>
    <t>Korl. Forgalomkép üzemeltetésre, kezelésre átadott 0-ig leírt egyéb épület</t>
  </si>
  <si>
    <t>Ravatalozó boncház</t>
  </si>
  <si>
    <t>Korlátozottan forgalomképes üzemeltetésre, kezelésre átadott 0-ig leírt különféle egyéb építmények (közmű hálózat)</t>
  </si>
  <si>
    <t>Csőhálózat 90 PVC</t>
  </si>
  <si>
    <t>Csőhálózat 110 PVC</t>
  </si>
  <si>
    <t>Csőhálózat 5/4" horganyzott</t>
  </si>
  <si>
    <t xml:space="preserve">Csőhálózat 2 horgonyzott </t>
  </si>
  <si>
    <t>Csőhálózat 250 km</t>
  </si>
  <si>
    <t>Csőhálózat 100 horgonyzott</t>
  </si>
  <si>
    <t>Csőhálózat 102 for cső</t>
  </si>
  <si>
    <t>Csőhálózat 108 acél</t>
  </si>
  <si>
    <t>Csőhálózat 108 vas</t>
  </si>
  <si>
    <t>csőhálózat 125 acél</t>
  </si>
  <si>
    <t>Arzéniszap</t>
  </si>
  <si>
    <t>Csőhálózat 125 AC</t>
  </si>
  <si>
    <t>Csőhálózat 25 AC</t>
  </si>
  <si>
    <t>Hidroglóbus</t>
  </si>
  <si>
    <t>Mélyfúrású kút I.</t>
  </si>
  <si>
    <t>korl.forg</t>
  </si>
  <si>
    <t>Kerítés szeméttelep</t>
  </si>
  <si>
    <t>Korlátozottan forgalomképes üzemeltetésre, kezelésre átadott gépek berendezések</t>
  </si>
  <si>
    <t>Klórgáz adagoló szivattyú</t>
  </si>
  <si>
    <t>korl.forg.kép</t>
  </si>
  <si>
    <t>O-ig leírt forg,képes szellemi termék</t>
  </si>
  <si>
    <t>Szennyvíztiszt. Műtr. Üzem</t>
  </si>
  <si>
    <t>Forgalomképes 0-ig leírt üzemeltetésre, kezelésre átadott gépek, berendezések, felszerelések</t>
  </si>
  <si>
    <t>Tűzcsap</t>
  </si>
  <si>
    <t>Felhalmozási célú támogatásértékű kiadás</t>
  </si>
  <si>
    <t>Egyéb felhalmozási célú támogatásértékű bevétel</t>
  </si>
  <si>
    <t>3.4</t>
  </si>
  <si>
    <t>Pénzügyi befektetések kiadásai</t>
  </si>
  <si>
    <t xml:space="preserve"> Felhalmozási és tőkejellegű  bevételek (3.1+…+3.3)</t>
  </si>
  <si>
    <t>Intézményfinanszírozás felhalmozási célú</t>
  </si>
  <si>
    <t>Korrekció intézményfinanszírozás miatt</t>
  </si>
  <si>
    <t>Áfa visszatérülés</t>
  </si>
  <si>
    <t>Pénzügyi befektetésekből származó bevétel</t>
  </si>
  <si>
    <t>Felhalmozási célú pénzeszk. átvétel államháztartáson kívülről</t>
  </si>
  <si>
    <t>Intézményi működési bevétel</t>
  </si>
  <si>
    <t>Felhalmozási célú áfa visszatérülés</t>
  </si>
  <si>
    <t>Önkormányzati támogatás  felhalmozási célú</t>
  </si>
  <si>
    <t>FELHALMOZÁSI KÖLTSÉGVETÉSI BEVÉTELEK ÖSSZESEN</t>
  </si>
  <si>
    <t>FELHALMOZÁSI  KÖLTSÉGVETÉS EGYENLEGE</t>
  </si>
  <si>
    <t>HIÁNY BELSŐ FINANSZÍROZÁSÁRA FELHALMOZSI   PÉNZMARADVÁNY</t>
  </si>
  <si>
    <t>HIÁNY KÜLSŐ FINANSZÍROZÁSÁRA  FELHALMOÁSI CÉLÚ HITEL</t>
  </si>
  <si>
    <t>kölcsön nyújtása</t>
  </si>
  <si>
    <t>Korrekció intézményfinanszírozás</t>
  </si>
  <si>
    <t xml:space="preserve">Működési célú pénzeszköz átadás ÁHT  kívülre </t>
  </si>
  <si>
    <t xml:space="preserve">kölcsön </t>
  </si>
  <si>
    <t>A települési önkormányzatok egyes köznevelési és gyermekétkeztetési feladatinak támogatása</t>
  </si>
  <si>
    <t>Települési önkormányzatok szociális és gyermekjóléti feladatinak támogatása</t>
  </si>
  <si>
    <t xml:space="preserve">Települési önkormányzatok kulturális feladatainak támogatása </t>
  </si>
  <si>
    <t>Társadalombiztosítás pénzügyi alapjából átvett pénzeszköz</t>
  </si>
  <si>
    <t>MŰKÖDÉSI PÉNZMARADVÁNY</t>
  </si>
  <si>
    <r>
      <t xml:space="preserve">Felhalmozási támogatások </t>
    </r>
    <r>
      <rPr>
        <sz val="7"/>
        <rFont val="Times New Roman"/>
        <family val="1"/>
      </rPr>
      <t>(1.1+…+1.3.)</t>
    </r>
  </si>
  <si>
    <t>Intézményifelhalmozási  bevétel</t>
  </si>
  <si>
    <t>III</t>
  </si>
  <si>
    <t>FELHALMOZÁSI KÖLTSÉGVETÉSI KIADÁSOK ÖSSZESEN</t>
  </si>
  <si>
    <t>IV</t>
  </si>
  <si>
    <t>V</t>
  </si>
  <si>
    <t>FELHALMOZSI   PÉNZMARADVÁNY</t>
  </si>
  <si>
    <t>VI.</t>
  </si>
  <si>
    <t>Felhalmozási célúhiány</t>
  </si>
  <si>
    <t>VII.</t>
  </si>
  <si>
    <t>Felhalmozási célú hiány külső finanszírozása</t>
  </si>
  <si>
    <t>VII</t>
  </si>
  <si>
    <t>FELHALMOZÁSI KÖLTSÉGVETÉS MIDÖSSZESEN</t>
  </si>
  <si>
    <t>Kölcsön nyújtás</t>
  </si>
  <si>
    <t>Kamatkiadások</t>
  </si>
  <si>
    <t>felh</t>
  </si>
  <si>
    <t>Függő kiadás</t>
  </si>
  <si>
    <t>Eredeti eirzat</t>
  </si>
  <si>
    <t>Módosított eirzat</t>
  </si>
  <si>
    <t>Munkaadókat terh. járulékok és szociális hozzájárulási adó</t>
  </si>
  <si>
    <t>Egyéb fizetési kötelezettségből származó bev.</t>
  </si>
  <si>
    <t xml:space="preserve"> Felhalmozási célú pénzmaradvány átadás</t>
  </si>
  <si>
    <t>Önkormányzati támogatás felhalmozási célú</t>
  </si>
  <si>
    <t>Mélykút Város Önkormányzat beruházási kiadásai feladatonként</t>
  </si>
  <si>
    <t xml:space="preserve"> Ezer forint</t>
  </si>
  <si>
    <t>Beruházás  megnevezése</t>
  </si>
  <si>
    <t>Ipari elkerülő</t>
  </si>
  <si>
    <t>440.</t>
  </si>
  <si>
    <t>441.</t>
  </si>
  <si>
    <t>442.</t>
  </si>
  <si>
    <t>0184//2</t>
  </si>
  <si>
    <t>443.</t>
  </si>
  <si>
    <t>0170/1</t>
  </si>
  <si>
    <t>444.</t>
  </si>
  <si>
    <t xml:space="preserve">Belvízelvezető csat. Zrínyi-Rigó </t>
  </si>
  <si>
    <t>445.</t>
  </si>
  <si>
    <t>Kistemplom utca aszfalt út</t>
  </si>
  <si>
    <t>Forgalomképtelen földutak</t>
  </si>
  <si>
    <t>446.</t>
  </si>
  <si>
    <t>Kúriák Dűlő Földút</t>
  </si>
  <si>
    <t>447.</t>
  </si>
  <si>
    <t>Szalmázóhegy földút</t>
  </si>
  <si>
    <t>448.</t>
  </si>
  <si>
    <t>449.</t>
  </si>
  <si>
    <t>Kuriák Dűlő Földút</t>
  </si>
  <si>
    <t>450.</t>
  </si>
  <si>
    <t>0107</t>
  </si>
  <si>
    <t>Szalmázó hegy földút</t>
  </si>
  <si>
    <t>451.</t>
  </si>
  <si>
    <t>Földút búzakalász</t>
  </si>
  <si>
    <t>452.</t>
  </si>
  <si>
    <t>Jankamajor földút</t>
  </si>
  <si>
    <t>453.</t>
  </si>
  <si>
    <t>454.</t>
  </si>
  <si>
    <t>455.</t>
  </si>
  <si>
    <t>Földút Jánoshalmi határ</t>
  </si>
  <si>
    <t>456.</t>
  </si>
  <si>
    <t>457.</t>
  </si>
  <si>
    <t>458.</t>
  </si>
  <si>
    <t>0122/4</t>
  </si>
  <si>
    <t>459.</t>
  </si>
  <si>
    <t>460.</t>
  </si>
  <si>
    <t>461.</t>
  </si>
  <si>
    <t>462.</t>
  </si>
  <si>
    <t>Kuriák dűlő földút</t>
  </si>
  <si>
    <t>463.</t>
  </si>
  <si>
    <t>464.</t>
  </si>
  <si>
    <t>465.</t>
  </si>
  <si>
    <t>466.</t>
  </si>
  <si>
    <t>Kuriák dűlő csap.víz. csatorna</t>
  </si>
  <si>
    <t>467.</t>
  </si>
  <si>
    <t>Ordináncz földút</t>
  </si>
  <si>
    <t>468.</t>
  </si>
  <si>
    <t>Feketemajor földút</t>
  </si>
  <si>
    <t>469.</t>
  </si>
  <si>
    <t>470.</t>
  </si>
  <si>
    <t>471.</t>
  </si>
  <si>
    <t>0161/4</t>
  </si>
  <si>
    <t>472.</t>
  </si>
  <si>
    <t>473.</t>
  </si>
  <si>
    <t>0164/2</t>
  </si>
  <si>
    <t>474.</t>
  </si>
  <si>
    <t>475.</t>
  </si>
  <si>
    <t>476.</t>
  </si>
  <si>
    <t>0169/3</t>
  </si>
  <si>
    <t>477.</t>
  </si>
  <si>
    <t>Bika dűlő földút</t>
  </si>
  <si>
    <t>478.</t>
  </si>
  <si>
    <t>479.</t>
  </si>
  <si>
    <t>Kúriák földút</t>
  </si>
  <si>
    <t>480.</t>
  </si>
  <si>
    <t>481.</t>
  </si>
  <si>
    <t>482.</t>
  </si>
  <si>
    <t>483.</t>
  </si>
  <si>
    <t>484.</t>
  </si>
  <si>
    <t>Viszmeg dűlő földút</t>
  </si>
  <si>
    <t>485.</t>
  </si>
  <si>
    <t>486.</t>
  </si>
  <si>
    <t>487.</t>
  </si>
  <si>
    <t>Zártkert földút</t>
  </si>
  <si>
    <t>488.</t>
  </si>
  <si>
    <t>489.</t>
  </si>
  <si>
    <t>490.</t>
  </si>
  <si>
    <t xml:space="preserve">Földút (alk. Tsz. Haszn) </t>
  </si>
  <si>
    <t>491.</t>
  </si>
  <si>
    <t>492.</t>
  </si>
  <si>
    <t>193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</si>
  <si>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</si>
  <si>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</si>
  <si>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</si>
  <si>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</si>
  <si>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</si>
  <si>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</si>
  <si>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</si>
  <si>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</si>
  <si>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</si>
  <si>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</si>
  <si>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</si>
  <si>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</si>
  <si>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</si>
  <si>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</si>
  <si>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</si>
  <si>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Zalka M. földút (páros oldal)</t>
  </si>
  <si>
    <t>508.</t>
  </si>
  <si>
    <t>0211</t>
  </si>
  <si>
    <t>509.</t>
  </si>
  <si>
    <t>Sáncz dűlő földút</t>
  </si>
  <si>
    <t>510.</t>
  </si>
  <si>
    <t>511.</t>
  </si>
  <si>
    <t>512.</t>
  </si>
  <si>
    <t>513.</t>
  </si>
  <si>
    <t>Önkormányzati kozút</t>
  </si>
  <si>
    <t>514.</t>
  </si>
  <si>
    <t>Baranyi földút</t>
  </si>
  <si>
    <t>515.</t>
  </si>
  <si>
    <t>Fekete major földút</t>
  </si>
  <si>
    <t>516.</t>
  </si>
  <si>
    <t>517.</t>
  </si>
  <si>
    <t>0234</t>
  </si>
  <si>
    <t>Sáncz földút</t>
  </si>
  <si>
    <t>518.</t>
  </si>
  <si>
    <t>519.</t>
  </si>
  <si>
    <t>520.</t>
  </si>
  <si>
    <t>521.</t>
  </si>
  <si>
    <t>522.</t>
  </si>
  <si>
    <t>Alsómajor földút</t>
  </si>
  <si>
    <t>523.</t>
  </si>
  <si>
    <t>524.</t>
  </si>
  <si>
    <t>525.</t>
  </si>
  <si>
    <t>526.</t>
  </si>
  <si>
    <t>527.</t>
  </si>
  <si>
    <t>528.</t>
  </si>
  <si>
    <t>529.</t>
  </si>
  <si>
    <t>530.</t>
  </si>
  <si>
    <t>Öregmajor földút</t>
  </si>
  <si>
    <t>531.</t>
  </si>
  <si>
    <t>532.</t>
  </si>
  <si>
    <t>Öregmajor - Alsómajor földút</t>
  </si>
  <si>
    <t>533.</t>
  </si>
  <si>
    <t>534.</t>
  </si>
  <si>
    <t>Janka major földút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</si>
  <si>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</si>
  <si>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</si>
  <si>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</si>
  <si>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</si>
  <si>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</si>
  <si>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</si>
  <si>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</si>
  <si>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</si>
  <si>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</si>
  <si>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546.</t>
  </si>
  <si>
    <t>547.</t>
  </si>
  <si>
    <t>548.</t>
  </si>
  <si>
    <t xml:space="preserve">Felsőcsordajárás földút </t>
  </si>
  <si>
    <t>549.</t>
  </si>
  <si>
    <t>550.</t>
  </si>
  <si>
    <t>Felső-csordajárás földút</t>
  </si>
  <si>
    <t>551.</t>
  </si>
  <si>
    <t>552.</t>
  </si>
  <si>
    <t>553.</t>
  </si>
  <si>
    <t>554.</t>
  </si>
  <si>
    <t>555.</t>
  </si>
  <si>
    <t>556.</t>
  </si>
  <si>
    <t>059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</si>
  <si>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</si>
  <si>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</si>
  <si>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</si>
  <si>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</si>
  <si>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</si>
  <si>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</si>
  <si>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</si>
  <si>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</si>
  <si>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</si>
  <si>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074/34</t>
  </si>
  <si>
    <t>566.</t>
  </si>
  <si>
    <t>567.</t>
  </si>
  <si>
    <t>568.</t>
  </si>
  <si>
    <t>569.</t>
  </si>
  <si>
    <t>Földút vasút mellett</t>
  </si>
  <si>
    <t>570.</t>
  </si>
  <si>
    <t>571.</t>
  </si>
  <si>
    <t xml:space="preserve">Világos u. földút  </t>
  </si>
  <si>
    <t>572.</t>
  </si>
  <si>
    <t>Pacsirta - Magyar köz földút</t>
  </si>
  <si>
    <t>573.</t>
  </si>
  <si>
    <t>574.</t>
  </si>
  <si>
    <t>Világos u. földút</t>
  </si>
  <si>
    <t>575.</t>
  </si>
  <si>
    <t>Jókai-Széchenyi földút</t>
  </si>
  <si>
    <t>576.</t>
  </si>
  <si>
    <t>1583</t>
  </si>
  <si>
    <t>577.</t>
  </si>
  <si>
    <t>163/1</t>
  </si>
  <si>
    <t>Új u. földút</t>
  </si>
  <si>
    <t>578.</t>
  </si>
  <si>
    <t>Vas - Lénárd u. köz földút</t>
  </si>
  <si>
    <t>579.</t>
  </si>
  <si>
    <t>Lénárd u. földút</t>
  </si>
  <si>
    <t>580.</t>
  </si>
  <si>
    <t>Pesti temető mögötti földút</t>
  </si>
  <si>
    <t>581.</t>
  </si>
  <si>
    <t>Új - Kinizsi u. földút</t>
  </si>
  <si>
    <t>582.</t>
  </si>
  <si>
    <t>Dankó u. földút</t>
  </si>
  <si>
    <t>583.</t>
  </si>
  <si>
    <t xml:space="preserve">Sallai u. földút  </t>
  </si>
  <si>
    <t>584.</t>
  </si>
  <si>
    <t>Jánoshalmi u. földút</t>
  </si>
  <si>
    <t>585.</t>
  </si>
  <si>
    <t>Dózsa Gy. u. földút</t>
  </si>
  <si>
    <t>586.</t>
  </si>
  <si>
    <t>Attila u. földút</t>
  </si>
  <si>
    <t>587.</t>
  </si>
  <si>
    <t>Szabadság tér földút</t>
  </si>
  <si>
    <t>588.</t>
  </si>
  <si>
    <t>Rákóczi u. földút (Damj./Kandó)</t>
  </si>
  <si>
    <t>589.</t>
  </si>
  <si>
    <t>Hámán K. u. földút</t>
  </si>
  <si>
    <t>590.</t>
  </si>
  <si>
    <t>Rákóczi u. földút (Kandó/Május 1 között)</t>
  </si>
  <si>
    <t>591.</t>
  </si>
  <si>
    <t>Rákóczi u. földút (Május1/Zalka)</t>
  </si>
  <si>
    <t>592.</t>
  </si>
  <si>
    <t>593.</t>
  </si>
  <si>
    <t>Vörösmarty u. földút</t>
  </si>
  <si>
    <t>594.</t>
  </si>
  <si>
    <t>Zalka M. földút (Zalka/Mátyás k. között)</t>
  </si>
  <si>
    <t>595.</t>
  </si>
  <si>
    <t>Kis u. földút</t>
  </si>
  <si>
    <t>596.</t>
  </si>
  <si>
    <t>Rózsa utca földút</t>
  </si>
  <si>
    <t>597.</t>
  </si>
  <si>
    <t>Kisfaludy u. földút</t>
  </si>
  <si>
    <t>598.</t>
  </si>
  <si>
    <t>Alsó temető mögötti földút</t>
  </si>
  <si>
    <t>599.</t>
  </si>
  <si>
    <t>Bartók u. földút</t>
  </si>
  <si>
    <t>600.</t>
  </si>
  <si>
    <t xml:space="preserve">Kinizsi u. földút  </t>
  </si>
  <si>
    <t>601.</t>
  </si>
  <si>
    <t>Nagy u. parkoló</t>
  </si>
  <si>
    <t>602.</t>
  </si>
  <si>
    <t>Bem tér földút</t>
  </si>
  <si>
    <t>603.</t>
  </si>
  <si>
    <t>Sallai u. földút</t>
  </si>
  <si>
    <t>604.</t>
  </si>
  <si>
    <t>605.</t>
  </si>
  <si>
    <t>földút ipari</t>
  </si>
  <si>
    <t>606.</t>
  </si>
  <si>
    <t>607.</t>
  </si>
  <si>
    <t>Kölcsey u. földút</t>
  </si>
  <si>
    <t>Földút Öregm-Jankam.</t>
  </si>
  <si>
    <t>0291/67</t>
  </si>
  <si>
    <t>0362/1</t>
  </si>
  <si>
    <t>Öregmajor Földút</t>
  </si>
  <si>
    <t>Korlátozottan forgalomképes különféle egyéb építmények akt. Áll.</t>
  </si>
  <si>
    <t xml:space="preserve">Strand WC </t>
  </si>
  <si>
    <t>1924</t>
  </si>
  <si>
    <t>Jánoshalmi út közterület kerítés</t>
  </si>
  <si>
    <t>Kerítés áll.hull.gyűjtő (DÖGTÉR)</t>
  </si>
  <si>
    <t>Sportpálya Tópart</t>
  </si>
  <si>
    <t>Piactér</t>
  </si>
  <si>
    <t>85.</t>
  </si>
  <si>
    <t>Kerítés Petőfi tér 9. épület</t>
  </si>
  <si>
    <t>Kerítés II. sz óvoda</t>
  </si>
  <si>
    <t>Szilárd Hulladéklerakó építmény</t>
  </si>
  <si>
    <t>Tároló helyiség III. sz. óvoda</t>
  </si>
  <si>
    <t>Kerítés III. sz. óvoda</t>
  </si>
  <si>
    <t>Kerítés vásártér</t>
  </si>
  <si>
    <t>1927</t>
  </si>
  <si>
    <t>Sport pálya Jánoshalmi út</t>
  </si>
  <si>
    <t>Kerítés Hunyadi 18</t>
  </si>
  <si>
    <t>Sportvendéglőhöz kapcsolódó terasz</t>
  </si>
  <si>
    <t>57/6</t>
  </si>
  <si>
    <t>Tóparti játszótér</t>
  </si>
  <si>
    <t>Kerítés tűtoltó raktár mellett</t>
  </si>
  <si>
    <t>Kerítés könyvtár udvar</t>
  </si>
  <si>
    <t>716/1</t>
  </si>
  <si>
    <t>Kerítés polgármesteri hiv.</t>
  </si>
  <si>
    <t>Kerítés Templom u. 12.</t>
  </si>
  <si>
    <t>Kerítés Rákócsi u. 5.</t>
  </si>
  <si>
    <t>Kerítés Rákócsi u. 13.</t>
  </si>
  <si>
    <t>Kerítés Rákóczi 6-8</t>
  </si>
  <si>
    <t>Napelemes r. ÁLT ISK.(KEOP)</t>
  </si>
  <si>
    <t>Játszótéri Játék EMVA 6.352.01.01</t>
  </si>
  <si>
    <t>Szökőkút átalakít. EMVA 6.352.01.01</t>
  </si>
  <si>
    <t xml:space="preserve">Talajvízkút (Sportp.) </t>
  </si>
  <si>
    <t>103.</t>
  </si>
  <si>
    <t>Öregmajor buszváró</t>
  </si>
  <si>
    <r>
      <t xml:space="preserve">Mélykút Város Önkormányzat </t>
    </r>
    <r>
      <rPr>
        <u val="single"/>
        <sz val="9"/>
        <rFont val="Times New Roman CE"/>
        <family val="0"/>
      </rPr>
      <t>összesített</t>
    </r>
    <r>
      <rPr>
        <sz val="9"/>
        <rFont val="Times New Roman CE"/>
        <family val="0"/>
      </rPr>
      <t xml:space="preserve"> 2013. évi költségvetési mérlege</t>
    </r>
  </si>
  <si>
    <t>B E V É T E L E K</t>
  </si>
  <si>
    <t>1. sz. táblázat</t>
  </si>
  <si>
    <t>Ezer forintban</t>
  </si>
  <si>
    <t>Sor-
szám</t>
  </si>
  <si>
    <t>Bevételi jogcím</t>
  </si>
  <si>
    <t xml:space="preserve">2013. évi </t>
  </si>
  <si>
    <t>Teljesítés %-a</t>
  </si>
  <si>
    <t>Eredeti előirányzat</t>
  </si>
  <si>
    <t>Módosított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</si>
  <si>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</si>
  <si>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</si>
  <si>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</si>
  <si>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</si>
  <si>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</si>
  <si>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</si>
  <si>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</si>
  <si>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</si>
  <si>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</si>
  <si>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</si>
  <si>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</si>
  <si>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</si>
  <si>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</si>
  <si>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</si>
  <si>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</si>
  <si>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</si>
  <si>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</si>
  <si>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</si>
  <si>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</si>
  <si>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</si>
  <si>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</si>
  <si>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</si>
  <si>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</si>
  <si>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</si>
  <si>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</si>
  <si>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</si>
  <si>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</si>
  <si>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</si>
  <si>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</si>
  <si>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</si>
  <si>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</si>
  <si>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</si>
  <si>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</si>
  <si>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</si>
  <si>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5.1</t>
  </si>
  <si>
    <t>5.2</t>
  </si>
  <si>
    <t>5.3</t>
  </si>
  <si>
    <t>5.4</t>
  </si>
  <si>
    <t>5.5.</t>
  </si>
  <si>
    <t>Központosított előirányzatok</t>
  </si>
  <si>
    <t>5.6.</t>
  </si>
  <si>
    <t>Kiegészítő támogatás</t>
  </si>
  <si>
    <t>5.7.</t>
  </si>
  <si>
    <t>5.8.</t>
  </si>
  <si>
    <t>Egyéb támogatás</t>
  </si>
  <si>
    <t>6.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</si>
  <si>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</si>
  <si>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6.1.</t>
  </si>
  <si>
    <t>Működési támogatás államháztartáson belülről (6.1.1.+…+ 6.1.5.)</t>
  </si>
  <si>
    <t>6.1.1.</t>
  </si>
  <si>
    <t>6.1.2.</t>
  </si>
  <si>
    <t>6.1.3.</t>
  </si>
  <si>
    <t>6.1.4.</t>
  </si>
  <si>
    <t>6.1.5.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</si>
  <si>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</si>
  <si>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</si>
  <si>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</si>
  <si>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</si>
  <si>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</si>
  <si>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</si>
  <si>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</si>
  <si>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7. </t>
  </si>
  <si>
    <t>7.1.</t>
  </si>
  <si>
    <t>Működési célú pénzeszközök átvétele államháztartáson kívülről</t>
  </si>
  <si>
    <t>Felhalmozási célú pénzeszközök átvétele államháztartáson kívülről, kölcsön átvétel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</si>
  <si>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</si>
  <si>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</si>
  <si>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</si>
  <si>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</si>
  <si>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</si>
  <si>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Áfa bevétel</t>
  </si>
  <si>
    <t>8.3.</t>
  </si>
  <si>
    <t xml:space="preserve">Pénzügyi befektetésekből származó bevétel </t>
  </si>
  <si>
    <t>9.</t>
  </si>
  <si>
    <t>KÖLTSÉGVETÉSI BEVÉTELEK ÖSSZESEN: (2+…+8)</t>
  </si>
  <si>
    <t>VIII. Finanszírozási bevételek (10.1.+10.2.)</t>
  </si>
  <si>
    <t>10.1.</t>
  </si>
  <si>
    <t>Hiány belső finanszírozás bevételei (10.1.+…+10.1.5.)</t>
  </si>
  <si>
    <t>10.1.1.</t>
  </si>
  <si>
    <t xml:space="preserve">   Költségvetési maradvány igénybevétele </t>
  </si>
  <si>
    <t>10.1.2.</t>
  </si>
  <si>
    <t xml:space="preserve">   Vállalkozási maradvány igénybevétele </t>
  </si>
  <si>
    <t>10.1.3.</t>
  </si>
  <si>
    <t xml:space="preserve">   Betét visszavonásából származó bevétel</t>
  </si>
  <si>
    <t>10.1.4.</t>
  </si>
  <si>
    <t xml:space="preserve">   Értékpapír értékesítése</t>
  </si>
  <si>
    <t>10.1.5.</t>
  </si>
  <si>
    <t xml:space="preserve">   Egyéb belső finanszírozási bevétek</t>
  </si>
  <si>
    <t>10.2.</t>
  </si>
  <si>
    <t>Hiány külső finanszírozásának bevételei (10.2.1.+…+10.2.5.)</t>
  </si>
  <si>
    <t>10.2.1.</t>
  </si>
  <si>
    <t xml:space="preserve">   Hosszú lejáratú hitelek, kölcsönök felvétele </t>
  </si>
  <si>
    <t>10.2.2.</t>
  </si>
  <si>
    <t xml:space="preserve">   Likviditási célú hitelek, kölcsönök felvétele </t>
  </si>
  <si>
    <t>10.2.3.</t>
  </si>
  <si>
    <t xml:space="preserve">   Rövid lejáratú hitelek, kölcsönök felvétele</t>
  </si>
  <si>
    <t>10.2.4.</t>
  </si>
  <si>
    <t xml:space="preserve">   Értékpapírok kibocsátása </t>
  </si>
  <si>
    <t>10.2.5.</t>
  </si>
  <si>
    <t xml:space="preserve">   Egyéb külső finanszírozási bevételek</t>
  </si>
  <si>
    <t>11.</t>
  </si>
  <si>
    <t>KÖLTSÉGVETÉSI ÉS FINANSZÍROZÁSI BEVÉTELEK ÖSSZESEN (9+10)</t>
  </si>
  <si>
    <t>IX. Függő, átfutó, kiegyenlítő bevételek</t>
  </si>
  <si>
    <t>BEVÉTELEK ÖSSZESEN (12+13)</t>
  </si>
  <si>
    <t xml:space="preserve">                                                          K I A D Á S O K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</si>
  <si>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</si>
  <si>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</si>
  <si>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</si>
  <si>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</si>
  <si>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</si>
  <si>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</si>
  <si>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</si>
  <si>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</si>
  <si>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</si>
  <si>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</si>
  <si>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</si>
  <si>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</si>
  <si>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>1.7.</t>
  </si>
  <si>
    <t>1.8.</t>
  </si>
  <si>
    <t>1.9.</t>
  </si>
  <si>
    <t>1.10.</t>
  </si>
  <si>
    <t>1.11.</t>
  </si>
  <si>
    <t>1.12.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</si>
  <si>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</si>
  <si>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</si>
  <si>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</si>
  <si>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</si>
  <si>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</si>
  <si>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</si>
  <si>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>2.6.</t>
  </si>
  <si>
    <t>2.7.</t>
  </si>
  <si>
    <t>2.8.</t>
  </si>
  <si>
    <t>2.9.</t>
  </si>
  <si>
    <t>2.10.</t>
  </si>
  <si>
    <t>III. Tartalékok (3.1.+3.2.)</t>
  </si>
  <si>
    <t>Általános tartalék</t>
  </si>
  <si>
    <t>Céltartalék</t>
  </si>
  <si>
    <t>4.</t>
  </si>
  <si>
    <t>KÖLTSÉGVETÉSI KIADÁSOK ÖSSZESEN (1+2+3+4)</t>
  </si>
  <si>
    <t>V. Finanszírozási kiadások (5.1+5.2.)</t>
  </si>
  <si>
    <t>5.1.</t>
  </si>
  <si>
    <t>Működési célú finanszírozási kiadások 6.1.1.+…+6.1.7.)</t>
  </si>
  <si>
    <t>5.1.1.</t>
  </si>
  <si>
    <t xml:space="preserve">   Értékpapír vásárlása, visszavásárlása</t>
  </si>
  <si>
    <t>5.1.2.</t>
  </si>
  <si>
    <t xml:space="preserve">   Likviditási hitelek törlesztése</t>
  </si>
  <si>
    <t>5.1.3.</t>
  </si>
  <si>
    <t xml:space="preserve">   Rövid lejáratú hitelek törlesztése</t>
  </si>
  <si>
    <t>5.1.4.</t>
  </si>
  <si>
    <t xml:space="preserve">   Hosszú lejáratú hitelek törlesztése</t>
  </si>
  <si>
    <t>5.1.5.</t>
  </si>
  <si>
    <t xml:space="preserve">   Kölcsön törlesztése nyújtása</t>
  </si>
  <si>
    <t>5.1.6.</t>
  </si>
  <si>
    <t xml:space="preserve">   Forgatási célú belföldi, külföldi értékpapírok vásárlása</t>
  </si>
  <si>
    <t>5.1.7.</t>
  </si>
  <si>
    <t xml:space="preserve">   Betét elhelyezése</t>
  </si>
  <si>
    <t>5.2.</t>
  </si>
  <si>
    <t>Felhalmozási célú finanszírozási bevételek (6.2.1.+...+6.2.8.)</t>
  </si>
  <si>
    <t>5.2.1.</t>
  </si>
  <si>
    <t>5.2.2.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</si>
  <si>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</si>
  <si>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</si>
  <si>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</si>
  <si>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</si>
  <si>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</si>
  <si>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</si>
  <si>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</si>
  <si>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</si>
  <si>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</si>
  <si>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KIADÁSOK ÖSSZESEN: (7+8)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</si>
  <si>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</si>
  <si>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</si>
  <si>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</si>
  <si>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 xml:space="preserve">KÜLSŐ FORRÁS BEVONÁSÁVAL – HITEL, KÖLCSÖN -  FINANSZÍROZHATÓ HIÁNY ÖSSZEGE </t>
  </si>
  <si>
    <t>4. sz. táblázat</t>
  </si>
  <si>
    <t xml:space="preserve">2013. évi külső forrásból fedezhető működési hiány </t>
  </si>
  <si>
    <t xml:space="preserve">2013. évi külső forrásból fedezhető felhalmozási hiány </t>
  </si>
  <si>
    <t>2013. évi külső forrásból fedezhető összes hiány (1+2)</t>
  </si>
  <si>
    <t>FINANSZÍROZÁSI BEVÉTELEK ÉS KIADÁSOK EGYENLEGE</t>
  </si>
  <si>
    <t>5. sz. táblázat</t>
  </si>
  <si>
    <t xml:space="preserve"> Finanszírozási műveletek egyenlege (1.1-1.2.) +/-</t>
  </si>
  <si>
    <t xml:space="preserve">Finanszírozási bevételek </t>
  </si>
  <si>
    <t>1.1.1.</t>
  </si>
  <si>
    <t>1.1-ből: Működési célú finanszírozási bevétel</t>
  </si>
  <si>
    <t>1.1.2.</t>
  </si>
  <si>
    <t xml:space="preserve">             Felhalmozási célú finanszírozási bevételek </t>
  </si>
  <si>
    <t>Finanszírozási kiadások</t>
  </si>
  <si>
    <t>1.2.1.</t>
  </si>
  <si>
    <t xml:space="preserve">1.2-ből: Működési célú finanszírozási kiadások </t>
  </si>
  <si>
    <t>1.2.2.</t>
  </si>
  <si>
    <t xml:space="preserve">              Felhalmozási célú finanszírozási kiadások (</t>
  </si>
  <si>
    <t>Teljesítés</t>
  </si>
  <si>
    <t xml:space="preserve">    - Felhalmozási célú pénzeszköz átadás államháztartáson  kív.re          </t>
  </si>
  <si>
    <t xml:space="preserve">    - Pénzügyi befektetések kiadásai</t>
  </si>
  <si>
    <t xml:space="preserve">    - Lakástámogatás, lakásépítés</t>
  </si>
  <si>
    <t xml:space="preserve">    - EU-s forrásból finanszírozott támogatással megvalósuló progr.  </t>
  </si>
  <si>
    <t xml:space="preserve">    - kölcsön nyújtása</t>
  </si>
  <si>
    <t xml:space="preserve">   - EU-s forrásból finanszírozott támogatással megvalósuló  programok,  projektek önkormányzati  hozzájárulásának kiadásai</t>
  </si>
  <si>
    <t xml:space="preserve">        - Működési célú pénzeszköz átadás államháztartáson belülre</t>
  </si>
  <si>
    <t xml:space="preserve">        - Működési célú pénzeszköz átadás államháztartáson kívülre</t>
  </si>
  <si>
    <t xml:space="preserve">       - Kamatkiadások</t>
  </si>
  <si>
    <t xml:space="preserve">        - Garancia és kezességvállalásból származó kifizetés</t>
  </si>
  <si>
    <t xml:space="preserve">       - Kölcsön nyújtása</t>
  </si>
  <si>
    <t xml:space="preserve">        - az 1.5-ből: - Lakosságnak juttatott támogatások</t>
  </si>
  <si>
    <t xml:space="preserve">        - Szociális, rászorultság jellegű ellátások</t>
  </si>
  <si>
    <t xml:space="preserve">   Helyi önkormányzatok általános támogatása</t>
  </si>
  <si>
    <t xml:space="preserve">   A települési önkormányzatok egyes köznevelési és gyermekétkeztetési feladatinak támogatása</t>
  </si>
  <si>
    <t xml:space="preserve">Társadalombiztosítás pénzügyi alapjából átvett pénzeszköz </t>
  </si>
  <si>
    <t>Tudásdepo Express II. pályázat</t>
  </si>
  <si>
    <r>
      <t xml:space="preserve">               </t>
    </r>
    <r>
      <rPr>
        <sz val="7"/>
        <rFont val="Times New Roman"/>
        <family val="1"/>
      </rPr>
      <t xml:space="preserve">  -   vagyonértékűjog</t>
    </r>
  </si>
  <si>
    <r>
      <t xml:space="preserve">           </t>
    </r>
    <r>
      <rPr>
        <sz val="7"/>
        <rFont val="Times New Roman"/>
        <family val="1"/>
      </rPr>
      <t xml:space="preserve">      -  informatikai eszköz</t>
    </r>
  </si>
  <si>
    <t xml:space="preserve">            Mélykút, Jánoshalmi u.</t>
  </si>
  <si>
    <t>díszkivilágítás</t>
  </si>
  <si>
    <t>fútési rendszer felújítása  iskola</t>
  </si>
  <si>
    <t>sportcsarnok terv</t>
  </si>
  <si>
    <t>ügyviteli, számítástechnikai eszköz beszerzés</t>
  </si>
  <si>
    <t xml:space="preserve">egyéb gépek beszrzése  (televízió, telefon </t>
  </si>
  <si>
    <t>számítógép felújítás</t>
  </si>
  <si>
    <t>1217.</t>
  </si>
  <si>
    <t xml:space="preserve">Tárgyévi Áh.kívüli belföldi egyéb dologi szállítók </t>
  </si>
  <si>
    <t>Szállítók összesen</t>
  </si>
  <si>
    <t>3. Egyéb rövid lejáratú kötelezettségek</t>
  </si>
  <si>
    <t>1367.</t>
  </si>
  <si>
    <t>Helyi adó túlfizetés miatti kötelezettség</t>
  </si>
  <si>
    <t>Tárgyévet terh.folyóévi különféle rövidlejáratú kötelezettség</t>
  </si>
  <si>
    <t>II. Rövid lejáratú kötelezettségek összesen</t>
  </si>
  <si>
    <t>III. Egyéb passzív pénzügyi elszámolások</t>
  </si>
  <si>
    <t>1. Költségvetési passzív függő elszámolások</t>
  </si>
  <si>
    <t>1368.</t>
  </si>
  <si>
    <t>Költségvetési függő bevételek</t>
  </si>
  <si>
    <t>4. Költségvetésen kívüli passzív pénzügyi elszámolások</t>
  </si>
  <si>
    <t>1369.</t>
  </si>
  <si>
    <t>F) Kötelezettségek összesen</t>
  </si>
  <si>
    <t>MŰKÖDÉSI KÖLTSÉGVETÉS MINDÖSSZESEN</t>
  </si>
  <si>
    <t>G</t>
  </si>
  <si>
    <t>II.</t>
  </si>
  <si>
    <t>FELHALMOZÁSI KÖLTSÉGVETÉS</t>
  </si>
  <si>
    <r>
      <t xml:space="preserve">Felhalmozási támogatások </t>
    </r>
    <r>
      <rPr>
        <sz val="7"/>
        <rFont val="Times New Roman"/>
        <family val="1"/>
      </rPr>
      <t>(5.1+…+5.8.)</t>
    </r>
  </si>
  <si>
    <t>Intézményi beruházási kiadások</t>
  </si>
  <si>
    <t>1.1</t>
  </si>
  <si>
    <t>1.2</t>
  </si>
  <si>
    <t>Egyéb felhalmozási célú kiadások</t>
  </si>
  <si>
    <t>Egyéb felhalmozási célú támogatás</t>
  </si>
  <si>
    <t>3.1</t>
  </si>
  <si>
    <t>3-ból Felhalmozási célú pénzmaradvány átadás</t>
  </si>
  <si>
    <r>
      <t xml:space="preserve">Felhalmozási célú támogatásértékű bevételek </t>
    </r>
    <r>
      <rPr>
        <sz val="7"/>
        <rFont val="Times New Roman"/>
        <family val="1"/>
      </rPr>
      <t>(5.1-5.6)</t>
    </r>
  </si>
  <si>
    <t>3.2</t>
  </si>
  <si>
    <t>Felhalmozási célú pénzeszközátadás államháztartáson kívülre</t>
  </si>
  <si>
    <t>3.3</t>
  </si>
  <si>
    <t xml:space="preserve">Felhalmozási célú támogatásértékű bevételek </t>
  </si>
  <si>
    <t>Számítógép/szoc. üi. I</t>
  </si>
  <si>
    <t>Számítógép/GAMESZ vezető</t>
  </si>
  <si>
    <t>Számítógép/iktatás</t>
  </si>
  <si>
    <t>Számítógép/GAMESZ számlázás</t>
  </si>
  <si>
    <t>Számítógép/műszaki</t>
  </si>
  <si>
    <t>Számítógép celeron 2400a+fan alj. II</t>
  </si>
  <si>
    <t>Notebook hb (polgárm.)</t>
  </si>
  <si>
    <t>Hp laserjet nyomtató (polgárm.)</t>
  </si>
  <si>
    <t>Komplett PH számítógép (Pitczné)</t>
  </si>
  <si>
    <t>Canon nyomtató (Pitczné)</t>
  </si>
  <si>
    <t>ASUS k51ALSX0370 Notebook (Családsegítő)</t>
  </si>
  <si>
    <t>ASUS k51ALSX0370 Notebook Dr. Dudás A.)</t>
  </si>
  <si>
    <t>MSI VR630XL 004 Notebook (iktatás)</t>
  </si>
  <si>
    <t>Számítógép könyvelés</t>
  </si>
  <si>
    <t>Számítógép gyermekorvos</t>
  </si>
  <si>
    <t>celeron 466 ppga</t>
  </si>
  <si>
    <t>Celeron 400 a ppga p11 számítógép</t>
  </si>
  <si>
    <t>Lexmark E232 Laser nyomtató anyakönyv</t>
  </si>
  <si>
    <t>Hs p4 számítógép /gamma</t>
  </si>
  <si>
    <t>Számítógép ph celeron</t>
  </si>
  <si>
    <t>Számítógép</t>
  </si>
  <si>
    <t>Notebook asus a6km q010h 15.4</t>
  </si>
  <si>
    <t>Acer v273b lapmonitor iktatás</t>
  </si>
  <si>
    <t>Acer v273b lapmonitor adó 13. sz. iroda</t>
  </si>
  <si>
    <t>Acer v273b lapmonitor könyvelés 14. sz. iroda</t>
  </si>
  <si>
    <t>Acer v273b lapmonitor gazdálkodás 16. sz.</t>
  </si>
  <si>
    <t>Acer v273b lapmonitor pénztár 15. sz.</t>
  </si>
  <si>
    <t>Acer v273b lapmonitor jegyző</t>
  </si>
  <si>
    <t>Acer v273b lapmonitor anyakönyv</t>
  </si>
  <si>
    <t>Acer v273b lapmonitor Szoc ir. 18.sz</t>
  </si>
  <si>
    <t>Acer v273b lapmonitor 3 sz. iroda</t>
  </si>
  <si>
    <t>Acer v273b lapmonitor 12 sz. iroda</t>
  </si>
  <si>
    <t>Acer v273b lapmonitor 10 sz. iroda</t>
  </si>
  <si>
    <t>Acer v273b lapmonitor 10 sz. iroda népesség</t>
  </si>
  <si>
    <t>Canon LBp 3010 Nyomtató (pénztár)</t>
  </si>
  <si>
    <t>Számítógép op. Rendszerrel+ lcd monitor</t>
  </si>
  <si>
    <t>Laptop</t>
  </si>
  <si>
    <t>Számítógép monitorral</t>
  </si>
  <si>
    <t>Számítógép ASROCK 775I165 VGA-LAN-HK</t>
  </si>
  <si>
    <t>Forgalomképes 0-ig leírt ügyviteli, számt. Eszközök Tankernek nem átadott</t>
  </si>
  <si>
    <t>Számítógép hálózat Phiv-tól</t>
  </si>
  <si>
    <t>Nyomtató</t>
  </si>
  <si>
    <t xml:space="preserve">Számítógép </t>
  </si>
  <si>
    <t>Számítógép elemekből (Raktár)</t>
  </si>
  <si>
    <t>Számítógép Raktár</t>
  </si>
  <si>
    <t>Fax, nyomtató</t>
  </si>
  <si>
    <t>Forgalomképes 0-ig leírt ügyviteli, számt. Eszközök Tankernek  átadott</t>
  </si>
  <si>
    <t xml:space="preserve">Ált.Isk. </t>
  </si>
  <si>
    <t>Számítógép ALBACOMP 400PC (IBM)</t>
  </si>
  <si>
    <t>Számítógép HP AMD SEMPRON PC</t>
  </si>
  <si>
    <t>SAMSUNG 793 monitor</t>
  </si>
  <si>
    <t>Ált. Isk</t>
  </si>
  <si>
    <t>LENovo N500 hordozható szg</t>
  </si>
  <si>
    <t>LG projektor</t>
  </si>
  <si>
    <t>LG projektor (T. Gy.)</t>
  </si>
  <si>
    <t>Ált. Isk.</t>
  </si>
  <si>
    <t>Acer E-723-433 Laptop (R.R)</t>
  </si>
  <si>
    <t>Acer E-723-433 Laptop (N.L.)</t>
  </si>
  <si>
    <t>Ált. Isk TÁMOP</t>
  </si>
  <si>
    <t>ASUS K501J-1ASX Nootebook</t>
  </si>
  <si>
    <t>Ált.Isk. HEFOP</t>
  </si>
  <si>
    <t>Noote Book Toshiba hordozható számítógép</t>
  </si>
  <si>
    <t>Számítógép Hefop 3.1.3</t>
  </si>
  <si>
    <t>HP deskjet 5440 nyomtató</t>
  </si>
  <si>
    <t>Projektor Ben Q Mp 610</t>
  </si>
  <si>
    <t>Számítógép kivetítő készülék</t>
  </si>
  <si>
    <t>Multimédiás számítógép</t>
  </si>
  <si>
    <t>Ben Q Mp 610 Projektor</t>
  </si>
  <si>
    <t>Számítógép asus a6rp ap 172 notebook hefop</t>
  </si>
  <si>
    <t>Interaktív tábla hefop</t>
  </si>
  <si>
    <t xml:space="preserve">Projektor   </t>
  </si>
  <si>
    <t>Projektor Hefop</t>
  </si>
  <si>
    <t>Számítógép Hefop 2.1.5</t>
  </si>
  <si>
    <t>Másológép</t>
  </si>
  <si>
    <t>Hálózati elem</t>
  </si>
  <si>
    <t>Számítógép+ nyomtzató</t>
  </si>
  <si>
    <t>Számítógép+ monitor</t>
  </si>
  <si>
    <t>Monitor</t>
  </si>
  <si>
    <t>Személyi számítóügép</t>
  </si>
  <si>
    <t>Személyi számítógép</t>
  </si>
  <si>
    <t>Cd íróplextor</t>
  </si>
  <si>
    <t>Lenovo N500 Hordozható szg.</t>
  </si>
  <si>
    <t>Számítógép elemekből</t>
  </si>
  <si>
    <t>Korlátozottan forgalomképes egyéb gépek, berendezések felszerelések  0-ig leír</t>
  </si>
  <si>
    <t xml:space="preserve">Gázvezeték szakaszok </t>
  </si>
  <si>
    <t xml:space="preserve">Forgalomképes 0-ig leírt  egyéb gépek, berendezések felszerelések  </t>
  </si>
  <si>
    <t>Rico ft 4522 másológép</t>
  </si>
  <si>
    <t>Hírdető tábla hivatal előtt</t>
  </si>
  <si>
    <t>Dexion polcrendszer</t>
  </si>
  <si>
    <t>Telefon pannon prakt.</t>
  </si>
  <si>
    <t>Irodabútor szociális iroda</t>
  </si>
  <si>
    <t>Irodabútor adó</t>
  </si>
  <si>
    <t>Irodabútor iktatás</t>
  </si>
  <si>
    <t>Irodabútor Gazdálkodás II</t>
  </si>
  <si>
    <t>Irodabútor anyakönyv</t>
  </si>
  <si>
    <t>irobabútor</t>
  </si>
  <si>
    <t>Irodabútor szociális II iroda</t>
  </si>
  <si>
    <t>Irodabútor pénztár</t>
  </si>
  <si>
    <t>Irodabútor gazdálkodás</t>
  </si>
  <si>
    <t>Irodabútor</t>
  </si>
  <si>
    <t>Bushnell éjjellátó készülék</t>
  </si>
  <si>
    <t>Xenia ivókút</t>
  </si>
  <si>
    <t>Irodabútor gépírás</t>
  </si>
  <si>
    <t>Bútor polg.mester</t>
  </si>
  <si>
    <t>Tolózár Öregmajor</t>
  </si>
  <si>
    <t>Konténer aszeméttelephez</t>
  </si>
  <si>
    <t>Konténer hivatalhoz</t>
  </si>
  <si>
    <t>Canom NP 6030</t>
  </si>
  <si>
    <t>Digitális fényképezőgép</t>
  </si>
  <si>
    <t xml:space="preserve">Telefon   </t>
  </si>
  <si>
    <t>Televízió Samsung</t>
  </si>
  <si>
    <t>Projektor Házimozi vászonnal</t>
  </si>
  <si>
    <t>Videolejátszó lg sztereo</t>
  </si>
  <si>
    <t>Radaros sebességmérő és kijelző</t>
  </si>
  <si>
    <t>Fénymásológép</t>
  </si>
  <si>
    <t>Színes televízió</t>
  </si>
  <si>
    <t xml:space="preserve">vízmű </t>
  </si>
  <si>
    <t>Hegesztő dinamó</t>
  </si>
  <si>
    <t>Szalagcsiszoló+ tartozékok</t>
  </si>
  <si>
    <t>Tápegység</t>
  </si>
  <si>
    <t>Rozsdaleverő</t>
  </si>
  <si>
    <t>Szalagfűrész</t>
  </si>
  <si>
    <t>Adomacél vágókés</t>
  </si>
  <si>
    <t>Kombinált faipari gyalugép</t>
  </si>
  <si>
    <t>Szignál generátor</t>
  </si>
  <si>
    <t>Szivattyú öregmajor</t>
  </si>
  <si>
    <t>Forgalomképes 0-ig leírt  egyéb gépek, berendezések felszerelések   Iskola</t>
  </si>
  <si>
    <t>Műfű Kültér 2m</t>
  </si>
  <si>
    <t>Szúnyeg múszálfix 6m*2m*16m</t>
  </si>
  <si>
    <t>Konténer</t>
  </si>
  <si>
    <t>Konténer Isk</t>
  </si>
  <si>
    <t>Szabadtári Pingpong asztal</t>
  </si>
  <si>
    <t>Színes televízió  (raktár)</t>
  </si>
  <si>
    <t>Prion 2kazettás video</t>
  </si>
  <si>
    <t>Zártégésű vízmelegítő</t>
  </si>
  <si>
    <t>Villanyboyler 120 L</t>
  </si>
  <si>
    <t>Forgalomképes 0-ig leírt  egyéb gépek, berendezések felszerelések  Tanker</t>
  </si>
  <si>
    <t>Hangosító berendezés</t>
  </si>
  <si>
    <t>MIMIO XI Mobil dig.tábla 180x120</t>
  </si>
  <si>
    <t>MIMIO XI Mobil dig.tábla 180x121</t>
  </si>
  <si>
    <t>SMART BOARD AB680</t>
  </si>
  <si>
    <t>SMART BOARD AB681</t>
  </si>
  <si>
    <t xml:space="preserve">CD író </t>
  </si>
  <si>
    <t>Önálló tápegység</t>
  </si>
  <si>
    <t>Mechenika II. tanuló kisérletiu kész.</t>
  </si>
  <si>
    <t>Episzkóp</t>
  </si>
  <si>
    <t>Kosárlabda palánk</t>
  </si>
  <si>
    <t>Igazgatói szoba bútorzat</t>
  </si>
  <si>
    <t>Elektrovaria</t>
  </si>
  <si>
    <t>Kétnemű torzó 20 részes fejjel</t>
  </si>
  <si>
    <t>Írásvetítő (napközis csop)</t>
  </si>
  <si>
    <t>Színes televízió (földrajz)</t>
  </si>
  <si>
    <t>Színes televízió (rajz)</t>
  </si>
  <si>
    <t>Színes televízió (Kopcsek T.)</t>
  </si>
  <si>
    <t>Színes televízió (Novák L.)</t>
  </si>
  <si>
    <t>Színes televízió (Történelem)</t>
  </si>
  <si>
    <t>Erősítő</t>
  </si>
  <si>
    <t>Poly-voice keverőpult</t>
  </si>
  <si>
    <t>Erősítő berendezés</t>
  </si>
  <si>
    <t>Leárkező szőnyeg</t>
  </si>
  <si>
    <t>Dobbantó</t>
  </si>
  <si>
    <t>Tornagerenda</t>
  </si>
  <si>
    <t>Írásvetítő (2 db)</t>
  </si>
  <si>
    <t>Minitorony</t>
  </si>
  <si>
    <t xml:space="preserve"> Gépek, berendezések, felszerelések összesen</t>
  </si>
  <si>
    <t>Ford Tranzit TGK MEU310</t>
  </si>
  <si>
    <t>4. Folyamatban lévő beruházások</t>
  </si>
  <si>
    <t xml:space="preserve">Épületek folyamatban lévő beruházása Korlátozottan forgalomképes </t>
  </si>
  <si>
    <t>1193.</t>
  </si>
  <si>
    <t>Békás-tó rekonstrukció vizesblokk</t>
  </si>
  <si>
    <t>1194.</t>
  </si>
  <si>
    <t>Ált. Iskola bővítés akadálymentesítés</t>
  </si>
  <si>
    <t>1195.</t>
  </si>
  <si>
    <t>Buszváró Öregmajor 1.</t>
  </si>
  <si>
    <t>1196.</t>
  </si>
  <si>
    <t>Buszváró Öregmajor 2.</t>
  </si>
  <si>
    <t>1197.</t>
  </si>
  <si>
    <t>Tópart 55. tetőfelújítás</t>
  </si>
  <si>
    <t>1199.</t>
  </si>
  <si>
    <t xml:space="preserve">Petőfi tér 9. felújítás </t>
  </si>
  <si>
    <t>1200.</t>
  </si>
  <si>
    <t>3 sz. Óvoda felújítás</t>
  </si>
  <si>
    <t>Egyéb építmények folyamatban lévő beruházása Korlátozottan forgalomképes</t>
  </si>
  <si>
    <t>1228.</t>
  </si>
  <si>
    <t>Autóbusz megálló MÁV-nál</t>
  </si>
  <si>
    <t>Egyéb építmények folyamatban lévő beruházása Forgalom képtelen (ÚTÉPÍTÉS)</t>
  </si>
  <si>
    <t>1202.</t>
  </si>
  <si>
    <t>Rózsa utca útépítés terve</t>
  </si>
  <si>
    <t>1203.</t>
  </si>
  <si>
    <t>Lénárd utca útépítés terve</t>
  </si>
  <si>
    <t>1204.</t>
  </si>
  <si>
    <t>Zalka Máté útépítés</t>
  </si>
  <si>
    <t>1205.</t>
  </si>
  <si>
    <t xml:space="preserve">Világos utca útépítés </t>
  </si>
  <si>
    <t>1206.</t>
  </si>
  <si>
    <t>Damjanich u. útépítés</t>
  </si>
  <si>
    <t>1207.</t>
  </si>
  <si>
    <t>Vezér u. útépítés</t>
  </si>
  <si>
    <t>1208.</t>
  </si>
  <si>
    <t>Kisfaludy u. útépítés</t>
  </si>
  <si>
    <t>1209.</t>
  </si>
  <si>
    <t>Rákóczi utca 5-33.sz. járdaépítés terv</t>
  </si>
  <si>
    <t>1210.</t>
  </si>
  <si>
    <t>Vasúti átjáró Mélykút-Bácsalmás között</t>
  </si>
  <si>
    <t>1211.</t>
  </si>
  <si>
    <t>Rákóczi - Zalka- Kandó K. utca közötti járdaépítés terv</t>
  </si>
  <si>
    <t>1212.</t>
  </si>
  <si>
    <t>Dózsa Gy.-Kölcsey utca útépítés terv</t>
  </si>
  <si>
    <t>1213.</t>
  </si>
  <si>
    <t>0174hrsz, 0181/1 hrsz útépítés</t>
  </si>
  <si>
    <t>1214.</t>
  </si>
  <si>
    <t>55 főút melletti kerékpárút</t>
  </si>
  <si>
    <t>Bevételek mindösszesen</t>
  </si>
  <si>
    <t>Óvodai nevelés</t>
  </si>
  <si>
    <t>intézményfinanszírozás</t>
  </si>
  <si>
    <t>Kiadásnem</t>
  </si>
  <si>
    <t>851011 Óvodai nevelés</t>
  </si>
  <si>
    <t>Személyi juttatás</t>
  </si>
  <si>
    <t>Munkaadókat terhelő járulék</t>
  </si>
  <si>
    <t>Dologi kiadás</t>
  </si>
  <si>
    <t xml:space="preserve">Támog. Ért. P.e. átadás </t>
  </si>
  <si>
    <t>Működési célú pénzmaradvány átadás</t>
  </si>
  <si>
    <t>Végleges pénzeszközátadás</t>
  </si>
  <si>
    <t>Beruhá-zás</t>
  </si>
  <si>
    <t>Felújítás</t>
  </si>
  <si>
    <t>Ellátottak pénzbeli juttatása</t>
  </si>
  <si>
    <t>Kölcsön nyújtása</t>
  </si>
  <si>
    <t>szociális,rászorultság jell.kiadás</t>
  </si>
  <si>
    <t>Öszesen</t>
  </si>
  <si>
    <t>Számviteli, könyvvizsg.tev.</t>
  </si>
  <si>
    <t>Immateriális javak kölcsönzése</t>
  </si>
  <si>
    <t xml:space="preserve"> Mezőőri tevékeny ség</t>
  </si>
  <si>
    <t>Önkormányzai jogalkotás</t>
  </si>
  <si>
    <t xml:space="preserve">Adó, illeték, beszedése, adóellenőrzés </t>
  </si>
  <si>
    <t>Város és Községgazdálkodási feladat</t>
  </si>
  <si>
    <t>Óvodáztatási támogatás</t>
  </si>
  <si>
    <t>Adósságkezelési szolgáltatás</t>
  </si>
  <si>
    <t>Forglalkoztatást hely.tám.</t>
  </si>
  <si>
    <t>Kiegészítő gyermekvédelmi támogatás</t>
  </si>
  <si>
    <t>Minősített időszaki tev.</t>
  </si>
  <si>
    <t>Társ. és szociálpol.  jutt.</t>
  </si>
  <si>
    <t>Befektetések vásárlása</t>
  </si>
  <si>
    <t>Céltar-talék</t>
  </si>
  <si>
    <t>Intézmény finnaszíro-zás</t>
  </si>
  <si>
    <t>Közutak, hidak, alagutak üzemeltetése, fenntartása</t>
  </si>
  <si>
    <t>Folyóirat, időszaki kiadvány</t>
  </si>
  <si>
    <t>Önkormányzati vagyonnal való gazd.</t>
  </si>
  <si>
    <t>Fejezeti és általános tartalék elszámolása</t>
  </si>
  <si>
    <t>szociális ösztöndíj</t>
  </si>
  <si>
    <t>Renszeres gyermekvédelmi ellátás</t>
  </si>
  <si>
    <t>Esélyegyenlőségi program</t>
  </si>
  <si>
    <t>Civil szervezetek működési támogatása</t>
  </si>
  <si>
    <t>Bérpótló juttatás</t>
  </si>
  <si>
    <t xml:space="preserve">Mélykút Város Önkormányzat által nyújtott hitelek és kölcsönök állománya lejárat és eszközök szerinti  bontásban </t>
  </si>
  <si>
    <t>adatok ezer Ft</t>
  </si>
  <si>
    <t xml:space="preserve">Hitel, kölcsön </t>
  </si>
  <si>
    <t>Kölcsön-
nyújtás
éve</t>
  </si>
  <si>
    <t xml:space="preserve">Lejárat
éve </t>
  </si>
  <si>
    <t>Hitel, kölcsön állomány december 31-én</t>
  </si>
  <si>
    <t>2014.</t>
  </si>
  <si>
    <t xml:space="preserve">Rövid lejáratú </t>
  </si>
  <si>
    <t>Mélykúti Cigány Érdekképviseleti Szervezet</t>
  </si>
  <si>
    <t>Hosszú lejáratú</t>
  </si>
  <si>
    <t>Szociális lakás támogatás</t>
  </si>
  <si>
    <t>............................</t>
  </si>
  <si>
    <t>Összesen (1+6)</t>
  </si>
  <si>
    <t>Több éves kihatással járó feladatok előirányzatai éves bontásban</t>
  </si>
  <si>
    <t>Még fennálló kötelezettség</t>
  </si>
  <si>
    <t>2015.</t>
  </si>
  <si>
    <t>Beruházás feladatonként</t>
  </si>
  <si>
    <t>Felújítás célonként</t>
  </si>
  <si>
    <t>Világítás korszerűsítés</t>
  </si>
  <si>
    <t>Fűtés korszerűsítés</t>
  </si>
  <si>
    <t>Ezer Ft</t>
  </si>
  <si>
    <t>Sor-szám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</si>
  <si>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</si>
  <si>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</si>
  <si>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</si>
  <si>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</si>
  <si>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</si>
  <si>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</si>
  <si>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</si>
  <si>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</si>
  <si>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</si>
  <si>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</si>
  <si>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</si>
  <si>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</si>
  <si>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</si>
  <si>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</si>
  <si>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</si>
  <si>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</si>
  <si>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</si>
  <si>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</si>
  <si>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</si>
  <si>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</si>
  <si>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</si>
  <si>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</si>
  <si>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</si>
  <si>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</si>
  <si>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PÉNZESZKÖZÖK VÁLTOZÁSÁNAK LEVEZETÉSE</t>
  </si>
  <si>
    <t>Megnevezés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</si>
  <si>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</si>
  <si>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</si>
  <si>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</si>
  <si>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</si>
  <si>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 xml:space="preserve">  </t>
  </si>
  <si>
    <t>Költségvetési szerv neve</t>
  </si>
  <si>
    <t>Helyesbített pénzmarad-vány</t>
  </si>
  <si>
    <t>Költségvetési pénzmaradvány</t>
  </si>
  <si>
    <t>Összes pénzmaradványból Kötelezettséggel terhelt pénzmaradvány</t>
  </si>
  <si>
    <t>Összes pénzmaradványból Szabad pénzmaradvány</t>
  </si>
  <si>
    <t>Összesből működési</t>
  </si>
  <si>
    <t>Összesből felhal-mozási</t>
  </si>
  <si>
    <t>GAMESZ</t>
  </si>
  <si>
    <t>Gondozási Központ</t>
  </si>
  <si>
    <t>Mélykút Város Önkormányzat Óvodája</t>
  </si>
  <si>
    <t>Mélykúti Polgármesteri Hivatal</t>
  </si>
  <si>
    <t>Mélykút Város Önkormányzat</t>
  </si>
  <si>
    <t>Sorszám</t>
  </si>
  <si>
    <t>Kimutatás</t>
  </si>
  <si>
    <t xml:space="preserve">I. Immateriális javak </t>
  </si>
  <si>
    <t>Forgalomképes vagyonértékű jogok aktivált állományának értéke</t>
  </si>
  <si>
    <t>Főkönyvi számla száma</t>
  </si>
  <si>
    <t>Elhelyezkedésé-nek pontos behatárolása, hrsz</t>
  </si>
  <si>
    <t>Megnevezése</t>
  </si>
  <si>
    <t>Bruttó érték         Ft</t>
  </si>
  <si>
    <t>Nettó érték 2013. XII. 31-én                    Ft</t>
  </si>
  <si>
    <t>Webes e. tudásdepó</t>
  </si>
  <si>
    <t>Microsoft Windows (tudásdepó)</t>
  </si>
  <si>
    <t>Windows XP Prof( Anyakönyv)</t>
  </si>
  <si>
    <t>Helyi nyilvántartó (népesség)</t>
  </si>
  <si>
    <t>Server prog. Windows (Tudásdepó)</t>
  </si>
  <si>
    <t>Norton Security (tudásdepó)</t>
  </si>
  <si>
    <t>Abbyy finereader (tudásdepó)</t>
  </si>
  <si>
    <t>Adobe Illustrator (tudásdepó)</t>
  </si>
  <si>
    <t>Adobe Photoshop (tudásdepó)</t>
  </si>
  <si>
    <t>Corel draw p. (tudásdepó)</t>
  </si>
  <si>
    <t>Weblap (tudásdepó)</t>
  </si>
  <si>
    <t>Windows 7 Home Tiop 0379</t>
  </si>
  <si>
    <t>Windows 7 Home Tiop 0380</t>
  </si>
  <si>
    <t>Windows 7 Home Tiop 0381</t>
  </si>
  <si>
    <t>Windows 7 Home Tiop 0382</t>
  </si>
  <si>
    <t>Windows 7 Home Tiop 0383</t>
  </si>
  <si>
    <t>Windows 7 Home Tiop 0384</t>
  </si>
  <si>
    <t>Windows 7 Home Tiop 0385</t>
  </si>
  <si>
    <t>Windows 7 Home Tiop 0386</t>
  </si>
  <si>
    <t>Windows 7 Home Tiop 0387</t>
  </si>
  <si>
    <t>Windows 7 Home Tiop 0388</t>
  </si>
  <si>
    <t>Windows 7 Home Tiop 0389</t>
  </si>
  <si>
    <t>Windows 7 Home Tiop 0390</t>
  </si>
  <si>
    <t>Windows 7 Home Tiop 0391</t>
  </si>
  <si>
    <t>Eset Nod32 Antivírus Tiop 1.2.3</t>
  </si>
  <si>
    <t>Eset Nod32 Antivírus Tiop</t>
  </si>
  <si>
    <t>Képernyő Nagyító szoftver Tiop</t>
  </si>
  <si>
    <t>Nod vírus védelem</t>
  </si>
  <si>
    <t>Mini mat manip. Eszköz</t>
  </si>
  <si>
    <t>1639.</t>
  </si>
  <si>
    <t>1640.</t>
  </si>
  <si>
    <t>1641.</t>
  </si>
  <si>
    <t>Galéria</t>
  </si>
  <si>
    <t>1642.</t>
  </si>
  <si>
    <t>Mosogató 3 medencés</t>
  </si>
  <si>
    <t>1643.</t>
  </si>
  <si>
    <t>Csepegtető állvány 440, 540 mosogatóhoz</t>
  </si>
  <si>
    <t>1644.</t>
  </si>
  <si>
    <t>Autómata mosógép Whirpool awt2274</t>
  </si>
  <si>
    <t>1645.</t>
  </si>
  <si>
    <t>2 sporteszközös faállvány csúszdával</t>
  </si>
  <si>
    <t>1646.</t>
  </si>
  <si>
    <t>Francia rud sulygarnituras</t>
  </si>
  <si>
    <t>1647.</t>
  </si>
  <si>
    <t>Hűtőszekrény 280/60</t>
  </si>
  <si>
    <t>1648.</t>
  </si>
  <si>
    <t>Keverőpad hang</t>
  </si>
  <si>
    <t>1649.</t>
  </si>
  <si>
    <t>1650.</t>
  </si>
  <si>
    <t>Parapetes gázbojler</t>
  </si>
  <si>
    <t>1651.</t>
  </si>
  <si>
    <t>Gáztűzhely</t>
  </si>
  <si>
    <t>1652.</t>
  </si>
  <si>
    <t>Tornaszőnyeg, ponyva</t>
  </si>
  <si>
    <t>1653.</t>
  </si>
  <si>
    <t>Takarító eszköz</t>
  </si>
  <si>
    <t>1654.</t>
  </si>
  <si>
    <t>Esztergagép</t>
  </si>
  <si>
    <t>1655.</t>
  </si>
  <si>
    <t>Gyalupad</t>
  </si>
  <si>
    <t>1656.</t>
  </si>
  <si>
    <t>Bojler</t>
  </si>
  <si>
    <t>1657.</t>
  </si>
  <si>
    <t>Fűnyíró</t>
  </si>
  <si>
    <t>1658.</t>
  </si>
  <si>
    <t>Színpad modul elemekből</t>
  </si>
  <si>
    <t>1659.</t>
  </si>
  <si>
    <t>Padlószőnyeg Sportcsarnok</t>
  </si>
  <si>
    <t>1660.</t>
  </si>
  <si>
    <t>Keverő Berhinger Eurorack</t>
  </si>
  <si>
    <t>1661.</t>
  </si>
  <si>
    <t>Védőháló 4,5 x 32 =144 m2</t>
  </si>
  <si>
    <t>1662.</t>
  </si>
  <si>
    <t>Védőháló 4,5 x 32 =140 m2</t>
  </si>
  <si>
    <t>1663.</t>
  </si>
  <si>
    <t>1664.</t>
  </si>
  <si>
    <t>Védőháló 3mm PE 12x12cm-es</t>
  </si>
  <si>
    <t>1665.</t>
  </si>
  <si>
    <t>ZANUSSI ZC24418 hűtőszekréhy</t>
  </si>
  <si>
    <t>1666.</t>
  </si>
  <si>
    <t>ZANIS ZFC415/405 fagyasztószekrény</t>
  </si>
  <si>
    <t>1667.</t>
  </si>
  <si>
    <t>Konyhai mérleg</t>
  </si>
  <si>
    <t>1668.</t>
  </si>
  <si>
    <t>Rm.munkaasztal lábösszekötő</t>
  </si>
  <si>
    <t>1669.</t>
  </si>
  <si>
    <t>1670.</t>
  </si>
  <si>
    <t>1671.</t>
  </si>
  <si>
    <t>1672.</t>
  </si>
  <si>
    <t>Spirálkaros dagasztógép 21 1-17</t>
  </si>
  <si>
    <t>1673.</t>
  </si>
  <si>
    <t>Fénymásoló, nyomtató samsung</t>
  </si>
  <si>
    <t>1674.</t>
  </si>
  <si>
    <t>3 medencés mosogató</t>
  </si>
  <si>
    <t>1675.</t>
  </si>
  <si>
    <t>Video recorder</t>
  </si>
  <si>
    <t>1676.</t>
  </si>
  <si>
    <t>1677.</t>
  </si>
  <si>
    <t>1678.</t>
  </si>
  <si>
    <t>Hűtő</t>
  </si>
  <si>
    <t>1679.</t>
  </si>
  <si>
    <t>Szőnyegtisztító</t>
  </si>
  <si>
    <t>1680.</t>
  </si>
  <si>
    <t>Televízió</t>
  </si>
  <si>
    <t>1681.</t>
  </si>
  <si>
    <t>Videomagno</t>
  </si>
  <si>
    <t>1682.</t>
  </si>
  <si>
    <t>Irodabutor</t>
  </si>
  <si>
    <t>1683.</t>
  </si>
  <si>
    <t>1684.</t>
  </si>
  <si>
    <t>Pavilon</t>
  </si>
  <si>
    <t>1685.</t>
  </si>
  <si>
    <t>1686.</t>
  </si>
  <si>
    <t>Hústőke</t>
  </si>
  <si>
    <t>1687.</t>
  </si>
  <si>
    <t>1688.</t>
  </si>
  <si>
    <t>1689.</t>
  </si>
  <si>
    <t>Fagyasztó láda</t>
  </si>
  <si>
    <t>1690.</t>
  </si>
  <si>
    <t>1691.</t>
  </si>
  <si>
    <t>Gázüst</t>
  </si>
  <si>
    <t>1692.</t>
  </si>
  <si>
    <t>Gázzsámoly</t>
  </si>
  <si>
    <t>1693.</t>
  </si>
  <si>
    <t>1694.</t>
  </si>
  <si>
    <t>Habverő</t>
  </si>
  <si>
    <t>1695.</t>
  </si>
  <si>
    <t>HGAállvány</t>
  </si>
  <si>
    <t>1696.</t>
  </si>
  <si>
    <t>1697.</t>
  </si>
  <si>
    <t>konyhaszekrény</t>
  </si>
  <si>
    <t>1698.</t>
  </si>
  <si>
    <t>Mosogató</t>
  </si>
  <si>
    <t>1699.</t>
  </si>
  <si>
    <t>1700.</t>
  </si>
  <si>
    <t>1701.</t>
  </si>
  <si>
    <t>Szeletelő gép</t>
  </si>
  <si>
    <t>1702.</t>
  </si>
  <si>
    <t>Széf</t>
  </si>
  <si>
    <t>1703.</t>
  </si>
  <si>
    <t>Tűzhely</t>
  </si>
  <si>
    <t>1704.</t>
  </si>
  <si>
    <t>Konyhai alapgép+tartozékok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</si>
  <si>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</si>
  <si>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</si>
  <si>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</si>
  <si>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</si>
  <si>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</si>
  <si>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</si>
  <si>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</si>
  <si>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</si>
  <si>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</si>
  <si>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</si>
  <si>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</si>
  <si>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</si>
  <si>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</si>
  <si>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</si>
  <si>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</si>
  <si>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</si>
  <si>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</si>
  <si>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</si>
  <si>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</si>
  <si>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</si>
  <si>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</si>
  <si>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</si>
  <si>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</si>
  <si>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</si>
  <si>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</si>
  <si>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</si>
  <si>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</si>
  <si>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</si>
  <si>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</si>
  <si>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</si>
  <si>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</si>
  <si>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</si>
  <si>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</si>
  <si>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</si>
  <si>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</si>
  <si>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</si>
  <si>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</si>
  <si>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</si>
  <si>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</si>
  <si>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</si>
  <si>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</si>
  <si>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</si>
  <si>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Forgalom képes Gépjármű</t>
  </si>
  <si>
    <t>1747.</t>
  </si>
  <si>
    <t>Forgalom képes 0-ig leírt  Gépjármű</t>
  </si>
  <si>
    <t>Elhelyezkedésé-nek pontos behatárolása, hrsz.</t>
  </si>
  <si>
    <t xml:space="preserve">Nettó érték             Ft                   2013.12.31-én     </t>
  </si>
  <si>
    <t>1748.</t>
  </si>
  <si>
    <t>Ford tranzit gépjármű</t>
  </si>
  <si>
    <t>1749.</t>
  </si>
  <si>
    <t>Utánfutó</t>
  </si>
  <si>
    <t>1750.</t>
  </si>
  <si>
    <t>Renault Trafic Passanger</t>
  </si>
  <si>
    <t>Korlátozottan forgalomképes járművek aktivált áll.értékeA</t>
  </si>
  <si>
    <t>1751.</t>
  </si>
  <si>
    <t>MTZ-952.3 BELORUSZ ERŐGÉP</t>
  </si>
  <si>
    <t>1752.</t>
  </si>
  <si>
    <t>PÓTKOCSI</t>
  </si>
  <si>
    <t>1753.</t>
  </si>
  <si>
    <t>MTZ 892,2 Belorusz traktor</t>
  </si>
  <si>
    <t xml:space="preserve"> Járművek összesen: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</si>
  <si>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</si>
  <si>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</si>
  <si>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</si>
  <si>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</si>
  <si>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</si>
  <si>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</si>
  <si>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</si>
  <si>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</si>
  <si>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</si>
  <si>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</si>
  <si>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</si>
  <si>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</si>
  <si>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</si>
  <si>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</si>
  <si>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</si>
  <si>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</si>
  <si>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</si>
  <si>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</si>
  <si>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</si>
  <si>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</si>
  <si>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</si>
  <si>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</si>
  <si>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</si>
  <si>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</si>
  <si>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</si>
  <si>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</si>
  <si>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</si>
  <si>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</si>
  <si>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1783.</t>
  </si>
  <si>
    <t>1784.</t>
  </si>
  <si>
    <t>1785.</t>
  </si>
  <si>
    <t>1786.</t>
  </si>
  <si>
    <t>1787.</t>
  </si>
  <si>
    <t>1788.</t>
  </si>
  <si>
    <t>1789.</t>
  </si>
  <si>
    <t>MŰV.HÁZ</t>
  </si>
  <si>
    <t>Strandfürdő építése</t>
  </si>
  <si>
    <t>1790.</t>
  </si>
  <si>
    <t>Ivóvízmin.</t>
  </si>
  <si>
    <t xml:space="preserve">Egyéb építmények folyamatban lévő beruházása 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</si>
  <si>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</si>
  <si>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</si>
  <si>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</si>
  <si>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</si>
  <si>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</si>
  <si>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</si>
  <si>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</si>
  <si>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</si>
  <si>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</si>
  <si>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</si>
  <si>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</si>
  <si>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</si>
  <si>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</si>
  <si>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</si>
  <si>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</si>
  <si>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</si>
  <si>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</si>
  <si>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</si>
  <si>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</si>
  <si>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</si>
  <si>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</si>
  <si>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</si>
  <si>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</si>
  <si>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</si>
  <si>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</si>
  <si>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</si>
  <si>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</si>
  <si>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</si>
  <si>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</si>
  <si>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</si>
  <si>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</si>
  <si>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</si>
  <si>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</si>
  <si>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</si>
  <si>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</si>
  <si>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</si>
  <si>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</si>
  <si>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</si>
  <si>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</si>
  <si>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</si>
  <si>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</si>
  <si>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</si>
  <si>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</si>
  <si>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</si>
  <si>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</si>
  <si>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</si>
  <si>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</si>
  <si>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</si>
  <si>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</si>
  <si>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</si>
  <si>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</si>
  <si>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</si>
  <si>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</si>
  <si>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</si>
  <si>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</si>
  <si>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</si>
  <si>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</si>
  <si>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</si>
  <si>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</si>
  <si>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</si>
  <si>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</si>
  <si>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</si>
  <si>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</si>
  <si>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Strandmedence</t>
  </si>
  <si>
    <t>1854.</t>
  </si>
  <si>
    <t>1855.</t>
  </si>
  <si>
    <t>település területe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</si>
  <si>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</si>
  <si>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</si>
  <si>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</si>
  <si>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</si>
  <si>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</si>
  <si>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</si>
  <si>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</si>
  <si>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</si>
  <si>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</si>
  <si>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</si>
  <si>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</si>
  <si>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</si>
  <si>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</si>
  <si>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</si>
  <si>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</si>
  <si>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Üzemeltetésre átadott gép</t>
  </si>
  <si>
    <t>1871.</t>
  </si>
  <si>
    <t>Vegyszeradagoló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</si>
  <si>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</si>
  <si>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</si>
  <si>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</si>
  <si>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</si>
  <si>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</si>
  <si>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</si>
  <si>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</si>
  <si>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</si>
  <si>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</si>
  <si>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</si>
  <si>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</si>
  <si>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</si>
  <si>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</si>
  <si>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</si>
  <si>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</si>
  <si>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</si>
  <si>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</si>
  <si>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</si>
  <si>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</si>
  <si>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település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</si>
  <si>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</si>
  <si>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</si>
  <si>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</si>
  <si>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</si>
  <si>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</si>
  <si>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</si>
  <si>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</si>
  <si>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</si>
  <si>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</si>
  <si>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</si>
  <si>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</si>
  <si>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</si>
  <si>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</si>
  <si>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</si>
  <si>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</si>
  <si>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</si>
  <si>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</si>
  <si>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</si>
  <si>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</si>
  <si>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</si>
  <si>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</si>
  <si>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</si>
  <si>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Forgalomképes 0-ig leírt üzemeltetésre</t>
  </si>
  <si>
    <t>1913.</t>
  </si>
  <si>
    <t>1914.</t>
  </si>
  <si>
    <t>I. Készletek</t>
  </si>
  <si>
    <t>1. Anyagok</t>
  </si>
  <si>
    <t>GOND.KÖZP</t>
  </si>
  <si>
    <t>Élelmiszerek</t>
  </si>
  <si>
    <t>1916.</t>
  </si>
  <si>
    <t>Hajtó- és kenőanyag</t>
  </si>
  <si>
    <t>4. Késztermékek</t>
  </si>
  <si>
    <t>1917.</t>
  </si>
  <si>
    <t>Késztermékek</t>
  </si>
  <si>
    <t>I. Készlet összesen</t>
  </si>
  <si>
    <t>1918.</t>
  </si>
  <si>
    <t>1919.</t>
  </si>
  <si>
    <t>1920.</t>
  </si>
  <si>
    <t>1921.</t>
  </si>
  <si>
    <t>POLG:HIV.</t>
  </si>
  <si>
    <t>1922.</t>
  </si>
  <si>
    <t>1923.</t>
  </si>
  <si>
    <t>1924.</t>
  </si>
  <si>
    <t>1925.</t>
  </si>
  <si>
    <t>Előző évi államháztar-táson kívüli továbbszám-lázott szolgáltatás követelés</t>
  </si>
  <si>
    <t>1926.</t>
  </si>
  <si>
    <t>Tárgyévi termékértékesítés államháztatáson belüli   követelés</t>
  </si>
  <si>
    <t>1927.</t>
  </si>
  <si>
    <t>Kisösszegű vev.t.évi cs.értv.</t>
  </si>
  <si>
    <t>1928.</t>
  </si>
  <si>
    <t>E.évi belf. Vevő követelés</t>
  </si>
  <si>
    <t>1929.</t>
  </si>
  <si>
    <t xml:space="preserve">Vevők hátralék tárgyévi </t>
  </si>
  <si>
    <t>1930.</t>
  </si>
  <si>
    <t>Kisössz. Vevő t.évi csop.értékv.</t>
  </si>
  <si>
    <t>1931.</t>
  </si>
  <si>
    <t>1932.</t>
  </si>
  <si>
    <t>1933.</t>
  </si>
  <si>
    <t>Előző államháztatáson kívüli továbbszámlázott szolgáltatás követelés</t>
  </si>
  <si>
    <t>1934.</t>
  </si>
  <si>
    <t>1935.</t>
  </si>
  <si>
    <t>Egy. Ért. Vevő köv.t.évei értékv.</t>
  </si>
  <si>
    <t>1936.</t>
  </si>
  <si>
    <t>Áht.kiv.m.c.tov.sz.köv.t.é.év</t>
  </si>
  <si>
    <t>1937.</t>
  </si>
  <si>
    <t>1938.</t>
  </si>
  <si>
    <t>1939.</t>
  </si>
  <si>
    <t>1940.</t>
  </si>
  <si>
    <t>1941.</t>
  </si>
  <si>
    <t>1942.</t>
  </si>
  <si>
    <t xml:space="preserve">Adósok folyó évi követelés </t>
  </si>
  <si>
    <t>1943.</t>
  </si>
  <si>
    <t>Tárgyévi egyéb különféle követelések</t>
  </si>
  <si>
    <t>Nettó érték 2012. XII. 31-én                    Ft</t>
  </si>
  <si>
    <t>1944.</t>
  </si>
  <si>
    <t>1945.</t>
  </si>
  <si>
    <t>1946.</t>
  </si>
  <si>
    <t>1947.</t>
  </si>
  <si>
    <t>1948.</t>
  </si>
  <si>
    <t>1949.</t>
  </si>
  <si>
    <t>Pénztár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</si>
  <si>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</si>
  <si>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</si>
  <si>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</si>
  <si>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</si>
  <si>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</si>
  <si>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</si>
  <si>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</si>
  <si>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</si>
  <si>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</si>
  <si>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</si>
  <si>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</si>
  <si>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</si>
  <si>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</si>
  <si>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</si>
  <si>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</si>
  <si>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</si>
  <si>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</si>
  <si>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</si>
  <si>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Kölktségvetési elsz. Szla</t>
  </si>
  <si>
    <t>1968.</t>
  </si>
  <si>
    <t>Költségvetési elsz. Szla</t>
  </si>
  <si>
    <t>1969.</t>
  </si>
  <si>
    <t>Letéti számla</t>
  </si>
  <si>
    <t>1970.</t>
  </si>
  <si>
    <t>MŰVHÁZ</t>
  </si>
  <si>
    <t>1971.</t>
  </si>
  <si>
    <t>Költségvetési függő kiad. Áll.</t>
  </si>
  <si>
    <t>1972.</t>
  </si>
  <si>
    <t>Költségvetési egyéb átfutó kiadás személyi juttatás</t>
  </si>
  <si>
    <t>1973.</t>
  </si>
  <si>
    <t>1974.</t>
  </si>
  <si>
    <t>1975.</t>
  </si>
  <si>
    <t>1976.</t>
  </si>
  <si>
    <t>1977.</t>
  </si>
  <si>
    <t>GOND.KÖZP.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</si>
  <si>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</si>
  <si>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</si>
  <si>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</si>
  <si>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</si>
  <si>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</si>
  <si>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</si>
  <si>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</si>
  <si>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</si>
  <si>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</si>
  <si>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</si>
  <si>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</si>
  <si>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</si>
  <si>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</si>
  <si>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</si>
  <si>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</si>
  <si>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Gond.Központ</t>
  </si>
  <si>
    <t>Költségvetési tartalék elszámolás</t>
  </si>
  <si>
    <t>1993.</t>
  </si>
  <si>
    <t>1994.</t>
  </si>
  <si>
    <t xml:space="preserve">- szabálytalan kifizetések miatti kötelezettségek </t>
  </si>
  <si>
    <t xml:space="preserve">- nemzetközi támogatási programok miatti kötelezettségek </t>
  </si>
  <si>
    <t xml:space="preserve">- garancia és kezességvállalásból származó kötelezettségek </t>
  </si>
  <si>
    <t xml:space="preserve">- egyéb hosszú lejáratú kötelezettségek következő évet terhelő törlesztő részletei </t>
  </si>
  <si>
    <t xml:space="preserve">- tárgyévi költségvetést terhelő egyéb rövid lejáratú kötelezettségek </t>
  </si>
  <si>
    <t xml:space="preserve">- a tárgyévet követő évet terhelő egyéb rövid lejáratú kötelezettségek </t>
  </si>
  <si>
    <t xml:space="preserve">1. Költségvetési passzív függő elszámolások </t>
  </si>
  <si>
    <t xml:space="preserve">2. Költségvetési passzív átfutó elszámolások </t>
  </si>
  <si>
    <t xml:space="preserve">3. Költségvetési passzív kiegyenlítő elszámolások </t>
  </si>
  <si>
    <t xml:space="preserve">4. Költségvetésen kívüli passzív pénzügyi elszámolások </t>
  </si>
  <si>
    <t xml:space="preserve">Ebből: - Költségvetésen kívüli letéti elszámolások </t>
  </si>
  <si>
    <t>- Nemzetközi támogatási programok deviza elszámolása</t>
  </si>
  <si>
    <t>Adósság állomány alakulása lejárat, eszközök, bel- és külföldi hitelezők szerinti bontásban 
2013. december 31-én</t>
  </si>
  <si>
    <t>Szántóföld</t>
  </si>
  <si>
    <t>Szilárd hulladéklerakó földterület</t>
  </si>
  <si>
    <t>0213/4</t>
  </si>
  <si>
    <t>Szeméttelep földrészlet 0213/4</t>
  </si>
  <si>
    <t>12.</t>
  </si>
  <si>
    <t>0213/7</t>
  </si>
  <si>
    <t xml:space="preserve">Szeméttelep földrészlet </t>
  </si>
  <si>
    <t>13.</t>
  </si>
  <si>
    <t>0263/142</t>
  </si>
  <si>
    <t xml:space="preserve">Szántóföld Öregmajor </t>
  </si>
  <si>
    <t>14.</t>
  </si>
  <si>
    <t>0263/143</t>
  </si>
  <si>
    <t>15.</t>
  </si>
  <si>
    <t>0263/144</t>
  </si>
  <si>
    <t>16.</t>
  </si>
  <si>
    <t>142/4</t>
  </si>
  <si>
    <t>Éptesz Kft. Teleph. Földterület</t>
  </si>
  <si>
    <t>17.</t>
  </si>
  <si>
    <t>0332/33</t>
  </si>
  <si>
    <t>ÖM Erdősáv földter. (55Főút)</t>
  </si>
  <si>
    <t>18.</t>
  </si>
  <si>
    <t>Szántóföld Jókai u./Buszváró</t>
  </si>
  <si>
    <t>Korl. Forg.</t>
  </si>
  <si>
    <t>Forgalomképes földterületek aktivált állománya</t>
  </si>
  <si>
    <t>0137/3</t>
  </si>
  <si>
    <t>0127/29</t>
  </si>
  <si>
    <t>Szántó 2280 m2</t>
  </si>
  <si>
    <t>0143/2</t>
  </si>
  <si>
    <t>Szántó 1269m2</t>
  </si>
  <si>
    <t>Szántó feketemajor</t>
  </si>
  <si>
    <t>0200/9</t>
  </si>
  <si>
    <t>Külterületi szántó (Bajor hagyaték)</t>
  </si>
  <si>
    <t>0209/14</t>
  </si>
  <si>
    <t>Szántó 10601 m2</t>
  </si>
  <si>
    <t>0221/4</t>
  </si>
  <si>
    <t>Szántó zártkert</t>
  </si>
  <si>
    <t>0288/2</t>
  </si>
  <si>
    <t>Legelő öregmajor</t>
  </si>
  <si>
    <t>0288/5</t>
  </si>
  <si>
    <t>Szántó öregmajor</t>
  </si>
  <si>
    <t>0299/52</t>
  </si>
  <si>
    <t xml:space="preserve">Szántó 22510 m2 </t>
  </si>
  <si>
    <t>0332/10</t>
  </si>
  <si>
    <t>037/98</t>
  </si>
  <si>
    <t>052/42</t>
  </si>
  <si>
    <t>Szántóföld feketemajor</t>
  </si>
  <si>
    <t>060/29</t>
  </si>
  <si>
    <t>Szántó felsőcsordajárás</t>
  </si>
  <si>
    <t>060/35</t>
  </si>
  <si>
    <t>060/54</t>
  </si>
  <si>
    <t>064/20</t>
  </si>
  <si>
    <t>064/46</t>
  </si>
  <si>
    <t>083/39</t>
  </si>
  <si>
    <t>Kert, zártkert</t>
  </si>
  <si>
    <t>10286</t>
  </si>
  <si>
    <t>Szántó zártkert 890m2</t>
  </si>
  <si>
    <t>10490</t>
  </si>
  <si>
    <t>Zárt kert (Doszpod hagyaték)</t>
  </si>
  <si>
    <t>10572/2</t>
  </si>
  <si>
    <t>10872/2</t>
  </si>
  <si>
    <t>10902/1</t>
  </si>
  <si>
    <t>10940</t>
  </si>
  <si>
    <t>Zárkerti kert (hagyaték)</t>
  </si>
  <si>
    <t>Belter. Kert Botond u.</t>
  </si>
  <si>
    <t>Belterületi szántó</t>
  </si>
  <si>
    <t>Belter. Kert Sallai u.</t>
  </si>
  <si>
    <t>1993/1</t>
  </si>
  <si>
    <t>Belter. Szántó Mező I. U.</t>
  </si>
  <si>
    <t>1995/2</t>
  </si>
  <si>
    <t>Belter.kert epreskert Mező I.u.</t>
  </si>
  <si>
    <t>2031</t>
  </si>
  <si>
    <t xml:space="preserve">Belter.beép.len Madách </t>
  </si>
  <si>
    <t>2430</t>
  </si>
  <si>
    <t>Belter. Kert Zalka</t>
  </si>
  <si>
    <t>279</t>
  </si>
  <si>
    <t>Belter. Kert Árpád u.</t>
  </si>
  <si>
    <t>280</t>
  </si>
  <si>
    <t>2800/35</t>
  </si>
  <si>
    <t xml:space="preserve">Belter. Kert Kisfaludy </t>
  </si>
  <si>
    <t>2800/37</t>
  </si>
  <si>
    <t>2802/1</t>
  </si>
  <si>
    <t>Belterületi szántó Kisfaludy</t>
  </si>
  <si>
    <t>283</t>
  </si>
  <si>
    <t>3501/1</t>
  </si>
  <si>
    <t>Öregmajor beépítetlen terület</t>
  </si>
  <si>
    <t>3584</t>
  </si>
  <si>
    <t>Belterületi szántó Öregmajor</t>
  </si>
  <si>
    <t>3653</t>
  </si>
  <si>
    <t>86</t>
  </si>
  <si>
    <t>Káposztáskert</t>
  </si>
  <si>
    <t>Forgalomképes</t>
  </si>
  <si>
    <t>Forgalomképtelen telkek aktivált állománya</t>
  </si>
  <si>
    <t>0143/21</t>
  </si>
  <si>
    <t>Kúriák dűlő földút Telek</t>
  </si>
  <si>
    <t>Szalmázóhegy Földút Telek</t>
  </si>
  <si>
    <t>0138/2</t>
  </si>
  <si>
    <t>0136/2</t>
  </si>
  <si>
    <t>Kuriák Dűlő Földút telek</t>
  </si>
  <si>
    <t xml:space="preserve">Zártkert földút </t>
  </si>
  <si>
    <t>091</t>
  </si>
  <si>
    <t>Felső csordajárás földút telek</t>
  </si>
  <si>
    <t>Vörösmarty u. út telek</t>
  </si>
  <si>
    <t>Szalmázóhegy földút telek</t>
  </si>
  <si>
    <t>0122</t>
  </si>
  <si>
    <t>0111/2</t>
  </si>
  <si>
    <t>Szalmázó hegy földút telek</t>
  </si>
  <si>
    <t>0111/3</t>
  </si>
  <si>
    <t>0112/5</t>
  </si>
  <si>
    <t>Földút Jánoshalmi határ telek</t>
  </si>
  <si>
    <t>0121</t>
  </si>
  <si>
    <t>0123/31</t>
  </si>
  <si>
    <t>0126</t>
  </si>
  <si>
    <t>0131</t>
  </si>
  <si>
    <t>0137/36</t>
  </si>
  <si>
    <t>Kúriák düllő földút telek</t>
  </si>
  <si>
    <t>19.</t>
  </si>
  <si>
    <t>0137/45</t>
  </si>
  <si>
    <t>20.</t>
  </si>
  <si>
    <t>0137/89</t>
  </si>
  <si>
    <t>21.</t>
  </si>
  <si>
    <t>0139/62</t>
  </si>
  <si>
    <t>22.</t>
  </si>
  <si>
    <t>0146/10</t>
  </si>
  <si>
    <t>Kúriák düllő csat.föld. telek</t>
  </si>
  <si>
    <t>23.</t>
  </si>
  <si>
    <t>0147</t>
  </si>
  <si>
    <t>Ordináncz földút telek</t>
  </si>
  <si>
    <t>24.</t>
  </si>
  <si>
    <t>0148/6</t>
  </si>
  <si>
    <t>25.</t>
  </si>
  <si>
    <t>0148/7</t>
  </si>
  <si>
    <t>26.</t>
  </si>
  <si>
    <t>015</t>
  </si>
  <si>
    <t xml:space="preserve">Fekete major földút telek </t>
  </si>
  <si>
    <t>27.</t>
  </si>
  <si>
    <t>0152</t>
  </si>
  <si>
    <t>Asztfalt út telek (Alkotmány)</t>
  </si>
  <si>
    <t>28.</t>
  </si>
  <si>
    <t>0153/29</t>
  </si>
  <si>
    <t>Kúriák dűlő földút telek</t>
  </si>
  <si>
    <t>29.</t>
  </si>
  <si>
    <t>0158</t>
  </si>
  <si>
    <t>30.</t>
  </si>
  <si>
    <t>0161</t>
  </si>
  <si>
    <t>31.</t>
  </si>
  <si>
    <t>0162</t>
  </si>
  <si>
    <t>32.</t>
  </si>
  <si>
    <t>164/2</t>
  </si>
  <si>
    <t>33.</t>
  </si>
  <si>
    <t>0167/1</t>
  </si>
  <si>
    <t>34.</t>
  </si>
  <si>
    <t>0167/2</t>
  </si>
  <si>
    <t>35.</t>
  </si>
  <si>
    <t>169/3</t>
  </si>
  <si>
    <t>36.</t>
  </si>
  <si>
    <t>0171/2</t>
  </si>
  <si>
    <t>Bika dűlő földút telek</t>
  </si>
  <si>
    <t>37.</t>
  </si>
  <si>
    <t>0172/3</t>
  </si>
  <si>
    <t>38.</t>
  </si>
  <si>
    <t>0173</t>
  </si>
  <si>
    <t>Bika dűlő csap.víz csat. telek</t>
  </si>
  <si>
    <t>39.</t>
  </si>
  <si>
    <t>1. melléklet a  7/2014.(V.16.) önkormányzati rendelethez</t>
  </si>
  <si>
    <t>2. melléklet a 7/2014.(V.16.) önkormányzati rendleethez</t>
  </si>
  <si>
    <t>2.a melléklet a 7/2014.(V.16.) önkormányzati rendelethez</t>
  </si>
  <si>
    <t>2.b melléklet a 7/2014.(V.16.) önkormányzati rendelethez</t>
  </si>
  <si>
    <t>2.c melléklet a 7/2014.(V.16.) önkormányzati rendelethez</t>
  </si>
  <si>
    <t>2.d melléklet a 7/2014.(V.16.) önkormányzati rendelethez</t>
  </si>
  <si>
    <t>2.e melléklet a 7/2014.(V.16.) önkormányzati rendelethez</t>
  </si>
  <si>
    <t>2.f melléklet a 7/2014.(V.16.) önkormányzati rendelethez</t>
  </si>
  <si>
    <t>3.  melléklet a 7/2014.(V.16.) önkormányzati rendelethez</t>
  </si>
  <si>
    <t>5. melléklet a 7/2014.(V.16.) Önkormányzati rendlethez</t>
  </si>
  <si>
    <t>6. melléklet a   7/2014. (V.16.)önkormányzati rendelethez</t>
  </si>
  <si>
    <t>6.a. melléklet a   7/2014.(V.16.) önkormányzati rendelethez</t>
  </si>
  <si>
    <t>6. b melléklet a  7/2014. (V.16.)önkormányzati rendelethez</t>
  </si>
  <si>
    <t>6/c melléklet a   7/2014.(V.16.)önkormányzati rendelethez</t>
  </si>
  <si>
    <t>6/.d  melléklet a  7/2014.(V.16.)önkormányzati rendelethez</t>
  </si>
  <si>
    <t>6.e  melléklet a   7/2014.(V.16.)önkormányzati rendelethez</t>
  </si>
  <si>
    <t>7. melléklet  a    7/2014.(V.16.) önkormányzati rendelethez</t>
  </si>
  <si>
    <t>7a. melléklet  a   7/2014.(V.16.) önkormányzati rendelethez</t>
  </si>
  <si>
    <t>7.b.  melléklet  a   7/2014.(V.16.) önkormányzati rendelethez</t>
  </si>
  <si>
    <t>7.c. melléklet a 7/2014. (V.16.) önkormányzati rendelethez</t>
  </si>
  <si>
    <t>7/d  melléklet a 7/2014. (V.16.) önkormányzati rendelethez</t>
  </si>
  <si>
    <t>7/.e melléklet a 7/2014.(V.16.)önkormányzati  rendelethez</t>
  </si>
  <si>
    <t>8,melléklet a   7/2014. (V.16.)önkormányzati rendelethez</t>
  </si>
  <si>
    <t>10.  melléklet a 7/2014. (V.16.) önkormányzati rendelethez</t>
  </si>
  <si>
    <t>11. melléklet a   7/2014. (V.16.)önkormányzati  rendelethez</t>
  </si>
  <si>
    <t xml:space="preserve">                                                     12. melléklet a  7/2014. (V.16.) önkormányztai  rendelethez</t>
  </si>
  <si>
    <t xml:space="preserve">                                                       13. melléklet a    7/2014. (V.16.) önkormányzati rendelethez</t>
  </si>
  <si>
    <t>14.  melléklet a 7/2014. (V.16.) önkormányzati rendelethez</t>
  </si>
  <si>
    <t>15. melléklet a   7/2014 (V.16.) önkormányzati rendelethez</t>
  </si>
  <si>
    <t>16. melléklet a 7/2014.(V.16.) önkormányzati rendelethez</t>
  </si>
  <si>
    <t>16.a melléklet a  7/2014.(V.16.) önkormányzati rendelethez</t>
  </si>
  <si>
    <t>17.  melléklet a    7/2014.(V.16.)önkormányzati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</si>
</sst>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#"/>
    <numFmt numFmtId="174" formatCode="#,##0.0"/>
    <numFmt numFmtId="175" formatCode="#"/>
    <numFmt numFmtId="176" formatCode="#,###__"/>
    <numFmt numFmtId="177" formatCode="h\ &quot;óra&quot;\ m\ &quot;perc&quot;;@"/>
    <numFmt numFmtId="178" formatCode="0.0000000000"/>
  </numFmts>
  <fonts count="115">
    <font>
      <sz val="10"/>
      <name val="Arial CE"/>
      <family val="0"/>
    </font>
    <font>
      <sz val="8"/>
      <name val="Times New Roman CE"/>
      <family val="0"/>
    </font>
    <font>
      <sz val="12"/>
      <name val="Times New Roman CE"/>
      <family val="0"/>
    </font>
    <font>
      <sz val="11"/>
      <name val="Calibri"/>
      <family val="2"/>
    </font>
    <font>
      <sz val="8"/>
      <name val="Calibri"/>
      <family val="2"/>
    </font>
    <font>
      <sz val="9"/>
      <name val="Times New Roman CE"/>
      <family val="0"/>
    </font>
    <font>
      <u val="single"/>
      <sz val="9"/>
      <name val="Times New Roman CE"/>
      <family val="0"/>
    </font>
    <font>
      <b/>
      <sz val="9"/>
      <name val="Times New Roman CE"/>
      <family val="1"/>
    </font>
    <font>
      <b/>
      <i/>
      <sz val="9"/>
      <name val="Times New Roman CE"/>
      <family val="0"/>
    </font>
    <font>
      <b/>
      <i/>
      <sz val="8"/>
      <name val="Times New Roman CE"/>
      <family val="1"/>
    </font>
    <font>
      <b/>
      <sz val="8"/>
      <name val="Times New Roman CE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0"/>
      <name val="Times New Roman CE"/>
      <family val="0"/>
    </font>
    <font>
      <sz val="7"/>
      <name val="Times New Roman"/>
      <family val="1"/>
    </font>
    <font>
      <i/>
      <sz val="7"/>
      <name val="Times New Roman"/>
      <family val="1"/>
    </font>
    <font>
      <b/>
      <i/>
      <sz val="8"/>
      <name val="Calibri"/>
      <family val="2"/>
    </font>
    <font>
      <sz val="8"/>
      <name val="Arial CE"/>
      <family val="0"/>
    </font>
    <font>
      <sz val="8"/>
      <color indexed="8"/>
      <name val="Calibri"/>
      <family val="2"/>
    </font>
    <font>
      <sz val="7"/>
      <color indexed="10"/>
      <name val="Times New Roman"/>
      <family val="1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Arial CE"/>
      <family val="0"/>
    </font>
    <font>
      <b/>
      <sz val="7"/>
      <color indexed="8"/>
      <name val="Times New Roman"/>
      <family val="1"/>
    </font>
    <font>
      <b/>
      <u val="single"/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name val="Arial"/>
      <family val="0"/>
    </font>
    <font>
      <sz val="7"/>
      <name val="Arial CE"/>
      <family val="0"/>
    </font>
    <font>
      <b/>
      <sz val="7"/>
      <name val="Arial CE"/>
      <family val="0"/>
    </font>
    <font>
      <sz val="7"/>
      <name val="Arial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u val="single"/>
      <sz val="7"/>
      <name val="Arial CE"/>
      <family val="0"/>
    </font>
    <font>
      <u val="single"/>
      <sz val="7"/>
      <name val="Arial CE"/>
      <family val="0"/>
    </font>
    <font>
      <sz val="7.5"/>
      <name val="Arial"/>
      <family val="2"/>
    </font>
    <font>
      <u val="single"/>
      <sz val="7.5"/>
      <name val="Arial"/>
      <family val="2"/>
    </font>
    <font>
      <u val="single"/>
      <sz val="7"/>
      <name val="Arial"/>
      <family val="2"/>
    </font>
    <font>
      <sz val="8"/>
      <color indexed="8"/>
      <name val="Arial"/>
      <family val="2"/>
    </font>
    <font>
      <b/>
      <sz val="11"/>
      <name val="Times New Roman CE"/>
      <family val="1"/>
    </font>
    <font>
      <i/>
      <sz val="10"/>
      <name val="Times New Roman CE"/>
      <family val="0"/>
    </font>
    <font>
      <sz val="10"/>
      <name val="Wingdings"/>
      <family val="0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0"/>
    </font>
    <font>
      <sz val="10"/>
      <name val="Arial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7"/>
      <name val="Times New Roman CE"/>
      <family val="0"/>
    </font>
    <font>
      <b/>
      <sz val="11"/>
      <color indexed="8"/>
      <name val="Calibri"/>
      <family val="2"/>
    </font>
    <font>
      <b/>
      <sz val="7"/>
      <name val="Arial"/>
      <family val="2"/>
    </font>
    <font>
      <sz val="8"/>
      <color indexed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 CE"/>
      <family val="1"/>
    </font>
    <font>
      <sz val="8"/>
      <color indexed="8"/>
      <name val="Arial CE"/>
      <family val="0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Arial CE"/>
      <family val="0"/>
    </font>
    <font>
      <b/>
      <sz val="7"/>
      <color indexed="8"/>
      <name val="Arial CE"/>
      <family val="0"/>
    </font>
    <font>
      <b/>
      <i/>
      <sz val="7"/>
      <color indexed="8"/>
      <name val="Times New Roman"/>
      <family val="1"/>
    </font>
    <font>
      <i/>
      <sz val="8"/>
      <color indexed="8"/>
      <name val="Calibri"/>
      <family val="2"/>
    </font>
    <font>
      <b/>
      <i/>
      <sz val="9"/>
      <color indexed="8"/>
      <name val="Calibri"/>
      <family val="2"/>
    </font>
    <font>
      <b/>
      <sz val="8"/>
      <color indexed="10"/>
      <name val="Arial CE"/>
      <family val="0"/>
    </font>
    <font>
      <b/>
      <sz val="8"/>
      <name val="Arial"/>
      <family val="2"/>
    </font>
    <font>
      <b/>
      <i/>
      <sz val="8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lightHorizontal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/>
      <bottom>
        <color indexed="63"/>
      </bottom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ck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/>
      <right style="medium"/>
      <top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/>
    </border>
    <border>
      <left style="thin"/>
      <right style="medium"/>
      <top style="hair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100" fillId="26" borderId="1" applyNumberFormat="0" applyAlignment="0" applyProtection="0"/>
    <xf numFmtId="0" fontId="101" fillId="0" borderId="0" applyNumberFormat="0" applyFill="0" applyBorder="0" applyAlignment="0" applyProtection="0"/>
    <xf numFmtId="0" fontId="102" fillId="0" borderId="2" applyNumberFormat="0" applyFill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4" fillId="0" borderId="0" applyNumberFormat="0" applyFill="0" applyBorder="0" applyAlignment="0" applyProtection="0"/>
    <xf numFmtId="0" fontId="10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0" fillId="28" borderId="7" applyNumberFormat="0" applyFont="0" applyAlignment="0" applyProtection="0"/>
    <xf numFmtId="0" fontId="108" fillId="29" borderId="0" applyNumberFormat="0" applyBorder="0" applyAlignment="0" applyProtection="0"/>
    <xf numFmtId="0" fontId="109" fillId="30" borderId="8" applyNumberFormat="0" applyAlignment="0" applyProtection="0"/>
    <xf numFmtId="0" fontId="110" fillId="0" borderId="0" applyNumberFormat="0" applyFill="0" applyBorder="0" applyAlignment="0" applyProtection="0"/>
    <xf numFmtId="0" fontId="2" fillId="0" borderId="0">
      <alignment/>
      <protection/>
    </xf>
    <xf numFmtId="0" fontId="11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31" borderId="0" applyNumberFormat="0" applyBorder="0" applyAlignment="0" applyProtection="0"/>
    <xf numFmtId="0" fontId="113" fillId="32" borderId="0" applyNumberFormat="0" applyBorder="0" applyAlignment="0" applyProtection="0"/>
    <xf numFmtId="0" fontId="114" fillId="30" borderId="1" applyNumberFormat="0" applyAlignment="0" applyProtection="0"/>
    <xf numFmtId="9" fontId="0" fillId="0" borderId="0" applyFont="0" applyFill="0" applyBorder="0" applyAlignment="0" applyProtection="0"/>
  </cellStyleXfs>
  <cellXfs count="2293">
    <xf numFmtId="0" fontId="0" fillId="0" borderId="0" xfId="0" applyAlignment="1">
      <alignment/>
    </xf>
    <xf numFmtId="172" fontId="4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0" fillId="33" borderId="10" xfId="54" applyFont="1" applyFill="1" applyBorder="1" applyAlignment="1" applyProtection="1">
      <alignment horizontal="center" vertical="center" wrapText="1"/>
      <protection/>
    </xf>
    <xf numFmtId="0" fontId="10" fillId="33" borderId="11" xfId="54" applyFont="1" applyFill="1" applyBorder="1" applyAlignment="1" applyProtection="1">
      <alignment horizontal="center" vertical="center" wrapText="1"/>
      <protection/>
    </xf>
    <xf numFmtId="0" fontId="10" fillId="33" borderId="12" xfId="54" applyFont="1" applyFill="1" applyBorder="1" applyAlignment="1" applyProtection="1">
      <alignment vertical="center" wrapText="1"/>
      <protection/>
    </xf>
    <xf numFmtId="0" fontId="10" fillId="33" borderId="11" xfId="54" applyFont="1" applyFill="1" applyBorder="1" applyAlignment="1" applyProtection="1">
      <alignment horizontal="left" vertical="center" wrapText="1" indent="1"/>
      <protection/>
    </xf>
    <xf numFmtId="172" fontId="4" fillId="33" borderId="13" xfId="0" applyNumberFormat="1" applyFont="1" applyFill="1" applyBorder="1" applyAlignment="1">
      <alignment/>
    </xf>
    <xf numFmtId="0" fontId="10" fillId="33" borderId="10" xfId="54" applyFont="1" applyFill="1" applyBorder="1" applyAlignment="1" applyProtection="1">
      <alignment vertical="center" wrapText="1"/>
      <protection/>
    </xf>
    <xf numFmtId="0" fontId="11" fillId="33" borderId="11" xfId="0" applyFont="1" applyFill="1" applyBorder="1" applyAlignment="1" applyProtection="1">
      <alignment horizontal="left" vertical="center" wrapText="1" indent="1"/>
      <protection/>
    </xf>
    <xf numFmtId="172" fontId="4" fillId="33" borderId="14" xfId="0" applyNumberFormat="1" applyFont="1" applyFill="1" applyBorder="1" applyAlignment="1">
      <alignment/>
    </xf>
    <xf numFmtId="173" fontId="3" fillId="33" borderId="0" xfId="0" applyNumberFormat="1" applyFont="1" applyFill="1" applyAlignment="1">
      <alignment/>
    </xf>
    <xf numFmtId="49" fontId="1" fillId="33" borderId="15" xfId="54" applyNumberFormat="1" applyFont="1" applyFill="1" applyBorder="1" applyAlignment="1" applyProtection="1">
      <alignment vertical="center" wrapText="1"/>
      <protection/>
    </xf>
    <xf numFmtId="0" fontId="12" fillId="33" borderId="16" xfId="0" applyFont="1" applyFill="1" applyBorder="1" applyAlignment="1" applyProtection="1">
      <alignment horizontal="left" vertical="center" wrapText="1" indent="1"/>
      <protection/>
    </xf>
    <xf numFmtId="173" fontId="1" fillId="33" borderId="17" xfId="54" applyNumberFormat="1" applyFont="1" applyFill="1" applyBorder="1" applyAlignment="1" applyProtection="1">
      <alignment horizontal="right" vertical="center" wrapText="1" indent="1"/>
      <protection locked="0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172" fontId="4" fillId="33" borderId="20" xfId="0" applyNumberFormat="1" applyFont="1" applyFill="1" applyBorder="1" applyAlignment="1">
      <alignment/>
    </xf>
    <xf numFmtId="0" fontId="12" fillId="33" borderId="21" xfId="0" applyFont="1" applyFill="1" applyBorder="1" applyAlignment="1" applyProtection="1">
      <alignment horizontal="left" vertical="center" wrapText="1" indent="1"/>
      <protection/>
    </xf>
    <xf numFmtId="172" fontId="4" fillId="33" borderId="22" xfId="0" applyNumberFormat="1" applyFont="1" applyFill="1" applyBorder="1" applyAlignment="1">
      <alignment/>
    </xf>
    <xf numFmtId="0" fontId="12" fillId="33" borderId="23" xfId="0" applyFont="1" applyFill="1" applyBorder="1" applyAlignment="1" applyProtection="1">
      <alignment horizontal="left" vertical="center" wrapText="1" indent="1"/>
      <protection/>
    </xf>
    <xf numFmtId="173" fontId="10" fillId="33" borderId="24" xfId="54" applyNumberFormat="1" applyFont="1" applyFill="1" applyBorder="1" applyAlignment="1" applyProtection="1">
      <alignment horizontal="right" vertical="center" wrapText="1" indent="1"/>
      <protection/>
    </xf>
    <xf numFmtId="173" fontId="10" fillId="33" borderId="24" xfId="54" applyNumberFormat="1" applyFont="1" applyFill="1" applyBorder="1" applyAlignment="1" applyProtection="1">
      <alignment horizontal="right" vertical="center" wrapText="1" indent="1"/>
      <protection/>
    </xf>
    <xf numFmtId="49" fontId="1" fillId="33" borderId="25" xfId="54" applyNumberFormat="1" applyFont="1" applyFill="1" applyBorder="1" applyAlignment="1" applyProtection="1">
      <alignment vertical="center" wrapText="1"/>
      <protection/>
    </xf>
    <xf numFmtId="0" fontId="1" fillId="33" borderId="16" xfId="54" applyFont="1" applyFill="1" applyBorder="1" applyAlignment="1" applyProtection="1">
      <alignment horizontal="left" vertical="center" wrapText="1" indent="1"/>
      <protection/>
    </xf>
    <xf numFmtId="173" fontId="1" fillId="33" borderId="26" xfId="54" applyNumberFormat="1" applyFont="1" applyFill="1" applyBorder="1" applyAlignment="1" applyProtection="1">
      <alignment horizontal="right" vertical="center" wrapText="1" indent="1"/>
      <protection locked="0"/>
    </xf>
    <xf numFmtId="0" fontId="1" fillId="33" borderId="18" xfId="54" applyFont="1" applyFill="1" applyBorder="1" applyAlignment="1" applyProtection="1">
      <alignment horizontal="left" vertical="center" wrapText="1" indent="1"/>
      <protection/>
    </xf>
    <xf numFmtId="173" fontId="1" fillId="33" borderId="19" xfId="54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0" xfId="0" applyNumberFormat="1" applyFont="1" applyFill="1" applyAlignment="1">
      <alignment/>
    </xf>
    <xf numFmtId="49" fontId="1" fillId="33" borderId="27" xfId="54" applyNumberFormat="1" applyFont="1" applyFill="1" applyBorder="1" applyAlignment="1" applyProtection="1">
      <alignment vertical="center" wrapText="1"/>
      <protection/>
    </xf>
    <xf numFmtId="0" fontId="1" fillId="33" borderId="28" xfId="54" applyFont="1" applyFill="1" applyBorder="1" applyAlignment="1" applyProtection="1">
      <alignment horizontal="left" vertical="center" wrapText="1" indent="1"/>
      <protection/>
    </xf>
    <xf numFmtId="173" fontId="1" fillId="33" borderId="29" xfId="54" applyNumberFormat="1" applyFont="1" applyFill="1" applyBorder="1" applyAlignment="1" applyProtection="1">
      <alignment horizontal="right" vertical="center" wrapText="1" indent="1"/>
      <protection locked="0"/>
    </xf>
    <xf numFmtId="49" fontId="1" fillId="33" borderId="30" xfId="54" applyNumberFormat="1" applyFont="1" applyFill="1" applyBorder="1" applyAlignment="1" applyProtection="1">
      <alignment vertical="center" wrapText="1"/>
      <protection/>
    </xf>
    <xf numFmtId="0" fontId="1" fillId="33" borderId="23" xfId="54" applyFont="1" applyFill="1" applyBorder="1" applyAlignment="1" applyProtection="1">
      <alignment horizontal="left" vertical="center" wrapText="1" indent="1"/>
      <protection/>
    </xf>
    <xf numFmtId="173" fontId="1" fillId="33" borderId="31" xfId="54" applyNumberFormat="1" applyFont="1" applyFill="1" applyBorder="1" applyAlignment="1" applyProtection="1">
      <alignment horizontal="right" vertical="center" wrapText="1" indent="1"/>
      <protection locked="0"/>
    </xf>
    <xf numFmtId="0" fontId="4" fillId="33" borderId="32" xfId="0" applyFont="1" applyFill="1" applyBorder="1" applyAlignment="1">
      <alignment/>
    </xf>
    <xf numFmtId="173" fontId="10" fillId="33" borderId="31" xfId="54" applyNumberFormat="1" applyFont="1" applyFill="1" applyBorder="1" applyAlignment="1" applyProtection="1">
      <alignment horizontal="right" vertical="center" wrapText="1" indent="1"/>
      <protection locked="0"/>
    </xf>
    <xf numFmtId="0" fontId="4" fillId="33" borderId="11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172" fontId="4" fillId="33" borderId="33" xfId="0" applyNumberFormat="1" applyFont="1" applyFill="1" applyBorder="1" applyAlignment="1">
      <alignment/>
    </xf>
    <xf numFmtId="173" fontId="1" fillId="33" borderId="34" xfId="54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9" xfId="0" applyFont="1" applyFill="1" applyBorder="1" applyAlignment="1">
      <alignment/>
    </xf>
    <xf numFmtId="173" fontId="1" fillId="33" borderId="35" xfId="54" applyNumberFormat="1" applyFont="1" applyFill="1" applyBorder="1" applyAlignment="1" applyProtection="1">
      <alignment horizontal="right" vertical="center" wrapText="1" indent="1"/>
      <protection locked="0"/>
    </xf>
    <xf numFmtId="173" fontId="1" fillId="33" borderId="19" xfId="54" applyNumberFormat="1" applyFont="1" applyFill="1" applyBorder="1" applyAlignment="1" applyProtection="1">
      <alignment horizontal="right" vertical="center" wrapText="1" indent="1"/>
      <protection locked="0"/>
    </xf>
    <xf numFmtId="49" fontId="1" fillId="33" borderId="36" xfId="54" applyNumberFormat="1" applyFont="1" applyFill="1" applyBorder="1" applyAlignment="1" applyProtection="1">
      <alignment vertical="center" wrapText="1"/>
      <protection/>
    </xf>
    <xf numFmtId="173" fontId="1" fillId="33" borderId="17" xfId="54" applyNumberFormat="1" applyFont="1" applyFill="1" applyBorder="1" applyAlignment="1" applyProtection="1">
      <alignment horizontal="right" vertical="center" wrapText="1" indent="1"/>
      <protection locked="0"/>
    </xf>
    <xf numFmtId="0" fontId="1" fillId="33" borderId="32" xfId="54" applyFont="1" applyFill="1" applyBorder="1" applyAlignment="1" applyProtection="1">
      <alignment horizontal="left" vertical="center" wrapText="1" indent="1"/>
      <protection/>
    </xf>
    <xf numFmtId="173" fontId="1" fillId="33" borderId="37" xfId="54" applyNumberFormat="1" applyFont="1" applyFill="1" applyBorder="1" applyAlignment="1" applyProtection="1">
      <alignment horizontal="right" vertical="center" wrapText="1" indent="1"/>
      <protection locked="0"/>
    </xf>
    <xf numFmtId="173" fontId="1" fillId="33" borderId="24" xfId="54" applyNumberFormat="1" applyFont="1" applyFill="1" applyBorder="1" applyAlignment="1" applyProtection="1">
      <alignment horizontal="right" vertical="center" wrapText="1" indent="1"/>
      <protection locked="0"/>
    </xf>
    <xf numFmtId="173" fontId="1" fillId="0" borderId="24" xfId="54" applyNumberFormat="1" applyFont="1" applyFill="1" applyBorder="1" applyAlignment="1" applyProtection="1">
      <alignment horizontal="right" vertical="center" wrapText="1" indent="1"/>
      <protection locked="0"/>
    </xf>
    <xf numFmtId="0" fontId="13" fillId="33" borderId="16" xfId="0" applyFont="1" applyFill="1" applyBorder="1" applyAlignment="1" applyProtection="1">
      <alignment horizontal="left" vertical="center" wrapText="1" indent="1"/>
      <protection/>
    </xf>
    <xf numFmtId="173" fontId="1" fillId="33" borderId="16" xfId="54" applyNumberFormat="1" applyFont="1" applyFill="1" applyBorder="1" applyAlignment="1" applyProtection="1">
      <alignment horizontal="right" vertical="center" wrapText="1" indent="1"/>
      <protection locked="0"/>
    </xf>
    <xf numFmtId="172" fontId="4" fillId="33" borderId="38" xfId="0" applyNumberFormat="1" applyFont="1" applyFill="1" applyBorder="1" applyAlignment="1">
      <alignment/>
    </xf>
    <xf numFmtId="0" fontId="12" fillId="33" borderId="18" xfId="0" applyFont="1" applyFill="1" applyBorder="1" applyAlignment="1" applyProtection="1">
      <alignment horizontal="left" vertical="center" wrapText="1" indent="1"/>
      <protection/>
    </xf>
    <xf numFmtId="173" fontId="14" fillId="33" borderId="17" xfId="54" applyNumberFormat="1" applyFont="1" applyFill="1" applyBorder="1" applyAlignment="1" applyProtection="1">
      <alignment horizontal="right" vertical="center" wrapText="1" indent="1"/>
      <protection/>
    </xf>
    <xf numFmtId="0" fontId="13" fillId="33" borderId="18" xfId="0" applyFont="1" applyFill="1" applyBorder="1" applyAlignment="1" applyProtection="1">
      <alignment horizontal="left" vertical="center" wrapText="1" indent="1"/>
      <protection/>
    </xf>
    <xf numFmtId="173" fontId="1" fillId="33" borderId="18" xfId="54" applyNumberFormat="1" applyFont="1" applyFill="1" applyBorder="1" applyAlignment="1" applyProtection="1">
      <alignment horizontal="right" vertical="center" wrapText="1" indent="1"/>
      <protection locked="0"/>
    </xf>
    <xf numFmtId="173" fontId="1" fillId="33" borderId="19" xfId="54" applyNumberFormat="1" applyFont="1" applyFill="1" applyBorder="1" applyAlignment="1" applyProtection="1">
      <alignment horizontal="right" vertical="center" wrapText="1" indent="1"/>
      <protection locked="0"/>
    </xf>
    <xf numFmtId="173" fontId="10" fillId="33" borderId="35" xfId="54" applyNumberFormat="1" applyFont="1" applyFill="1" applyBorder="1" applyAlignment="1" applyProtection="1">
      <alignment horizontal="right" vertical="center" wrapText="1" indent="1"/>
      <protection/>
    </xf>
    <xf numFmtId="0" fontId="12" fillId="33" borderId="18" xfId="0" applyFont="1" applyFill="1" applyBorder="1" applyAlignment="1" applyProtection="1">
      <alignment horizontal="left" vertical="center" indent="1"/>
      <protection/>
    </xf>
    <xf numFmtId="0" fontId="12" fillId="33" borderId="39" xfId="0" applyFont="1" applyFill="1" applyBorder="1" applyAlignment="1" applyProtection="1">
      <alignment horizontal="left" vertical="center" indent="1"/>
      <protection/>
    </xf>
    <xf numFmtId="173" fontId="1" fillId="33" borderId="40" xfId="54" applyNumberFormat="1" applyFont="1" applyFill="1" applyBorder="1" applyAlignment="1" applyProtection="1">
      <alignment horizontal="right" vertical="center" wrapText="1" indent="1"/>
      <protection/>
    </xf>
    <xf numFmtId="0" fontId="11" fillId="33" borderId="39" xfId="0" applyFont="1" applyFill="1" applyBorder="1" applyAlignment="1" applyProtection="1">
      <alignment horizontal="left" vertical="center" wrapText="1" indent="1"/>
      <protection/>
    </xf>
    <xf numFmtId="173" fontId="1" fillId="33" borderId="24" xfId="54" applyNumberFormat="1" applyFont="1" applyFill="1" applyBorder="1" applyAlignment="1" applyProtection="1">
      <alignment horizontal="right" vertical="center" wrapText="1" indent="1"/>
      <protection locked="0"/>
    </xf>
    <xf numFmtId="49" fontId="1" fillId="33" borderId="41" xfId="54" applyNumberFormat="1" applyFont="1" applyFill="1" applyBorder="1" applyAlignment="1" applyProtection="1">
      <alignment vertical="center" wrapText="1"/>
      <protection/>
    </xf>
    <xf numFmtId="173" fontId="1" fillId="33" borderId="34" xfId="54" applyNumberFormat="1" applyFont="1" applyFill="1" applyBorder="1" applyAlignment="1" applyProtection="1">
      <alignment horizontal="right" vertical="center" wrapText="1" indent="1"/>
      <protection locked="0"/>
    </xf>
    <xf numFmtId="0" fontId="12" fillId="33" borderId="39" xfId="0" applyFont="1" applyFill="1" applyBorder="1" applyAlignment="1" applyProtection="1">
      <alignment horizontal="left" vertical="center" wrapText="1" indent="1"/>
      <protection/>
    </xf>
    <xf numFmtId="173" fontId="1" fillId="33" borderId="0" xfId="54" applyNumberFormat="1" applyFont="1" applyFill="1" applyBorder="1" applyAlignment="1" applyProtection="1">
      <alignment horizontal="right" vertical="center" wrapText="1" indent="1"/>
      <protection locked="0"/>
    </xf>
    <xf numFmtId="173" fontId="9" fillId="33" borderId="24" xfId="54" applyNumberFormat="1" applyFont="1" applyFill="1" applyBorder="1" applyAlignment="1" applyProtection="1">
      <alignment horizontal="right" vertical="center" wrapText="1" indent="1"/>
      <protection/>
    </xf>
    <xf numFmtId="0" fontId="1" fillId="33" borderId="26" xfId="54" applyFont="1" applyFill="1" applyBorder="1">
      <alignment/>
      <protection/>
    </xf>
    <xf numFmtId="3" fontId="1" fillId="33" borderId="19" xfId="54" applyNumberFormat="1" applyFont="1" applyFill="1" applyBorder="1" applyAlignment="1">
      <alignment horizontal="right"/>
      <protection/>
    </xf>
    <xf numFmtId="173" fontId="1" fillId="33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9" fillId="33" borderId="11" xfId="54" applyFont="1" applyFill="1" applyBorder="1" applyAlignment="1" applyProtection="1">
      <alignment horizontal="left" vertical="center" wrapText="1" indent="1"/>
      <protection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173" fontId="10" fillId="33" borderId="24" xfId="54" applyNumberFormat="1" applyFont="1" applyFill="1" applyBorder="1" applyAlignment="1" applyProtection="1">
      <alignment horizontal="right" vertical="center" wrapText="1" indent="1"/>
      <protection/>
    </xf>
    <xf numFmtId="173" fontId="10" fillId="33" borderId="24" xfId="54" applyNumberFormat="1" applyFont="1" applyFill="1" applyBorder="1" applyAlignment="1" applyProtection="1">
      <alignment horizontal="right" vertical="center" wrapText="1" indent="1"/>
      <protection/>
    </xf>
    <xf numFmtId="49" fontId="11" fillId="33" borderId="41" xfId="0" applyNumberFormat="1" applyFont="1" applyFill="1" applyBorder="1" applyAlignment="1" applyProtection="1">
      <alignment vertical="center" wrapText="1"/>
      <protection/>
    </xf>
    <xf numFmtId="0" fontId="13" fillId="33" borderId="21" xfId="0" applyFont="1" applyFill="1" applyBorder="1" applyAlignment="1" applyProtection="1">
      <alignment horizontal="left" vertical="center" wrapText="1" indent="1"/>
      <protection/>
    </xf>
    <xf numFmtId="173" fontId="14" fillId="33" borderId="34" xfId="54" applyNumberFormat="1" applyFont="1" applyFill="1" applyBorder="1" applyAlignment="1" applyProtection="1">
      <alignment horizontal="right" vertical="center" wrapText="1" indent="1"/>
      <protection/>
    </xf>
    <xf numFmtId="173" fontId="14" fillId="33" borderId="34" xfId="54" applyNumberFormat="1" applyFont="1" applyFill="1" applyBorder="1" applyAlignment="1" applyProtection="1">
      <alignment horizontal="right" vertical="center" wrapText="1" indent="1"/>
      <protection/>
    </xf>
    <xf numFmtId="49" fontId="12" fillId="33" borderId="15" xfId="0" applyNumberFormat="1" applyFont="1" applyFill="1" applyBorder="1" applyAlignment="1" applyProtection="1">
      <alignment vertical="center" wrapText="1"/>
      <protection/>
    </xf>
    <xf numFmtId="173" fontId="14" fillId="33" borderId="19" xfId="54" applyNumberFormat="1" applyFont="1" applyFill="1" applyBorder="1" applyAlignment="1" applyProtection="1">
      <alignment horizontal="right" vertical="center" wrapText="1" indent="1"/>
      <protection/>
    </xf>
    <xf numFmtId="49" fontId="11" fillId="33" borderId="15" xfId="0" applyNumberFormat="1" applyFont="1" applyFill="1" applyBorder="1" applyAlignment="1" applyProtection="1">
      <alignment vertical="center" wrapText="1"/>
      <protection/>
    </xf>
    <xf numFmtId="173" fontId="10" fillId="33" borderId="19" xfId="54" applyNumberFormat="1" applyFont="1" applyFill="1" applyBorder="1" applyAlignment="1" applyProtection="1">
      <alignment horizontal="right" vertical="center" wrapText="1" indent="1"/>
      <protection/>
    </xf>
    <xf numFmtId="173" fontId="10" fillId="33" borderId="19" xfId="54" applyNumberFormat="1" applyFont="1" applyFill="1" applyBorder="1" applyAlignment="1" applyProtection="1" quotePrefix="1">
      <alignment horizontal="right" vertical="center" wrapText="1" indent="1"/>
      <protection locked="0"/>
    </xf>
    <xf numFmtId="49" fontId="12" fillId="33" borderId="42" xfId="0" applyNumberFormat="1" applyFont="1" applyFill="1" applyBorder="1" applyAlignment="1" applyProtection="1">
      <alignment vertical="center" wrapText="1"/>
      <protection/>
    </xf>
    <xf numFmtId="0" fontId="1" fillId="33" borderId="35" xfId="54" applyFont="1" applyFill="1" applyBorder="1">
      <alignment/>
      <protection/>
    </xf>
    <xf numFmtId="0" fontId="15" fillId="33" borderId="10" xfId="0" applyFont="1" applyFill="1" applyBorder="1" applyAlignment="1" applyProtection="1">
      <alignment vertical="center" wrapText="1"/>
      <protection/>
    </xf>
    <xf numFmtId="0" fontId="15" fillId="33" borderId="11" xfId="0" applyFont="1" applyFill="1" applyBorder="1" applyAlignment="1" applyProtection="1">
      <alignment horizontal="left" vertical="center" wrapText="1" indent="1"/>
      <protection/>
    </xf>
    <xf numFmtId="173" fontId="1" fillId="33" borderId="43" xfId="54" applyNumberFormat="1" applyFont="1" applyFill="1" applyBorder="1">
      <alignment/>
      <protection/>
    </xf>
    <xf numFmtId="173" fontId="1" fillId="33" borderId="43" xfId="54" applyNumberFormat="1" applyFont="1" applyFill="1" applyBorder="1">
      <alignment/>
      <protection/>
    </xf>
    <xf numFmtId="172" fontId="4" fillId="33" borderId="44" xfId="0" applyNumberFormat="1" applyFont="1" applyFill="1" applyBorder="1" applyAlignment="1">
      <alignment/>
    </xf>
    <xf numFmtId="0" fontId="16" fillId="33" borderId="30" xfId="0" applyFont="1" applyFill="1" applyBorder="1" applyAlignment="1" applyProtection="1">
      <alignment horizontal="left" vertical="center" wrapText="1"/>
      <protection/>
    </xf>
    <xf numFmtId="0" fontId="15" fillId="33" borderId="23" xfId="0" applyFont="1" applyFill="1" applyBorder="1" applyAlignment="1" applyProtection="1">
      <alignment horizontal="left" vertical="center" wrapText="1" indent="1"/>
      <protection/>
    </xf>
    <xf numFmtId="0" fontId="1" fillId="33" borderId="24" xfId="54" applyFont="1" applyFill="1" applyBorder="1">
      <alignment/>
      <protection/>
    </xf>
    <xf numFmtId="0" fontId="15" fillId="33" borderId="10" xfId="0" applyFont="1" applyFill="1" applyBorder="1" applyAlignment="1" applyProtection="1">
      <alignment horizontal="left" vertical="center" wrapText="1"/>
      <protection/>
    </xf>
    <xf numFmtId="173" fontId="1" fillId="33" borderId="31" xfId="54" applyNumberFormat="1" applyFont="1" applyFill="1" applyBorder="1">
      <alignment/>
      <protection/>
    </xf>
    <xf numFmtId="173" fontId="1" fillId="33" borderId="31" xfId="54" applyNumberFormat="1" applyFont="1" applyFill="1" applyBorder="1">
      <alignment/>
      <protection/>
    </xf>
    <xf numFmtId="0" fontId="17" fillId="33" borderId="0" xfId="54" applyFont="1" applyFill="1" applyBorder="1" applyAlignment="1" applyProtection="1">
      <alignment vertical="center" wrapText="1"/>
      <protection/>
    </xf>
    <xf numFmtId="173" fontId="10" fillId="33" borderId="0" xfId="54" applyNumberFormat="1" applyFont="1" applyFill="1" applyBorder="1" applyAlignment="1" applyProtection="1">
      <alignment horizontal="right" vertical="center" wrapText="1" indent="1"/>
      <protection/>
    </xf>
    <xf numFmtId="172" fontId="4" fillId="33" borderId="45" xfId="0" applyNumberFormat="1" applyFont="1" applyFill="1" applyBorder="1" applyAlignment="1">
      <alignment/>
    </xf>
    <xf numFmtId="173" fontId="10" fillId="33" borderId="11" xfId="54" applyNumberFormat="1" applyFont="1" applyFill="1" applyBorder="1" applyAlignment="1" applyProtection="1">
      <alignment horizontal="right" vertical="center" wrapText="1" indent="1"/>
      <protection/>
    </xf>
    <xf numFmtId="0" fontId="4" fillId="33" borderId="21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1" fillId="33" borderId="46" xfId="54" applyFont="1" applyFill="1" applyBorder="1" applyAlignment="1" applyProtection="1">
      <alignment horizontal="left" vertical="center" wrapText="1" indent="1"/>
      <protection/>
    </xf>
    <xf numFmtId="0" fontId="1" fillId="33" borderId="0" xfId="54" applyFont="1" applyFill="1" applyBorder="1" applyAlignment="1" applyProtection="1">
      <alignment horizontal="left" vertical="center" wrapText="1" indent="1"/>
      <protection/>
    </xf>
    <xf numFmtId="173" fontId="1" fillId="33" borderId="18" xfId="54" applyNumberFormat="1" applyFont="1" applyFill="1" applyBorder="1" applyAlignment="1" applyProtection="1">
      <alignment horizontal="right" vertical="center" wrapText="1" indent="1"/>
      <protection locked="0"/>
    </xf>
    <xf numFmtId="0" fontId="4" fillId="33" borderId="19" xfId="0" applyFont="1" applyFill="1" applyBorder="1" applyAlignment="1">
      <alignment/>
    </xf>
    <xf numFmtId="49" fontId="1" fillId="33" borderId="42" xfId="54" applyNumberFormat="1" applyFont="1" applyFill="1" applyBorder="1" applyAlignment="1" applyProtection="1">
      <alignment vertical="center" wrapText="1"/>
      <protection/>
    </xf>
    <xf numFmtId="0" fontId="4" fillId="33" borderId="32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172" fontId="4" fillId="33" borderId="47" xfId="0" applyNumberFormat="1" applyFont="1" applyFill="1" applyBorder="1" applyAlignment="1">
      <alignment/>
    </xf>
    <xf numFmtId="0" fontId="10" fillId="33" borderId="24" xfId="54" applyFont="1" applyFill="1" applyBorder="1" applyAlignment="1" applyProtection="1">
      <alignment vertical="center" wrapText="1"/>
      <protection/>
    </xf>
    <xf numFmtId="0" fontId="10" fillId="33" borderId="24" xfId="54" applyFont="1" applyFill="1" applyBorder="1" applyAlignment="1" applyProtection="1">
      <alignment horizontal="left" vertical="center" wrapText="1" indent="1"/>
      <protection/>
    </xf>
    <xf numFmtId="0" fontId="1" fillId="33" borderId="21" xfId="54" applyFont="1" applyFill="1" applyBorder="1" applyAlignment="1" applyProtection="1">
      <alignment horizontal="left" vertical="center" wrapText="1" indent="1"/>
      <protection/>
    </xf>
    <xf numFmtId="0" fontId="11" fillId="33" borderId="10" xfId="0" applyFont="1" applyFill="1" applyBorder="1" applyAlignment="1" applyProtection="1">
      <alignment vertical="center" wrapText="1"/>
      <protection/>
    </xf>
    <xf numFmtId="0" fontId="11" fillId="33" borderId="43" xfId="0" applyFont="1" applyFill="1" applyBorder="1" applyAlignment="1" applyProtection="1">
      <alignment horizontal="left" vertical="center" wrapText="1" indent="1"/>
      <protection/>
    </xf>
    <xf numFmtId="49" fontId="13" fillId="33" borderId="48" xfId="0" applyNumberFormat="1" applyFont="1" applyFill="1" applyBorder="1" applyAlignment="1" applyProtection="1">
      <alignment vertical="center" wrapText="1"/>
      <protection/>
    </xf>
    <xf numFmtId="0" fontId="13" fillId="33" borderId="48" xfId="0" applyFont="1" applyFill="1" applyBorder="1" applyAlignment="1" applyProtection="1">
      <alignment horizontal="left" vertical="center" wrapText="1" indent="1"/>
      <protection/>
    </xf>
    <xf numFmtId="173" fontId="14" fillId="33" borderId="11" xfId="54" applyNumberFormat="1" applyFont="1" applyFill="1" applyBorder="1" applyAlignment="1" applyProtection="1">
      <alignment horizontal="right" vertical="center" wrapText="1" indent="1"/>
      <protection/>
    </xf>
    <xf numFmtId="49" fontId="12" fillId="33" borderId="41" xfId="0" applyNumberFormat="1" applyFont="1" applyFill="1" applyBorder="1" applyAlignment="1" applyProtection="1">
      <alignment vertical="center" wrapText="1"/>
      <protection/>
    </xf>
    <xf numFmtId="0" fontId="12" fillId="33" borderId="34" xfId="0" applyFont="1" applyFill="1" applyBorder="1" applyAlignment="1" applyProtection="1">
      <alignment horizontal="right" vertical="center" wrapText="1" indent="1"/>
      <protection locked="0"/>
    </xf>
    <xf numFmtId="0" fontId="12" fillId="33" borderId="19" xfId="0" applyFont="1" applyFill="1" applyBorder="1" applyAlignment="1" applyProtection="1">
      <alignment horizontal="right" vertical="center" wrapText="1" indent="1"/>
      <protection locked="0"/>
    </xf>
    <xf numFmtId="49" fontId="12" fillId="33" borderId="36" xfId="0" applyNumberFormat="1" applyFont="1" applyFill="1" applyBorder="1" applyAlignment="1" applyProtection="1">
      <alignment vertical="center" wrapText="1"/>
      <protection/>
    </xf>
    <xf numFmtId="0" fontId="12" fillId="33" borderId="32" xfId="0" applyFont="1" applyFill="1" applyBorder="1" applyAlignment="1" applyProtection="1">
      <alignment horizontal="left" vertical="center" wrapText="1" indent="1"/>
      <protection/>
    </xf>
    <xf numFmtId="0" fontId="12" fillId="33" borderId="35" xfId="0" applyFont="1" applyFill="1" applyBorder="1" applyAlignment="1" applyProtection="1">
      <alignment horizontal="right" vertical="center" wrapText="1" indent="1"/>
      <protection locked="0"/>
    </xf>
    <xf numFmtId="49" fontId="13" fillId="33" borderId="10" xfId="0" applyNumberFormat="1" applyFont="1" applyFill="1" applyBorder="1" applyAlignment="1" applyProtection="1">
      <alignment vertical="center" wrapText="1"/>
      <protection/>
    </xf>
    <xf numFmtId="0" fontId="13" fillId="33" borderId="24" xfId="0" applyFont="1" applyFill="1" applyBorder="1" applyAlignment="1" applyProtection="1">
      <alignment horizontal="left" vertical="center" wrapText="1" indent="1"/>
      <protection/>
    </xf>
    <xf numFmtId="0" fontId="15" fillId="33" borderId="24" xfId="0" applyFont="1" applyFill="1" applyBorder="1" applyAlignment="1" applyProtection="1">
      <alignment horizontal="left" vertical="center" wrapText="1" indent="1"/>
      <protection/>
    </xf>
    <xf numFmtId="173" fontId="11" fillId="33" borderId="11" xfId="0" applyNumberFormat="1" applyFont="1" applyFill="1" applyBorder="1" applyAlignment="1" applyProtection="1">
      <alignment horizontal="right" vertical="center" wrapText="1" indent="1"/>
      <protection/>
    </xf>
    <xf numFmtId="0" fontId="11" fillId="33" borderId="11" xfId="0" applyFont="1" applyFill="1" applyBorder="1" applyAlignment="1" applyProtection="1" quotePrefix="1">
      <alignment horizontal="right" vertical="center" wrapText="1" indent="1"/>
      <protection locked="0"/>
    </xf>
    <xf numFmtId="0" fontId="11" fillId="33" borderId="30" xfId="0" applyFont="1" applyFill="1" applyBorder="1" applyAlignment="1" applyProtection="1">
      <alignment vertical="center" wrapText="1"/>
      <protection/>
    </xf>
    <xf numFmtId="0" fontId="15" fillId="33" borderId="31" xfId="0" applyFont="1" applyFill="1" applyBorder="1" applyAlignment="1" applyProtection="1">
      <alignment horizontal="left" vertical="center" wrapText="1" indent="1"/>
      <protection/>
    </xf>
    <xf numFmtId="173" fontId="10" fillId="33" borderId="11" xfId="54" applyNumberFormat="1" applyFont="1" applyFill="1" applyBorder="1" applyAlignment="1" applyProtection="1">
      <alignment horizontal="right" vertical="center" wrapText="1" indent="1"/>
      <protection/>
    </xf>
    <xf numFmtId="0" fontId="2" fillId="33" borderId="0" xfId="54" applyFont="1" applyFill="1" applyAlignment="1" applyProtection="1">
      <alignment/>
      <protection/>
    </xf>
    <xf numFmtId="0" fontId="2" fillId="33" borderId="0" xfId="54" applyFont="1" applyFill="1" applyProtection="1">
      <alignment/>
      <protection/>
    </xf>
    <xf numFmtId="0" fontId="1" fillId="33" borderId="0" xfId="54" applyFont="1" applyFill="1" applyAlignment="1" applyProtection="1">
      <alignment horizontal="right" vertical="center" indent="1"/>
      <protection/>
    </xf>
    <xf numFmtId="172" fontId="4" fillId="33" borderId="0" xfId="0" applyNumberFormat="1" applyFont="1" applyFill="1" applyBorder="1" applyAlignment="1">
      <alignment/>
    </xf>
    <xf numFmtId="0" fontId="10" fillId="33" borderId="11" xfId="54" applyFont="1" applyFill="1" applyBorder="1" applyAlignment="1" applyProtection="1">
      <alignment vertical="center" wrapText="1"/>
      <protection/>
    </xf>
    <xf numFmtId="0" fontId="21" fillId="33" borderId="0" xfId="0" applyFont="1" applyFill="1" applyAlignment="1" applyProtection="1">
      <alignment vertical="center"/>
      <protection/>
    </xf>
    <xf numFmtId="0" fontId="22" fillId="33" borderId="0" xfId="0" applyFont="1" applyFill="1" applyAlignment="1" applyProtection="1">
      <alignment horizontal="left" vertical="center" indent="1"/>
      <protection/>
    </xf>
    <xf numFmtId="0" fontId="1" fillId="33" borderId="0" xfId="0" applyFont="1" applyFill="1" applyAlignment="1" applyProtection="1">
      <alignment horizontal="right" vertical="center" indent="1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2" fillId="33" borderId="0" xfId="54" applyFont="1" applyFill="1" applyAlignment="1">
      <alignment/>
      <protection/>
    </xf>
    <xf numFmtId="0" fontId="2" fillId="33" borderId="0" xfId="54" applyFont="1" applyFill="1">
      <alignment/>
      <protection/>
    </xf>
    <xf numFmtId="0" fontId="1" fillId="33" borderId="0" xfId="54" applyFont="1" applyFill="1" applyAlignment="1">
      <alignment horizontal="right" vertical="center" indent="1"/>
      <protection/>
    </xf>
    <xf numFmtId="0" fontId="12" fillId="33" borderId="18" xfId="0" applyFont="1" applyFill="1" applyBorder="1" applyAlignment="1" applyProtection="1">
      <alignment vertical="center" wrapText="1"/>
      <protection/>
    </xf>
    <xf numFmtId="0" fontId="12" fillId="33" borderId="18" xfId="0" applyFont="1" applyFill="1" applyBorder="1" applyAlignment="1" applyProtection="1">
      <alignment horizontal="left" vertical="center" wrapText="1"/>
      <protection/>
    </xf>
    <xf numFmtId="0" fontId="12" fillId="33" borderId="39" xfId="0" applyFont="1" applyFill="1" applyBorder="1" applyAlignment="1" applyProtection="1">
      <alignment horizontal="left" vertical="center" wrapText="1"/>
      <protection/>
    </xf>
    <xf numFmtId="0" fontId="1" fillId="33" borderId="18" xfId="54" applyFont="1" applyFill="1" applyBorder="1" applyAlignment="1" applyProtection="1">
      <alignment vertical="center" wrapText="1"/>
      <protection/>
    </xf>
    <xf numFmtId="0" fontId="1" fillId="33" borderId="18" xfId="54" applyFont="1" applyFill="1" applyBorder="1" applyAlignment="1" applyProtection="1">
      <alignment/>
      <protection/>
    </xf>
    <xf numFmtId="0" fontId="1" fillId="33" borderId="18" xfId="54" applyFont="1" applyFill="1" applyBorder="1" applyAlignment="1" applyProtection="1">
      <alignment wrapText="1"/>
      <protection/>
    </xf>
    <xf numFmtId="0" fontId="1" fillId="33" borderId="32" xfId="54" applyFont="1" applyFill="1" applyBorder="1" applyAlignment="1" applyProtection="1">
      <alignment vertical="center" wrapText="1"/>
      <protection/>
    </xf>
    <xf numFmtId="0" fontId="1" fillId="33" borderId="39" xfId="54" applyFont="1" applyFill="1" applyBorder="1" applyAlignment="1" applyProtection="1">
      <alignment vertical="center" wrapText="1"/>
      <protection/>
    </xf>
    <xf numFmtId="173" fontId="10" fillId="33" borderId="16" xfId="54" applyNumberFormat="1" applyFont="1" applyFill="1" applyBorder="1" applyAlignment="1" applyProtection="1">
      <alignment horizontal="right" vertical="center" wrapText="1" indent="1"/>
      <protection/>
    </xf>
    <xf numFmtId="173" fontId="10" fillId="33" borderId="39" xfId="54" applyNumberFormat="1" applyFont="1" applyFill="1" applyBorder="1" applyAlignment="1" applyProtection="1">
      <alignment horizontal="right" vertical="center" wrapText="1" indent="1"/>
      <protection/>
    </xf>
    <xf numFmtId="0" fontId="12" fillId="33" borderId="18" xfId="54" applyFont="1" applyFill="1" applyBorder="1" applyAlignment="1" applyProtection="1">
      <alignment horizontal="left" vertical="center" wrapText="1"/>
      <protection/>
    </xf>
    <xf numFmtId="0" fontId="26" fillId="33" borderId="18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12" fillId="33" borderId="18" xfId="0" applyFont="1" applyFill="1" applyBorder="1" applyAlignment="1">
      <alignment horizontal="left" wrapText="1"/>
    </xf>
    <xf numFmtId="0" fontId="12" fillId="33" borderId="18" xfId="0" applyFont="1" applyFill="1" applyBorder="1" applyAlignment="1">
      <alignment horizontal="justify" wrapText="1"/>
    </xf>
    <xf numFmtId="49" fontId="1" fillId="33" borderId="36" xfId="54" applyNumberFormat="1" applyFont="1" applyFill="1" applyBorder="1" applyAlignment="1" applyProtection="1">
      <alignment vertical="center" wrapText="1"/>
      <protection/>
    </xf>
    <xf numFmtId="0" fontId="1" fillId="33" borderId="32" xfId="54" applyFont="1" applyFill="1" applyBorder="1" applyAlignment="1" applyProtection="1">
      <alignment horizontal="left" vertical="center" wrapText="1" indent="1"/>
      <protection/>
    </xf>
    <xf numFmtId="0" fontId="9" fillId="33" borderId="11" xfId="54" applyFont="1" applyFill="1" applyBorder="1" applyAlignment="1" applyProtection="1">
      <alignment horizontal="left" vertical="center" wrapText="1" indent="1"/>
      <protection/>
    </xf>
    <xf numFmtId="49" fontId="1" fillId="33" borderId="27" xfId="54" applyNumberFormat="1" applyFont="1" applyFill="1" applyBorder="1" applyAlignment="1" applyProtection="1">
      <alignment vertical="center" wrapText="1"/>
      <protection/>
    </xf>
    <xf numFmtId="0" fontId="12" fillId="33" borderId="28" xfId="0" applyFont="1" applyFill="1" applyBorder="1" applyAlignment="1" applyProtection="1">
      <alignment horizontal="left" vertical="center" wrapText="1" indent="1"/>
      <protection/>
    </xf>
    <xf numFmtId="172" fontId="4" fillId="33" borderId="44" xfId="0" applyNumberFormat="1" applyFont="1" applyFill="1" applyBorder="1" applyAlignment="1">
      <alignment/>
    </xf>
    <xf numFmtId="173" fontId="1" fillId="33" borderId="18" xfId="54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/>
    </xf>
    <xf numFmtId="0" fontId="20" fillId="0" borderId="18" xfId="54" applyFont="1" applyFill="1" applyBorder="1" applyAlignment="1" applyProtection="1">
      <alignment horizontal="center" vertical="center" wrapText="1"/>
      <protection/>
    </xf>
    <xf numFmtId="0" fontId="20" fillId="0" borderId="18" xfId="0" applyFont="1" applyBorder="1" applyAlignment="1">
      <alignment/>
    </xf>
    <xf numFmtId="0" fontId="23" fillId="0" borderId="18" xfId="0" applyFont="1" applyBorder="1" applyAlignment="1">
      <alignment/>
    </xf>
    <xf numFmtId="0" fontId="20" fillId="0" borderId="18" xfId="0" applyFont="1" applyBorder="1" applyAlignment="1">
      <alignment horizontal="left"/>
    </xf>
    <xf numFmtId="0" fontId="23" fillId="0" borderId="19" xfId="0" applyFont="1" applyBorder="1" applyAlignment="1">
      <alignment/>
    </xf>
    <xf numFmtId="0" fontId="20" fillId="0" borderId="17" xfId="0" applyFont="1" applyBorder="1" applyAlignment="1">
      <alignment horizontal="left"/>
    </xf>
    <xf numFmtId="1" fontId="23" fillId="0" borderId="18" xfId="0" applyNumberFormat="1" applyFont="1" applyBorder="1" applyAlignment="1">
      <alignment/>
    </xf>
    <xf numFmtId="0" fontId="23" fillId="0" borderId="18" xfId="0" applyFont="1" applyBorder="1" applyAlignment="1">
      <alignment horizontal="left"/>
    </xf>
    <xf numFmtId="49" fontId="20" fillId="0" borderId="18" xfId="54" applyNumberFormat="1" applyFont="1" applyFill="1" applyBorder="1" applyAlignment="1" applyProtection="1">
      <alignment horizontal="left" vertical="center" wrapText="1"/>
      <protection/>
    </xf>
    <xf numFmtId="3" fontId="23" fillId="0" borderId="18" xfId="0" applyNumberFormat="1" applyFont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3" fillId="0" borderId="17" xfId="0" applyFont="1" applyBorder="1" applyAlignment="1">
      <alignment horizontal="left"/>
    </xf>
    <xf numFmtId="49" fontId="23" fillId="0" borderId="17" xfId="54" applyNumberFormat="1" applyFont="1" applyFill="1" applyBorder="1" applyAlignment="1" applyProtection="1">
      <alignment horizontal="left" vertical="center" wrapText="1"/>
      <protection/>
    </xf>
    <xf numFmtId="49" fontId="23" fillId="0" borderId="18" xfId="54" applyNumberFormat="1" applyFont="1" applyFill="1" applyBorder="1" applyAlignment="1" applyProtection="1">
      <alignment horizontal="left" vertical="center" wrapText="1"/>
      <protection/>
    </xf>
    <xf numFmtId="0" fontId="20" fillId="0" borderId="18" xfId="54" applyFont="1" applyFill="1" applyBorder="1" applyAlignment="1" applyProtection="1">
      <alignment horizontal="left" vertical="center" wrapText="1"/>
      <protection/>
    </xf>
    <xf numFmtId="0" fontId="23" fillId="0" borderId="18" xfId="54" applyFont="1" applyFill="1" applyBorder="1" applyAlignment="1" applyProtection="1">
      <alignment vertical="center" wrapText="1"/>
      <protection/>
    </xf>
    <xf numFmtId="0" fontId="23" fillId="0" borderId="18" xfId="54" applyFont="1" applyFill="1" applyBorder="1" applyAlignment="1" applyProtection="1">
      <alignment/>
      <protection/>
    </xf>
    <xf numFmtId="0" fontId="23" fillId="0" borderId="18" xfId="54" applyFont="1" applyFill="1" applyBorder="1" applyAlignment="1" applyProtection="1">
      <alignment horizontal="left"/>
      <protection/>
    </xf>
    <xf numFmtId="0" fontId="23" fillId="0" borderId="19" xfId="0" applyFont="1" applyBorder="1" applyAlignment="1">
      <alignment horizontal="left"/>
    </xf>
    <xf numFmtId="0" fontId="23" fillId="0" borderId="46" xfId="0" applyFont="1" applyBorder="1" applyAlignment="1">
      <alignment horizontal="left"/>
    </xf>
    <xf numFmtId="0" fontId="23" fillId="0" borderId="18" xfId="0" applyFont="1" applyBorder="1" applyAlignment="1">
      <alignment horizontal="justify"/>
    </xf>
    <xf numFmtId="0" fontId="20" fillId="0" borderId="46" xfId="54" applyFont="1" applyFill="1" applyBorder="1" applyAlignment="1" applyProtection="1">
      <alignment horizontal="left" vertical="center" wrapText="1"/>
      <protection/>
    </xf>
    <xf numFmtId="49" fontId="20" fillId="0" borderId="19" xfId="54" applyNumberFormat="1" applyFont="1" applyFill="1" applyBorder="1" applyAlignment="1" applyProtection="1">
      <alignment horizontal="left" vertical="center" wrapText="1"/>
      <protection/>
    </xf>
    <xf numFmtId="0" fontId="23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20" fillId="0" borderId="18" xfId="54" applyFont="1" applyFill="1" applyBorder="1" applyAlignment="1" applyProtection="1">
      <alignment vertical="center" wrapText="1"/>
      <protection/>
    </xf>
    <xf numFmtId="49" fontId="23" fillId="0" borderId="18" xfId="54" applyNumberFormat="1" applyFont="1" applyFill="1" applyBorder="1" applyAlignment="1" applyProtection="1">
      <alignment vertical="center" wrapText="1"/>
      <protection/>
    </xf>
    <xf numFmtId="0" fontId="23" fillId="0" borderId="18" xfId="54" applyFont="1" applyFill="1" applyBorder="1" applyAlignment="1" applyProtection="1">
      <alignment wrapText="1"/>
      <protection/>
    </xf>
    <xf numFmtId="0" fontId="12" fillId="0" borderId="18" xfId="0" applyFont="1" applyBorder="1" applyAlignment="1" applyProtection="1">
      <alignment horizontal="left" vertical="center" wrapText="1" indent="1"/>
      <protection/>
    </xf>
    <xf numFmtId="16" fontId="23" fillId="0" borderId="18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0" fontId="23" fillId="33" borderId="18" xfId="0" applyFont="1" applyFill="1" applyBorder="1" applyAlignment="1">
      <alignment/>
    </xf>
    <xf numFmtId="0" fontId="20" fillId="0" borderId="0" xfId="0" applyFont="1" applyAlignment="1">
      <alignment horizontal="left"/>
    </xf>
    <xf numFmtId="1" fontId="23" fillId="0" borderId="32" xfId="0" applyNumberFormat="1" applyFont="1" applyBorder="1" applyAlignment="1">
      <alignment/>
    </xf>
    <xf numFmtId="0" fontId="20" fillId="0" borderId="32" xfId="0" applyFont="1" applyBorder="1" applyAlignment="1">
      <alignment horizontal="left"/>
    </xf>
    <xf numFmtId="0" fontId="23" fillId="0" borderId="32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1" fontId="23" fillId="0" borderId="0" xfId="0" applyNumberFormat="1" applyFont="1" applyAlignment="1">
      <alignment/>
    </xf>
    <xf numFmtId="0" fontId="29" fillId="0" borderId="18" xfId="0" applyFont="1" applyBorder="1" applyAlignment="1">
      <alignment/>
    </xf>
    <xf numFmtId="1" fontId="23" fillId="33" borderId="18" xfId="0" applyNumberFormat="1" applyFont="1" applyFill="1" applyBorder="1" applyAlignment="1">
      <alignment/>
    </xf>
    <xf numFmtId="1" fontId="23" fillId="33" borderId="32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3" fontId="23" fillId="0" borderId="0" xfId="0" applyNumberFormat="1" applyFont="1" applyAlignment="1">
      <alignment/>
    </xf>
    <xf numFmtId="173" fontId="23" fillId="0" borderId="0" xfId="0" applyNumberFormat="1" applyFont="1" applyFill="1" applyAlignment="1">
      <alignment horizontal="center" vertical="center" wrapText="1"/>
    </xf>
    <xf numFmtId="173" fontId="23" fillId="0" borderId="18" xfId="0" applyNumberFormat="1" applyFont="1" applyFill="1" applyBorder="1" applyAlignment="1">
      <alignment horizontal="center" vertical="center" wrapText="1"/>
    </xf>
    <xf numFmtId="3" fontId="20" fillId="0" borderId="18" xfId="0" applyNumberFormat="1" applyFont="1" applyFill="1" applyBorder="1" applyAlignment="1">
      <alignment horizontal="center" vertical="center" wrapText="1"/>
    </xf>
    <xf numFmtId="0" fontId="30" fillId="0" borderId="18" xfId="0" applyFont="1" applyBorder="1" applyAlignment="1">
      <alignment/>
    </xf>
    <xf numFmtId="173" fontId="23" fillId="0" borderId="18" xfId="0" applyNumberFormat="1" applyFont="1" applyFill="1" applyBorder="1" applyAlignment="1" applyProtection="1">
      <alignment horizontal="center" vertical="center" wrapText="1"/>
      <protection/>
    </xf>
    <xf numFmtId="3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justify"/>
    </xf>
    <xf numFmtId="3" fontId="23" fillId="0" borderId="18" xfId="0" applyNumberFormat="1" applyFont="1" applyFill="1" applyBorder="1" applyAlignment="1" applyProtection="1">
      <alignment vertical="center" wrapText="1"/>
      <protection locked="0"/>
    </xf>
    <xf numFmtId="0" fontId="0" fillId="33" borderId="18" xfId="0" applyFill="1" applyBorder="1" applyAlignment="1">
      <alignment/>
    </xf>
    <xf numFmtId="3" fontId="20" fillId="0" borderId="18" xfId="0" applyNumberFormat="1" applyFont="1" applyFill="1" applyBorder="1" applyAlignment="1" applyProtection="1">
      <alignment vertical="center" wrapText="1"/>
      <protection locked="0"/>
    </xf>
    <xf numFmtId="0" fontId="24" fillId="0" borderId="18" xfId="0" applyFont="1" applyBorder="1" applyAlignment="1">
      <alignment horizontal="right"/>
    </xf>
    <xf numFmtId="173" fontId="23" fillId="0" borderId="18" xfId="0" applyNumberFormat="1" applyFont="1" applyFill="1" applyBorder="1" applyAlignment="1" applyProtection="1">
      <alignment horizontal="left" vertical="center" wrapText="1"/>
      <protection locked="0"/>
    </xf>
    <xf numFmtId="173" fontId="24" fillId="0" borderId="18" xfId="0" applyNumberFormat="1" applyFont="1" applyFill="1" applyBorder="1" applyAlignment="1" applyProtection="1">
      <alignment horizontal="right" vertical="center" wrapText="1"/>
      <protection locked="0"/>
    </xf>
    <xf numFmtId="173" fontId="20" fillId="0" borderId="18" xfId="0" applyNumberFormat="1" applyFont="1" applyFill="1" applyBorder="1" applyAlignment="1">
      <alignment horizontal="center" vertical="center" wrapText="1"/>
    </xf>
    <xf numFmtId="173" fontId="12" fillId="0" borderId="18" xfId="0" applyNumberFormat="1" applyFont="1" applyFill="1" applyBorder="1" applyAlignment="1" applyProtection="1">
      <alignment vertical="center" wrapText="1"/>
      <protection locked="0"/>
    </xf>
    <xf numFmtId="173" fontId="27" fillId="0" borderId="18" xfId="0" applyNumberFormat="1" applyFont="1" applyBorder="1" applyAlignment="1">
      <alignment/>
    </xf>
    <xf numFmtId="3" fontId="12" fillId="0" borderId="18" xfId="0" applyNumberFormat="1" applyFont="1" applyFill="1" applyBorder="1" applyAlignment="1" applyProtection="1">
      <alignment vertical="center" wrapText="1"/>
      <protection locked="0"/>
    </xf>
    <xf numFmtId="3" fontId="11" fillId="0" borderId="18" xfId="0" applyNumberFormat="1" applyFont="1" applyFill="1" applyBorder="1" applyAlignment="1" applyProtection="1">
      <alignment vertical="center" wrapText="1"/>
      <protection locked="0"/>
    </xf>
    <xf numFmtId="0" fontId="31" fillId="0" borderId="0" xfId="0" applyFont="1" applyAlignment="1">
      <alignment/>
    </xf>
    <xf numFmtId="173" fontId="30" fillId="0" borderId="18" xfId="0" applyNumberFormat="1" applyFont="1" applyBorder="1" applyAlignment="1">
      <alignment/>
    </xf>
    <xf numFmtId="3" fontId="30" fillId="0" borderId="18" xfId="0" applyNumberFormat="1" applyFont="1" applyBorder="1" applyAlignment="1">
      <alignment/>
    </xf>
    <xf numFmtId="0" fontId="34" fillId="0" borderId="18" xfId="54" applyFont="1" applyFill="1" applyBorder="1" applyAlignment="1" applyProtection="1">
      <alignment horizontal="center" vertical="center" wrapText="1"/>
      <protection/>
    </xf>
    <xf numFmtId="0" fontId="34" fillId="0" borderId="17" xfId="54" applyFont="1" applyFill="1" applyBorder="1" applyAlignment="1" applyProtection="1">
      <alignment horizontal="left" vertical="center" wrapText="1"/>
      <protection/>
    </xf>
    <xf numFmtId="1" fontId="32" fillId="0" borderId="18" xfId="0" applyNumberFormat="1" applyFont="1" applyFill="1" applyBorder="1" applyAlignment="1">
      <alignment/>
    </xf>
    <xf numFmtId="49" fontId="34" fillId="0" borderId="18" xfId="54" applyNumberFormat="1" applyFont="1" applyFill="1" applyBorder="1" applyAlignment="1" applyProtection="1">
      <alignment horizontal="left" vertical="center" wrapText="1"/>
      <protection/>
    </xf>
    <xf numFmtId="49" fontId="32" fillId="0" borderId="17" xfId="54" applyNumberFormat="1" applyFont="1" applyFill="1" applyBorder="1" applyAlignment="1" applyProtection="1">
      <alignment horizontal="left" vertical="center" wrapText="1"/>
      <protection/>
    </xf>
    <xf numFmtId="49" fontId="32" fillId="0" borderId="18" xfId="54" applyNumberFormat="1" applyFont="1" applyFill="1" applyBorder="1" applyAlignment="1" applyProtection="1">
      <alignment horizontal="left" vertical="center" wrapText="1"/>
      <protection/>
    </xf>
    <xf numFmtId="0" fontId="34" fillId="0" borderId="18" xfId="54" applyFont="1" applyFill="1" applyBorder="1" applyAlignment="1" applyProtection="1">
      <alignment horizontal="left" vertical="center" wrapText="1"/>
      <protection/>
    </xf>
    <xf numFmtId="0" fontId="32" fillId="0" borderId="18" xfId="54" applyFont="1" applyFill="1" applyBorder="1" applyAlignment="1" applyProtection="1">
      <alignment vertical="center" wrapText="1"/>
      <protection/>
    </xf>
    <xf numFmtId="0" fontId="32" fillId="0" borderId="21" xfId="54" applyFont="1" applyFill="1" applyBorder="1" applyAlignment="1" applyProtection="1">
      <alignment horizontal="left" vertical="center" wrapText="1"/>
      <protection/>
    </xf>
    <xf numFmtId="0" fontId="32" fillId="0" borderId="18" xfId="54" applyFont="1" applyFill="1" applyBorder="1" applyAlignment="1" applyProtection="1">
      <alignment/>
      <protection/>
    </xf>
    <xf numFmtId="0" fontId="32" fillId="0" borderId="18" xfId="54" applyFont="1" applyFill="1" applyBorder="1" applyAlignment="1" applyProtection="1">
      <alignment horizontal="left"/>
      <protection/>
    </xf>
    <xf numFmtId="0" fontId="34" fillId="0" borderId="19" xfId="54" applyFont="1" applyFill="1" applyBorder="1" applyAlignment="1" applyProtection="1">
      <alignment horizontal="left" vertical="center" wrapText="1"/>
      <protection/>
    </xf>
    <xf numFmtId="0" fontId="34" fillId="0" borderId="46" xfId="54" applyFont="1" applyFill="1" applyBorder="1" applyAlignment="1" applyProtection="1">
      <alignment horizontal="left" vertical="center" wrapText="1"/>
      <protection/>
    </xf>
    <xf numFmtId="49" fontId="34" fillId="0" borderId="19" xfId="54" applyNumberFormat="1" applyFont="1" applyFill="1" applyBorder="1" applyAlignment="1" applyProtection="1">
      <alignment horizontal="left" vertical="center" wrapText="1"/>
      <protection/>
    </xf>
    <xf numFmtId="0" fontId="34" fillId="0" borderId="0" xfId="0" applyFont="1" applyFill="1" applyBorder="1" applyAlignment="1">
      <alignment horizontal="left"/>
    </xf>
    <xf numFmtId="0" fontId="32" fillId="0" borderId="18" xfId="0" applyFont="1" applyFill="1" applyBorder="1" applyAlignment="1">
      <alignment/>
    </xf>
    <xf numFmtId="0" fontId="34" fillId="0" borderId="32" xfId="0" applyFont="1" applyFill="1" applyBorder="1" applyAlignment="1">
      <alignment horizontal="left"/>
    </xf>
    <xf numFmtId="0" fontId="34" fillId="0" borderId="18" xfId="54" applyFont="1" applyFill="1" applyBorder="1" applyAlignment="1" applyProtection="1">
      <alignment vertical="center" wrapText="1"/>
      <protection/>
    </xf>
    <xf numFmtId="3" fontId="32" fillId="0" borderId="18" xfId="0" applyNumberFormat="1" applyFont="1" applyFill="1" applyBorder="1" applyAlignment="1">
      <alignment/>
    </xf>
    <xf numFmtId="49" fontId="32" fillId="0" borderId="18" xfId="54" applyNumberFormat="1" applyFont="1" applyFill="1" applyBorder="1" applyAlignment="1" applyProtection="1">
      <alignment vertical="center" wrapText="1"/>
      <protection/>
    </xf>
    <xf numFmtId="0" fontId="32" fillId="0" borderId="18" xfId="54" applyFont="1" applyFill="1" applyBorder="1" applyAlignment="1" applyProtection="1">
      <alignment wrapText="1"/>
      <protection/>
    </xf>
    <xf numFmtId="3" fontId="34" fillId="0" borderId="18" xfId="0" applyNumberFormat="1" applyFont="1" applyFill="1" applyBorder="1" applyAlignment="1">
      <alignment/>
    </xf>
    <xf numFmtId="0" fontId="34" fillId="0" borderId="18" xfId="0" applyFont="1" applyFill="1" applyBorder="1" applyAlignment="1">
      <alignment/>
    </xf>
    <xf numFmtId="0" fontId="34" fillId="0" borderId="18" xfId="0" applyFont="1" applyFill="1" applyBorder="1" applyAlignment="1">
      <alignment horizontal="left"/>
    </xf>
    <xf numFmtId="0" fontId="32" fillId="0" borderId="19" xfId="0" applyFont="1" applyFill="1" applyBorder="1" applyAlignment="1">
      <alignment/>
    </xf>
    <xf numFmtId="0" fontId="34" fillId="0" borderId="17" xfId="0" applyFont="1" applyFill="1" applyBorder="1" applyAlignment="1">
      <alignment horizontal="left"/>
    </xf>
    <xf numFmtId="0" fontId="32" fillId="0" borderId="18" xfId="0" applyFont="1" applyFill="1" applyBorder="1" applyAlignment="1">
      <alignment horizontal="left"/>
    </xf>
    <xf numFmtId="0" fontId="32" fillId="0" borderId="17" xfId="0" applyFont="1" applyFill="1" applyBorder="1" applyAlignment="1">
      <alignment horizontal="left"/>
    </xf>
    <xf numFmtId="0" fontId="36" fillId="0" borderId="18" xfId="0" applyFont="1" applyFill="1" applyBorder="1" applyAlignment="1" applyProtection="1">
      <alignment vertical="center" wrapText="1"/>
      <protection/>
    </xf>
    <xf numFmtId="0" fontId="32" fillId="0" borderId="18" xfId="0" applyFont="1" applyFill="1" applyBorder="1" applyAlignment="1">
      <alignment horizontal="justify"/>
    </xf>
    <xf numFmtId="1" fontId="34" fillId="0" borderId="18" xfId="0" applyNumberFormat="1" applyFont="1" applyFill="1" applyBorder="1" applyAlignment="1">
      <alignment/>
    </xf>
    <xf numFmtId="1" fontId="34" fillId="0" borderId="32" xfId="0" applyNumberFormat="1" applyFont="1" applyFill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0" xfId="0" applyFont="1" applyFill="1" applyAlignment="1">
      <alignment/>
    </xf>
    <xf numFmtId="1" fontId="33" fillId="0" borderId="0" xfId="0" applyNumberFormat="1" applyFont="1" applyFill="1" applyAlignment="1">
      <alignment/>
    </xf>
    <xf numFmtId="0" fontId="9" fillId="0" borderId="0" xfId="0" applyFont="1" applyFill="1" applyAlignment="1" applyProtection="1">
      <alignment horizontal="right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173" fontId="1" fillId="33" borderId="34" xfId="0" applyNumberFormat="1" applyFont="1" applyFill="1" applyBorder="1" applyAlignment="1" applyProtection="1">
      <alignment horizontal="right" vertical="center" wrapText="1"/>
      <protection locked="0"/>
    </xf>
    <xf numFmtId="173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173" fontId="1" fillId="33" borderId="35" xfId="0" applyNumberFormat="1" applyFont="1" applyFill="1" applyBorder="1" applyAlignment="1" applyProtection="1">
      <alignment horizontal="right" vertical="center" wrapText="1"/>
      <protection locked="0"/>
    </xf>
    <xf numFmtId="173" fontId="10" fillId="33" borderId="11" xfId="0" applyNumberFormat="1" applyFont="1" applyFill="1" applyBorder="1" applyAlignment="1" applyProtection="1">
      <alignment horizontal="right" vertical="center" wrapText="1"/>
      <protection/>
    </xf>
    <xf numFmtId="173" fontId="10" fillId="33" borderId="33" xfId="0" applyNumberFormat="1" applyFont="1" applyFill="1" applyBorder="1" applyAlignment="1" applyProtection="1">
      <alignment horizontal="right"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Fill="1" applyBorder="1" applyAlignment="1" applyProtection="1">
      <alignment horizontal="center" vertical="center" wrapText="1"/>
      <protection/>
    </xf>
    <xf numFmtId="173" fontId="1" fillId="33" borderId="29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49" fontId="1" fillId="0" borderId="32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173" fontId="10" fillId="33" borderId="24" xfId="0" applyNumberFormat="1" applyFont="1" applyFill="1" applyBorder="1" applyAlignment="1" applyProtection="1">
      <alignment horizontal="right" vertical="center" wrapText="1"/>
      <protection/>
    </xf>
    <xf numFmtId="173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173" fontId="1" fillId="33" borderId="35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1" xfId="54" applyFont="1" applyFill="1" applyBorder="1" applyAlignment="1" applyProtection="1">
      <alignment horizontal="left" vertical="center" wrapText="1"/>
      <protection/>
    </xf>
    <xf numFmtId="49" fontId="1" fillId="0" borderId="16" xfId="54" applyNumberFormat="1" applyFont="1" applyFill="1" applyBorder="1" applyAlignment="1" applyProtection="1">
      <alignment horizontal="left" vertical="center" wrapText="1"/>
      <protection/>
    </xf>
    <xf numFmtId="173" fontId="14" fillId="33" borderId="34" xfId="0" applyNumberFormat="1" applyFont="1" applyFill="1" applyBorder="1" applyAlignment="1" applyProtection="1">
      <alignment horizontal="right" vertical="center" wrapText="1"/>
      <protection/>
    </xf>
    <xf numFmtId="173" fontId="14" fillId="33" borderId="21" xfId="0" applyNumberFormat="1" applyFont="1" applyFill="1" applyBorder="1" applyAlignment="1" applyProtection="1">
      <alignment horizontal="right" vertical="center" wrapText="1"/>
      <protection/>
    </xf>
    <xf numFmtId="49" fontId="1" fillId="0" borderId="18" xfId="54" applyNumberFormat="1" applyFont="1" applyFill="1" applyBorder="1" applyAlignment="1" applyProtection="1">
      <alignment horizontal="left" vertical="center" wrapText="1"/>
      <protection/>
    </xf>
    <xf numFmtId="173" fontId="14" fillId="33" borderId="19" xfId="0" applyNumberFormat="1" applyFont="1" applyFill="1" applyBorder="1" applyAlignment="1" applyProtection="1">
      <alignment horizontal="right" vertical="center" wrapText="1"/>
      <protection/>
    </xf>
    <xf numFmtId="173" fontId="14" fillId="33" borderId="18" xfId="0" applyNumberFormat="1" applyFont="1" applyFill="1" applyBorder="1" applyAlignment="1" applyProtection="1">
      <alignment horizontal="right" vertical="center" wrapText="1"/>
      <protection/>
    </xf>
    <xf numFmtId="17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42" xfId="0" applyFont="1" applyFill="1" applyBorder="1" applyAlignment="1" applyProtection="1">
      <alignment horizontal="center" vertical="center" wrapText="1"/>
      <protection/>
    </xf>
    <xf numFmtId="49" fontId="1" fillId="0" borderId="39" xfId="54" applyNumberFormat="1" applyFont="1" applyFill="1" applyBorder="1" applyAlignment="1" applyProtection="1">
      <alignment horizontal="left" vertical="center" wrapText="1"/>
      <protection/>
    </xf>
    <xf numFmtId="173" fontId="1" fillId="0" borderId="35" xfId="0" applyNumberFormat="1" applyFont="1" applyFill="1" applyBorder="1" applyAlignment="1" applyProtection="1">
      <alignment horizontal="right" vertical="center" wrapText="1"/>
      <protection locked="0"/>
    </xf>
    <xf numFmtId="173" fontId="10" fillId="0" borderId="11" xfId="0" applyNumberFormat="1" applyFont="1" applyFill="1" applyBorder="1" applyAlignment="1" applyProtection="1">
      <alignment horizontal="right" vertical="center" wrapText="1"/>
      <protection/>
    </xf>
    <xf numFmtId="173" fontId="10" fillId="0" borderId="33" xfId="0" applyNumberFormat="1" applyFont="1" applyFill="1" applyBorder="1" applyAlignment="1" applyProtection="1">
      <alignment horizontal="right" vertical="center" wrapText="1"/>
      <protection/>
    </xf>
    <xf numFmtId="173" fontId="1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4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9" fillId="0" borderId="49" xfId="0" applyFont="1" applyFill="1" applyBorder="1" applyAlignment="1" applyProtection="1">
      <alignment horizontal="center" vertical="center" wrapText="1"/>
      <protection/>
    </xf>
    <xf numFmtId="173" fontId="9" fillId="0" borderId="11" xfId="0" applyNumberFormat="1" applyFont="1" applyFill="1" applyBorder="1" applyAlignment="1" applyProtection="1">
      <alignment horizontal="right" vertical="center" wrapText="1"/>
      <protection/>
    </xf>
    <xf numFmtId="173" fontId="9" fillId="0" borderId="33" xfId="0" applyNumberFormat="1" applyFont="1" applyFill="1" applyBorder="1" applyAlignment="1" applyProtection="1">
      <alignment horizontal="right" vertical="center" wrapText="1"/>
      <protection/>
    </xf>
    <xf numFmtId="49" fontId="10" fillId="0" borderId="11" xfId="54" applyNumberFormat="1" applyFont="1" applyFill="1" applyBorder="1" applyAlignment="1" applyProtection="1">
      <alignment horizontal="left" vertical="center" wrapText="1"/>
      <protection/>
    </xf>
    <xf numFmtId="173" fontId="10" fillId="0" borderId="21" xfId="0" applyNumberFormat="1" applyFont="1" applyFill="1" applyBorder="1" applyAlignment="1" applyProtection="1">
      <alignment horizontal="right" vertical="center" wrapText="1"/>
      <protection/>
    </xf>
    <xf numFmtId="173" fontId="1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73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0" fillId="0" borderId="48" xfId="0" applyFont="1" applyFill="1" applyBorder="1" applyAlignment="1" applyProtection="1">
      <alignment horizontal="center" vertical="center" wrapText="1"/>
      <protection/>
    </xf>
    <xf numFmtId="0" fontId="10" fillId="0" borderId="50" xfId="0" applyFont="1" applyFill="1" applyBorder="1" applyAlignment="1" applyProtection="1">
      <alignment horizontal="center" vertical="center" wrapText="1"/>
      <protection/>
    </xf>
    <xf numFmtId="173" fontId="10" fillId="0" borderId="50" xfId="0" applyNumberFormat="1" applyFont="1" applyFill="1" applyBorder="1" applyAlignment="1" applyProtection="1">
      <alignment horizontal="right" vertical="center" wrapText="1"/>
      <protection/>
    </xf>
    <xf numFmtId="0" fontId="10" fillId="0" borderId="11" xfId="54" applyFont="1" applyFill="1" applyBorder="1" applyAlignment="1" applyProtection="1">
      <alignment horizontal="left" vertical="center" wrapText="1"/>
      <protection/>
    </xf>
    <xf numFmtId="0" fontId="10" fillId="0" borderId="41" xfId="0" applyFont="1" applyFill="1" applyBorder="1" applyAlignment="1" applyProtection="1">
      <alignment horizontal="center" vertical="center" wrapText="1"/>
      <protection/>
    </xf>
    <xf numFmtId="49" fontId="1" fillId="0" borderId="21" xfId="54" applyNumberFormat="1" applyFont="1" applyFill="1" applyBorder="1" applyAlignment="1" applyProtection="1">
      <alignment horizontal="left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173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49" fontId="1" fillId="0" borderId="32" xfId="54" applyNumberFormat="1" applyFont="1" applyFill="1" applyBorder="1" applyAlignment="1" applyProtection="1">
      <alignment horizontal="left" vertical="center" wrapText="1"/>
      <protection/>
    </xf>
    <xf numFmtId="173" fontId="1" fillId="0" borderId="34" xfId="0" applyNumberFormat="1" applyFont="1" applyFill="1" applyBorder="1" applyAlignment="1" applyProtection="1">
      <alignment horizontal="right" vertical="center" wrapText="1"/>
      <protection locked="0"/>
    </xf>
    <xf numFmtId="17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49" xfId="54" applyFont="1" applyFill="1" applyBorder="1" applyAlignment="1" applyProtection="1">
      <alignment horizontal="left"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173" fontId="1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42" xfId="0" applyFont="1" applyFill="1" applyBorder="1" applyAlignment="1" applyProtection="1">
      <alignment horizontal="center" vertical="center" wrapText="1"/>
      <protection/>
    </xf>
    <xf numFmtId="173" fontId="1" fillId="0" borderId="51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11" xfId="54" applyNumberFormat="1" applyFont="1" applyFill="1" applyBorder="1" applyAlignment="1" applyProtection="1">
      <alignment horizontal="left" vertical="center" wrapText="1"/>
      <protection/>
    </xf>
    <xf numFmtId="173" fontId="10" fillId="0" borderId="24" xfId="0" applyNumberFormat="1" applyFont="1" applyFill="1" applyBorder="1" applyAlignment="1" applyProtection="1">
      <alignment horizontal="right" vertical="center" wrapText="1"/>
      <protection locked="0"/>
    </xf>
    <xf numFmtId="173" fontId="9" fillId="0" borderId="33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73" fontId="10" fillId="0" borderId="33" xfId="0" applyNumberFormat="1" applyFont="1" applyFill="1" applyBorder="1" applyAlignment="1" applyProtection="1">
      <alignment horizontal="right" vertical="center" wrapText="1"/>
      <protection/>
    </xf>
    <xf numFmtId="0" fontId="10" fillId="0" borderId="49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 indent="1"/>
      <protection/>
    </xf>
    <xf numFmtId="173" fontId="10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1" fillId="0" borderId="16" xfId="54" applyFont="1" applyFill="1" applyBorder="1" applyAlignment="1" applyProtection="1">
      <alignment horizontal="left" vertical="center" wrapText="1" indent="1"/>
      <protection/>
    </xf>
    <xf numFmtId="173" fontId="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8" xfId="54" applyFont="1" applyFill="1" applyBorder="1" applyAlignment="1" applyProtection="1">
      <alignment horizontal="left" vertical="center" wrapText="1" indent="1"/>
      <protection/>
    </xf>
    <xf numFmtId="173" fontId="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28" xfId="54" applyFont="1" applyFill="1" applyBorder="1" applyAlignment="1" applyProtection="1">
      <alignment horizontal="left" vertical="center" wrapText="1" indent="1"/>
      <protection/>
    </xf>
    <xf numFmtId="173" fontId="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3" fontId="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21" xfId="54" applyFont="1" applyFill="1" applyBorder="1" applyAlignment="1" applyProtection="1">
      <alignment horizontal="left" vertical="center" wrapText="1" indent="1"/>
      <protection/>
    </xf>
    <xf numFmtId="0" fontId="10" fillId="0" borderId="11" xfId="54" applyFont="1" applyFill="1" applyBorder="1" applyAlignment="1" applyProtection="1">
      <alignment horizontal="left" vertical="center" wrapText="1" inden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54" applyFont="1" applyFill="1" applyBorder="1" applyAlignment="1" applyProtection="1">
      <alignment horizontal="left" vertical="center" wrapText="1" indent="1"/>
      <protection/>
    </xf>
    <xf numFmtId="173" fontId="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49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54" applyFont="1" applyFill="1" applyBorder="1" applyAlignment="1" applyProtection="1">
      <alignment horizontal="left" vertical="center" wrapText="1" indent="1"/>
      <protection/>
    </xf>
    <xf numFmtId="173" fontId="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3" fontId="1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0" fillId="0" borderId="49" xfId="54" applyFont="1" applyFill="1" applyBorder="1" applyAlignment="1" applyProtection="1">
      <alignment horizontal="left" vertical="center" wrapText="1" indent="1"/>
      <protection/>
    </xf>
    <xf numFmtId="49" fontId="1" fillId="0" borderId="16" xfId="54" applyNumberFormat="1" applyFont="1" applyFill="1" applyBorder="1" applyAlignment="1" applyProtection="1">
      <alignment horizontal="left" vertical="center" wrapText="1" indent="1"/>
      <protection/>
    </xf>
    <xf numFmtId="49" fontId="1" fillId="0" borderId="39" xfId="54" applyNumberFormat="1" applyFont="1" applyFill="1" applyBorder="1" applyAlignment="1" applyProtection="1">
      <alignment horizontal="left" vertical="center" wrapText="1" indent="1"/>
      <protection/>
    </xf>
    <xf numFmtId="0" fontId="1" fillId="0" borderId="39" xfId="54" applyFont="1" applyFill="1" applyBorder="1" applyAlignment="1" applyProtection="1">
      <alignment horizontal="left" vertical="center" wrapText="1" indent="1"/>
      <protection/>
    </xf>
    <xf numFmtId="173" fontId="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52" xfId="0" applyFont="1" applyBorder="1" applyAlignment="1" applyProtection="1">
      <alignment horizontal="center" wrapText="1"/>
      <protection/>
    </xf>
    <xf numFmtId="0" fontId="10" fillId="0" borderId="52" xfId="54" applyFont="1" applyFill="1" applyBorder="1" applyAlignment="1" applyProtection="1">
      <alignment horizontal="left" vertical="center" wrapText="1" indent="1"/>
      <protection/>
    </xf>
    <xf numFmtId="173" fontId="10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Fill="1" applyAlignment="1" applyProtection="1">
      <alignment horizontal="right" vertical="center" wrapText="1" indent="1"/>
      <protection/>
    </xf>
    <xf numFmtId="0" fontId="10" fillId="0" borderId="11" xfId="54" applyFont="1" applyFill="1" applyBorder="1" applyAlignment="1" applyProtection="1">
      <alignment horizontal="left" vertical="center" wrapText="1" indent="1"/>
      <protection/>
    </xf>
    <xf numFmtId="49" fontId="1" fillId="0" borderId="21" xfId="54" applyNumberFormat="1" applyFont="1" applyFill="1" applyBorder="1" applyAlignment="1" applyProtection="1">
      <alignment horizontal="left" vertical="center" wrapText="1" indent="1"/>
      <protection/>
    </xf>
    <xf numFmtId="49" fontId="1" fillId="0" borderId="18" xfId="54" applyNumberFormat="1" applyFont="1" applyFill="1" applyBorder="1" applyAlignment="1" applyProtection="1">
      <alignment horizontal="left" vertical="center" wrapText="1" indent="1"/>
      <protection/>
    </xf>
    <xf numFmtId="173" fontId="10" fillId="0" borderId="33" xfId="0" applyNumberFormat="1" applyFont="1" applyFill="1" applyBorder="1" applyAlignment="1" applyProtection="1">
      <alignment horizontal="right" vertical="center" wrapText="1" indent="1"/>
      <protection/>
    </xf>
    <xf numFmtId="173" fontId="1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3" fontId="10" fillId="0" borderId="53" xfId="0" applyNumberFormat="1" applyFont="1" applyFill="1" applyBorder="1" applyAlignment="1" applyProtection="1">
      <alignment horizontal="right" vertical="center" wrapText="1" indent="1"/>
      <protection/>
    </xf>
    <xf numFmtId="173" fontId="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3" fontId="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18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34" borderId="18" xfId="0" applyFont="1" applyFill="1" applyBorder="1" applyAlignment="1">
      <alignment/>
    </xf>
    <xf numFmtId="0" fontId="40" fillId="0" borderId="18" xfId="0" applyFont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18" xfId="0" applyFont="1" applyBorder="1" applyAlignment="1">
      <alignment vertical="center" wrapText="1"/>
    </xf>
    <xf numFmtId="0" fontId="41" fillId="34" borderId="18" xfId="0" applyFont="1" applyFill="1" applyBorder="1" applyAlignment="1">
      <alignment horizontal="left" vertical="center" wrapText="1"/>
    </xf>
    <xf numFmtId="0" fontId="41" fillId="34" borderId="18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41" fillId="33" borderId="18" xfId="0" applyFont="1" applyFill="1" applyBorder="1" applyAlignment="1">
      <alignment horizontal="left" vertical="center" wrapText="1"/>
    </xf>
    <xf numFmtId="0" fontId="41" fillId="33" borderId="18" xfId="0" applyFont="1" applyFill="1" applyBorder="1" applyAlignment="1">
      <alignment horizontal="left" vertical="center" wrapText="1"/>
    </xf>
    <xf numFmtId="0" fontId="42" fillId="33" borderId="18" xfId="0" applyFont="1" applyFill="1" applyBorder="1" applyAlignment="1">
      <alignment wrapText="1"/>
    </xf>
    <xf numFmtId="0" fontId="40" fillId="33" borderId="18" xfId="0" applyFont="1" applyFill="1" applyBorder="1" applyAlignment="1">
      <alignment/>
    </xf>
    <xf numFmtId="0" fontId="42" fillId="34" borderId="18" xfId="0" applyFont="1" applyFill="1" applyBorder="1" applyAlignment="1">
      <alignment wrapText="1"/>
    </xf>
    <xf numFmtId="0" fontId="42" fillId="0" borderId="18" xfId="0" applyFont="1" applyBorder="1" applyAlignment="1">
      <alignment wrapText="1"/>
    </xf>
    <xf numFmtId="0" fontId="43" fillId="0" borderId="0" xfId="0" applyFont="1" applyAlignment="1">
      <alignment/>
    </xf>
    <xf numFmtId="0" fontId="41" fillId="34" borderId="46" xfId="0" applyFont="1" applyFill="1" applyBorder="1" applyAlignment="1">
      <alignment vertical="center" wrapText="1"/>
    </xf>
    <xf numFmtId="0" fontId="41" fillId="0" borderId="46" xfId="0" applyFont="1" applyBorder="1" applyAlignment="1">
      <alignment vertical="center" wrapText="1"/>
    </xf>
    <xf numFmtId="0" fontId="41" fillId="34" borderId="21" xfId="0" applyFont="1" applyFill="1" applyBorder="1" applyAlignment="1">
      <alignment horizontal="left" vertical="center" wrapText="1"/>
    </xf>
    <xf numFmtId="0" fontId="42" fillId="0" borderId="0" xfId="0" applyFont="1" applyAlignment="1">
      <alignment wrapText="1"/>
    </xf>
    <xf numFmtId="0" fontId="42" fillId="34" borderId="0" xfId="0" applyFont="1" applyFill="1" applyAlignment="1">
      <alignment wrapText="1"/>
    </xf>
    <xf numFmtId="0" fontId="41" fillId="33" borderId="18" xfId="0" applyFont="1" applyFill="1" applyBorder="1" applyAlignment="1">
      <alignment vertical="center" wrapText="1"/>
    </xf>
    <xf numFmtId="0" fontId="42" fillId="0" borderId="18" xfId="0" applyFont="1" applyBorder="1" applyAlignment="1">
      <alignment horizontal="left"/>
    </xf>
    <xf numFmtId="0" fontId="42" fillId="34" borderId="18" xfId="0" applyFont="1" applyFill="1" applyBorder="1" applyAlignment="1">
      <alignment horizontal="left"/>
    </xf>
    <xf numFmtId="0" fontId="42" fillId="0" borderId="18" xfId="0" applyFont="1" applyFill="1" applyBorder="1" applyAlignment="1">
      <alignment horizontal="left"/>
    </xf>
    <xf numFmtId="0" fontId="42" fillId="0" borderId="18" xfId="0" applyFont="1" applyFill="1" applyBorder="1" applyAlignment="1">
      <alignment wrapText="1"/>
    </xf>
    <xf numFmtId="0" fontId="40" fillId="0" borderId="18" xfId="0" applyFont="1" applyFill="1" applyBorder="1" applyAlignment="1">
      <alignment/>
    </xf>
    <xf numFmtId="0" fontId="40" fillId="0" borderId="18" xfId="0" applyFont="1" applyFill="1" applyBorder="1" applyAlignment="1">
      <alignment wrapText="1"/>
    </xf>
    <xf numFmtId="0" fontId="0" fillId="34" borderId="18" xfId="0" applyFill="1" applyBorder="1" applyAlignment="1">
      <alignment/>
    </xf>
    <xf numFmtId="0" fontId="12" fillId="0" borderId="0" xfId="0" applyFont="1" applyAlignment="1">
      <alignment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vertical="center" wrapText="1"/>
    </xf>
    <xf numFmtId="0" fontId="12" fillId="0" borderId="18" xfId="0" applyFont="1" applyBorder="1" applyAlignment="1">
      <alignment/>
    </xf>
    <xf numFmtId="0" fontId="12" fillId="34" borderId="18" xfId="0" applyFont="1" applyFill="1" applyBorder="1" applyAlignment="1">
      <alignment horizontal="left" vertical="center" wrapText="1"/>
    </xf>
    <xf numFmtId="0" fontId="12" fillId="34" borderId="18" xfId="0" applyFont="1" applyFill="1" applyBorder="1" applyAlignment="1">
      <alignment vertical="center" wrapText="1"/>
    </xf>
    <xf numFmtId="0" fontId="12" fillId="34" borderId="18" xfId="0" applyFont="1" applyFill="1" applyBorder="1" applyAlignment="1">
      <alignment/>
    </xf>
    <xf numFmtId="0" fontId="12" fillId="0" borderId="18" xfId="0" applyFont="1" applyBorder="1" applyAlignment="1">
      <alignment horizontal="left" wrapText="1"/>
    </xf>
    <xf numFmtId="0" fontId="12" fillId="0" borderId="18" xfId="0" applyFont="1" applyBorder="1" applyAlignment="1">
      <alignment wrapText="1"/>
    </xf>
    <xf numFmtId="0" fontId="12" fillId="34" borderId="18" xfId="0" applyFont="1" applyFill="1" applyBorder="1" applyAlignment="1">
      <alignment horizontal="left" wrapText="1"/>
    </xf>
    <xf numFmtId="0" fontId="12" fillId="34" borderId="18" xfId="0" applyFont="1" applyFill="1" applyBorder="1" applyAlignment="1">
      <alignment wrapText="1"/>
    </xf>
    <xf numFmtId="0" fontId="12" fillId="0" borderId="18" xfId="0" applyFont="1" applyBorder="1" applyAlignment="1">
      <alignment horizontal="left"/>
    </xf>
    <xf numFmtId="0" fontId="12" fillId="34" borderId="18" xfId="0" applyFont="1" applyFill="1" applyBorder="1" applyAlignment="1">
      <alignment horizontal="left"/>
    </xf>
    <xf numFmtId="0" fontId="12" fillId="34" borderId="18" xfId="0" applyFont="1" applyFill="1" applyBorder="1" applyAlignment="1">
      <alignment/>
    </xf>
    <xf numFmtId="0" fontId="12" fillId="34" borderId="19" xfId="0" applyFont="1" applyFill="1" applyBorder="1" applyAlignment="1">
      <alignment horizontal="left"/>
    </xf>
    <xf numFmtId="0" fontId="12" fillId="34" borderId="46" xfId="0" applyFont="1" applyFill="1" applyBorder="1" applyAlignment="1">
      <alignment/>
    </xf>
    <xf numFmtId="0" fontId="12" fillId="33" borderId="18" xfId="0" applyFont="1" applyFill="1" applyBorder="1" applyAlignment="1">
      <alignment horizontal="left"/>
    </xf>
    <xf numFmtId="0" fontId="12" fillId="33" borderId="18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12" fillId="33" borderId="18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46" xfId="0" applyBorder="1" applyAlignment="1">
      <alignment/>
    </xf>
    <xf numFmtId="0" fontId="44" fillId="34" borderId="18" xfId="0" applyFont="1" applyFill="1" applyBorder="1" applyAlignment="1">
      <alignment/>
    </xf>
    <xf numFmtId="0" fontId="23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0" fillId="0" borderId="18" xfId="0" applyFont="1" applyBorder="1" applyAlignment="1">
      <alignment horizontal="left" vertical="center" wrapText="1"/>
    </xf>
    <xf numFmtId="0" fontId="23" fillId="0" borderId="18" xfId="0" applyFont="1" applyFill="1" applyBorder="1" applyAlignment="1">
      <alignment/>
    </xf>
    <xf numFmtId="0" fontId="41" fillId="33" borderId="18" xfId="0" applyFont="1" applyFill="1" applyBorder="1" applyAlignment="1">
      <alignment/>
    </xf>
    <xf numFmtId="0" fontId="41" fillId="0" borderId="18" xfId="0" applyFont="1" applyFill="1" applyBorder="1" applyAlignment="1">
      <alignment/>
    </xf>
    <xf numFmtId="0" fontId="12" fillId="33" borderId="18" xfId="0" applyFont="1" applyFill="1" applyBorder="1" applyAlignment="1">
      <alignment horizontal="center"/>
    </xf>
    <xf numFmtId="0" fontId="23" fillId="0" borderId="18" xfId="0" applyFont="1" applyBorder="1" applyAlignment="1">
      <alignment horizontal="right" vertical="center"/>
    </xf>
    <xf numFmtId="0" fontId="23" fillId="34" borderId="18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right" vertical="center"/>
    </xf>
    <xf numFmtId="0" fontId="23" fillId="0" borderId="18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/>
    </xf>
    <xf numFmtId="0" fontId="23" fillId="0" borderId="18" xfId="0" applyFont="1" applyBorder="1" applyAlignment="1">
      <alignment horizontal="right" vertical="center" wrapText="1"/>
    </xf>
    <xf numFmtId="0" fontId="23" fillId="34" borderId="18" xfId="0" applyFont="1" applyFill="1" applyBorder="1" applyAlignment="1">
      <alignment horizontal="left" vertical="center" wrapText="1"/>
    </xf>
    <xf numFmtId="0" fontId="23" fillId="34" borderId="18" xfId="0" applyFont="1" applyFill="1" applyBorder="1" applyAlignment="1">
      <alignment horizontal="left" vertical="center"/>
    </xf>
    <xf numFmtId="0" fontId="23" fillId="34" borderId="18" xfId="0" applyFont="1" applyFill="1" applyBorder="1" applyAlignment="1">
      <alignment horizontal="right" vertical="center" wrapText="1"/>
    </xf>
    <xf numFmtId="0" fontId="23" fillId="33" borderId="18" xfId="0" applyFont="1" applyFill="1" applyBorder="1" applyAlignment="1">
      <alignment horizontal="left" vertical="center" wrapText="1"/>
    </xf>
    <xf numFmtId="0" fontId="23" fillId="34" borderId="18" xfId="0" applyFont="1" applyFill="1" applyBorder="1" applyAlignment="1">
      <alignment wrapText="1"/>
    </xf>
    <xf numFmtId="0" fontId="23" fillId="34" borderId="18" xfId="0" applyFont="1" applyFill="1" applyBorder="1" applyAlignment="1">
      <alignment/>
    </xf>
    <xf numFmtId="0" fontId="23" fillId="0" borderId="18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wrapText="1"/>
    </xf>
    <xf numFmtId="0" fontId="23" fillId="0" borderId="18" xfId="0" applyFont="1" applyFill="1" applyBorder="1" applyAlignment="1">
      <alignment horizontal="right" vertical="center"/>
    </xf>
    <xf numFmtId="0" fontId="23" fillId="33" borderId="18" xfId="0" applyFont="1" applyFill="1" applyBorder="1" applyAlignment="1">
      <alignment horizontal="left" vertical="center" wrapText="1"/>
    </xf>
    <xf numFmtId="0" fontId="23" fillId="33" borderId="18" xfId="0" applyFont="1" applyFill="1" applyBorder="1" applyAlignment="1">
      <alignment vertical="center" wrapText="1"/>
    </xf>
    <xf numFmtId="0" fontId="23" fillId="34" borderId="18" xfId="0" applyFont="1" applyFill="1" applyBorder="1" applyAlignment="1">
      <alignment vertical="center" wrapText="1"/>
    </xf>
    <xf numFmtId="0" fontId="23" fillId="0" borderId="18" xfId="0" applyFont="1" applyBorder="1" applyAlignment="1">
      <alignment wrapText="1"/>
    </xf>
    <xf numFmtId="0" fontId="23" fillId="0" borderId="18" xfId="0" applyFont="1" applyBorder="1" applyAlignment="1">
      <alignment vertical="center" wrapText="1"/>
    </xf>
    <xf numFmtId="0" fontId="23" fillId="33" borderId="18" xfId="0" applyFont="1" applyFill="1" applyBorder="1" applyAlignment="1">
      <alignment horizontal="right" vertical="center"/>
    </xf>
    <xf numFmtId="0" fontId="23" fillId="0" borderId="18" xfId="0" applyFont="1" applyBorder="1" applyAlignment="1">
      <alignment horizontal="left" wrapText="1"/>
    </xf>
    <xf numFmtId="0" fontId="23" fillId="34" borderId="18" xfId="0" applyFont="1" applyFill="1" applyBorder="1" applyAlignment="1">
      <alignment horizontal="left" wrapText="1"/>
    </xf>
    <xf numFmtId="0" fontId="23" fillId="0" borderId="18" xfId="0" applyFont="1" applyBorder="1" applyAlignment="1">
      <alignment/>
    </xf>
    <xf numFmtId="0" fontId="23" fillId="34" borderId="18" xfId="0" applyFont="1" applyFill="1" applyBorder="1" applyAlignment="1">
      <alignment horizontal="left"/>
    </xf>
    <xf numFmtId="0" fontId="23" fillId="34" borderId="18" xfId="0" applyFont="1" applyFill="1" applyBorder="1" applyAlignment="1">
      <alignment/>
    </xf>
    <xf numFmtId="0" fontId="23" fillId="33" borderId="18" xfId="0" applyFont="1" applyFill="1" applyBorder="1" applyAlignment="1">
      <alignment horizontal="left"/>
    </xf>
    <xf numFmtId="0" fontId="23" fillId="33" borderId="18" xfId="0" applyFont="1" applyFill="1" applyBorder="1" applyAlignment="1">
      <alignment/>
    </xf>
    <xf numFmtId="0" fontId="23" fillId="0" borderId="18" xfId="0" applyFont="1" applyFill="1" applyBorder="1" applyAlignment="1">
      <alignment horizontal="left"/>
    </xf>
    <xf numFmtId="0" fontId="23" fillId="0" borderId="18" xfId="0" applyFont="1" applyFill="1" applyBorder="1" applyAlignment="1">
      <alignment/>
    </xf>
    <xf numFmtId="0" fontId="0" fillId="0" borderId="0" xfId="0" applyAlignment="1">
      <alignment horizontal="right"/>
    </xf>
    <xf numFmtId="0" fontId="16" fillId="0" borderId="18" xfId="0" applyFont="1" applyFill="1" applyBorder="1" applyAlignment="1">
      <alignment/>
    </xf>
    <xf numFmtId="0" fontId="23" fillId="0" borderId="18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horizontal="right" vertical="center"/>
    </xf>
    <xf numFmtId="0" fontId="40" fillId="0" borderId="18" xfId="0" applyFont="1" applyBorder="1" applyAlignment="1">
      <alignment horizontal="center" vertical="center"/>
    </xf>
    <xf numFmtId="0" fontId="41" fillId="33" borderId="21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vertical="center" wrapText="1"/>
    </xf>
    <xf numFmtId="0" fontId="40" fillId="33" borderId="21" xfId="0" applyFont="1" applyFill="1" applyBorder="1" applyAlignment="1">
      <alignment/>
    </xf>
    <xf numFmtId="0" fontId="45" fillId="34" borderId="18" xfId="0" applyFont="1" applyFill="1" applyBorder="1" applyAlignment="1">
      <alignment horizontal="left" vertical="center" wrapText="1"/>
    </xf>
    <xf numFmtId="0" fontId="46" fillId="34" borderId="18" xfId="0" applyFont="1" applyFill="1" applyBorder="1" applyAlignment="1">
      <alignment/>
    </xf>
    <xf numFmtId="0" fontId="49" fillId="34" borderId="18" xfId="0" applyFont="1" applyFill="1" applyBorder="1" applyAlignment="1">
      <alignment wrapText="1"/>
    </xf>
    <xf numFmtId="0" fontId="45" fillId="34" borderId="18" xfId="0" applyFont="1" applyFill="1" applyBorder="1" applyAlignment="1">
      <alignment vertical="center" wrapText="1"/>
    </xf>
    <xf numFmtId="3" fontId="40" fillId="0" borderId="18" xfId="0" applyNumberFormat="1" applyFont="1" applyBorder="1" applyAlignment="1">
      <alignment/>
    </xf>
    <xf numFmtId="3" fontId="40" fillId="34" borderId="18" xfId="0" applyNumberFormat="1" applyFont="1" applyFill="1" applyBorder="1" applyAlignment="1">
      <alignment/>
    </xf>
    <xf numFmtId="0" fontId="42" fillId="0" borderId="18" xfId="0" applyFont="1" applyBorder="1" applyAlignment="1">
      <alignment/>
    </xf>
    <xf numFmtId="0" fontId="42" fillId="34" borderId="18" xfId="0" applyFont="1" applyFill="1" applyBorder="1" applyAlignment="1">
      <alignment/>
    </xf>
    <xf numFmtId="0" fontId="42" fillId="33" borderId="18" xfId="0" applyFont="1" applyFill="1" applyBorder="1" applyAlignment="1">
      <alignment horizontal="left"/>
    </xf>
    <xf numFmtId="0" fontId="42" fillId="33" borderId="18" xfId="0" applyFont="1" applyFill="1" applyBorder="1" applyAlignment="1">
      <alignment/>
    </xf>
    <xf numFmtId="0" fontId="23" fillId="33" borderId="18" xfId="0" applyFont="1" applyFill="1" applyBorder="1" applyAlignment="1">
      <alignment wrapText="1"/>
    </xf>
    <xf numFmtId="0" fontId="42" fillId="0" borderId="18" xfId="0" applyFont="1" applyBorder="1" applyAlignment="1">
      <alignment/>
    </xf>
    <xf numFmtId="0" fontId="42" fillId="34" borderId="18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40" fillId="33" borderId="18" xfId="0" applyFont="1" applyFill="1" applyBorder="1" applyAlignment="1">
      <alignment/>
    </xf>
    <xf numFmtId="0" fontId="27" fillId="34" borderId="18" xfId="0" applyFont="1" applyFill="1" applyBorder="1" applyAlignment="1">
      <alignment/>
    </xf>
    <xf numFmtId="173" fontId="7" fillId="0" borderId="51" xfId="0" applyNumberFormat="1" applyFont="1" applyFill="1" applyBorder="1" applyAlignment="1">
      <alignment horizontal="center" vertical="center"/>
    </xf>
    <xf numFmtId="173" fontId="7" fillId="0" borderId="39" xfId="0" applyNumberFormat="1" applyFont="1" applyFill="1" applyBorder="1" applyAlignment="1">
      <alignment horizontal="center" vertical="center"/>
    </xf>
    <xf numFmtId="173" fontId="7" fillId="0" borderId="48" xfId="0" applyNumberFormat="1" applyFont="1" applyFill="1" applyBorder="1" applyAlignment="1">
      <alignment horizontal="center" vertical="center" wrapText="1"/>
    </xf>
    <xf numFmtId="173" fontId="7" fillId="0" borderId="54" xfId="0" applyNumberFormat="1" applyFont="1" applyFill="1" applyBorder="1" applyAlignment="1">
      <alignment horizontal="center" vertical="center" wrapText="1"/>
    </xf>
    <xf numFmtId="173" fontId="7" fillId="0" borderId="24" xfId="0" applyNumberFormat="1" applyFont="1" applyFill="1" applyBorder="1" applyAlignment="1">
      <alignment horizontal="center" vertical="center" wrapText="1"/>
    </xf>
    <xf numFmtId="173" fontId="7" fillId="0" borderId="33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right" vertical="center" wrapText="1" indent="1"/>
    </xf>
    <xf numFmtId="173" fontId="10" fillId="0" borderId="54" xfId="0" applyNumberFormat="1" applyFont="1" applyFill="1" applyBorder="1" applyAlignment="1">
      <alignment horizontal="left" vertical="center" wrapText="1" indent="1"/>
    </xf>
    <xf numFmtId="173" fontId="22" fillId="35" borderId="54" xfId="0" applyNumberFormat="1" applyFont="1" applyFill="1" applyBorder="1" applyAlignment="1">
      <alignment horizontal="left" vertical="center" wrapText="1" indent="2"/>
    </xf>
    <xf numFmtId="173" fontId="22" fillId="35" borderId="52" xfId="0" applyNumberFormat="1" applyFont="1" applyFill="1" applyBorder="1" applyAlignment="1">
      <alignment horizontal="left" vertical="center" wrapText="1" indent="2"/>
    </xf>
    <xf numFmtId="173" fontId="10" fillId="0" borderId="10" xfId="0" applyNumberFormat="1" applyFont="1" applyFill="1" applyBorder="1" applyAlignment="1">
      <alignment vertical="center" wrapText="1"/>
    </xf>
    <xf numFmtId="173" fontId="10" fillId="0" borderId="11" xfId="0" applyNumberFormat="1" applyFont="1" applyFill="1" applyBorder="1" applyAlignment="1">
      <alignment vertical="center" wrapText="1"/>
    </xf>
    <xf numFmtId="173" fontId="10" fillId="0" borderId="33" xfId="0" applyNumberFormat="1" applyFont="1" applyFill="1" applyBorder="1" applyAlignment="1">
      <alignment vertical="center" wrapText="1"/>
    </xf>
    <xf numFmtId="173" fontId="10" fillId="0" borderId="15" xfId="0" applyNumberFormat="1" applyFont="1" applyFill="1" applyBorder="1" applyAlignment="1">
      <alignment horizontal="right" vertical="center" wrapText="1" indent="1"/>
    </xf>
    <xf numFmtId="173" fontId="1" fillId="0" borderId="55" xfId="0" applyNumberFormat="1" applyFont="1" applyFill="1" applyBorder="1" applyAlignment="1" applyProtection="1">
      <alignment horizontal="left" vertical="center" wrapText="1" indent="1"/>
      <protection locked="0"/>
    </xf>
    <xf numFmtId="175" fontId="22" fillId="0" borderId="55" xfId="0" applyNumberFormat="1" applyFont="1" applyFill="1" applyBorder="1" applyAlignment="1" applyProtection="1">
      <alignment horizontal="right" vertical="center" wrapText="1" indent="2"/>
      <protection locked="0"/>
    </xf>
    <xf numFmtId="175" fontId="22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173" fontId="1" fillId="0" borderId="15" xfId="0" applyNumberFormat="1" applyFont="1" applyFill="1" applyBorder="1" applyAlignment="1" applyProtection="1">
      <alignment vertical="center" wrapText="1"/>
      <protection locked="0"/>
    </xf>
    <xf numFmtId="173" fontId="1" fillId="0" borderId="18" xfId="0" applyNumberFormat="1" applyFont="1" applyFill="1" applyBorder="1" applyAlignment="1" applyProtection="1">
      <alignment vertical="center" wrapText="1"/>
      <protection locked="0"/>
    </xf>
    <xf numFmtId="173" fontId="1" fillId="0" borderId="22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Alignment="1">
      <alignment wrapText="1"/>
    </xf>
    <xf numFmtId="173" fontId="22" fillId="35" borderId="54" xfId="0" applyNumberFormat="1" applyFont="1" applyFill="1" applyBorder="1" applyAlignment="1">
      <alignment horizontal="right" vertical="center" wrapText="1" indent="2"/>
    </xf>
    <xf numFmtId="173" fontId="22" fillId="35" borderId="52" xfId="0" applyNumberFormat="1" applyFont="1" applyFill="1" applyBorder="1" applyAlignment="1">
      <alignment horizontal="right" vertical="center" wrapText="1" indent="2"/>
    </xf>
    <xf numFmtId="173" fontId="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5" fontId="22" fillId="0" borderId="18" xfId="0" applyNumberFormat="1" applyFont="1" applyFill="1" applyBorder="1" applyAlignment="1" applyProtection="1">
      <alignment horizontal="left" vertical="center" wrapText="1" indent="2"/>
      <protection locked="0"/>
    </xf>
    <xf numFmtId="175" fontId="22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8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 locked="0"/>
    </xf>
    <xf numFmtId="173" fontId="1" fillId="0" borderId="18" xfId="0" applyNumberFormat="1" applyFont="1" applyFill="1" applyBorder="1" applyAlignment="1" applyProtection="1">
      <alignment vertical="center"/>
      <protection locked="0"/>
    </xf>
    <xf numFmtId="173" fontId="1" fillId="0" borderId="19" xfId="0" applyNumberFormat="1" applyFont="1" applyFill="1" applyBorder="1" applyAlignment="1" applyProtection="1">
      <alignment vertical="center"/>
      <protection locked="0"/>
    </xf>
    <xf numFmtId="173" fontId="10" fillId="0" borderId="19" xfId="0" applyNumberFormat="1" applyFont="1" applyFill="1" applyBorder="1" applyAlignment="1" applyProtection="1">
      <alignment vertical="center"/>
      <protection/>
    </xf>
    <xf numFmtId="173" fontId="10" fillId="0" borderId="22" xfId="0" applyNumberFormat="1" applyFont="1" applyFill="1" applyBorder="1" applyAlignment="1" applyProtection="1">
      <alignment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vertical="center" wrapText="1"/>
      <protection/>
    </xf>
    <xf numFmtId="0" fontId="1" fillId="0" borderId="32" xfId="0" applyFont="1" applyFill="1" applyBorder="1" applyAlignment="1" applyProtection="1">
      <alignment vertical="center" wrapText="1"/>
      <protection locked="0"/>
    </xf>
    <xf numFmtId="173" fontId="1" fillId="0" borderId="32" xfId="0" applyNumberFormat="1" applyFont="1" applyFill="1" applyBorder="1" applyAlignment="1" applyProtection="1">
      <alignment vertical="center"/>
      <protection locked="0"/>
    </xf>
    <xf numFmtId="173" fontId="1" fillId="0" borderId="35" xfId="0" applyNumberFormat="1" applyFont="1" applyFill="1" applyBorder="1" applyAlignment="1" applyProtection="1">
      <alignment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vertical="center" wrapText="1"/>
      <protection/>
    </xf>
    <xf numFmtId="0" fontId="1" fillId="0" borderId="39" xfId="0" applyFont="1" applyFill="1" applyBorder="1" applyAlignment="1" applyProtection="1">
      <alignment vertical="center" wrapText="1"/>
      <protection locked="0"/>
    </xf>
    <xf numFmtId="173" fontId="1" fillId="0" borderId="39" xfId="0" applyNumberFormat="1" applyFont="1" applyFill="1" applyBorder="1" applyAlignment="1" applyProtection="1">
      <alignment vertical="center"/>
      <protection locked="0"/>
    </xf>
    <xf numFmtId="173" fontId="1" fillId="0" borderId="51" xfId="0" applyNumberFormat="1" applyFont="1" applyFill="1" applyBorder="1" applyAlignment="1" applyProtection="1">
      <alignment vertical="center"/>
      <protection locked="0"/>
    </xf>
    <xf numFmtId="173" fontId="10" fillId="0" borderId="11" xfId="0" applyNumberFormat="1" applyFont="1" applyFill="1" applyBorder="1" applyAlignment="1" applyProtection="1">
      <alignment vertical="center"/>
      <protection/>
    </xf>
    <xf numFmtId="173" fontId="10" fillId="0" borderId="24" xfId="0" applyNumberFormat="1" applyFont="1" applyFill="1" applyBorder="1" applyAlignment="1" applyProtection="1">
      <alignment vertical="center"/>
      <protection/>
    </xf>
    <xf numFmtId="173" fontId="10" fillId="0" borderId="33" xfId="0" applyNumberFormat="1" applyFont="1" applyFill="1" applyBorder="1" applyAlignment="1" applyProtection="1">
      <alignment vertical="center"/>
      <protection/>
    </xf>
    <xf numFmtId="173" fontId="10" fillId="0" borderId="14" xfId="0" applyNumberFormat="1" applyFont="1" applyFill="1" applyBorder="1" applyAlignment="1" applyProtection="1">
      <alignment vertical="center"/>
      <protection/>
    </xf>
    <xf numFmtId="173" fontId="7" fillId="0" borderId="11" xfId="0" applyNumberFormat="1" applyFont="1" applyFill="1" applyBorder="1" applyAlignment="1" applyProtection="1">
      <alignment vertical="center"/>
      <protection/>
    </xf>
    <xf numFmtId="0" fontId="51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18" fillId="0" borderId="2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22" fillId="0" borderId="18" xfId="0" applyFont="1" applyFill="1" applyBorder="1" applyAlignment="1" applyProtection="1">
      <alignment horizontal="left" vertical="center" wrapText="1" indent="1"/>
      <protection locked="0"/>
    </xf>
    <xf numFmtId="176" fontId="7" fillId="0" borderId="38" xfId="0" applyNumberFormat="1" applyFont="1" applyFill="1" applyBorder="1" applyAlignment="1" applyProtection="1">
      <alignment horizontal="right" vertical="center"/>
      <protection/>
    </xf>
    <xf numFmtId="0" fontId="53" fillId="0" borderId="18" xfId="0" applyFont="1" applyFill="1" applyBorder="1" applyAlignment="1">
      <alignment horizontal="left" vertical="center" indent="5"/>
    </xf>
    <xf numFmtId="176" fontId="5" fillId="0" borderId="22" xfId="0" applyNumberFormat="1" applyFont="1" applyFill="1" applyBorder="1" applyAlignment="1" applyProtection="1">
      <alignment horizontal="right" vertical="center"/>
      <protection locked="0"/>
    </xf>
    <xf numFmtId="0" fontId="22" fillId="0" borderId="18" xfId="0" applyFont="1" applyFill="1" applyBorder="1" applyAlignment="1">
      <alignment horizontal="left" vertical="center" indent="1"/>
    </xf>
    <xf numFmtId="0" fontId="0" fillId="0" borderId="36" xfId="0" applyFill="1" applyBorder="1" applyAlignment="1">
      <alignment horizontal="center" vertical="center"/>
    </xf>
    <xf numFmtId="0" fontId="22" fillId="0" borderId="32" xfId="0" applyFont="1" applyFill="1" applyBorder="1" applyAlignment="1">
      <alignment horizontal="left" vertical="center" indent="1"/>
    </xf>
    <xf numFmtId="176" fontId="5" fillId="0" borderId="47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Fill="1" applyBorder="1" applyAlignment="1">
      <alignment horizontal="center" vertical="center"/>
    </xf>
    <xf numFmtId="0" fontId="22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42" xfId="0" applyFill="1" applyBorder="1" applyAlignment="1">
      <alignment horizontal="center" vertical="center"/>
    </xf>
    <xf numFmtId="0" fontId="53" fillId="0" borderId="39" xfId="0" applyFont="1" applyFill="1" applyBorder="1" applyAlignment="1">
      <alignment horizontal="left" vertical="center" indent="5"/>
    </xf>
    <xf numFmtId="176" fontId="5" fillId="0" borderId="14" xfId="0" applyNumberFormat="1" applyFont="1" applyFill="1" applyBorder="1" applyAlignment="1" applyProtection="1">
      <alignment horizontal="right" vertical="center"/>
      <protection locked="0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/>
    </xf>
    <xf numFmtId="49" fontId="0" fillId="0" borderId="18" xfId="0" applyNumberFormat="1" applyFill="1" applyBorder="1" applyAlignment="1">
      <alignment wrapText="1"/>
    </xf>
    <xf numFmtId="0" fontId="57" fillId="0" borderId="21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57" fillId="0" borderId="18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57" fillId="0" borderId="32" xfId="0" applyFont="1" applyFill="1" applyBorder="1" applyAlignment="1">
      <alignment wrapText="1"/>
    </xf>
    <xf numFmtId="0" fontId="55" fillId="0" borderId="11" xfId="0" applyFont="1" applyFill="1" applyBorder="1" applyAlignment="1">
      <alignment wrapText="1"/>
    </xf>
    <xf numFmtId="0" fontId="55" fillId="0" borderId="11" xfId="0" applyFont="1" applyFill="1" applyBorder="1" applyAlignment="1">
      <alignment/>
    </xf>
    <xf numFmtId="0" fontId="0" fillId="0" borderId="39" xfId="0" applyFont="1" applyFill="1" applyBorder="1" applyAlignment="1">
      <alignment wrapText="1"/>
    </xf>
    <xf numFmtId="0" fontId="57" fillId="0" borderId="39" xfId="0" applyFont="1" applyFill="1" applyBorder="1" applyAlignment="1">
      <alignment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49" fontId="0" fillId="0" borderId="21" xfId="0" applyNumberForma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55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55" fillId="0" borderId="10" xfId="0" applyFont="1" applyFill="1" applyBorder="1" applyAlignment="1">
      <alignment horizontal="center"/>
    </xf>
    <xf numFmtId="3" fontId="55" fillId="0" borderId="33" xfId="0" applyNumberFormat="1" applyFont="1" applyFill="1" applyBorder="1" applyAlignment="1">
      <alignment horizontal="right" vertical="top" wrapText="1"/>
    </xf>
    <xf numFmtId="0" fontId="55" fillId="0" borderId="50" xfId="0" applyFont="1" applyFill="1" applyBorder="1" applyAlignment="1">
      <alignment horizontal="center"/>
    </xf>
    <xf numFmtId="0" fontId="57" fillId="0" borderId="16" xfId="0" applyFont="1" applyFill="1" applyBorder="1" applyAlignment="1">
      <alignment wrapText="1"/>
    </xf>
    <xf numFmtId="0" fontId="26" fillId="0" borderId="0" xfId="0" applyFont="1" applyFill="1" applyAlignment="1">
      <alignment/>
    </xf>
    <xf numFmtId="0" fontId="55" fillId="0" borderId="39" xfId="0" applyFont="1" applyFill="1" applyBorder="1" applyAlignment="1">
      <alignment/>
    </xf>
    <xf numFmtId="0" fontId="55" fillId="0" borderId="10" xfId="0" applyFont="1" applyFill="1" applyBorder="1" applyAlignment="1">
      <alignment horizontal="center" vertical="top"/>
    </xf>
    <xf numFmtId="0" fontId="55" fillId="0" borderId="11" xfId="0" applyFont="1" applyFill="1" applyBorder="1" applyAlignment="1">
      <alignment vertical="top" wrapText="1"/>
    </xf>
    <xf numFmtId="3" fontId="55" fillId="0" borderId="11" xfId="0" applyNumberFormat="1" applyFont="1" applyFill="1" applyBorder="1" applyAlignment="1">
      <alignment horizontal="right" vertical="top" wrapText="1"/>
    </xf>
    <xf numFmtId="0" fontId="55" fillId="0" borderId="45" xfId="0" applyFont="1" applyFill="1" applyBorder="1" applyAlignment="1">
      <alignment horizontal="center"/>
    </xf>
    <xf numFmtId="49" fontId="55" fillId="0" borderId="45" xfId="0" applyNumberFormat="1" applyFont="1" applyFill="1" applyBorder="1" applyAlignment="1">
      <alignment wrapText="1"/>
    </xf>
    <xf numFmtId="3" fontId="55" fillId="0" borderId="0" xfId="0" applyNumberFormat="1" applyFont="1" applyFill="1" applyBorder="1" applyAlignment="1">
      <alignment horizontal="right" vertical="top" wrapText="1"/>
    </xf>
    <xf numFmtId="0" fontId="55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vertical="top"/>
    </xf>
    <xf numFmtId="0" fontId="55" fillId="0" borderId="0" xfId="0" applyFont="1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2" xfId="0" applyFont="1" applyFill="1" applyBorder="1" applyAlignment="1">
      <alignment wrapText="1"/>
    </xf>
    <xf numFmtId="0" fontId="0" fillId="0" borderId="39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55" fillId="0" borderId="52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horizontal="left" wrapText="1"/>
    </xf>
    <xf numFmtId="0" fontId="55" fillId="0" borderId="50" xfId="0" applyFont="1" applyFill="1" applyBorder="1" applyAlignment="1">
      <alignment horizontal="left"/>
    </xf>
    <xf numFmtId="0" fontId="0" fillId="0" borderId="25" xfId="0" applyFill="1" applyBorder="1" applyAlignment="1">
      <alignment horizontal="center" wrapText="1"/>
    </xf>
    <xf numFmtId="0" fontId="0" fillId="0" borderId="16" xfId="0" applyFont="1" applyFill="1" applyBorder="1" applyAlignment="1">
      <alignment wrapText="1"/>
    </xf>
    <xf numFmtId="0" fontId="0" fillId="0" borderId="41" xfId="0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wrapText="1"/>
    </xf>
    <xf numFmtId="3" fontId="0" fillId="0" borderId="20" xfId="0" applyNumberFormat="1" applyFont="1" applyFill="1" applyBorder="1" applyAlignment="1">
      <alignment horizontal="right" vertical="top" wrapText="1"/>
    </xf>
    <xf numFmtId="0" fontId="0" fillId="0" borderId="15" xfId="0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3" fontId="0" fillId="0" borderId="22" xfId="0" applyNumberFormat="1" applyFont="1" applyFill="1" applyBorder="1" applyAlignment="1">
      <alignment horizontal="right" vertical="top" wrapText="1"/>
    </xf>
    <xf numFmtId="49" fontId="0" fillId="0" borderId="18" xfId="0" applyNumberForma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55" fillId="0" borderId="30" xfId="0" applyFont="1" applyFill="1" applyBorder="1" applyAlignment="1">
      <alignment horizontal="center" wrapText="1"/>
    </xf>
    <xf numFmtId="0" fontId="55" fillId="0" borderId="23" xfId="0" applyFont="1" applyFill="1" applyBorder="1" applyAlignment="1">
      <alignment horizontal="left" vertical="top" wrapText="1"/>
    </xf>
    <xf numFmtId="3" fontId="55" fillId="0" borderId="23" xfId="0" applyNumberFormat="1" applyFont="1" applyFill="1" applyBorder="1" applyAlignment="1">
      <alignment horizontal="right" vertical="top" wrapText="1"/>
    </xf>
    <xf numFmtId="3" fontId="55" fillId="0" borderId="13" xfId="0" applyNumberFormat="1" applyFont="1" applyFill="1" applyBorder="1" applyAlignment="1">
      <alignment horizontal="right" vertical="top" wrapText="1"/>
    </xf>
    <xf numFmtId="0" fontId="0" fillId="0" borderId="15" xfId="0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left"/>
    </xf>
    <xf numFmtId="0" fontId="0" fillId="0" borderId="39" xfId="0" applyFont="1" applyFill="1" applyBorder="1" applyAlignment="1">
      <alignment/>
    </xf>
    <xf numFmtId="0" fontId="55" fillId="0" borderId="10" xfId="0" applyFont="1" applyFill="1" applyBorder="1" applyAlignment="1">
      <alignment horizontal="center" wrapText="1"/>
    </xf>
    <xf numFmtId="0" fontId="55" fillId="0" borderId="11" xfId="0" applyFont="1" applyFill="1" applyBorder="1" applyAlignment="1">
      <alignment/>
    </xf>
    <xf numFmtId="49" fontId="55" fillId="0" borderId="11" xfId="0" applyNumberFormat="1" applyFont="1" applyFill="1" applyBorder="1" applyAlignment="1">
      <alignment horizontal="left" wrapText="1"/>
    </xf>
    <xf numFmtId="0" fontId="56" fillId="0" borderId="0" xfId="0" applyFont="1" applyFill="1" applyAlignment="1">
      <alignment/>
    </xf>
    <xf numFmtId="0" fontId="0" fillId="0" borderId="18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3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3" fontId="0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8" xfId="0" applyNumberFormat="1" applyFont="1" applyFill="1" applyBorder="1" applyAlignment="1">
      <alignment horizontal="center" vertical="top" wrapText="1"/>
    </xf>
    <xf numFmtId="0" fontId="0" fillId="0" borderId="32" xfId="0" applyFill="1" applyBorder="1" applyAlignment="1">
      <alignment wrapText="1"/>
    </xf>
    <xf numFmtId="3" fontId="0" fillId="0" borderId="39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25" xfId="0" applyFill="1" applyBorder="1" applyAlignment="1">
      <alignment horizontal="center"/>
    </xf>
    <xf numFmtId="3" fontId="0" fillId="0" borderId="16" xfId="0" applyNumberFormat="1" applyFont="1" applyFill="1" applyBorder="1" applyAlignment="1">
      <alignment/>
    </xf>
    <xf numFmtId="0" fontId="55" fillId="0" borderId="18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55" fillId="0" borderId="42" xfId="0" applyFont="1" applyFill="1" applyBorder="1" applyAlignment="1">
      <alignment horizontal="center"/>
    </xf>
    <xf numFmtId="0" fontId="55" fillId="0" borderId="39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3" fontId="0" fillId="0" borderId="16" xfId="0" applyNumberFormat="1" applyFont="1" applyFill="1" applyBorder="1" applyAlignment="1">
      <alignment horizontal="right"/>
    </xf>
    <xf numFmtId="3" fontId="0" fillId="0" borderId="38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left"/>
    </xf>
    <xf numFmtId="0" fontId="0" fillId="0" borderId="42" xfId="0" applyFont="1" applyFill="1" applyBorder="1" applyAlignment="1">
      <alignment horizontal="center" wrapText="1"/>
    </xf>
    <xf numFmtId="0" fontId="55" fillId="0" borderId="18" xfId="0" applyNumberFormat="1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54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0" fontId="55" fillId="0" borderId="0" xfId="0" applyFont="1" applyFill="1" applyBorder="1" applyAlignment="1">
      <alignment horizontal="left"/>
    </xf>
    <xf numFmtId="0" fontId="0" fillId="0" borderId="39" xfId="0" applyFont="1" applyFill="1" applyBorder="1" applyAlignment="1">
      <alignment/>
    </xf>
    <xf numFmtId="0" fontId="54" fillId="0" borderId="0" xfId="0" applyFont="1" applyFill="1" applyBorder="1" applyAlignment="1">
      <alignment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wrapText="1"/>
    </xf>
    <xf numFmtId="3" fontId="0" fillId="0" borderId="16" xfId="0" applyNumberFormat="1" applyFont="1" applyFill="1" applyBorder="1" applyAlignment="1">
      <alignment horizontal="right" wrapText="1"/>
    </xf>
    <xf numFmtId="3" fontId="0" fillId="0" borderId="38" xfId="0" applyNumberFormat="1" applyFont="1" applyFill="1" applyBorder="1" applyAlignment="1">
      <alignment horizontal="right" wrapText="1"/>
    </xf>
    <xf numFmtId="0" fontId="0" fillId="0" borderId="41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49" fontId="0" fillId="0" borderId="16" xfId="0" applyNumberFormat="1" applyFont="1" applyFill="1" applyBorder="1" applyAlignment="1">
      <alignment wrapText="1"/>
    </xf>
    <xf numFmtId="49" fontId="0" fillId="0" borderId="18" xfId="0" applyNumberFormat="1" applyFont="1" applyFill="1" applyBorder="1" applyAlignment="1">
      <alignment wrapText="1"/>
    </xf>
    <xf numFmtId="0" fontId="0" fillId="0" borderId="56" xfId="0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39" xfId="0" applyFont="1" applyFill="1" applyBorder="1" applyAlignment="1">
      <alignment wrapText="1"/>
    </xf>
    <xf numFmtId="0" fontId="60" fillId="0" borderId="10" xfId="0" applyFont="1" applyFill="1" applyBorder="1" applyAlignment="1">
      <alignment horizontal="center"/>
    </xf>
    <xf numFmtId="0" fontId="55" fillId="0" borderId="45" xfId="0" applyFont="1" applyFill="1" applyBorder="1" applyAlignment="1">
      <alignment/>
    </xf>
    <xf numFmtId="0" fontId="54" fillId="0" borderId="45" xfId="0" applyFont="1" applyFill="1" applyBorder="1" applyAlignment="1">
      <alignment wrapText="1"/>
    </xf>
    <xf numFmtId="0" fontId="55" fillId="0" borderId="45" xfId="0" applyFont="1" applyFill="1" applyBorder="1" applyAlignment="1">
      <alignment wrapText="1"/>
    </xf>
    <xf numFmtId="0" fontId="56" fillId="0" borderId="18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left" vertical="center" wrapText="1"/>
    </xf>
    <xf numFmtId="0" fontId="61" fillId="0" borderId="18" xfId="0" applyFont="1" applyFill="1" applyBorder="1" applyAlignment="1">
      <alignment horizontal="center" vertical="center" wrapText="1"/>
    </xf>
    <xf numFmtId="3" fontId="61" fillId="0" borderId="18" xfId="0" applyNumberFormat="1" applyFont="1" applyFill="1" applyBorder="1" applyAlignment="1">
      <alignment horizontal="right" vertical="center" wrapText="1"/>
    </xf>
    <xf numFmtId="3" fontId="61" fillId="0" borderId="22" xfId="0" applyNumberFormat="1" applyFont="1" applyFill="1" applyBorder="1" applyAlignment="1">
      <alignment horizontal="right" vertical="center" wrapText="1"/>
    </xf>
    <xf numFmtId="3" fontId="56" fillId="0" borderId="11" xfId="0" applyNumberFormat="1" applyFont="1" applyFill="1" applyBorder="1" applyAlignment="1">
      <alignment horizontal="right" vertical="center" wrapText="1"/>
    </xf>
    <xf numFmtId="3" fontId="56" fillId="0" borderId="33" xfId="0" applyNumberFormat="1" applyFont="1" applyFill="1" applyBorder="1" applyAlignment="1">
      <alignment horizontal="right" vertical="center" wrapText="1"/>
    </xf>
    <xf numFmtId="0" fontId="55" fillId="0" borderId="50" xfId="0" applyFont="1" applyFill="1" applyBorder="1" applyAlignment="1">
      <alignment wrapText="1"/>
    </xf>
    <xf numFmtId="0" fontId="0" fillId="0" borderId="42" xfId="0" applyFill="1" applyBorder="1" applyAlignment="1">
      <alignment horizontal="center" wrapText="1"/>
    </xf>
    <xf numFmtId="0" fontId="0" fillId="0" borderId="39" xfId="0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3" fontId="0" fillId="0" borderId="16" xfId="0" applyNumberFormat="1" applyFont="1" applyFill="1" applyBorder="1" applyAlignment="1">
      <alignment horizontal="right"/>
    </xf>
    <xf numFmtId="0" fontId="0" fillId="0" borderId="28" xfId="0" applyFill="1" applyBorder="1" applyAlignment="1">
      <alignment horizontal="left" wrapText="1"/>
    </xf>
    <xf numFmtId="3" fontId="0" fillId="0" borderId="44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left" wrapText="1"/>
    </xf>
    <xf numFmtId="3" fontId="0" fillId="0" borderId="18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left" wrapText="1"/>
    </xf>
    <xf numFmtId="3" fontId="0" fillId="0" borderId="37" xfId="0" applyNumberFormat="1" applyFont="1" applyFill="1" applyBorder="1" applyAlignment="1">
      <alignment horizontal="right"/>
    </xf>
    <xf numFmtId="0" fontId="0" fillId="0" borderId="42" xfId="0" applyFill="1" applyBorder="1" applyAlignment="1">
      <alignment horizontal="center"/>
    </xf>
    <xf numFmtId="0" fontId="56" fillId="0" borderId="0" xfId="0" applyFont="1" applyAlignment="1">
      <alignment/>
    </xf>
    <xf numFmtId="0" fontId="0" fillId="0" borderId="16" xfId="0" applyFill="1" applyBorder="1" applyAlignment="1">
      <alignment horizontal="left"/>
    </xf>
    <xf numFmtId="0" fontId="0" fillId="0" borderId="18" xfId="0" applyNumberFormat="1" applyFill="1" applyBorder="1" applyAlignment="1">
      <alignment horizontal="left"/>
    </xf>
    <xf numFmtId="0" fontId="0" fillId="0" borderId="32" xfId="0" applyNumberFormat="1" applyFill="1" applyBorder="1" applyAlignment="1">
      <alignment horizontal="left"/>
    </xf>
    <xf numFmtId="0" fontId="55" fillId="0" borderId="48" xfId="0" applyFont="1" applyFill="1" applyBorder="1" applyAlignment="1">
      <alignment horizontal="center"/>
    </xf>
    <xf numFmtId="49" fontId="55" fillId="0" borderId="1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3" fontId="0" fillId="0" borderId="47" xfId="0" applyNumberFormat="1" applyFont="1" applyFill="1" applyBorder="1" applyAlignment="1">
      <alignment horizontal="right" wrapText="1"/>
    </xf>
    <xf numFmtId="3" fontId="0" fillId="0" borderId="18" xfId="0" applyNumberFormat="1" applyFont="1" applyFill="1" applyBorder="1" applyAlignment="1">
      <alignment horizontal="right" wrapText="1"/>
    </xf>
    <xf numFmtId="0" fontId="0" fillId="0" borderId="32" xfId="0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right" wrapText="1"/>
    </xf>
    <xf numFmtId="0" fontId="55" fillId="0" borderId="45" xfId="0" applyFont="1" applyFill="1" applyBorder="1" applyAlignment="1">
      <alignment horizontal="left"/>
    </xf>
    <xf numFmtId="2" fontId="55" fillId="0" borderId="45" xfId="0" applyNumberFormat="1" applyFont="1" applyFill="1" applyBorder="1" applyAlignment="1">
      <alignment horizontal="left" wrapText="1"/>
    </xf>
    <xf numFmtId="3" fontId="55" fillId="0" borderId="45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/>
    </xf>
    <xf numFmtId="0" fontId="0" fillId="0" borderId="18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3" fontId="0" fillId="0" borderId="32" xfId="0" applyNumberFormat="1" applyFont="1" applyFill="1" applyBorder="1" applyAlignment="1">
      <alignment horizontal="right"/>
    </xf>
    <xf numFmtId="3" fontId="0" fillId="0" borderId="47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left" vertical="center" wrapText="1"/>
    </xf>
    <xf numFmtId="3" fontId="55" fillId="0" borderId="11" xfId="0" applyNumberFormat="1" applyFont="1" applyFill="1" applyBorder="1" applyAlignment="1">
      <alignment horizontal="right"/>
    </xf>
    <xf numFmtId="3" fontId="55" fillId="0" borderId="33" xfId="0" applyNumberFormat="1" applyFont="1" applyFill="1" applyBorder="1" applyAlignment="1">
      <alignment horizontal="right"/>
    </xf>
    <xf numFmtId="0" fontId="57" fillId="0" borderId="23" xfId="0" applyFont="1" applyFill="1" applyBorder="1" applyAlignment="1">
      <alignment wrapText="1"/>
    </xf>
    <xf numFmtId="0" fontId="57" fillId="0" borderId="49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3" fontId="55" fillId="0" borderId="50" xfId="0" applyNumberFormat="1" applyFont="1" applyFill="1" applyBorder="1" applyAlignment="1">
      <alignment horizontal="right"/>
    </xf>
    <xf numFmtId="0" fontId="55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left" wrapText="1"/>
    </xf>
    <xf numFmtId="49" fontId="0" fillId="0" borderId="18" xfId="0" applyNumberFormat="1" applyFill="1" applyBorder="1" applyAlignment="1">
      <alignment horizontal="left" wrapText="1"/>
    </xf>
    <xf numFmtId="3" fontId="0" fillId="0" borderId="22" xfId="0" applyNumberFormat="1" applyFont="1" applyFill="1" applyBorder="1" applyAlignment="1">
      <alignment horizontal="right" vertical="center"/>
    </xf>
    <xf numFmtId="2" fontId="0" fillId="0" borderId="18" xfId="0" applyNumberFormat="1" applyFont="1" applyFill="1" applyBorder="1" applyAlignment="1">
      <alignment horizontal="left" wrapText="1"/>
    </xf>
    <xf numFmtId="3" fontId="0" fillId="0" borderId="14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2" fontId="55" fillId="0" borderId="11" xfId="0" applyNumberFormat="1" applyFont="1" applyFill="1" applyBorder="1" applyAlignment="1">
      <alignment horizontal="left" wrapText="1"/>
    </xf>
    <xf numFmtId="0" fontId="55" fillId="0" borderId="50" xfId="0" applyFont="1" applyFill="1" applyBorder="1" applyAlignment="1">
      <alignment/>
    </xf>
    <xf numFmtId="2" fontId="55" fillId="0" borderId="50" xfId="0" applyNumberFormat="1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left" wrapText="1"/>
    </xf>
    <xf numFmtId="0" fontId="55" fillId="0" borderId="39" xfId="0" applyFont="1" applyFill="1" applyBorder="1" applyAlignment="1">
      <alignment horizontal="left"/>
    </xf>
    <xf numFmtId="2" fontId="55" fillId="0" borderId="39" xfId="0" applyNumberFormat="1" applyFont="1" applyFill="1" applyBorder="1" applyAlignment="1">
      <alignment horizontal="left" wrapText="1"/>
    </xf>
    <xf numFmtId="3" fontId="55" fillId="0" borderId="39" xfId="0" applyNumberFormat="1" applyFont="1" applyFill="1" applyBorder="1" applyAlignment="1">
      <alignment horizontal="right"/>
    </xf>
    <xf numFmtId="3" fontId="55" fillId="0" borderId="14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42" xfId="0" applyFont="1" applyFill="1" applyBorder="1" applyAlignment="1">
      <alignment horizontal="center"/>
    </xf>
    <xf numFmtId="0" fontId="55" fillId="0" borderId="54" xfId="0" applyFont="1" applyFill="1" applyBorder="1" applyAlignment="1">
      <alignment horizontal="left"/>
    </xf>
    <xf numFmtId="3" fontId="55" fillId="0" borderId="10" xfId="0" applyNumberFormat="1" applyFont="1" applyFill="1" applyBorder="1" applyAlignment="1">
      <alignment horizontal="right"/>
    </xf>
    <xf numFmtId="0" fontId="57" fillId="0" borderId="11" xfId="0" applyFont="1" applyFill="1" applyBorder="1" applyAlignment="1">
      <alignment wrapText="1"/>
    </xf>
    <xf numFmtId="0" fontId="55" fillId="0" borderId="54" xfId="0" applyFont="1" applyFill="1" applyBorder="1" applyAlignment="1">
      <alignment horizontal="center"/>
    </xf>
    <xf numFmtId="0" fontId="54" fillId="0" borderId="54" xfId="0" applyFont="1" applyFill="1" applyBorder="1" applyAlignment="1">
      <alignment wrapText="1"/>
    </xf>
    <xf numFmtId="0" fontId="0" fillId="0" borderId="25" xfId="0" applyFont="1" applyFill="1" applyBorder="1" applyAlignment="1">
      <alignment horizontal="center"/>
    </xf>
    <xf numFmtId="0" fontId="54" fillId="0" borderId="39" xfId="0" applyFont="1" applyFill="1" applyBorder="1" applyAlignment="1">
      <alignment wrapText="1"/>
    </xf>
    <xf numFmtId="0" fontId="0" fillId="0" borderId="15" xfId="0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left"/>
    </xf>
    <xf numFmtId="0" fontId="55" fillId="0" borderId="40" xfId="0" applyFont="1" applyFill="1" applyBorder="1" applyAlignment="1">
      <alignment/>
    </xf>
    <xf numFmtId="3" fontId="55" fillId="0" borderId="40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left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38" xfId="0" applyNumberFormat="1" applyFont="1" applyFill="1" applyBorder="1" applyAlignment="1">
      <alignment horizontal="right" vertical="center"/>
    </xf>
    <xf numFmtId="3" fontId="55" fillId="0" borderId="0" xfId="0" applyNumberFormat="1" applyFont="1" applyFill="1" applyAlignment="1">
      <alignment/>
    </xf>
    <xf numFmtId="3" fontId="55" fillId="0" borderId="0" xfId="0" applyNumberFormat="1" applyFont="1" applyFill="1" applyAlignment="1">
      <alignment/>
    </xf>
    <xf numFmtId="0" fontId="55" fillId="0" borderId="16" xfId="0" applyFont="1" applyFill="1" applyBorder="1" applyAlignment="1">
      <alignment horizontal="center"/>
    </xf>
    <xf numFmtId="0" fontId="55" fillId="0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0" fontId="0" fillId="0" borderId="0" xfId="0" applyBorder="1" applyAlignment="1">
      <alignment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 wrapText="1"/>
    </xf>
    <xf numFmtId="0" fontId="0" fillId="0" borderId="25" xfId="0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wrapText="1"/>
    </xf>
    <xf numFmtId="0" fontId="55" fillId="0" borderId="57" xfId="0" applyFont="1" applyFill="1" applyBorder="1" applyAlignment="1">
      <alignment wrapText="1"/>
    </xf>
    <xf numFmtId="0" fontId="0" fillId="0" borderId="42" xfId="0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vertical="center" wrapText="1"/>
    </xf>
    <xf numFmtId="0" fontId="61" fillId="0" borderId="0" xfId="0" applyFont="1" applyFill="1" applyAlignment="1">
      <alignment/>
    </xf>
    <xf numFmtId="0" fontId="0" fillId="0" borderId="41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55" fillId="0" borderId="40" xfId="0" applyFont="1" applyFill="1" applyBorder="1" applyAlignment="1">
      <alignment horizontal="center"/>
    </xf>
    <xf numFmtId="0" fontId="54" fillId="0" borderId="40" xfId="0" applyFont="1" applyFill="1" applyBorder="1" applyAlignment="1">
      <alignment wrapText="1"/>
    </xf>
    <xf numFmtId="0" fontId="60" fillId="0" borderId="0" xfId="0" applyFont="1" applyFill="1" applyAlignment="1">
      <alignment/>
    </xf>
    <xf numFmtId="0" fontId="57" fillId="0" borderId="45" xfId="0" applyFont="1" applyFill="1" applyBorder="1" applyAlignment="1">
      <alignment wrapText="1"/>
    </xf>
    <xf numFmtId="0" fontId="54" fillId="0" borderId="11" xfId="0" applyFont="1" applyFill="1" applyBorder="1" applyAlignment="1">
      <alignment horizontal="left" vertical="top" wrapText="1"/>
    </xf>
    <xf numFmtId="0" fontId="55" fillId="0" borderId="58" xfId="0" applyFont="1" applyFill="1" applyBorder="1" applyAlignment="1">
      <alignment horizontal="center"/>
    </xf>
    <xf numFmtId="0" fontId="54" fillId="0" borderId="58" xfId="0" applyFont="1" applyFill="1" applyBorder="1" applyAlignment="1">
      <alignment horizontal="left" vertical="top" wrapText="1"/>
    </xf>
    <xf numFmtId="0" fontId="54" fillId="0" borderId="4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6" fillId="0" borderId="0" xfId="0" applyFont="1" applyFill="1" applyBorder="1" applyAlignment="1">
      <alignment horizontal="left" wrapText="1"/>
    </xf>
    <xf numFmtId="0" fontId="56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3" fontId="0" fillId="0" borderId="2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58" xfId="0" applyFont="1" applyBorder="1" applyAlignment="1">
      <alignment horizontal="center"/>
    </xf>
    <xf numFmtId="0" fontId="63" fillId="0" borderId="58" xfId="0" applyFont="1" applyBorder="1" applyAlignment="1">
      <alignment horizontal="center"/>
    </xf>
    <xf numFmtId="0" fontId="62" fillId="0" borderId="0" xfId="0" applyFont="1" applyFill="1" applyAlignment="1" applyProtection="1">
      <alignment vertical="center"/>
      <protection/>
    </xf>
    <xf numFmtId="3" fontId="62" fillId="0" borderId="0" xfId="0" applyNumberFormat="1" applyFont="1" applyAlignment="1">
      <alignment/>
    </xf>
    <xf numFmtId="0" fontId="40" fillId="33" borderId="18" xfId="0" applyFont="1" applyFill="1" applyBorder="1" applyAlignment="1">
      <alignment horizontal="left" vertical="center" wrapText="1"/>
    </xf>
    <xf numFmtId="0" fontId="40" fillId="33" borderId="18" xfId="0" applyFont="1" applyFill="1" applyBorder="1" applyAlignment="1">
      <alignment vertical="center" wrapText="1"/>
    </xf>
    <xf numFmtId="0" fontId="42" fillId="35" borderId="18" xfId="0" applyFont="1" applyFill="1" applyBorder="1" applyAlignment="1">
      <alignment horizontal="left"/>
    </xf>
    <xf numFmtId="0" fontId="42" fillId="0" borderId="18" xfId="0" applyFont="1" applyFill="1" applyBorder="1" applyAlignment="1">
      <alignment/>
    </xf>
    <xf numFmtId="0" fontId="23" fillId="0" borderId="18" xfId="0" applyFont="1" applyFill="1" applyBorder="1" applyAlignment="1">
      <alignment wrapText="1"/>
    </xf>
    <xf numFmtId="0" fontId="0" fillId="0" borderId="0" xfId="0" applyFill="1" applyAlignment="1">
      <alignment/>
    </xf>
    <xf numFmtId="173" fontId="1" fillId="0" borderId="55" xfId="0" applyNumberFormat="1" applyFont="1" applyFill="1" applyBorder="1" applyAlignment="1" applyProtection="1">
      <alignment vertical="center" wrapText="1"/>
      <protection locked="0"/>
    </xf>
    <xf numFmtId="173" fontId="10" fillId="0" borderId="27" xfId="0" applyNumberFormat="1" applyFont="1" applyFill="1" applyBorder="1" applyAlignment="1">
      <alignment horizontal="right" vertical="center" wrapText="1" indent="1"/>
    </xf>
    <xf numFmtId="175" fontId="1" fillId="0" borderId="59" xfId="0" applyNumberFormat="1" applyFont="1" applyFill="1" applyBorder="1" applyAlignment="1" applyProtection="1">
      <alignment horizontal="right" vertical="center" wrapText="1" indent="2"/>
      <protection locked="0"/>
    </xf>
    <xf numFmtId="173" fontId="1" fillId="0" borderId="27" xfId="0" applyNumberFormat="1" applyFont="1" applyFill="1" applyBorder="1" applyAlignment="1" applyProtection="1">
      <alignment vertical="center" wrapText="1"/>
      <protection locked="0"/>
    </xf>
    <xf numFmtId="173" fontId="1" fillId="0" borderId="28" xfId="0" applyNumberFormat="1" applyFont="1" applyFill="1" applyBorder="1" applyAlignment="1" applyProtection="1">
      <alignment vertical="center" wrapText="1"/>
      <protection locked="0"/>
    </xf>
    <xf numFmtId="173" fontId="1" fillId="0" borderId="44" xfId="0" applyNumberFormat="1" applyFont="1" applyFill="1" applyBorder="1" applyAlignment="1" applyProtection="1">
      <alignment vertical="center" wrapText="1"/>
      <protection locked="0"/>
    </xf>
    <xf numFmtId="175" fontId="22" fillId="0" borderId="55" xfId="0" applyNumberFormat="1" applyFont="1" applyFill="1" applyBorder="1" applyAlignment="1" applyProtection="1">
      <alignment horizontal="center" vertical="center" wrapText="1"/>
      <protection locked="0"/>
    </xf>
    <xf numFmtId="175" fontId="1" fillId="0" borderId="55" xfId="0" applyNumberFormat="1" applyFont="1" applyFill="1" applyBorder="1" applyAlignment="1" applyProtection="1">
      <alignment horizontal="center" vertical="center" wrapText="1"/>
      <protection locked="0"/>
    </xf>
    <xf numFmtId="175" fontId="1" fillId="0" borderId="60" xfId="0" applyNumberFormat="1" applyFont="1" applyFill="1" applyBorder="1" applyAlignment="1" applyProtection="1">
      <alignment horizontal="center" vertical="center" wrapText="1"/>
      <protection locked="0"/>
    </xf>
    <xf numFmtId="175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58" xfId="0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65" fillId="0" borderId="0" xfId="0" applyFont="1" applyAlignment="1">
      <alignment/>
    </xf>
    <xf numFmtId="173" fontId="10" fillId="0" borderId="54" xfId="0" applyNumberFormat="1" applyFont="1" applyFill="1" applyBorder="1" applyAlignment="1">
      <alignment horizontal="center" vertical="center"/>
    </xf>
    <xf numFmtId="173" fontId="10" fillId="0" borderId="54" xfId="0" applyNumberFormat="1" applyFont="1" applyFill="1" applyBorder="1" applyAlignment="1">
      <alignment horizontal="center" vertical="center" wrapText="1"/>
    </xf>
    <xf numFmtId="173" fontId="10" fillId="0" borderId="61" xfId="0" applyNumberFormat="1" applyFont="1" applyFill="1" applyBorder="1" applyAlignment="1">
      <alignment horizontal="center" vertical="center"/>
    </xf>
    <xf numFmtId="173" fontId="10" fillId="0" borderId="62" xfId="0" applyNumberFormat="1" applyFont="1" applyFill="1" applyBorder="1" applyAlignment="1">
      <alignment horizontal="center" vertical="center"/>
    </xf>
    <xf numFmtId="49" fontId="1" fillId="0" borderId="63" xfId="0" applyNumberFormat="1" applyFont="1" applyFill="1" applyBorder="1" applyAlignment="1">
      <alignment horizontal="left" vertical="center"/>
    </xf>
    <xf numFmtId="3" fontId="1" fillId="0" borderId="64" xfId="0" applyNumberFormat="1" applyFont="1" applyFill="1" applyBorder="1" applyAlignment="1" applyProtection="1">
      <alignment horizontal="right" vertical="center"/>
      <protection locked="0"/>
    </xf>
    <xf numFmtId="3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173" fontId="10" fillId="0" borderId="65" xfId="0" applyNumberFormat="1" applyFont="1" applyFill="1" applyBorder="1" applyAlignment="1">
      <alignment horizontal="right" vertical="center" wrapText="1"/>
    </xf>
    <xf numFmtId="49" fontId="14" fillId="0" borderId="66" xfId="0" applyNumberFormat="1" applyFont="1" applyFill="1" applyBorder="1" applyAlignment="1" quotePrefix="1">
      <alignment horizontal="left" vertical="center" indent="1"/>
    </xf>
    <xf numFmtId="3" fontId="14" fillId="0" borderId="55" xfId="0" applyNumberFormat="1" applyFont="1" applyFill="1" applyBorder="1" applyAlignment="1" applyProtection="1">
      <alignment horizontal="right" vertical="center"/>
      <protection locked="0"/>
    </xf>
    <xf numFmtId="3" fontId="14" fillId="0" borderId="55" xfId="0" applyNumberFormat="1" applyFont="1" applyFill="1" applyBorder="1" applyAlignment="1" applyProtection="1">
      <alignment horizontal="right" vertical="center" wrapText="1"/>
      <protection locked="0"/>
    </xf>
    <xf numFmtId="173" fontId="10" fillId="0" borderId="55" xfId="0" applyNumberFormat="1" applyFont="1" applyFill="1" applyBorder="1" applyAlignment="1">
      <alignment horizontal="right" vertical="center" wrapText="1"/>
    </xf>
    <xf numFmtId="49" fontId="1" fillId="0" borderId="66" xfId="0" applyNumberFormat="1" applyFont="1" applyFill="1" applyBorder="1" applyAlignment="1">
      <alignment horizontal="left" vertical="center"/>
    </xf>
    <xf numFmtId="3" fontId="1" fillId="0" borderId="55" xfId="0" applyNumberFormat="1" applyFont="1" applyFill="1" applyBorder="1" applyAlignment="1" applyProtection="1">
      <alignment horizontal="right" vertical="center"/>
      <protection locked="0"/>
    </xf>
    <xf numFmtId="3" fontId="1" fillId="0" borderId="55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67" xfId="0" applyNumberFormat="1" applyFont="1" applyFill="1" applyBorder="1" applyAlignment="1" applyProtection="1">
      <alignment horizontal="left" vertical="center"/>
      <protection locked="0"/>
    </xf>
    <xf numFmtId="3" fontId="1" fillId="0" borderId="68" xfId="0" applyNumberFormat="1" applyFont="1" applyFill="1" applyBorder="1" applyAlignment="1" applyProtection="1">
      <alignment horizontal="right" vertical="center"/>
      <protection locked="0"/>
    </xf>
    <xf numFmtId="3" fontId="1" fillId="0" borderId="68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48" xfId="0" applyNumberFormat="1" applyFont="1" applyFill="1" applyBorder="1" applyAlignment="1" applyProtection="1">
      <alignment horizontal="left" vertical="center" indent="1"/>
      <protection locked="0"/>
    </xf>
    <xf numFmtId="173" fontId="10" fillId="0" borderId="54" xfId="0" applyNumberFormat="1" applyFont="1" applyFill="1" applyBorder="1" applyAlignment="1">
      <alignment vertical="center"/>
    </xf>
    <xf numFmtId="49" fontId="10" fillId="0" borderId="45" xfId="0" applyNumberFormat="1" applyFont="1" applyFill="1" applyBorder="1" applyAlignment="1" applyProtection="1">
      <alignment vertical="center"/>
      <protection locked="0"/>
    </xf>
    <xf numFmtId="49" fontId="10" fillId="0" borderId="45" xfId="0" applyNumberFormat="1" applyFont="1" applyFill="1" applyBorder="1" applyAlignment="1" applyProtection="1">
      <alignment horizontal="right" vertical="center"/>
      <protection locked="0"/>
    </xf>
    <xf numFmtId="3" fontId="1" fillId="0" borderId="45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40" xfId="0" applyNumberFormat="1" applyFont="1" applyFill="1" applyBorder="1" applyAlignment="1" applyProtection="1">
      <alignment vertical="center"/>
      <protection locked="0"/>
    </xf>
    <xf numFmtId="49" fontId="10" fillId="0" borderId="40" xfId="0" applyNumberFormat="1" applyFont="1" applyFill="1" applyBorder="1" applyAlignment="1" applyProtection="1">
      <alignment horizontal="right" vertical="center"/>
      <protection locked="0"/>
    </xf>
    <xf numFmtId="3" fontId="1" fillId="0" borderId="40" xfId="0" applyNumberFormat="1" applyFont="1" applyFill="1" applyBorder="1" applyAlignment="1" applyProtection="1">
      <alignment horizontal="right" vertical="center" wrapText="1"/>
      <protection locked="0"/>
    </xf>
    <xf numFmtId="173" fontId="10" fillId="0" borderId="64" xfId="0" applyNumberFormat="1" applyFont="1" applyFill="1" applyBorder="1" applyAlignment="1" applyProtection="1">
      <alignment horizontal="right" vertical="center" wrapText="1"/>
      <protection/>
    </xf>
    <xf numFmtId="173" fontId="10" fillId="0" borderId="55" xfId="0" applyNumberFormat="1" applyFont="1" applyFill="1" applyBorder="1" applyAlignment="1" applyProtection="1">
      <alignment horizontal="right" vertical="center" wrapText="1"/>
      <protection/>
    </xf>
    <xf numFmtId="49" fontId="1" fillId="0" borderId="69" xfId="0" applyNumberFormat="1" applyFont="1" applyFill="1" applyBorder="1" applyAlignment="1">
      <alignment horizontal="left" vertical="center"/>
    </xf>
    <xf numFmtId="49" fontId="1" fillId="0" borderId="66" xfId="0" applyNumberFormat="1" applyFont="1" applyFill="1" applyBorder="1" applyAlignment="1" applyProtection="1">
      <alignment horizontal="left" vertical="center"/>
      <protection locked="0"/>
    </xf>
    <xf numFmtId="174" fontId="10" fillId="0" borderId="48" xfId="0" applyNumberFormat="1" applyFont="1" applyFill="1" applyBorder="1" applyAlignment="1">
      <alignment horizontal="left" vertical="center" wrapText="1" indent="1"/>
    </xf>
    <xf numFmtId="3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71" xfId="0" applyNumberFormat="1" applyFont="1" applyFill="1" applyBorder="1" applyAlignment="1" applyProtection="1">
      <alignment vertical="center"/>
      <protection/>
    </xf>
    <xf numFmtId="3" fontId="1" fillId="0" borderId="71" xfId="0" applyNumberFormat="1" applyFont="1" applyFill="1" applyBorder="1" applyAlignment="1" applyProtection="1">
      <alignment horizontal="right" vertical="center"/>
      <protection locked="0"/>
    </xf>
    <xf numFmtId="3" fontId="1" fillId="0" borderId="72" xfId="0" applyNumberFormat="1" applyFont="1" applyFill="1" applyBorder="1" applyAlignment="1" applyProtection="1">
      <alignment horizontal="right" vertical="center"/>
      <protection locked="0"/>
    </xf>
    <xf numFmtId="173" fontId="10" fillId="0" borderId="73" xfId="0" applyNumberFormat="1" applyFont="1" applyFill="1" applyBorder="1" applyAlignment="1">
      <alignment vertical="center"/>
    </xf>
    <xf numFmtId="3" fontId="1" fillId="0" borderId="65" xfId="0" applyNumberFormat="1" applyFont="1" applyFill="1" applyBorder="1" applyAlignment="1" applyProtection="1">
      <alignment horizontal="right" vertical="center"/>
      <protection locked="0"/>
    </xf>
    <xf numFmtId="0" fontId="12" fillId="0" borderId="55" xfId="0" applyFont="1" applyBorder="1" applyAlignment="1">
      <alignment/>
    </xf>
    <xf numFmtId="0" fontId="12" fillId="0" borderId="68" xfId="0" applyFont="1" applyBorder="1" applyAlignment="1">
      <alignment/>
    </xf>
    <xf numFmtId="0" fontId="12" fillId="0" borderId="54" xfId="0" applyFont="1" applyBorder="1" applyAlignment="1">
      <alignment/>
    </xf>
    <xf numFmtId="172" fontId="12" fillId="0" borderId="0" xfId="0" applyNumberFormat="1" applyFont="1" applyAlignment="1">
      <alignment/>
    </xf>
    <xf numFmtId="172" fontId="10" fillId="0" borderId="54" xfId="0" applyNumberFormat="1" applyFont="1" applyFill="1" applyBorder="1" applyAlignment="1">
      <alignment horizontal="center" vertical="center" wrapText="1"/>
    </xf>
    <xf numFmtId="172" fontId="10" fillId="0" borderId="62" xfId="0" applyNumberFormat="1" applyFont="1" applyFill="1" applyBorder="1" applyAlignment="1">
      <alignment horizontal="center" vertical="center" wrapText="1"/>
    </xf>
    <xf numFmtId="172" fontId="10" fillId="0" borderId="65" xfId="0" applyNumberFormat="1" applyFont="1" applyFill="1" applyBorder="1" applyAlignment="1">
      <alignment horizontal="right" vertical="center" wrapText="1"/>
    </xf>
    <xf numFmtId="172" fontId="10" fillId="0" borderId="55" xfId="0" applyNumberFormat="1" applyFont="1" applyFill="1" applyBorder="1" applyAlignment="1">
      <alignment horizontal="right" vertical="center" wrapText="1"/>
    </xf>
    <xf numFmtId="172" fontId="10" fillId="0" borderId="74" xfId="0" applyNumberFormat="1" applyFont="1" applyFill="1" applyBorder="1" applyAlignment="1">
      <alignment horizontal="right" vertical="center" wrapText="1"/>
    </xf>
    <xf numFmtId="172" fontId="10" fillId="0" borderId="54" xfId="0" applyNumberFormat="1" applyFont="1" applyFill="1" applyBorder="1" applyAlignment="1" applyProtection="1">
      <alignment vertical="center" wrapText="1"/>
      <protection locked="0"/>
    </xf>
    <xf numFmtId="172" fontId="1" fillId="0" borderId="45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40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68" xfId="0" applyNumberFormat="1" applyFont="1" applyFill="1" applyBorder="1" applyAlignment="1">
      <alignment horizontal="right" vertical="center" wrapText="1"/>
    </xf>
    <xf numFmtId="172" fontId="10" fillId="0" borderId="54" xfId="0" applyNumberFormat="1" applyFont="1" applyFill="1" applyBorder="1" applyAlignment="1">
      <alignment horizontal="right" vertical="center" wrapText="1"/>
    </xf>
    <xf numFmtId="174" fontId="10" fillId="0" borderId="0" xfId="0" applyNumberFormat="1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/>
    </xf>
    <xf numFmtId="173" fontId="10" fillId="0" borderId="0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173" fontId="11" fillId="0" borderId="18" xfId="0" applyNumberFormat="1" applyFont="1" applyFill="1" applyBorder="1" applyAlignment="1">
      <alignment horizontal="center" vertical="center" wrapText="1"/>
    </xf>
    <xf numFmtId="173" fontId="11" fillId="0" borderId="18" xfId="0" applyNumberFormat="1" applyFont="1" applyFill="1" applyBorder="1" applyAlignment="1" applyProtection="1">
      <alignment horizontal="center" vertical="center" wrapText="1"/>
      <protection/>
    </xf>
    <xf numFmtId="173" fontId="12" fillId="0" borderId="18" xfId="0" applyNumberFormat="1" applyFont="1" applyFill="1" applyBorder="1" applyAlignment="1" applyProtection="1">
      <alignment vertical="center" wrapText="1"/>
      <protection/>
    </xf>
    <xf numFmtId="0" fontId="26" fillId="0" borderId="18" xfId="0" applyFont="1" applyBorder="1" applyAlignment="1">
      <alignment/>
    </xf>
    <xf numFmtId="0" fontId="55" fillId="0" borderId="48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55" fillId="0" borderId="75" xfId="0" applyFont="1" applyFill="1" applyBorder="1" applyAlignment="1">
      <alignment horizontal="left"/>
    </xf>
    <xf numFmtId="0" fontId="0" fillId="0" borderId="50" xfId="0" applyFill="1" applyBorder="1" applyAlignment="1">
      <alignment/>
    </xf>
    <xf numFmtId="0" fontId="55" fillId="0" borderId="76" xfId="0" applyFont="1" applyFill="1" applyBorder="1" applyAlignment="1">
      <alignment horizontal="left"/>
    </xf>
    <xf numFmtId="0" fontId="55" fillId="0" borderId="0" xfId="0" applyFont="1" applyFill="1" applyAlignment="1">
      <alignment horizontal="left"/>
    </xf>
    <xf numFmtId="0" fontId="23" fillId="0" borderId="32" xfId="0" applyFont="1" applyBorder="1" applyAlignment="1">
      <alignment horizontal="left"/>
    </xf>
    <xf numFmtId="0" fontId="66" fillId="0" borderId="18" xfId="54" applyFont="1" applyFill="1" applyBorder="1" applyAlignment="1" applyProtection="1">
      <alignment vertical="center" wrapText="1"/>
      <protection/>
    </xf>
    <xf numFmtId="173" fontId="6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3" fontId="6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9" xfId="0" applyFont="1" applyBorder="1" applyAlignment="1">
      <alignment/>
    </xf>
    <xf numFmtId="173" fontId="66" fillId="0" borderId="18" xfId="0" applyNumberFormat="1" applyFont="1" applyFill="1" applyBorder="1" applyAlignment="1" applyProtection="1">
      <alignment vertical="center" wrapText="1"/>
      <protection locked="0"/>
    </xf>
    <xf numFmtId="0" fontId="23" fillId="36" borderId="18" xfId="0" applyFont="1" applyFill="1" applyBorder="1" applyAlignment="1">
      <alignment/>
    </xf>
    <xf numFmtId="3" fontId="40" fillId="0" borderId="0" xfId="0" applyNumberFormat="1" applyFont="1" applyAlignment="1">
      <alignment/>
    </xf>
    <xf numFmtId="3" fontId="23" fillId="33" borderId="18" xfId="0" applyNumberFormat="1" applyFont="1" applyFill="1" applyBorder="1" applyAlignment="1">
      <alignment horizontal="center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12" fillId="33" borderId="18" xfId="0" applyNumberFormat="1" applyFont="1" applyFill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horizontal="center" vertical="center" wrapText="1"/>
    </xf>
    <xf numFmtId="3" fontId="40" fillId="36" borderId="18" xfId="0" applyNumberFormat="1" applyFont="1" applyFill="1" applyBorder="1" applyAlignment="1">
      <alignment/>
    </xf>
    <xf numFmtId="3" fontId="40" fillId="0" borderId="18" xfId="0" applyNumberFormat="1" applyFont="1" applyFill="1" applyBorder="1" applyAlignment="1">
      <alignment/>
    </xf>
    <xf numFmtId="3" fontId="41" fillId="36" borderId="18" xfId="0" applyNumberFormat="1" applyFont="1" applyFill="1" applyBorder="1" applyAlignment="1">
      <alignment/>
    </xf>
    <xf numFmtId="0" fontId="67" fillId="0" borderId="0" xfId="0" applyFont="1" applyAlignment="1">
      <alignment/>
    </xf>
    <xf numFmtId="3" fontId="41" fillId="0" borderId="18" xfId="0" applyNumberFormat="1" applyFont="1" applyBorder="1" applyAlignment="1">
      <alignment/>
    </xf>
    <xf numFmtId="0" fontId="40" fillId="36" borderId="18" xfId="0" applyFont="1" applyFill="1" applyBorder="1" applyAlignment="1">
      <alignment/>
    </xf>
    <xf numFmtId="0" fontId="41" fillId="36" borderId="18" xfId="0" applyFont="1" applyFill="1" applyBorder="1" applyAlignment="1">
      <alignment/>
    </xf>
    <xf numFmtId="0" fontId="0" fillId="0" borderId="0" xfId="0" applyAlignment="1">
      <alignment wrapText="1"/>
    </xf>
    <xf numFmtId="0" fontId="28" fillId="0" borderId="0" xfId="0" applyFont="1" applyAlignment="1">
      <alignment/>
    </xf>
    <xf numFmtId="3" fontId="23" fillId="36" borderId="18" xfId="0" applyNumberFormat="1" applyFont="1" applyFill="1" applyBorder="1" applyAlignment="1">
      <alignment/>
    </xf>
    <xf numFmtId="3" fontId="20" fillId="36" borderId="18" xfId="0" applyNumberFormat="1" applyFont="1" applyFill="1" applyBorder="1" applyAlignment="1">
      <alignment/>
    </xf>
    <xf numFmtId="3" fontId="20" fillId="33" borderId="18" xfId="0" applyNumberFormat="1" applyFont="1" applyFill="1" applyBorder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68" fillId="33" borderId="18" xfId="0" applyFont="1" applyFill="1" applyBorder="1" applyAlignment="1">
      <alignment horizontal="center" vertical="center" wrapText="1"/>
    </xf>
    <xf numFmtId="3" fontId="41" fillId="33" borderId="18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0" fontId="41" fillId="0" borderId="18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/>
    </xf>
    <xf numFmtId="3" fontId="39" fillId="36" borderId="18" xfId="0" applyNumberFormat="1" applyFont="1" applyFill="1" applyBorder="1" applyAlignment="1">
      <alignment/>
    </xf>
    <xf numFmtId="3" fontId="26" fillId="36" borderId="18" xfId="0" applyNumberFormat="1" applyFont="1" applyFill="1" applyBorder="1" applyAlignment="1">
      <alignment/>
    </xf>
    <xf numFmtId="3" fontId="39" fillId="33" borderId="18" xfId="0" applyNumberFormat="1" applyFont="1" applyFill="1" applyBorder="1" applyAlignment="1">
      <alignment/>
    </xf>
    <xf numFmtId="3" fontId="26" fillId="0" borderId="18" xfId="0" applyNumberFormat="1" applyFont="1" applyBorder="1" applyAlignment="1">
      <alignment/>
    </xf>
    <xf numFmtId="3" fontId="4" fillId="36" borderId="18" xfId="0" applyNumberFormat="1" applyFont="1" applyFill="1" applyBorder="1" applyAlignment="1">
      <alignment/>
    </xf>
    <xf numFmtId="3" fontId="27" fillId="0" borderId="18" xfId="0" applyNumberFormat="1" applyFont="1" applyBorder="1" applyAlignment="1">
      <alignment/>
    </xf>
    <xf numFmtId="3" fontId="26" fillId="0" borderId="18" xfId="0" applyNumberFormat="1" applyFont="1" applyFill="1" applyBorder="1" applyAlignment="1">
      <alignment/>
    </xf>
    <xf numFmtId="0" fontId="40" fillId="33" borderId="18" xfId="0" applyFont="1" applyFill="1" applyBorder="1" applyAlignment="1">
      <alignment horizontal="center" vertical="center"/>
    </xf>
    <xf numFmtId="3" fontId="60" fillId="36" borderId="18" xfId="0" applyNumberFormat="1" applyFont="1" applyFill="1" applyBorder="1" applyAlignment="1">
      <alignment/>
    </xf>
    <xf numFmtId="3" fontId="60" fillId="33" borderId="18" xfId="0" applyNumberFormat="1" applyFont="1" applyFill="1" applyBorder="1" applyAlignment="1">
      <alignment/>
    </xf>
    <xf numFmtId="0" fontId="27" fillId="0" borderId="0" xfId="0" applyFont="1" applyAlignment="1">
      <alignment/>
    </xf>
    <xf numFmtId="4" fontId="5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right" wrapText="1"/>
    </xf>
    <xf numFmtId="3" fontId="55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right"/>
    </xf>
    <xf numFmtId="1" fontId="56" fillId="0" borderId="10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vertical="center" wrapText="1"/>
    </xf>
    <xf numFmtId="4" fontId="56" fillId="0" borderId="0" xfId="0" applyNumberFormat="1" applyFont="1" applyFill="1" applyAlignment="1">
      <alignment horizontal="center"/>
    </xf>
    <xf numFmtId="3" fontId="56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right" wrapText="1"/>
    </xf>
    <xf numFmtId="3" fontId="0" fillId="0" borderId="20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 quotePrefix="1">
      <alignment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32" xfId="0" applyFill="1" applyBorder="1" applyAlignment="1">
      <alignment horizontal="left" vertical="center" wrapText="1"/>
    </xf>
    <xf numFmtId="3" fontId="0" fillId="0" borderId="32" xfId="0" applyNumberFormat="1" applyFont="1" applyFill="1" applyBorder="1" applyAlignment="1">
      <alignment horizontal="right" vertical="center"/>
    </xf>
    <xf numFmtId="3" fontId="0" fillId="0" borderId="47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top"/>
    </xf>
    <xf numFmtId="49" fontId="0" fillId="0" borderId="18" xfId="0" applyNumberFormat="1" applyFont="1" applyFill="1" applyBorder="1" applyAlignment="1">
      <alignment/>
    </xf>
    <xf numFmtId="0" fontId="57" fillId="0" borderId="18" xfId="0" applyFont="1" applyFill="1" applyBorder="1" applyAlignment="1">
      <alignment horizontal="left" wrapText="1"/>
    </xf>
    <xf numFmtId="0" fontId="55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/>
    </xf>
    <xf numFmtId="49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left" vertical="center" wrapText="1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/>
    </xf>
    <xf numFmtId="0" fontId="61" fillId="0" borderId="21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vertical="center" wrapText="1"/>
    </xf>
    <xf numFmtId="0" fontId="61" fillId="0" borderId="21" xfId="0" applyFont="1" applyFill="1" applyBorder="1" applyAlignment="1">
      <alignment horizontal="left" vertical="center" wrapText="1"/>
    </xf>
    <xf numFmtId="3" fontId="61" fillId="0" borderId="21" xfId="0" applyNumberFormat="1" applyFont="1" applyFill="1" applyBorder="1" applyAlignment="1">
      <alignment horizontal="right" vertical="center" wrapText="1"/>
    </xf>
    <xf numFmtId="3" fontId="61" fillId="0" borderId="2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/>
    </xf>
    <xf numFmtId="0" fontId="61" fillId="0" borderId="18" xfId="0" applyFont="1" applyFill="1" applyBorder="1" applyAlignment="1">
      <alignment vertical="center" wrapText="1"/>
    </xf>
    <xf numFmtId="0" fontId="55" fillId="0" borderId="18" xfId="0" applyFont="1" applyFill="1" applyBorder="1" applyAlignment="1">
      <alignment horizontal="center" wrapText="1"/>
    </xf>
    <xf numFmtId="49" fontId="55" fillId="0" borderId="18" xfId="0" applyNumberFormat="1" applyFont="1" applyFill="1" applyBorder="1" applyAlignment="1">
      <alignment horizontal="left" wrapText="1"/>
    </xf>
    <xf numFmtId="3" fontId="55" fillId="0" borderId="18" xfId="0" applyNumberFormat="1" applyFont="1" applyFill="1" applyBorder="1" applyAlignment="1">
      <alignment horizontal="right" wrapText="1"/>
    </xf>
    <xf numFmtId="3" fontId="55" fillId="0" borderId="22" xfId="0" applyNumberFormat="1" applyFont="1" applyFill="1" applyBorder="1" applyAlignment="1">
      <alignment horizontal="right" wrapText="1"/>
    </xf>
    <xf numFmtId="49" fontId="0" fillId="0" borderId="32" xfId="0" applyNumberFormat="1" applyFill="1" applyBorder="1" applyAlignment="1">
      <alignment wrapText="1"/>
    </xf>
    <xf numFmtId="0" fontId="0" fillId="0" borderId="39" xfId="0" applyFont="1" applyFill="1" applyBorder="1" applyAlignment="1">
      <alignment horizontal="center" wrapText="1"/>
    </xf>
    <xf numFmtId="49" fontId="0" fillId="0" borderId="39" xfId="0" applyNumberFormat="1" applyFill="1" applyBorder="1" applyAlignment="1">
      <alignment wrapText="1"/>
    </xf>
    <xf numFmtId="3" fontId="0" fillId="0" borderId="39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 applyAlignment="1">
      <alignment horizontal="right" wrapText="1"/>
    </xf>
    <xf numFmtId="3" fontId="0" fillId="0" borderId="21" xfId="0" applyNumberFormat="1" applyFont="1" applyFill="1" applyBorder="1" applyAlignment="1">
      <alignment horizontal="right"/>
    </xf>
    <xf numFmtId="0" fontId="55" fillId="0" borderId="32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32" xfId="0" applyNumberFormat="1" applyFont="1" applyFill="1" applyBorder="1" applyAlignment="1">
      <alignment horizontal="center" vertical="top" wrapText="1"/>
    </xf>
    <xf numFmtId="0" fontId="0" fillId="0" borderId="32" xfId="0" applyFill="1" applyBorder="1" applyAlignment="1">
      <alignment/>
    </xf>
    <xf numFmtId="0" fontId="0" fillId="0" borderId="32" xfId="0" applyFont="1" applyFill="1" applyBorder="1" applyAlignment="1">
      <alignment horizontal="left" vertical="top" wrapText="1"/>
    </xf>
    <xf numFmtId="3" fontId="0" fillId="0" borderId="32" xfId="0" applyNumberFormat="1" applyFont="1" applyFill="1" applyBorder="1" applyAlignment="1">
      <alignment horizontal="right" vertical="top" wrapText="1"/>
    </xf>
    <xf numFmtId="3" fontId="0" fillId="0" borderId="47" xfId="0" applyNumberFormat="1" applyFont="1" applyFill="1" applyBorder="1" applyAlignment="1">
      <alignment horizontal="right" vertical="top" wrapText="1"/>
    </xf>
    <xf numFmtId="14" fontId="0" fillId="0" borderId="18" xfId="0" applyNumberFormat="1" applyFont="1" applyFill="1" applyBorder="1" applyAlignment="1">
      <alignment horizontal="left" wrapText="1"/>
    </xf>
    <xf numFmtId="3" fontId="0" fillId="0" borderId="18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/>
    </xf>
    <xf numFmtId="0" fontId="57" fillId="0" borderId="21" xfId="0" applyFont="1" applyFill="1" applyBorder="1" applyAlignment="1">
      <alignment horizontal="left" wrapText="1"/>
    </xf>
    <xf numFmtId="49" fontId="0" fillId="0" borderId="32" xfId="0" applyNumberFormat="1" applyFont="1" applyFill="1" applyBorder="1" applyAlignment="1">
      <alignment/>
    </xf>
    <xf numFmtId="0" fontId="57" fillId="0" borderId="32" xfId="0" applyFont="1" applyFill="1" applyBorder="1" applyAlignment="1">
      <alignment horizontal="left" wrapText="1"/>
    </xf>
    <xf numFmtId="3" fontId="0" fillId="0" borderId="20" xfId="0" applyNumberFormat="1" applyFont="1" applyFill="1" applyBorder="1" applyAlignment="1">
      <alignment horizontal="right"/>
    </xf>
    <xf numFmtId="0" fontId="55" fillId="0" borderId="39" xfId="0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/>
    </xf>
    <xf numFmtId="0" fontId="57" fillId="0" borderId="39" xfId="0" applyFont="1" applyFill="1" applyBorder="1" applyAlignment="1">
      <alignment horizontal="left" wrapText="1"/>
    </xf>
    <xf numFmtId="3" fontId="0" fillId="0" borderId="39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0" fontId="55" fillId="0" borderId="11" xfId="0" applyNumberFormat="1" applyFont="1" applyFill="1" applyBorder="1" applyAlignment="1">
      <alignment horizontal="center" vertical="top" wrapText="1"/>
    </xf>
    <xf numFmtId="1" fontId="0" fillId="0" borderId="75" xfId="0" applyNumberFormat="1" applyFont="1" applyFill="1" applyBorder="1" applyAlignment="1">
      <alignment horizontal="right"/>
    </xf>
    <xf numFmtId="0" fontId="55" fillId="0" borderId="45" xfId="0" applyNumberFormat="1" applyFont="1" applyFill="1" applyBorder="1" applyAlignment="1">
      <alignment horizontal="center" vertical="top" wrapText="1"/>
    </xf>
    <xf numFmtId="0" fontId="0" fillId="0" borderId="45" xfId="0" applyFill="1" applyBorder="1" applyAlignment="1">
      <alignment horizontal="left" wrapText="1"/>
    </xf>
    <xf numFmtId="3" fontId="55" fillId="0" borderId="77" xfId="0" applyNumberFormat="1" applyFont="1" applyFill="1" applyBorder="1" applyAlignment="1">
      <alignment horizontal="right" vertical="top" wrapText="1"/>
    </xf>
    <xf numFmtId="3" fontId="0" fillId="0" borderId="77" xfId="0" applyNumberFormat="1" applyFont="1" applyFill="1" applyBorder="1" applyAlignment="1">
      <alignment horizontal="right"/>
    </xf>
    <xf numFmtId="49" fontId="0" fillId="0" borderId="16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" fontId="26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49" fontId="0" fillId="0" borderId="21" xfId="0" applyNumberFormat="1" applyFill="1" applyBorder="1" applyAlignment="1">
      <alignment/>
    </xf>
    <xf numFmtId="0" fontId="55" fillId="0" borderId="11" xfId="0" applyFont="1" applyFill="1" applyBorder="1" applyAlignment="1">
      <alignment horizontal="center" vertical="top"/>
    </xf>
    <xf numFmtId="1" fontId="0" fillId="0" borderId="76" xfId="0" applyNumberFormat="1" applyFont="1" applyFill="1" applyBorder="1" applyAlignment="1">
      <alignment horizontal="right" vertical="top"/>
    </xf>
    <xf numFmtId="0" fontId="55" fillId="0" borderId="0" xfId="0" applyFont="1" applyFill="1" applyBorder="1" applyAlignment="1">
      <alignment horizontal="left" vertical="top" wrapText="1"/>
    </xf>
    <xf numFmtId="1" fontId="0" fillId="0" borderId="25" xfId="0" applyNumberFormat="1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left" wrapText="1"/>
    </xf>
    <xf numFmtId="1" fontId="0" fillId="0" borderId="15" xfId="0" applyNumberFormat="1" applyFont="1" applyFill="1" applyBorder="1" applyAlignment="1">
      <alignment horizontal="right"/>
    </xf>
    <xf numFmtId="4" fontId="55" fillId="0" borderId="0" xfId="0" applyNumberFormat="1" applyFont="1" applyFill="1" applyAlignment="1">
      <alignment/>
    </xf>
    <xf numFmtId="1" fontId="26" fillId="0" borderId="42" xfId="0" applyNumberFormat="1" applyFont="1" applyFill="1" applyBorder="1" applyAlignment="1">
      <alignment horizontal="right"/>
    </xf>
    <xf numFmtId="0" fontId="55" fillId="0" borderId="39" xfId="0" applyFont="1" applyFill="1" applyBorder="1" applyAlignment="1">
      <alignment horizontal="left" wrapText="1"/>
    </xf>
    <xf numFmtId="1" fontId="26" fillId="0" borderId="76" xfId="0" applyNumberFormat="1" applyFont="1" applyFill="1" applyBorder="1" applyAlignment="1">
      <alignment horizontal="right"/>
    </xf>
    <xf numFmtId="3" fontId="55" fillId="0" borderId="0" xfId="0" applyNumberFormat="1" applyFont="1" applyFill="1" applyBorder="1" applyAlignment="1">
      <alignment horizontal="right"/>
    </xf>
    <xf numFmtId="3" fontId="55" fillId="0" borderId="77" xfId="0" applyNumberFormat="1" applyFont="1" applyFill="1" applyBorder="1" applyAlignment="1">
      <alignment horizontal="right"/>
    </xf>
    <xf numFmtId="1" fontId="0" fillId="0" borderId="76" xfId="0" applyNumberFormat="1" applyFont="1" applyFill="1" applyBorder="1" applyAlignment="1">
      <alignment horizontal="right" wrapText="1"/>
    </xf>
    <xf numFmtId="3" fontId="55" fillId="0" borderId="77" xfId="0" applyNumberFormat="1" applyFont="1" applyFill="1" applyBorder="1" applyAlignment="1">
      <alignment horizontal="right" wrapText="1"/>
    </xf>
    <xf numFmtId="1" fontId="0" fillId="0" borderId="76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wrapText="1"/>
    </xf>
    <xf numFmtId="3" fontId="0" fillId="0" borderId="0" xfId="0" applyNumberFormat="1" applyFont="1" applyFill="1" applyAlignment="1">
      <alignment horizontal="right"/>
    </xf>
    <xf numFmtId="0" fontId="55" fillId="0" borderId="76" xfId="0" applyFont="1" applyFill="1" applyBorder="1" applyAlignment="1">
      <alignment horizontal="center" wrapText="1"/>
    </xf>
    <xf numFmtId="3" fontId="0" fillId="0" borderId="50" xfId="0" applyNumberFormat="1" applyFont="1" applyFill="1" applyBorder="1" applyAlignment="1">
      <alignment horizontal="right"/>
    </xf>
    <xf numFmtId="3" fontId="0" fillId="0" borderId="73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 horizontal="right" vertical="top" wrapText="1"/>
    </xf>
    <xf numFmtId="49" fontId="0" fillId="0" borderId="21" xfId="0" applyNumberFormat="1" applyFill="1" applyBorder="1" applyAlignment="1">
      <alignment vertical="top" wrapText="1"/>
    </xf>
    <xf numFmtId="49" fontId="0" fillId="0" borderId="21" xfId="0" applyNumberFormat="1" applyFont="1" applyFill="1" applyBorder="1" applyAlignment="1">
      <alignment vertical="top" wrapText="1"/>
    </xf>
    <xf numFmtId="49" fontId="0" fillId="0" borderId="18" xfId="0" applyNumberFormat="1" applyFont="1" applyFill="1" applyBorder="1" applyAlignment="1">
      <alignment vertical="top" wrapText="1"/>
    </xf>
    <xf numFmtId="3" fontId="0" fillId="0" borderId="18" xfId="0" applyNumberFormat="1" applyFont="1" applyFill="1" applyBorder="1" applyAlignment="1">
      <alignment horizontal="right" vertical="top" wrapText="1"/>
    </xf>
    <xf numFmtId="49" fontId="0" fillId="0" borderId="18" xfId="0" applyNumberFormat="1" applyFill="1" applyBorder="1" applyAlignment="1">
      <alignment vertical="top" wrapText="1"/>
    </xf>
    <xf numFmtId="0" fontId="55" fillId="0" borderId="23" xfId="0" applyNumberFormat="1" applyFont="1" applyFill="1" applyBorder="1" applyAlignment="1">
      <alignment horizontal="center" vertical="top" wrapText="1"/>
    </xf>
    <xf numFmtId="49" fontId="55" fillId="0" borderId="23" xfId="0" applyNumberFormat="1" applyFont="1" applyFill="1" applyBorder="1" applyAlignment="1">
      <alignment vertical="top" wrapText="1"/>
    </xf>
    <xf numFmtId="0" fontId="55" fillId="0" borderId="11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4" fontId="56" fillId="0" borderId="0" xfId="0" applyNumberFormat="1" applyFont="1" applyFill="1" applyAlignment="1">
      <alignment/>
    </xf>
    <xf numFmtId="3" fontId="56" fillId="0" borderId="0" xfId="0" applyNumberFormat="1" applyFont="1" applyFill="1" applyAlignment="1">
      <alignment/>
    </xf>
    <xf numFmtId="49" fontId="0" fillId="0" borderId="32" xfId="0" applyNumberFormat="1" applyFill="1" applyBorder="1" applyAlignment="1">
      <alignment/>
    </xf>
    <xf numFmtId="0" fontId="0" fillId="0" borderId="28" xfId="0" applyFill="1" applyBorder="1" applyAlignment="1">
      <alignment vertical="center" wrapText="1"/>
    </xf>
    <xf numFmtId="0" fontId="55" fillId="0" borderId="28" xfId="0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/>
    </xf>
    <xf numFmtId="0" fontId="0" fillId="0" borderId="28" xfId="0" applyFont="1" applyFill="1" applyBorder="1" applyAlignment="1">
      <alignment wrapText="1"/>
    </xf>
    <xf numFmtId="3" fontId="0" fillId="0" borderId="28" xfId="0" applyNumberFormat="1" applyFont="1" applyFill="1" applyBorder="1" applyAlignment="1">
      <alignment horizontal="right"/>
    </xf>
    <xf numFmtId="0" fontId="55" fillId="0" borderId="28" xfId="0" applyFont="1" applyFill="1" applyBorder="1" applyAlignment="1">
      <alignment horizontal="right"/>
    </xf>
    <xf numFmtId="3" fontId="0" fillId="0" borderId="28" xfId="0" applyNumberFormat="1" applyFont="1" applyFill="1" applyBorder="1" applyAlignment="1">
      <alignment horizontal="right" vertical="center"/>
    </xf>
    <xf numFmtId="3" fontId="0" fillId="0" borderId="44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center"/>
    </xf>
    <xf numFmtId="1" fontId="0" fillId="0" borderId="42" xfId="0" applyNumberFormat="1" applyFont="1" applyFill="1" applyBorder="1" applyAlignment="1">
      <alignment horizontal="right"/>
    </xf>
    <xf numFmtId="0" fontId="55" fillId="0" borderId="11" xfId="0" applyFont="1" applyFill="1" applyBorder="1" applyAlignment="1">
      <alignment horizontal="left" wrapText="1"/>
    </xf>
    <xf numFmtId="1" fontId="0" fillId="0" borderId="75" xfId="0" applyNumberFormat="1" applyFont="1" applyFill="1" applyBorder="1" applyAlignment="1">
      <alignment horizontal="right" wrapText="1"/>
    </xf>
    <xf numFmtId="49" fontId="55" fillId="0" borderId="45" xfId="0" applyNumberFormat="1" applyFont="1" applyFill="1" applyBorder="1" applyAlignment="1">
      <alignment/>
    </xf>
    <xf numFmtId="0" fontId="54" fillId="0" borderId="45" xfId="0" applyFont="1" applyFill="1" applyBorder="1" applyAlignment="1">
      <alignment horizontal="left" wrapText="1"/>
    </xf>
    <xf numFmtId="3" fontId="55" fillId="0" borderId="70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49" fontId="0" fillId="0" borderId="39" xfId="0" applyNumberFormat="1" applyFill="1" applyBorder="1" applyAlignment="1">
      <alignment/>
    </xf>
    <xf numFmtId="0" fontId="0" fillId="0" borderId="76" xfId="0" applyFill="1" applyBorder="1" applyAlignment="1">
      <alignment/>
    </xf>
    <xf numFmtId="4" fontId="59" fillId="0" borderId="0" xfId="0" applyNumberFormat="1" applyFont="1" applyFill="1" applyAlignment="1">
      <alignment/>
    </xf>
    <xf numFmtId="49" fontId="0" fillId="0" borderId="28" xfId="0" applyNumberFormat="1" applyFont="1" applyFill="1" applyBorder="1" applyAlignment="1">
      <alignment/>
    </xf>
    <xf numFmtId="0" fontId="0" fillId="0" borderId="76" xfId="0" applyFont="1" applyFill="1" applyBorder="1" applyAlignment="1">
      <alignment horizontal="center" wrapText="1"/>
    </xf>
    <xf numFmtId="49" fontId="55" fillId="0" borderId="0" xfId="0" applyNumberFormat="1" applyFont="1" applyFill="1" applyBorder="1" applyAlignment="1">
      <alignment/>
    </xf>
    <xf numFmtId="0" fontId="55" fillId="0" borderId="7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0" fontId="55" fillId="0" borderId="46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56" fillId="0" borderId="16" xfId="0" applyFont="1" applyFill="1" applyBorder="1" applyAlignment="1">
      <alignment vertical="center" wrapText="1"/>
    </xf>
    <xf numFmtId="3" fontId="56" fillId="0" borderId="16" xfId="0" applyNumberFormat="1" applyFont="1" applyFill="1" applyBorder="1" applyAlignment="1">
      <alignment horizontal="right" vertical="center" wrapText="1"/>
    </xf>
    <xf numFmtId="3" fontId="56" fillId="0" borderId="38" xfId="0" applyNumberFormat="1" applyFont="1" applyFill="1" applyBorder="1" applyAlignment="1">
      <alignment horizontal="right" vertical="center" wrapText="1"/>
    </xf>
    <xf numFmtId="0" fontId="55" fillId="0" borderId="46" xfId="0" applyNumberFormat="1" applyFont="1" applyFill="1" applyBorder="1" applyAlignment="1">
      <alignment horizontal="center" vertical="top" wrapText="1"/>
    </xf>
    <xf numFmtId="0" fontId="0" fillId="0" borderId="79" xfId="0" applyFont="1" applyFill="1" applyBorder="1" applyAlignment="1">
      <alignment horizontal="center"/>
    </xf>
    <xf numFmtId="3" fontId="59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77" xfId="0" applyNumberFormat="1" applyFont="1" applyFill="1" applyBorder="1" applyAlignment="1">
      <alignment horizontal="right" vertical="center"/>
    </xf>
    <xf numFmtId="0" fontId="0" fillId="0" borderId="80" xfId="0" applyFill="1" applyBorder="1" applyAlignment="1">
      <alignment horizontal="center"/>
    </xf>
    <xf numFmtId="0" fontId="55" fillId="0" borderId="56" xfId="0" applyFont="1" applyFill="1" applyBorder="1" applyAlignment="1">
      <alignment horizontal="center"/>
    </xf>
    <xf numFmtId="0" fontId="0" fillId="0" borderId="56" xfId="0" applyFill="1" applyBorder="1" applyAlignment="1">
      <alignment/>
    </xf>
    <xf numFmtId="3" fontId="0" fillId="0" borderId="56" xfId="0" applyNumberFormat="1" applyFont="1" applyFill="1" applyBorder="1" applyAlignment="1">
      <alignment horizontal="right"/>
    </xf>
    <xf numFmtId="3" fontId="0" fillId="0" borderId="81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3" fontId="56" fillId="0" borderId="24" xfId="0" applyNumberFormat="1" applyFont="1" applyFill="1" applyBorder="1" applyAlignment="1">
      <alignment horizontal="right" vertical="center" wrapText="1"/>
    </xf>
    <xf numFmtId="49" fontId="0" fillId="0" borderId="39" xfId="0" applyNumberFormat="1" applyFont="1" applyFill="1" applyBorder="1" applyAlignment="1">
      <alignment/>
    </xf>
    <xf numFmtId="0" fontId="60" fillId="0" borderId="75" xfId="0" applyFon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39" xfId="0" applyFont="1" applyFill="1" applyBorder="1" applyAlignment="1">
      <alignment horizontal="left" wrapText="1"/>
    </xf>
    <xf numFmtId="49" fontId="55" fillId="0" borderId="11" xfId="0" applyNumberFormat="1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49" fontId="55" fillId="0" borderId="45" xfId="0" applyNumberFormat="1" applyFont="1" applyFill="1" applyBorder="1" applyAlignment="1">
      <alignment horizontal="center"/>
    </xf>
    <xf numFmtId="3" fontId="55" fillId="0" borderId="50" xfId="0" applyNumberFormat="1" applyFont="1" applyFill="1" applyBorder="1" applyAlignment="1">
      <alignment horizontal="right" wrapText="1"/>
    </xf>
    <xf numFmtId="3" fontId="55" fillId="0" borderId="73" xfId="0" applyNumberFormat="1" applyFont="1" applyFill="1" applyBorder="1" applyAlignment="1">
      <alignment horizontal="right" wrapText="1"/>
    </xf>
    <xf numFmtId="49" fontId="0" fillId="0" borderId="32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 horizontal="right"/>
    </xf>
    <xf numFmtId="3" fontId="26" fillId="0" borderId="77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>
      <alignment/>
    </xf>
    <xf numFmtId="3" fontId="0" fillId="0" borderId="71" xfId="0" applyNumberFormat="1" applyFont="1" applyFill="1" applyBorder="1" applyAlignment="1">
      <alignment horizontal="right"/>
    </xf>
    <xf numFmtId="0" fontId="59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left"/>
    </xf>
    <xf numFmtId="3" fontId="59" fillId="0" borderId="22" xfId="0" applyNumberFormat="1" applyFont="1" applyFill="1" applyBorder="1" applyAlignment="1">
      <alignment horizontal="right"/>
    </xf>
    <xf numFmtId="0" fontId="59" fillId="0" borderId="0" xfId="0" applyFont="1" applyFill="1" applyAlignment="1">
      <alignment/>
    </xf>
    <xf numFmtId="0" fontId="60" fillId="0" borderId="76" xfId="0" applyFont="1" applyFill="1" applyBorder="1" applyAlignment="1">
      <alignment horizontal="center"/>
    </xf>
    <xf numFmtId="3" fontId="55" fillId="0" borderId="24" xfId="0" applyNumberFormat="1" applyFont="1" applyFill="1" applyBorder="1" applyAlignment="1">
      <alignment horizontal="right"/>
    </xf>
    <xf numFmtId="3" fontId="55" fillId="0" borderId="54" xfId="0" applyNumberFormat="1" applyFont="1" applyFill="1" applyBorder="1" applyAlignment="1">
      <alignment horizontal="right"/>
    </xf>
    <xf numFmtId="49" fontId="55" fillId="0" borderId="50" xfId="0" applyNumberFormat="1" applyFont="1" applyFill="1" applyBorder="1" applyAlignment="1">
      <alignment/>
    </xf>
    <xf numFmtId="3" fontId="55" fillId="0" borderId="82" xfId="0" applyNumberFormat="1" applyFont="1" applyFill="1" applyBorder="1" applyAlignment="1">
      <alignment horizontal="right"/>
    </xf>
    <xf numFmtId="1" fontId="0" fillId="0" borderId="25" xfId="0" applyNumberFormat="1" applyFill="1" applyBorder="1" applyAlignment="1">
      <alignment horizontal="right"/>
    </xf>
    <xf numFmtId="49" fontId="55" fillId="0" borderId="16" xfId="0" applyNumberFormat="1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right"/>
    </xf>
    <xf numFmtId="1" fontId="0" fillId="0" borderId="42" xfId="0" applyNumberFormat="1" applyFill="1" applyBorder="1" applyAlignment="1">
      <alignment horizontal="right"/>
    </xf>
    <xf numFmtId="49" fontId="55" fillId="0" borderId="0" xfId="0" applyNumberFormat="1" applyFont="1" applyFill="1" applyBorder="1" applyAlignment="1">
      <alignment horizontal="center"/>
    </xf>
    <xf numFmtId="4" fontId="58" fillId="0" borderId="0" xfId="0" applyNumberFormat="1" applyFont="1" applyFill="1" applyBorder="1" applyAlignment="1">
      <alignment horizontal="left" wrapText="1"/>
    </xf>
    <xf numFmtId="3" fontId="55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18" xfId="0" applyFill="1" applyBorder="1" applyAlignment="1">
      <alignment vertical="center" wrapText="1"/>
    </xf>
    <xf numFmtId="0" fontId="0" fillId="0" borderId="32" xfId="0" applyFont="1" applyFill="1" applyBorder="1" applyAlignment="1">
      <alignment horizontal="center" vertical="center" wrapText="1"/>
    </xf>
    <xf numFmtId="3" fontId="0" fillId="0" borderId="32" xfId="0" applyNumberFormat="1" applyFont="1" applyFill="1" applyBorder="1" applyAlignment="1">
      <alignment horizontal="right" vertical="center" wrapText="1"/>
    </xf>
    <xf numFmtId="3" fontId="0" fillId="0" borderId="47" xfId="0" applyNumberFormat="1" applyFont="1" applyFill="1" applyBorder="1" applyAlignment="1">
      <alignment horizontal="right" vertical="center" wrapText="1"/>
    </xf>
    <xf numFmtId="0" fontId="0" fillId="0" borderId="32" xfId="0" applyFill="1" applyBorder="1" applyAlignment="1">
      <alignment vertical="center" wrapText="1"/>
    </xf>
    <xf numFmtId="49" fontId="55" fillId="0" borderId="54" xfId="0" applyNumberFormat="1" applyFont="1" applyFill="1" applyBorder="1" applyAlignment="1">
      <alignment/>
    </xf>
    <xf numFmtId="0" fontId="54" fillId="0" borderId="52" xfId="0" applyFont="1" applyFill="1" applyBorder="1" applyAlignment="1">
      <alignment wrapText="1"/>
    </xf>
    <xf numFmtId="0" fontId="0" fillId="0" borderId="75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right" vertical="center"/>
    </xf>
    <xf numFmtId="0" fontId="0" fillId="0" borderId="56" xfId="0" applyFont="1" applyFill="1" applyBorder="1" applyAlignment="1">
      <alignment horizontal="center"/>
    </xf>
    <xf numFmtId="0" fontId="0" fillId="0" borderId="56" xfId="0" applyFont="1" applyFill="1" applyBorder="1" applyAlignment="1">
      <alignment/>
    </xf>
    <xf numFmtId="2" fontId="0" fillId="0" borderId="56" xfId="0" applyNumberFormat="1" applyFill="1" applyBorder="1" applyAlignment="1">
      <alignment horizontal="left" wrapText="1"/>
    </xf>
    <xf numFmtId="3" fontId="0" fillId="0" borderId="56" xfId="0" applyNumberFormat="1" applyFont="1" applyFill="1" applyBorder="1" applyAlignment="1">
      <alignment horizontal="right" vertical="center"/>
    </xf>
    <xf numFmtId="3" fontId="0" fillId="0" borderId="81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2" fontId="0" fillId="0" borderId="18" xfId="0" applyNumberFormat="1" applyFill="1" applyBorder="1" applyAlignment="1">
      <alignment horizontal="left" wrapText="1"/>
    </xf>
    <xf numFmtId="0" fontId="55" fillId="0" borderId="42" xfId="0" applyFont="1" applyFill="1" applyBorder="1" applyAlignment="1">
      <alignment horizontal="right" vertical="center"/>
    </xf>
    <xf numFmtId="3" fontId="55" fillId="0" borderId="39" xfId="0" applyNumberFormat="1" applyFont="1" applyFill="1" applyBorder="1" applyAlignment="1">
      <alignment horizontal="right" vertical="center"/>
    </xf>
    <xf numFmtId="3" fontId="55" fillId="0" borderId="14" xfId="0" applyNumberFormat="1" applyFont="1" applyFill="1" applyBorder="1" applyAlignment="1">
      <alignment horizontal="right" vertical="center"/>
    </xf>
    <xf numFmtId="0" fontId="55" fillId="0" borderId="76" xfId="0" applyFont="1" applyFill="1" applyBorder="1" applyAlignment="1">
      <alignment horizontal="center"/>
    </xf>
    <xf numFmtId="0" fontId="57" fillId="0" borderId="28" xfId="0" applyFont="1" applyFill="1" applyBorder="1" applyAlignment="1">
      <alignment wrapText="1"/>
    </xf>
    <xf numFmtId="0" fontId="55" fillId="0" borderId="83" xfId="0" applyFont="1" applyFill="1" applyBorder="1" applyAlignment="1">
      <alignment horizontal="center"/>
    </xf>
    <xf numFmtId="49" fontId="0" fillId="0" borderId="83" xfId="0" applyNumberFormat="1" applyFill="1" applyBorder="1" applyAlignment="1">
      <alignment/>
    </xf>
    <xf numFmtId="0" fontId="57" fillId="0" borderId="83" xfId="0" applyFont="1" applyFill="1" applyBorder="1" applyAlignment="1">
      <alignment wrapText="1"/>
    </xf>
    <xf numFmtId="3" fontId="0" fillId="0" borderId="83" xfId="0" applyNumberFormat="1" applyFont="1" applyFill="1" applyBorder="1" applyAlignment="1">
      <alignment horizontal="right"/>
    </xf>
    <xf numFmtId="3" fontId="0" fillId="0" borderId="84" xfId="0" applyNumberFormat="1" applyFont="1" applyFill="1" applyBorder="1" applyAlignment="1">
      <alignment horizontal="right"/>
    </xf>
    <xf numFmtId="0" fontId="55" fillId="0" borderId="85" xfId="0" applyFont="1" applyFill="1" applyBorder="1" applyAlignment="1">
      <alignment horizontal="center"/>
    </xf>
    <xf numFmtId="49" fontId="0" fillId="0" borderId="85" xfId="0" applyNumberFormat="1" applyFill="1" applyBorder="1" applyAlignment="1">
      <alignment/>
    </xf>
    <xf numFmtId="0" fontId="57" fillId="0" borderId="85" xfId="0" applyFont="1" applyFill="1" applyBorder="1" applyAlignment="1">
      <alignment wrapText="1"/>
    </xf>
    <xf numFmtId="3" fontId="0" fillId="0" borderId="85" xfId="0" applyNumberFormat="1" applyFont="1" applyFill="1" applyBorder="1" applyAlignment="1">
      <alignment horizontal="right"/>
    </xf>
    <xf numFmtId="3" fontId="0" fillId="0" borderId="86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 horizontal="left" vertical="center" wrapText="1"/>
    </xf>
    <xf numFmtId="0" fontId="55" fillId="0" borderId="23" xfId="0" applyFont="1" applyFill="1" applyBorder="1" applyAlignment="1">
      <alignment horizontal="center"/>
    </xf>
    <xf numFmtId="49" fontId="55" fillId="0" borderId="23" xfId="0" applyNumberFormat="1" applyFont="1" applyFill="1" applyBorder="1" applyAlignment="1">
      <alignment/>
    </xf>
    <xf numFmtId="0" fontId="55" fillId="0" borderId="23" xfId="0" applyFont="1" applyFill="1" applyBorder="1" applyAlignment="1">
      <alignment wrapText="1"/>
    </xf>
    <xf numFmtId="3" fontId="55" fillId="0" borderId="23" xfId="0" applyNumberFormat="1" applyFont="1" applyFill="1" applyBorder="1" applyAlignment="1">
      <alignment horizontal="right"/>
    </xf>
    <xf numFmtId="3" fontId="55" fillId="0" borderId="13" xfId="0" applyNumberFormat="1" applyFont="1" applyFill="1" applyBorder="1" applyAlignment="1">
      <alignment horizontal="right"/>
    </xf>
    <xf numFmtId="3" fontId="60" fillId="0" borderId="48" xfId="0" applyNumberFormat="1" applyFont="1" applyFill="1" applyBorder="1" applyAlignment="1">
      <alignment horizontal="right"/>
    </xf>
    <xf numFmtId="3" fontId="60" fillId="0" borderId="73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49" xfId="0" applyNumberFormat="1" applyFont="1" applyFill="1" applyBorder="1" applyAlignment="1">
      <alignment horizontal="right"/>
    </xf>
    <xf numFmtId="3" fontId="0" fillId="0" borderId="53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50" xfId="0" applyFont="1" applyFill="1" applyBorder="1" applyAlignment="1">
      <alignment/>
    </xf>
    <xf numFmtId="3" fontId="55" fillId="0" borderId="73" xfId="0" applyNumberFormat="1" applyFont="1" applyFill="1" applyBorder="1" applyAlignment="1">
      <alignment horizontal="right"/>
    </xf>
    <xf numFmtId="2" fontId="0" fillId="0" borderId="32" xfId="0" applyNumberFormat="1" applyFont="1" applyFill="1" applyBorder="1" applyAlignment="1">
      <alignment horizontal="left" wrapText="1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9" fontId="0" fillId="0" borderId="28" xfId="0" applyNumberFormat="1" applyFill="1" applyBorder="1" applyAlignment="1">
      <alignment/>
    </xf>
    <xf numFmtId="0" fontId="0" fillId="0" borderId="48" xfId="0" applyFont="1" applyFill="1" applyBorder="1" applyAlignment="1">
      <alignment horizontal="center" vertical="center"/>
    </xf>
    <xf numFmtId="0" fontId="55" fillId="0" borderId="4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55" fillId="0" borderId="18" xfId="0" applyNumberFormat="1" applyFont="1" applyFill="1" applyBorder="1" applyAlignment="1">
      <alignment horizontal="right"/>
    </xf>
    <xf numFmtId="3" fontId="55" fillId="0" borderId="22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1" xfId="0" applyNumberFormat="1" applyFill="1" applyBorder="1" applyAlignment="1">
      <alignment/>
    </xf>
    <xf numFmtId="49" fontId="0" fillId="0" borderId="49" xfId="0" applyNumberFormat="1" applyFont="1" applyFill="1" applyBorder="1" applyAlignment="1">
      <alignment/>
    </xf>
    <xf numFmtId="49" fontId="55" fillId="0" borderId="39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54" fillId="0" borderId="0" xfId="0" applyFont="1" applyFill="1" applyBorder="1" applyAlignment="1">
      <alignment horizontal="left" wrapText="1"/>
    </xf>
    <xf numFmtId="0" fontId="54" fillId="0" borderId="11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55" fillId="0" borderId="10" xfId="0" applyFont="1" applyFill="1" applyBorder="1" applyAlignment="1">
      <alignment horizontal="right"/>
    </xf>
    <xf numFmtId="0" fontId="55" fillId="0" borderId="10" xfId="0" applyFont="1" applyFill="1" applyBorder="1" applyAlignment="1">
      <alignment/>
    </xf>
    <xf numFmtId="3" fontId="55" fillId="0" borderId="11" xfId="0" applyNumberFormat="1" applyFont="1" applyFill="1" applyBorder="1" applyAlignment="1">
      <alignment horizontal="right" vertical="center"/>
    </xf>
    <xf numFmtId="3" fontId="55" fillId="0" borderId="33" xfId="0" applyNumberFormat="1" applyFont="1" applyFill="1" applyBorder="1" applyAlignment="1">
      <alignment horizontal="right" vertical="center"/>
    </xf>
    <xf numFmtId="0" fontId="55" fillId="0" borderId="76" xfId="0" applyFont="1" applyFill="1" applyBorder="1" applyAlignment="1">
      <alignment/>
    </xf>
    <xf numFmtId="3" fontId="55" fillId="0" borderId="0" xfId="0" applyNumberFormat="1" applyFont="1" applyFill="1" applyBorder="1" applyAlignment="1">
      <alignment horizontal="right" vertical="center"/>
    </xf>
    <xf numFmtId="3" fontId="55" fillId="0" borderId="77" xfId="0" applyNumberFormat="1" applyFont="1" applyFill="1" applyBorder="1" applyAlignment="1">
      <alignment horizontal="right" vertical="center"/>
    </xf>
    <xf numFmtId="3" fontId="55" fillId="0" borderId="0" xfId="0" applyNumberFormat="1" applyFont="1" applyFill="1" applyAlignment="1">
      <alignment horizontal="right" vertical="center"/>
    </xf>
    <xf numFmtId="0" fontId="0" fillId="0" borderId="54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76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1" fontId="0" fillId="0" borderId="42" xfId="0" applyNumberForma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24" xfId="0" applyFont="1" applyFill="1" applyBorder="1" applyAlignment="1">
      <alignment horizontal="left" wrapText="1"/>
    </xf>
    <xf numFmtId="3" fontId="0" fillId="0" borderId="11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0" fontId="55" fillId="0" borderId="76" xfId="0" applyFont="1" applyFill="1" applyBorder="1" applyAlignment="1">
      <alignment wrapText="1"/>
    </xf>
    <xf numFmtId="3" fontId="60" fillId="0" borderId="0" xfId="0" applyNumberFormat="1" applyFont="1" applyFill="1" applyAlignment="1">
      <alignment horizontal="right"/>
    </xf>
    <xf numFmtId="3" fontId="60" fillId="0" borderId="77" xfId="0" applyNumberFormat="1" applyFont="1" applyFill="1" applyBorder="1" applyAlignment="1">
      <alignment horizontal="right"/>
    </xf>
    <xf numFmtId="0" fontId="55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55" fillId="0" borderId="75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/>
    </xf>
    <xf numFmtId="0" fontId="55" fillId="0" borderId="57" xfId="0" applyFont="1" applyFill="1" applyBorder="1" applyAlignment="1">
      <alignment horizontal="center"/>
    </xf>
    <xf numFmtId="49" fontId="55" fillId="0" borderId="57" xfId="0" applyNumberFormat="1" applyFont="1" applyFill="1" applyBorder="1" applyAlignment="1">
      <alignment/>
    </xf>
    <xf numFmtId="3" fontId="55" fillId="0" borderId="57" xfId="0" applyNumberFormat="1" applyFont="1" applyFill="1" applyBorder="1" applyAlignment="1">
      <alignment horizontal="right"/>
    </xf>
    <xf numFmtId="3" fontId="55" fillId="0" borderId="88" xfId="0" applyNumberFormat="1" applyFont="1" applyFill="1" applyBorder="1" applyAlignment="1">
      <alignment horizontal="right"/>
    </xf>
    <xf numFmtId="0" fontId="55" fillId="0" borderId="11" xfId="0" applyFont="1" applyFill="1" applyBorder="1" applyAlignment="1">
      <alignment horizontal="center" vertical="center" wrapText="1"/>
    </xf>
    <xf numFmtId="4" fontId="61" fillId="0" borderId="0" xfId="0" applyNumberFormat="1" applyFont="1" applyFill="1" applyAlignment="1">
      <alignment/>
    </xf>
    <xf numFmtId="3" fontId="61" fillId="0" borderId="0" xfId="0" applyNumberFormat="1" applyFont="1" applyFill="1" applyAlignment="1">
      <alignment/>
    </xf>
    <xf numFmtId="0" fontId="0" fillId="0" borderId="16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0" fontId="0" fillId="0" borderId="41" xfId="0" applyFont="1" applyFill="1" applyBorder="1" applyAlignment="1">
      <alignment horizontal="right"/>
    </xf>
    <xf numFmtId="0" fontId="0" fillId="0" borderId="39" xfId="0" applyFill="1" applyBorder="1" applyAlignment="1">
      <alignment horizontal="center"/>
    </xf>
    <xf numFmtId="0" fontId="55" fillId="0" borderId="61" xfId="0" applyFont="1" applyFill="1" applyBorder="1" applyAlignment="1">
      <alignment horizontal="center"/>
    </xf>
    <xf numFmtId="49" fontId="55" fillId="0" borderId="40" xfId="0" applyNumberFormat="1" applyFont="1" applyFill="1" applyBorder="1" applyAlignment="1">
      <alignment/>
    </xf>
    <xf numFmtId="0" fontId="55" fillId="0" borderId="75" xfId="0" applyFont="1" applyFill="1" applyBorder="1" applyAlignment="1">
      <alignment horizontal="center"/>
    </xf>
    <xf numFmtId="3" fontId="55" fillId="0" borderId="11" xfId="0" applyNumberFormat="1" applyFont="1" applyFill="1" applyBorder="1" applyAlignment="1">
      <alignment horizontal="right" wrapText="1"/>
    </xf>
    <xf numFmtId="3" fontId="55" fillId="0" borderId="33" xfId="0" applyNumberFormat="1" applyFont="1" applyFill="1" applyBorder="1" applyAlignment="1">
      <alignment horizontal="right" wrapText="1"/>
    </xf>
    <xf numFmtId="4" fontId="60" fillId="0" borderId="0" xfId="0" applyNumberFormat="1" applyFont="1" applyFill="1" applyAlignment="1">
      <alignment/>
    </xf>
    <xf numFmtId="3" fontId="60" fillId="0" borderId="0" xfId="0" applyNumberFormat="1" applyFont="1" applyFill="1" applyAlignment="1">
      <alignment/>
    </xf>
    <xf numFmtId="0" fontId="0" fillId="0" borderId="75" xfId="0" applyFont="1" applyFill="1" applyBorder="1" applyAlignment="1">
      <alignment horizontal="center" wrapText="1"/>
    </xf>
    <xf numFmtId="49" fontId="0" fillId="0" borderId="45" xfId="0" applyNumberFormat="1" applyFill="1" applyBorder="1" applyAlignment="1">
      <alignment/>
    </xf>
    <xf numFmtId="3" fontId="0" fillId="0" borderId="45" xfId="0" applyNumberFormat="1" applyFont="1" applyFill="1" applyBorder="1" applyAlignment="1">
      <alignment horizontal="right" wrapText="1"/>
    </xf>
    <xf numFmtId="3" fontId="0" fillId="0" borderId="70" xfId="0" applyNumberFormat="1" applyFont="1" applyFill="1" applyBorder="1" applyAlignment="1">
      <alignment horizontal="right" wrapText="1"/>
    </xf>
    <xf numFmtId="4" fontId="55" fillId="0" borderId="0" xfId="0" applyNumberFormat="1" applyFont="1" applyFill="1" applyAlignment="1">
      <alignment horizontal="center"/>
    </xf>
    <xf numFmtId="3" fontId="55" fillId="0" borderId="0" xfId="0" applyNumberFormat="1" applyFont="1" applyFill="1" applyAlignment="1">
      <alignment horizontal="center"/>
    </xf>
    <xf numFmtId="0" fontId="55" fillId="0" borderId="69" xfId="0" applyFont="1" applyFill="1" applyBorder="1" applyAlignment="1">
      <alignment horizontal="center"/>
    </xf>
    <xf numFmtId="49" fontId="55" fillId="0" borderId="58" xfId="0" applyNumberFormat="1" applyFont="1" applyFill="1" applyBorder="1" applyAlignment="1">
      <alignment/>
    </xf>
    <xf numFmtId="3" fontId="55" fillId="0" borderId="58" xfId="0" applyNumberFormat="1" applyFont="1" applyFill="1" applyBorder="1" applyAlignment="1">
      <alignment horizontal="right"/>
    </xf>
    <xf numFmtId="3" fontId="55" fillId="0" borderId="89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right" vertical="center"/>
    </xf>
    <xf numFmtId="4" fontId="0" fillId="0" borderId="7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left" wrapText="1"/>
    </xf>
    <xf numFmtId="1" fontId="61" fillId="0" borderId="76" xfId="0" applyNumberFormat="1" applyFont="1" applyFill="1" applyBorder="1" applyAlignment="1">
      <alignment horizontal="right" wrapText="1"/>
    </xf>
    <xf numFmtId="0" fontId="56" fillId="0" borderId="0" xfId="0" applyFont="1" applyFill="1" applyBorder="1" applyAlignment="1">
      <alignment wrapText="1"/>
    </xf>
    <xf numFmtId="0" fontId="55" fillId="0" borderId="0" xfId="0" applyFont="1" applyFill="1" applyAlignment="1">
      <alignment horizontal="left" vertical="center" wrapText="1"/>
    </xf>
    <xf numFmtId="3" fontId="55" fillId="0" borderId="0" xfId="0" applyNumberFormat="1" applyFont="1" applyFill="1" applyAlignment="1">
      <alignment horizontal="right" vertical="center" wrapText="1"/>
    </xf>
    <xf numFmtId="3" fontId="55" fillId="0" borderId="77" xfId="0" applyNumberFormat="1" applyFont="1" applyFill="1" applyBorder="1" applyAlignment="1">
      <alignment horizontal="right" vertical="center" wrapText="1"/>
    </xf>
    <xf numFmtId="1" fontId="0" fillId="0" borderId="76" xfId="0" applyNumberFormat="1" applyFont="1" applyFill="1" applyBorder="1" applyAlignment="1">
      <alignment horizontal="right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horizontal="right" vertical="center" wrapText="1"/>
    </xf>
    <xf numFmtId="3" fontId="0" fillId="0" borderId="77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1" fontId="0" fillId="0" borderId="25" xfId="0" applyNumberForma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lef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3" fontId="0" fillId="0" borderId="38" xfId="0" applyNumberFormat="1" applyFont="1" applyFill="1" applyBorder="1" applyAlignment="1">
      <alignment horizontal="right" vertical="center" wrapText="1"/>
    </xf>
    <xf numFmtId="1" fontId="0" fillId="0" borderId="42" xfId="0" applyNumberFormat="1" applyFill="1" applyBorder="1" applyAlignment="1">
      <alignment horizontal="right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horizontal="left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3" fontId="55" fillId="0" borderId="54" xfId="0" applyNumberFormat="1" applyFont="1" applyFill="1" applyBorder="1" applyAlignment="1">
      <alignment horizontal="right" vertical="center" wrapText="1"/>
    </xf>
    <xf numFmtId="1" fontId="0" fillId="0" borderId="10" xfId="0" applyNumberForma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33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/>
    </xf>
    <xf numFmtId="3" fontId="0" fillId="0" borderId="38" xfId="0" applyNumberFormat="1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/>
    </xf>
    <xf numFmtId="3" fontId="0" fillId="0" borderId="47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vertical="center" wrapText="1"/>
    </xf>
    <xf numFmtId="0" fontId="0" fillId="0" borderId="39" xfId="0" applyFill="1" applyBorder="1" applyAlignment="1">
      <alignment horizontal="left" wrapText="1"/>
    </xf>
    <xf numFmtId="3" fontId="0" fillId="0" borderId="32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0" fontId="61" fillId="0" borderId="25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61" fillId="0" borderId="16" xfId="0" applyFont="1" applyFill="1" applyBorder="1" applyAlignment="1">
      <alignment horizontal="left" vertical="center" wrapText="1"/>
    </xf>
    <xf numFmtId="3" fontId="61" fillId="0" borderId="16" xfId="0" applyNumberFormat="1" applyFont="1" applyFill="1" applyBorder="1" applyAlignment="1">
      <alignment horizontal="right" vertical="center" wrapText="1"/>
    </xf>
    <xf numFmtId="3" fontId="61" fillId="0" borderId="38" xfId="0" applyNumberFormat="1" applyFont="1" applyFill="1" applyBorder="1" applyAlignment="1">
      <alignment horizontal="right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42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wrapText="1"/>
    </xf>
    <xf numFmtId="3" fontId="0" fillId="0" borderId="23" xfId="0" applyNumberFormat="1" applyFont="1" applyFill="1" applyBorder="1" applyAlignment="1">
      <alignment horizontal="right"/>
    </xf>
    <xf numFmtId="1" fontId="0" fillId="0" borderId="45" xfId="0" applyNumberFormat="1" applyFont="1" applyFill="1" applyBorder="1" applyAlignment="1">
      <alignment horizontal="right"/>
    </xf>
    <xf numFmtId="0" fontId="55" fillId="0" borderId="45" xfId="0" applyFont="1" applyFill="1" applyBorder="1" applyAlignment="1">
      <alignment horizontal="left" wrapText="1"/>
    </xf>
    <xf numFmtId="3" fontId="0" fillId="0" borderId="45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" fontId="0" fillId="0" borderId="40" xfId="0" applyNumberFormat="1" applyFont="1" applyFill="1" applyBorder="1" applyAlignment="1">
      <alignment horizontal="right"/>
    </xf>
    <xf numFmtId="0" fontId="55" fillId="0" borderId="40" xfId="0" applyFont="1" applyFill="1" applyBorder="1" applyAlignment="1">
      <alignment horizontal="left" wrapText="1"/>
    </xf>
    <xf numFmtId="3" fontId="0" fillId="0" borderId="4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left" vertical="center" wrapText="1"/>
    </xf>
    <xf numFmtId="3" fontId="0" fillId="0" borderId="39" xfId="0" applyNumberFormat="1" applyFont="1" applyFill="1" applyBorder="1" applyAlignment="1">
      <alignment horizontal="right" vertical="center" wrapText="1"/>
    </xf>
    <xf numFmtId="3" fontId="0" fillId="0" borderId="54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/>
    </xf>
    <xf numFmtId="0" fontId="0" fillId="0" borderId="39" xfId="0" applyFill="1" applyBorder="1" applyAlignment="1">
      <alignment horizontal="left" vertical="center" wrapText="1"/>
    </xf>
    <xf numFmtId="0" fontId="0" fillId="0" borderId="90" xfId="0" applyFont="1" applyFill="1" applyBorder="1" applyAlignment="1">
      <alignment horizontal="center"/>
    </xf>
    <xf numFmtId="0" fontId="0" fillId="0" borderId="91" xfId="0" applyFont="1" applyFill="1" applyBorder="1" applyAlignment="1">
      <alignment/>
    </xf>
    <xf numFmtId="0" fontId="0" fillId="0" borderId="91" xfId="0" applyFont="1" applyFill="1" applyBorder="1" applyAlignment="1">
      <alignment wrapText="1"/>
    </xf>
    <xf numFmtId="3" fontId="0" fillId="0" borderId="91" xfId="0" applyNumberFormat="1" applyFont="1" applyFill="1" applyBorder="1" applyAlignment="1">
      <alignment/>
    </xf>
    <xf numFmtId="3" fontId="0" fillId="0" borderId="92" xfId="0" applyNumberFormat="1" applyFont="1" applyFill="1" applyBorder="1" applyAlignment="1">
      <alignment/>
    </xf>
    <xf numFmtId="3" fontId="56" fillId="0" borderId="49" xfId="0" applyNumberFormat="1" applyFont="1" applyFill="1" applyBorder="1" applyAlignment="1">
      <alignment horizontal="right" vertical="center" wrapText="1"/>
    </xf>
    <xf numFmtId="3" fontId="56" fillId="0" borderId="53" xfId="0" applyNumberFormat="1" applyFont="1" applyFill="1" applyBorder="1" applyAlignment="1">
      <alignment horizontal="right" vertical="center" wrapText="1"/>
    </xf>
    <xf numFmtId="1" fontId="0" fillId="0" borderId="30" xfId="0" applyNumberForma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3" xfId="0" applyFont="1" applyFill="1" applyBorder="1" applyAlignment="1">
      <alignment horizontal="left" wrapText="1"/>
    </xf>
    <xf numFmtId="3" fontId="60" fillId="0" borderId="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 horizontal="left" wrapText="1"/>
    </xf>
    <xf numFmtId="3" fontId="60" fillId="34" borderId="0" xfId="0" applyNumberFormat="1" applyFont="1" applyFill="1" applyBorder="1" applyAlignment="1">
      <alignment horizontal="right"/>
    </xf>
    <xf numFmtId="1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0" fillId="0" borderId="40" xfId="0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0" fillId="0" borderId="40" xfId="0" applyFont="1" applyFill="1" applyBorder="1" applyAlignment="1">
      <alignment horizontal="left" wrapText="1"/>
    </xf>
    <xf numFmtId="3" fontId="0" fillId="0" borderId="14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Fill="1" applyAlignment="1">
      <alignment horizontal="right"/>
    </xf>
    <xf numFmtId="3" fontId="61" fillId="0" borderId="16" xfId="0" applyNumberFormat="1" applyFont="1" applyFill="1" applyBorder="1" applyAlignment="1">
      <alignment horizontal="right"/>
    </xf>
    <xf numFmtId="3" fontId="0" fillId="0" borderId="28" xfId="0" applyNumberFormat="1" applyFont="1" applyFill="1" applyBorder="1" applyAlignment="1">
      <alignment horizontal="right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3" fontId="0" fillId="0" borderId="38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3" fontId="0" fillId="0" borderId="22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1" fontId="0" fillId="0" borderId="10" xfId="0" applyNumberFormat="1" applyFill="1" applyBorder="1" applyAlignment="1">
      <alignment horizontal="right"/>
    </xf>
    <xf numFmtId="0" fontId="0" fillId="0" borderId="11" xfId="0" applyFont="1" applyFill="1" applyBorder="1" applyAlignment="1">
      <alignment horizontal="left" wrapText="1"/>
    </xf>
    <xf numFmtId="0" fontId="0" fillId="0" borderId="91" xfId="0" applyFont="1" applyFill="1" applyBorder="1" applyAlignment="1">
      <alignment horizontal="center"/>
    </xf>
    <xf numFmtId="0" fontId="0" fillId="0" borderId="76" xfId="0" applyFill="1" applyBorder="1" applyAlignment="1">
      <alignment/>
    </xf>
    <xf numFmtId="22" fontId="0" fillId="0" borderId="0" xfId="0" applyNumberFormat="1" applyFill="1" applyAlignment="1">
      <alignment horizontal="left" wrapText="1"/>
    </xf>
    <xf numFmtId="177" fontId="0" fillId="0" borderId="0" xfId="0" applyNumberFormat="1" applyFill="1" applyAlignment="1">
      <alignment horizontal="left" wrapText="1"/>
    </xf>
    <xf numFmtId="173" fontId="70" fillId="0" borderId="0" xfId="0" applyNumberFormat="1" applyFont="1" applyFill="1" applyAlignment="1">
      <alignment horizontal="center" vertical="center" wrapText="1"/>
    </xf>
    <xf numFmtId="173" fontId="70" fillId="0" borderId="0" xfId="0" applyNumberFormat="1" applyFont="1" applyFill="1" applyAlignment="1">
      <alignment vertical="center" wrapText="1"/>
    </xf>
    <xf numFmtId="173" fontId="71" fillId="0" borderId="0" xfId="0" applyNumberFormat="1" applyFont="1" applyFill="1" applyAlignment="1">
      <alignment horizontal="right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5" fillId="0" borderId="33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>
      <alignment horizontal="center" vertical="center" wrapText="1"/>
    </xf>
    <xf numFmtId="0" fontId="16" fillId="0" borderId="93" xfId="0" applyFont="1" applyFill="1" applyBorder="1" applyAlignment="1" applyProtection="1">
      <alignment horizontal="left" vertical="center" wrapText="1" indent="1"/>
      <protection/>
    </xf>
    <xf numFmtId="173" fontId="16" fillId="0" borderId="20" xfId="0" applyNumberFormat="1" applyFont="1" applyFill="1" applyBorder="1" applyAlignment="1" applyProtection="1">
      <alignment vertical="center" wrapText="1"/>
      <protection locked="0"/>
    </xf>
    <xf numFmtId="0" fontId="16" fillId="0" borderId="15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 applyProtection="1">
      <alignment horizontal="left" vertical="center" wrapText="1" indent="1"/>
      <protection/>
    </xf>
    <xf numFmtId="173" fontId="16" fillId="0" borderId="22" xfId="0" applyNumberFormat="1" applyFont="1" applyFill="1" applyBorder="1" applyAlignment="1" applyProtection="1">
      <alignment vertical="center" wrapText="1"/>
      <protection locked="0"/>
    </xf>
    <xf numFmtId="0" fontId="16" fillId="0" borderId="46" xfId="0" applyFont="1" applyFill="1" applyBorder="1" applyAlignment="1" applyProtection="1">
      <alignment horizontal="left" vertical="center" wrapText="1" indent="4"/>
      <protection/>
    </xf>
    <xf numFmtId="0" fontId="16" fillId="0" borderId="4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 applyProtection="1">
      <alignment vertical="center" wrapText="1"/>
      <protection/>
    </xf>
    <xf numFmtId="173" fontId="15" fillId="0" borderId="13" xfId="0" applyNumberFormat="1" applyFont="1" applyFill="1" applyBorder="1" applyAlignment="1" applyProtection="1">
      <alignment vertical="center" wrapText="1"/>
      <protection/>
    </xf>
    <xf numFmtId="173" fontId="0" fillId="0" borderId="0" xfId="0" applyNumberFormat="1" applyFill="1" applyAlignment="1" applyProtection="1">
      <alignment horizontal="center" vertical="center" wrapText="1"/>
      <protection locked="0"/>
    </xf>
    <xf numFmtId="173" fontId="0" fillId="0" borderId="0" xfId="0" applyNumberFormat="1" applyFill="1" applyAlignment="1" applyProtection="1">
      <alignment vertical="center" wrapText="1"/>
      <protection locked="0"/>
    </xf>
    <xf numFmtId="173" fontId="72" fillId="0" borderId="0" xfId="0" applyNumberFormat="1" applyFont="1" applyFill="1" applyAlignment="1" applyProtection="1">
      <alignment horizontal="right" vertical="center"/>
      <protection locked="0"/>
    </xf>
    <xf numFmtId="173" fontId="7" fillId="0" borderId="26" xfId="0" applyNumberFormat="1" applyFont="1" applyFill="1" applyBorder="1" applyAlignment="1" applyProtection="1">
      <alignment horizontal="centerContinuous" vertical="center"/>
      <protection/>
    </xf>
    <xf numFmtId="173" fontId="7" fillId="0" borderId="94" xfId="0" applyNumberFormat="1" applyFont="1" applyFill="1" applyBorder="1" applyAlignment="1" applyProtection="1">
      <alignment horizontal="centerContinuous" vertical="center"/>
      <protection/>
    </xf>
    <xf numFmtId="173" fontId="7" fillId="0" borderId="95" xfId="0" applyNumberFormat="1" applyFont="1" applyFill="1" applyBorder="1" applyAlignment="1" applyProtection="1">
      <alignment horizontal="centerContinuous" vertical="center"/>
      <protection/>
    </xf>
    <xf numFmtId="173" fontId="7" fillId="0" borderId="31" xfId="0" applyNumberFormat="1" applyFont="1" applyFill="1" applyBorder="1" applyAlignment="1" applyProtection="1">
      <alignment horizontal="center" vertical="center"/>
      <protection/>
    </xf>
    <xf numFmtId="173" fontId="7" fillId="0" borderId="51" xfId="0" applyNumberFormat="1" applyFont="1" applyFill="1" applyBorder="1" applyAlignment="1" applyProtection="1">
      <alignment horizontal="center" vertical="center"/>
      <protection/>
    </xf>
    <xf numFmtId="173" fontId="7" fillId="0" borderId="14" xfId="0" applyNumberFormat="1" applyFont="1" applyFill="1" applyBorder="1" applyAlignment="1" applyProtection="1">
      <alignment horizontal="center" vertical="center" wrapText="1"/>
      <protection/>
    </xf>
    <xf numFmtId="173" fontId="10" fillId="0" borderId="48" xfId="0" applyNumberFormat="1" applyFont="1" applyFill="1" applyBorder="1" applyAlignment="1" applyProtection="1">
      <alignment horizontal="center" vertical="center" wrapText="1"/>
      <protection/>
    </xf>
    <xf numFmtId="173" fontId="10" fillId="0" borderId="11" xfId="0" applyNumberFormat="1" applyFont="1" applyFill="1" applyBorder="1" applyAlignment="1" applyProtection="1">
      <alignment horizontal="center" vertical="center" wrapText="1"/>
      <protection/>
    </xf>
    <xf numFmtId="173" fontId="10" fillId="0" borderId="24" xfId="0" applyNumberFormat="1" applyFont="1" applyFill="1" applyBorder="1" applyAlignment="1" applyProtection="1">
      <alignment horizontal="center" vertical="center" wrapText="1"/>
      <protection/>
    </xf>
    <xf numFmtId="173" fontId="10" fillId="0" borderId="60" xfId="0" applyNumberFormat="1" applyFont="1" applyFill="1" applyBorder="1" applyAlignment="1" applyProtection="1">
      <alignment horizontal="center" vertical="center" wrapText="1"/>
      <protection/>
    </xf>
    <xf numFmtId="173" fontId="10" fillId="0" borderId="25" xfId="0" applyNumberFormat="1" applyFont="1" applyFill="1" applyBorder="1" applyAlignment="1" applyProtection="1">
      <alignment horizontal="right" vertical="center" wrapText="1" indent="1"/>
      <protection/>
    </xf>
    <xf numFmtId="173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" fontId="18" fillId="35" borderId="16" xfId="0" applyNumberFormat="1" applyFont="1" applyFill="1" applyBorder="1" applyAlignment="1" applyProtection="1">
      <alignment horizontal="center" vertical="center" wrapText="1"/>
      <protection/>
    </xf>
    <xf numFmtId="173" fontId="10" fillId="0" borderId="16" xfId="0" applyNumberFormat="1" applyFont="1" applyFill="1" applyBorder="1" applyAlignment="1" applyProtection="1">
      <alignment vertical="center" wrapText="1"/>
      <protection/>
    </xf>
    <xf numFmtId="173" fontId="10" fillId="0" borderId="26" xfId="0" applyNumberFormat="1" applyFont="1" applyFill="1" applyBorder="1" applyAlignment="1" applyProtection="1">
      <alignment vertical="center" wrapText="1"/>
      <protection/>
    </xf>
    <xf numFmtId="173" fontId="10" fillId="0" borderId="65" xfId="0" applyNumberFormat="1" applyFont="1" applyFill="1" applyBorder="1" applyAlignment="1" applyProtection="1">
      <alignment vertical="center" wrapText="1"/>
      <protection/>
    </xf>
    <xf numFmtId="1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73" fontId="1" fillId="0" borderId="19" xfId="0" applyNumberFormat="1" applyFont="1" applyFill="1" applyBorder="1" applyAlignment="1" applyProtection="1">
      <alignment vertical="center" wrapText="1"/>
      <protection locked="0"/>
    </xf>
    <xf numFmtId="173" fontId="1" fillId="0" borderId="55" xfId="0" applyNumberFormat="1" applyFont="1" applyFill="1" applyBorder="1" applyAlignment="1" applyProtection="1">
      <alignment vertical="center" wrapText="1"/>
      <protection/>
    </xf>
    <xf numFmtId="173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18" fillId="35" borderId="18" xfId="0" applyNumberFormat="1" applyFont="1" applyFill="1" applyBorder="1" applyAlignment="1" applyProtection="1">
      <alignment horizontal="center" vertical="center" wrapText="1"/>
      <protection/>
    </xf>
    <xf numFmtId="173" fontId="10" fillId="0" borderId="18" xfId="0" applyNumberFormat="1" applyFont="1" applyFill="1" applyBorder="1" applyAlignment="1" applyProtection="1">
      <alignment vertical="center" wrapText="1"/>
      <protection/>
    </xf>
    <xf numFmtId="173" fontId="10" fillId="0" borderId="19" xfId="0" applyNumberFormat="1" applyFont="1" applyFill="1" applyBorder="1" applyAlignment="1" applyProtection="1">
      <alignment vertical="center" wrapText="1"/>
      <protection/>
    </xf>
    <xf numFmtId="173" fontId="10" fillId="0" borderId="55" xfId="0" applyNumberFormat="1" applyFont="1" applyFill="1" applyBorder="1" applyAlignment="1" applyProtection="1">
      <alignment vertical="center" wrapText="1"/>
      <protection/>
    </xf>
    <xf numFmtId="173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73" fontId="10" fillId="0" borderId="28" xfId="0" applyNumberFormat="1" applyFont="1" applyFill="1" applyBorder="1" applyAlignment="1" applyProtection="1">
      <alignment horizontal="left" vertical="center" wrapText="1" indent="1"/>
      <protection/>
    </xf>
    <xf numFmtId="1" fontId="18" fillId="35" borderId="32" xfId="0" applyNumberFormat="1" applyFont="1" applyFill="1" applyBorder="1" applyAlignment="1" applyProtection="1">
      <alignment horizontal="center" vertical="center" wrapText="1"/>
      <protection/>
    </xf>
    <xf numFmtId="173" fontId="10" fillId="0" borderId="28" xfId="0" applyNumberFormat="1" applyFont="1" applyFill="1" applyBorder="1" applyAlignment="1" applyProtection="1">
      <alignment vertical="center" wrapText="1"/>
      <protection/>
    </xf>
    <xf numFmtId="173" fontId="10" fillId="0" borderId="29" xfId="0" applyNumberFormat="1" applyFont="1" applyFill="1" applyBorder="1" applyAlignment="1" applyProtection="1">
      <alignment vertical="center" wrapText="1"/>
      <protection/>
    </xf>
    <xf numFmtId="173" fontId="1" fillId="0" borderId="29" xfId="0" applyNumberFormat="1" applyFont="1" applyFill="1" applyBorder="1" applyAlignment="1" applyProtection="1">
      <alignment vertical="center" wrapText="1"/>
      <protection locked="0"/>
    </xf>
    <xf numFmtId="173" fontId="10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1" fillId="35" borderId="24" xfId="0" applyNumberFormat="1" applyFont="1" applyFill="1" applyBorder="1" applyAlignment="1" applyProtection="1">
      <alignment vertical="center" wrapText="1"/>
      <protection/>
    </xf>
    <xf numFmtId="173" fontId="10" fillId="0" borderId="11" xfId="0" applyNumberFormat="1" applyFont="1" applyFill="1" applyBorder="1" applyAlignment="1" applyProtection="1">
      <alignment vertical="center" wrapText="1"/>
      <protection/>
    </xf>
    <xf numFmtId="173" fontId="10" fillId="0" borderId="24" xfId="0" applyNumberFormat="1" applyFont="1" applyFill="1" applyBorder="1" applyAlignment="1" applyProtection="1">
      <alignment vertical="center" wrapText="1"/>
      <protection/>
    </xf>
    <xf numFmtId="173" fontId="10" fillId="0" borderId="54" xfId="0" applyNumberFormat="1" applyFont="1" applyFill="1" applyBorder="1" applyAlignment="1" applyProtection="1">
      <alignment vertical="center" wrapText="1"/>
      <protection/>
    </xf>
    <xf numFmtId="3" fontId="12" fillId="0" borderId="18" xfId="0" applyNumberFormat="1" applyFont="1" applyFill="1" applyBorder="1" applyAlignment="1" applyProtection="1">
      <alignment vertical="center"/>
      <protection/>
    </xf>
    <xf numFmtId="174" fontId="10" fillId="0" borderId="45" xfId="0" applyNumberFormat="1" applyFont="1" applyFill="1" applyBorder="1" applyAlignment="1">
      <alignment horizontal="left" vertical="center" wrapText="1" indent="1"/>
    </xf>
    <xf numFmtId="173" fontId="10" fillId="0" borderId="45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horizontal="right" vertical="center" wrapText="1"/>
    </xf>
    <xf numFmtId="0" fontId="12" fillId="0" borderId="45" xfId="0" applyFont="1" applyBorder="1" applyAlignment="1">
      <alignment/>
    </xf>
    <xf numFmtId="174" fontId="10" fillId="0" borderId="40" xfId="0" applyNumberFormat="1" applyFont="1" applyFill="1" applyBorder="1" applyAlignment="1">
      <alignment horizontal="left" vertical="center" wrapText="1" indent="1"/>
    </xf>
    <xf numFmtId="0" fontId="12" fillId="0" borderId="40" xfId="0" applyFont="1" applyBorder="1" applyAlignment="1">
      <alignment/>
    </xf>
    <xf numFmtId="173" fontId="10" fillId="0" borderId="40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>
      <alignment horizontal="right" vertical="center" wrapText="1"/>
    </xf>
    <xf numFmtId="1" fontId="26" fillId="0" borderId="0" xfId="0" applyNumberFormat="1" applyFont="1" applyAlignment="1">
      <alignment/>
    </xf>
    <xf numFmtId="0" fontId="23" fillId="0" borderId="28" xfId="0" applyFont="1" applyFill="1" applyBorder="1" applyAlignment="1">
      <alignment/>
    </xf>
    <xf numFmtId="0" fontId="40" fillId="0" borderId="0" xfId="0" applyFont="1" applyAlignment="1">
      <alignment/>
    </xf>
    <xf numFmtId="3" fontId="33" fillId="0" borderId="0" xfId="0" applyNumberFormat="1" applyFont="1" applyFill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4" fillId="0" borderId="18" xfId="0" applyFont="1" applyBorder="1" applyAlignment="1">
      <alignment wrapText="1"/>
    </xf>
    <xf numFmtId="0" fontId="74" fillId="0" borderId="18" xfId="0" applyFont="1" applyBorder="1" applyAlignment="1">
      <alignment horizontal="center" wrapText="1"/>
    </xf>
    <xf numFmtId="0" fontId="16" fillId="0" borderId="21" xfId="0" applyFont="1" applyBorder="1" applyAlignment="1">
      <alignment/>
    </xf>
    <xf numFmtId="0" fontId="16" fillId="0" borderId="21" xfId="0" applyFont="1" applyBorder="1" applyAlignment="1">
      <alignment horizontal="left" vertical="center" wrapText="1"/>
    </xf>
    <xf numFmtId="3" fontId="16" fillId="0" borderId="18" xfId="0" applyNumberFormat="1" applyFont="1" applyBorder="1" applyAlignment="1">
      <alignment wrapText="1"/>
    </xf>
    <xf numFmtId="0" fontId="16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16" fillId="0" borderId="18" xfId="0" applyFont="1" applyBorder="1" applyAlignment="1">
      <alignment wrapText="1"/>
    </xf>
    <xf numFmtId="0" fontId="16" fillId="33" borderId="18" xfId="0" applyFont="1" applyFill="1" applyBorder="1" applyAlignment="1">
      <alignment wrapText="1"/>
    </xf>
    <xf numFmtId="0" fontId="16" fillId="0" borderId="17" xfId="0" applyFont="1" applyBorder="1" applyAlignment="1">
      <alignment wrapText="1"/>
    </xf>
    <xf numFmtId="0" fontId="16" fillId="0" borderId="46" xfId="0" applyFont="1" applyBorder="1" applyAlignment="1">
      <alignment wrapText="1"/>
    </xf>
    <xf numFmtId="0" fontId="16" fillId="0" borderId="18" xfId="0" applyFont="1" applyBorder="1" applyAlignment="1">
      <alignment horizontal="left" wrapText="1"/>
    </xf>
    <xf numFmtId="0" fontId="3" fillId="33" borderId="18" xfId="0" applyFont="1" applyFill="1" applyBorder="1" applyAlignment="1">
      <alignment/>
    </xf>
    <xf numFmtId="0" fontId="16" fillId="0" borderId="46" xfId="0" applyFont="1" applyBorder="1" applyAlignment="1">
      <alignment horizontal="left" wrapText="1"/>
    </xf>
    <xf numFmtId="0" fontId="16" fillId="37" borderId="18" xfId="0" applyFont="1" applyFill="1" applyBorder="1" applyAlignment="1">
      <alignment/>
    </xf>
    <xf numFmtId="3" fontId="16" fillId="37" borderId="18" xfId="0" applyNumberFormat="1" applyFont="1" applyFill="1" applyBorder="1" applyAlignment="1">
      <alignment wrapText="1"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left" wrapText="1"/>
    </xf>
    <xf numFmtId="3" fontId="16" fillId="33" borderId="0" xfId="0" applyNumberFormat="1" applyFont="1" applyFill="1" applyBorder="1" applyAlignment="1">
      <alignment wrapText="1"/>
    </xf>
    <xf numFmtId="0" fontId="16" fillId="0" borderId="18" xfId="0" applyFont="1" applyBorder="1" applyAlignment="1">
      <alignment/>
    </xf>
    <xf numFmtId="0" fontId="62" fillId="0" borderId="19" xfId="0" applyFont="1" applyBorder="1" applyAlignment="1">
      <alignment horizontal="left"/>
    </xf>
    <xf numFmtId="0" fontId="62" fillId="0" borderId="17" xfId="0" applyFont="1" applyBorder="1" applyAlignment="1">
      <alignment horizontal="left"/>
    </xf>
    <xf numFmtId="0" fontId="16" fillId="37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173" fontId="10" fillId="33" borderId="13" xfId="0" applyNumberFormat="1" applyFont="1" applyFill="1" applyBorder="1" applyAlignment="1" applyProtection="1">
      <alignment horizontal="right" vertical="center" wrapText="1"/>
      <protection/>
    </xf>
    <xf numFmtId="173" fontId="14" fillId="33" borderId="20" xfId="0" applyNumberFormat="1" applyFont="1" applyFill="1" applyBorder="1" applyAlignment="1" applyProtection="1">
      <alignment horizontal="right" vertical="center" wrapText="1"/>
      <protection/>
    </xf>
    <xf numFmtId="173" fontId="14" fillId="33" borderId="22" xfId="0" applyNumberFormat="1" applyFont="1" applyFill="1" applyBorder="1" applyAlignment="1" applyProtection="1">
      <alignment horizontal="right" vertical="center" wrapText="1"/>
      <protection/>
    </xf>
    <xf numFmtId="173" fontId="10" fillId="0" borderId="2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 horizontal="right" vertical="center" wrapText="1"/>
      <protection/>
    </xf>
    <xf numFmtId="173" fontId="1" fillId="0" borderId="22" xfId="0" applyNumberFormat="1" applyFont="1" applyFill="1" applyBorder="1" applyAlignment="1" applyProtection="1">
      <alignment horizontal="right" vertical="center" wrapText="1"/>
      <protection locked="0"/>
    </xf>
    <xf numFmtId="173" fontId="10" fillId="33" borderId="23" xfId="0" applyNumberFormat="1" applyFont="1" applyFill="1" applyBorder="1" applyAlignment="1" applyProtection="1">
      <alignment horizontal="right" vertical="center" wrapText="1"/>
      <protection/>
    </xf>
    <xf numFmtId="173" fontId="10" fillId="0" borderId="13" xfId="0" applyNumberFormat="1" applyFont="1" applyFill="1" applyBorder="1" applyAlignment="1" applyProtection="1">
      <alignment horizontal="right" vertical="center" wrapText="1"/>
      <protection/>
    </xf>
    <xf numFmtId="173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173" fontId="10" fillId="33" borderId="33" xfId="0" applyNumberFormat="1" applyFont="1" applyFill="1" applyBorder="1" applyAlignment="1" applyProtection="1">
      <alignment horizontal="right" vertical="center" wrapText="1"/>
      <protection locked="0"/>
    </xf>
    <xf numFmtId="173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26" fillId="0" borderId="33" xfId="0" applyFont="1" applyBorder="1" applyAlignment="1">
      <alignment/>
    </xf>
    <xf numFmtId="173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173" fontId="10" fillId="0" borderId="33" xfId="0" applyNumberFormat="1" applyFont="1" applyFill="1" applyBorder="1" applyAlignment="1" applyProtection="1">
      <alignment horizontal="right" vertical="center" wrapText="1"/>
      <protection locked="0"/>
    </xf>
    <xf numFmtId="173" fontId="10" fillId="0" borderId="52" xfId="0" applyNumberFormat="1" applyFont="1" applyFill="1" applyBorder="1" applyAlignment="1" applyProtection="1">
      <alignment horizontal="right" vertical="center" wrapText="1"/>
      <protection/>
    </xf>
    <xf numFmtId="173" fontId="10" fillId="0" borderId="52" xfId="0" applyNumberFormat="1" applyFont="1" applyFill="1" applyBorder="1" applyAlignment="1" applyProtection="1">
      <alignment horizontal="right" vertical="center" wrapText="1"/>
      <protection/>
    </xf>
    <xf numFmtId="0" fontId="11" fillId="0" borderId="31" xfId="0" applyFont="1" applyBorder="1" applyAlignment="1" applyProtection="1">
      <alignment horizontal="left" vertical="center" wrapText="1"/>
      <protection/>
    </xf>
    <xf numFmtId="0" fontId="12" fillId="0" borderId="34" xfId="0" applyFont="1" applyBorder="1" applyAlignment="1" applyProtection="1">
      <alignment horizontal="left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51" xfId="0" applyFont="1" applyBorder="1" applyAlignment="1" applyProtection="1">
      <alignment horizontal="left" vertical="center" wrapText="1"/>
      <protection/>
    </xf>
    <xf numFmtId="0" fontId="12" fillId="0" borderId="35" xfId="0" applyFont="1" applyBorder="1" applyAlignment="1" applyProtection="1">
      <alignment horizontal="left" vertical="center" wrapText="1"/>
      <protection/>
    </xf>
    <xf numFmtId="0" fontId="11" fillId="0" borderId="24" xfId="0" applyFont="1" applyBorder="1" applyAlignment="1" applyProtection="1">
      <alignment horizontal="left" vertical="center" wrapText="1"/>
      <protection/>
    </xf>
    <xf numFmtId="0" fontId="13" fillId="0" borderId="34" xfId="0" applyFont="1" applyBorder="1" applyAlignment="1" applyProtection="1">
      <alignment horizontal="left" vertical="center" wrapText="1"/>
      <protection/>
    </xf>
    <xf numFmtId="0" fontId="13" fillId="0" borderId="19" xfId="0" applyFont="1" applyBorder="1" applyAlignment="1" applyProtection="1">
      <alignment horizontal="left" vertical="center" wrapText="1"/>
      <protection/>
    </xf>
    <xf numFmtId="0" fontId="12" fillId="0" borderId="26" xfId="0" applyFont="1" applyBorder="1" applyAlignment="1" applyProtection="1">
      <alignment horizontal="left" vertical="center" wrapText="1"/>
      <protection/>
    </xf>
    <xf numFmtId="0" fontId="12" fillId="0" borderId="31" xfId="0" applyFont="1" applyBorder="1" applyAlignment="1" applyProtection="1">
      <alignment horizontal="left" vertical="center" wrapText="1"/>
      <protection/>
    </xf>
    <xf numFmtId="173" fontId="10" fillId="0" borderId="31" xfId="0" applyNumberFormat="1" applyFont="1" applyFill="1" applyBorder="1" applyAlignment="1" applyProtection="1">
      <alignment horizontal="right" vertical="center" wrapText="1"/>
      <protection/>
    </xf>
    <xf numFmtId="173" fontId="1" fillId="0" borderId="43" xfId="0" applyNumberFormat="1" applyFont="1" applyFill="1" applyBorder="1" applyAlignment="1" applyProtection="1">
      <alignment horizontal="right" vertical="center" wrapText="1"/>
      <protection locked="0"/>
    </xf>
    <xf numFmtId="173" fontId="1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24" xfId="54" applyFont="1" applyFill="1" applyBorder="1" applyAlignment="1" applyProtection="1">
      <alignment horizontal="left" vertical="center" wrapText="1"/>
      <protection/>
    </xf>
    <xf numFmtId="0" fontId="1" fillId="0" borderId="26" xfId="54" applyFont="1" applyFill="1" applyBorder="1" applyAlignment="1" applyProtection="1">
      <alignment horizontal="left" vertical="center" wrapText="1"/>
      <protection/>
    </xf>
    <xf numFmtId="0" fontId="1" fillId="0" borderId="19" xfId="54" applyFont="1" applyFill="1" applyBorder="1" applyAlignment="1" applyProtection="1">
      <alignment horizontal="left" vertical="center" wrapText="1"/>
      <protection/>
    </xf>
    <xf numFmtId="0" fontId="1" fillId="0" borderId="19" xfId="54" applyFont="1" applyFill="1" applyBorder="1" applyAlignment="1" applyProtection="1">
      <alignment horizontal="left"/>
      <protection/>
    </xf>
    <xf numFmtId="0" fontId="1" fillId="0" borderId="34" xfId="54" applyFont="1" applyFill="1" applyBorder="1" applyAlignment="1" applyProtection="1">
      <alignment horizontal="left" vertical="center" wrapText="1"/>
      <protection/>
    </xf>
    <xf numFmtId="0" fontId="1" fillId="0" borderId="51" xfId="54" applyFont="1" applyFill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2" fillId="0" borderId="94" xfId="0" applyFont="1" applyBorder="1" applyAlignment="1" applyProtection="1">
      <alignment horizontal="left" vertical="center" wrapText="1"/>
      <protection/>
    </xf>
    <xf numFmtId="0" fontId="12" fillId="0" borderId="57" xfId="0" applyFont="1" applyBorder="1" applyAlignment="1" applyProtection="1">
      <alignment horizontal="left" vertical="center" wrapText="1"/>
      <protection/>
    </xf>
    <xf numFmtId="0" fontId="11" fillId="0" borderId="29" xfId="0" applyFont="1" applyBorder="1" applyAlignment="1" applyProtection="1">
      <alignment horizontal="left" vertical="center" wrapText="1"/>
      <protection/>
    </xf>
    <xf numFmtId="0" fontId="12" fillId="0" borderId="29" xfId="0" applyFont="1" applyBorder="1" applyAlignment="1" applyProtection="1">
      <alignment horizontal="left" vertical="center" wrapText="1"/>
      <protection/>
    </xf>
    <xf numFmtId="173" fontId="1" fillId="0" borderId="21" xfId="0" applyNumberFormat="1" applyFont="1" applyFill="1" applyBorder="1" applyAlignment="1" applyProtection="1">
      <alignment horizontal="right" vertical="center" wrapText="1"/>
      <protection locked="0"/>
    </xf>
    <xf numFmtId="173" fontId="1" fillId="0" borderId="32" xfId="0" applyNumberFormat="1" applyFont="1" applyFill="1" applyBorder="1" applyAlignment="1" applyProtection="1">
      <alignment horizontal="right" vertical="center" wrapText="1"/>
      <protection locked="0"/>
    </xf>
    <xf numFmtId="173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173" fontId="10" fillId="0" borderId="11" xfId="0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Alignment="1">
      <alignment/>
    </xf>
    <xf numFmtId="0" fontId="10" fillId="0" borderId="0" xfId="0" applyFont="1" applyFill="1" applyAlignment="1" applyProtection="1">
      <alignment vertical="center"/>
      <protection/>
    </xf>
    <xf numFmtId="0" fontId="10" fillId="0" borderId="39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 wrapText="1"/>
      <protection/>
    </xf>
    <xf numFmtId="0" fontId="1" fillId="0" borderId="39" xfId="54" applyFont="1" applyFill="1" applyBorder="1" applyAlignment="1" applyProtection="1">
      <alignment horizontal="center" vertical="center" wrapText="1"/>
      <protection/>
    </xf>
    <xf numFmtId="0" fontId="1" fillId="0" borderId="14" xfId="54" applyFont="1" applyFill="1" applyBorder="1" applyAlignment="1" applyProtection="1">
      <alignment horizontal="center" vertical="center" wrapText="1"/>
      <protection/>
    </xf>
    <xf numFmtId="0" fontId="26" fillId="33" borderId="21" xfId="0" applyFont="1" applyFill="1" applyBorder="1" applyAlignment="1">
      <alignment/>
    </xf>
    <xf numFmtId="0" fontId="26" fillId="33" borderId="20" xfId="0" applyFont="1" applyFill="1" applyBorder="1" applyAlignment="1">
      <alignment/>
    </xf>
    <xf numFmtId="0" fontId="26" fillId="33" borderId="22" xfId="0" applyFont="1" applyFill="1" applyBorder="1" applyAlignment="1">
      <alignment/>
    </xf>
    <xf numFmtId="0" fontId="26" fillId="33" borderId="32" xfId="0" applyFont="1" applyFill="1" applyBorder="1" applyAlignment="1">
      <alignment/>
    </xf>
    <xf numFmtId="0" fontId="26" fillId="33" borderId="47" xfId="0" applyFont="1" applyFill="1" applyBorder="1" applyAlignment="1">
      <alignment/>
    </xf>
    <xf numFmtId="0" fontId="26" fillId="33" borderId="14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47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0" xfId="0" applyFont="1" applyBorder="1" applyAlignment="1">
      <alignment/>
    </xf>
    <xf numFmtId="0" fontId="12" fillId="0" borderId="19" xfId="54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47" xfId="0" applyFont="1" applyBorder="1" applyAlignment="1">
      <alignment/>
    </xf>
    <xf numFmtId="0" fontId="26" fillId="0" borderId="52" xfId="0" applyFont="1" applyBorder="1" applyAlignment="1">
      <alignment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Border="1" applyAlignment="1">
      <alignment/>
    </xf>
    <xf numFmtId="0" fontId="26" fillId="0" borderId="45" xfId="0" applyFont="1" applyBorder="1" applyAlignment="1">
      <alignment/>
    </xf>
    <xf numFmtId="173" fontId="26" fillId="0" borderId="0" xfId="0" applyNumberFormat="1" applyFont="1" applyBorder="1" applyAlignment="1">
      <alignment/>
    </xf>
    <xf numFmtId="0" fontId="26" fillId="0" borderId="40" xfId="0" applyFont="1" applyBorder="1" applyAlignment="1">
      <alignment/>
    </xf>
    <xf numFmtId="0" fontId="26" fillId="0" borderId="11" xfId="0" applyFont="1" applyBorder="1" applyAlignment="1">
      <alignment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right" vertical="center" wrapText="1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1" fillId="0" borderId="50" xfId="0" applyFont="1" applyFill="1" applyBorder="1" applyAlignment="1" applyProtection="1">
      <alignment vertical="center" wrapText="1"/>
      <protection/>
    </xf>
    <xf numFmtId="0" fontId="10" fillId="0" borderId="50" xfId="0" applyFont="1" applyFill="1" applyBorder="1" applyAlignment="1" applyProtection="1">
      <alignment vertical="center" wrapText="1"/>
      <protection/>
    </xf>
    <xf numFmtId="3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39" xfId="54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" fillId="0" borderId="42" xfId="0" applyFont="1" applyFill="1" applyBorder="1" applyAlignment="1" applyProtection="1">
      <alignment vertical="center" wrapText="1"/>
      <protection/>
    </xf>
    <xf numFmtId="0" fontId="36" fillId="0" borderId="52" xfId="0" applyFont="1" applyBorder="1" applyAlignment="1" applyProtection="1">
      <alignment horizontal="center" wrapText="1"/>
      <protection/>
    </xf>
    <xf numFmtId="0" fontId="75" fillId="0" borderId="52" xfId="0" applyFont="1" applyBorder="1" applyAlignment="1" applyProtection="1">
      <alignment horizontal="left" wrapText="1" indent="1"/>
      <protection/>
    </xf>
    <xf numFmtId="0" fontId="10" fillId="0" borderId="0" xfId="0" applyFont="1" applyFill="1" applyBorder="1" applyAlignment="1" applyProtection="1">
      <alignment horizontal="left" vertical="center" wrapText="1" indent="1"/>
      <protection/>
    </xf>
    <xf numFmtId="0" fontId="10" fillId="0" borderId="11" xfId="0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Fill="1" applyAlignment="1" applyProtection="1">
      <alignment horizontal="left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6" fillId="0" borderId="0" xfId="0" applyFont="1" applyFill="1" applyAlignment="1" applyProtection="1">
      <alignment horizontal="right" vertical="center" wrapText="1" indent="1"/>
      <protection/>
    </xf>
    <xf numFmtId="0" fontId="10" fillId="0" borderId="52" xfId="0" applyFont="1" applyFill="1" applyBorder="1" applyAlignment="1" applyProtection="1">
      <alignment vertical="center" wrapText="1"/>
      <protection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6" fillId="0" borderId="16" xfId="0" applyFont="1" applyBorder="1" applyAlignment="1">
      <alignment/>
    </xf>
    <xf numFmtId="0" fontId="26" fillId="0" borderId="39" xfId="0" applyFont="1" applyBorder="1" applyAlignment="1">
      <alignment/>
    </xf>
    <xf numFmtId="49" fontId="12" fillId="33" borderId="15" xfId="54" applyNumberFormat="1" applyFont="1" applyFill="1" applyBorder="1" applyAlignment="1" applyProtection="1">
      <alignment horizontal="left" vertical="center" wrapText="1"/>
      <protection/>
    </xf>
    <xf numFmtId="0" fontId="1" fillId="33" borderId="39" xfId="54" applyFont="1" applyFill="1" applyBorder="1" applyAlignment="1" applyProtection="1">
      <alignment horizontal="center" vertical="center" wrapText="1"/>
      <protection/>
    </xf>
    <xf numFmtId="0" fontId="1" fillId="33" borderId="51" xfId="54" applyFont="1" applyFill="1" applyBorder="1" applyAlignment="1" applyProtection="1">
      <alignment horizontal="center" vertical="center" wrapText="1"/>
      <protection/>
    </xf>
    <xf numFmtId="0" fontId="1" fillId="33" borderId="10" xfId="54" applyFont="1" applyFill="1" applyBorder="1" applyAlignment="1" applyProtection="1">
      <alignment horizontal="center" vertical="center" wrapText="1"/>
      <protection/>
    </xf>
    <xf numFmtId="0" fontId="1" fillId="33" borderId="11" xfId="54" applyFont="1" applyFill="1" applyBorder="1" applyAlignment="1" applyProtection="1">
      <alignment horizontal="center" vertical="center" wrapText="1"/>
      <protection/>
    </xf>
    <xf numFmtId="0" fontId="1" fillId="33" borderId="49" xfId="54" applyFont="1" applyFill="1" applyBorder="1" applyAlignment="1" applyProtection="1">
      <alignment horizontal="center" vertical="center" wrapText="1"/>
      <protection/>
    </xf>
    <xf numFmtId="0" fontId="1" fillId="33" borderId="43" xfId="54" applyFont="1" applyFill="1" applyBorder="1" applyAlignment="1" applyProtection="1">
      <alignment horizontal="center" vertical="center" wrapText="1"/>
      <protection/>
    </xf>
    <xf numFmtId="1" fontId="1" fillId="33" borderId="53" xfId="54" applyNumberFormat="1" applyFont="1" applyFill="1" applyBorder="1" applyAlignment="1" applyProtection="1">
      <alignment horizontal="center" vertical="center" wrapText="1"/>
      <protection/>
    </xf>
    <xf numFmtId="0" fontId="1" fillId="33" borderId="12" xfId="54" applyFont="1" applyFill="1" applyBorder="1" applyAlignment="1" applyProtection="1">
      <alignment vertical="center" wrapText="1"/>
      <protection/>
    </xf>
    <xf numFmtId="0" fontId="1" fillId="33" borderId="43" xfId="54" applyFont="1" applyFill="1" applyBorder="1" applyAlignment="1" applyProtection="1">
      <alignment vertical="center" wrapText="1"/>
      <protection/>
    </xf>
    <xf numFmtId="173" fontId="1" fillId="33" borderId="11" xfId="54" applyNumberFormat="1" applyFont="1" applyFill="1" applyBorder="1" applyAlignment="1" applyProtection="1">
      <alignment horizontal="right" vertical="center" wrapText="1" indent="1"/>
      <protection/>
    </xf>
    <xf numFmtId="0" fontId="20" fillId="33" borderId="16" xfId="0" applyFont="1" applyFill="1" applyBorder="1" applyAlignment="1" applyProtection="1">
      <alignment horizontal="left" vertical="center" wrapText="1" indent="1"/>
      <protection/>
    </xf>
    <xf numFmtId="173" fontId="11" fillId="33" borderId="16" xfId="0" applyNumberFormat="1" applyFont="1" applyFill="1" applyBorder="1" applyAlignment="1" applyProtection="1">
      <alignment horizontal="right" vertical="center" wrapText="1" indent="1"/>
      <protection/>
    </xf>
    <xf numFmtId="173" fontId="11" fillId="33" borderId="38" xfId="0" applyNumberFormat="1" applyFont="1" applyFill="1" applyBorder="1" applyAlignment="1" applyProtection="1">
      <alignment horizontal="right" vertical="center" wrapText="1" indent="1"/>
      <protection/>
    </xf>
    <xf numFmtId="0" fontId="20" fillId="33" borderId="18" xfId="0" applyFont="1" applyFill="1" applyBorder="1" applyAlignment="1" applyProtection="1">
      <alignment horizontal="left" vertical="center" wrapText="1" indent="1"/>
      <protection/>
    </xf>
    <xf numFmtId="173" fontId="11" fillId="33" borderId="18" xfId="0" applyNumberFormat="1" applyFont="1" applyFill="1" applyBorder="1" applyAlignment="1" applyProtection="1">
      <alignment horizontal="right" vertical="center" wrapText="1" indent="1"/>
      <protection/>
    </xf>
    <xf numFmtId="173" fontId="11" fillId="33" borderId="22" xfId="0" applyNumberFormat="1" applyFont="1" applyFill="1" applyBorder="1" applyAlignment="1" applyProtection="1">
      <alignment horizontal="right" vertical="center" wrapText="1" indent="1"/>
      <protection/>
    </xf>
    <xf numFmtId="0" fontId="20" fillId="33" borderId="39" xfId="0" applyFont="1" applyFill="1" applyBorder="1" applyAlignment="1" applyProtection="1">
      <alignment horizontal="left" vertical="center" wrapText="1" indent="1"/>
      <protection/>
    </xf>
    <xf numFmtId="173" fontId="11" fillId="33" borderId="39" xfId="0" applyNumberFormat="1" applyFont="1" applyFill="1" applyBorder="1" applyAlignment="1" applyProtection="1">
      <alignment horizontal="right" vertical="center" wrapText="1" indent="1"/>
      <protection/>
    </xf>
    <xf numFmtId="173" fontId="11" fillId="33" borderId="14" xfId="0" applyNumberFormat="1" applyFont="1" applyFill="1" applyBorder="1" applyAlignment="1" applyProtection="1">
      <alignment horizontal="right" vertical="center" wrapText="1" indent="1"/>
      <protection/>
    </xf>
    <xf numFmtId="173" fontId="12" fillId="33" borderId="18" xfId="0" applyNumberFormat="1" applyFont="1" applyFill="1" applyBorder="1" applyAlignment="1" applyProtection="1">
      <alignment horizontal="right" vertical="center" wrapText="1" indent="1"/>
      <protection/>
    </xf>
    <xf numFmtId="173" fontId="12" fillId="33" borderId="39" xfId="0" applyNumberFormat="1" applyFont="1" applyFill="1" applyBorder="1" applyAlignment="1" applyProtection="1">
      <alignment horizontal="right" vertical="center" wrapText="1" indent="1"/>
      <protection/>
    </xf>
    <xf numFmtId="0" fontId="12" fillId="33" borderId="25" xfId="0" applyFont="1" applyFill="1" applyBorder="1" applyAlignment="1" applyProtection="1">
      <alignment vertical="center" wrapText="1"/>
      <protection/>
    </xf>
    <xf numFmtId="0" fontId="23" fillId="33" borderId="16" xfId="0" applyFont="1" applyFill="1" applyBorder="1" applyAlignment="1" applyProtection="1">
      <alignment horizontal="left" vertical="center" wrapText="1" indent="1"/>
      <protection/>
    </xf>
    <xf numFmtId="173" fontId="12" fillId="33" borderId="16" xfId="0" applyNumberFormat="1" applyFont="1" applyFill="1" applyBorder="1" applyAlignment="1" applyProtection="1">
      <alignment horizontal="right" vertical="center" wrapText="1" indent="1"/>
      <protection/>
    </xf>
    <xf numFmtId="173" fontId="12" fillId="33" borderId="38" xfId="0" applyNumberFormat="1" applyFont="1" applyFill="1" applyBorder="1" applyAlignment="1" applyProtection="1">
      <alignment horizontal="right" vertical="center" wrapText="1" indent="1"/>
      <protection/>
    </xf>
    <xf numFmtId="0" fontId="23" fillId="33" borderId="18" xfId="0" applyFont="1" applyFill="1" applyBorder="1" applyAlignment="1" applyProtection="1">
      <alignment horizontal="left" vertical="center" wrapText="1" indent="1"/>
      <protection/>
    </xf>
    <xf numFmtId="173" fontId="12" fillId="33" borderId="22" xfId="0" applyNumberFormat="1" applyFont="1" applyFill="1" applyBorder="1" applyAlignment="1" applyProtection="1">
      <alignment horizontal="right" vertical="center" wrapText="1" indent="1"/>
      <protection/>
    </xf>
    <xf numFmtId="49" fontId="13" fillId="33" borderId="15" xfId="0" applyNumberFormat="1" applyFont="1" applyFill="1" applyBorder="1" applyAlignment="1" applyProtection="1">
      <alignment vertical="center" wrapText="1"/>
      <protection/>
    </xf>
    <xf numFmtId="0" fontId="24" fillId="33" borderId="18" xfId="0" applyFont="1" applyFill="1" applyBorder="1" applyAlignment="1" applyProtection="1">
      <alignment horizontal="left" vertical="center" wrapText="1" indent="1"/>
      <protection/>
    </xf>
    <xf numFmtId="0" fontId="12" fillId="33" borderId="18" xfId="0" applyFont="1" applyFill="1" applyBorder="1" applyAlignment="1" applyProtection="1">
      <alignment horizontal="right" vertical="center" wrapText="1" indent="1"/>
      <protection/>
    </xf>
    <xf numFmtId="0" fontId="12" fillId="33" borderId="22" xfId="0" applyFont="1" applyFill="1" applyBorder="1" applyAlignment="1" applyProtection="1">
      <alignment horizontal="right" vertical="center" wrapText="1" indent="1"/>
      <protection/>
    </xf>
    <xf numFmtId="49" fontId="13" fillId="33" borderId="42" xfId="0" applyNumberFormat="1" applyFont="1" applyFill="1" applyBorder="1" applyAlignment="1" applyProtection="1">
      <alignment vertical="center" wrapText="1"/>
      <protection/>
    </xf>
    <xf numFmtId="0" fontId="24" fillId="33" borderId="39" xfId="0" applyFont="1" applyFill="1" applyBorder="1" applyAlignment="1" applyProtection="1">
      <alignment horizontal="left" vertical="center" wrapText="1" indent="1"/>
      <protection/>
    </xf>
    <xf numFmtId="0" fontId="12" fillId="33" borderId="39" xfId="0" applyFont="1" applyFill="1" applyBorder="1" applyAlignment="1" applyProtection="1">
      <alignment horizontal="right" vertical="center" wrapText="1" indent="1"/>
      <protection/>
    </xf>
    <xf numFmtId="0" fontId="12" fillId="33" borderId="14" xfId="0" applyFont="1" applyFill="1" applyBorder="1" applyAlignment="1" applyProtection="1">
      <alignment horizontal="right" vertical="center" wrapText="1" indent="1"/>
      <protection/>
    </xf>
    <xf numFmtId="172" fontId="4" fillId="33" borderId="20" xfId="0" applyNumberFormat="1" applyFont="1" applyFill="1" applyBorder="1" applyAlignment="1">
      <alignment/>
    </xf>
    <xf numFmtId="0" fontId="1" fillId="33" borderId="11" xfId="54" applyFont="1" applyFill="1" applyBorder="1" applyAlignment="1" applyProtection="1">
      <alignment horizontal="center" vertical="center" wrapText="1"/>
      <protection/>
    </xf>
    <xf numFmtId="0" fontId="1" fillId="33" borderId="24" xfId="54" applyFont="1" applyFill="1" applyBorder="1" applyAlignment="1" applyProtection="1">
      <alignment horizontal="center" vertical="center" wrapText="1"/>
      <protection/>
    </xf>
    <xf numFmtId="1" fontId="1" fillId="33" borderId="13" xfId="54" applyNumberFormat="1" applyFont="1" applyFill="1" applyBorder="1" applyAlignment="1" applyProtection="1">
      <alignment horizontal="center" vertical="center" wrapText="1"/>
      <protection/>
    </xf>
    <xf numFmtId="0" fontId="12" fillId="0" borderId="40" xfId="0" applyFont="1" applyFill="1" applyBorder="1" applyAlignment="1" applyProtection="1">
      <alignment wrapText="1"/>
      <protection/>
    </xf>
    <xf numFmtId="0" fontId="0" fillId="0" borderId="40" xfId="0" applyBorder="1" applyAlignment="1">
      <alignment wrapText="1"/>
    </xf>
    <xf numFmtId="0" fontId="12" fillId="0" borderId="40" xfId="0" applyFont="1" applyBorder="1" applyAlignment="1">
      <alignment horizontal="left"/>
    </xf>
    <xf numFmtId="1" fontId="76" fillId="0" borderId="18" xfId="0" applyNumberFormat="1" applyFont="1" applyFill="1" applyBorder="1" applyAlignment="1">
      <alignment/>
    </xf>
    <xf numFmtId="1" fontId="29" fillId="0" borderId="18" xfId="0" applyNumberFormat="1" applyFont="1" applyFill="1" applyBorder="1" applyAlignment="1">
      <alignment/>
    </xf>
    <xf numFmtId="0" fontId="34" fillId="0" borderId="17" xfId="0" applyFont="1" applyFill="1" applyBorder="1" applyAlignment="1">
      <alignment/>
    </xf>
    <xf numFmtId="0" fontId="34" fillId="0" borderId="18" xfId="54" applyFont="1" applyFill="1" applyBorder="1" applyAlignment="1" applyProtection="1">
      <alignment vertical="center" wrapText="1"/>
      <protection/>
    </xf>
    <xf numFmtId="3" fontId="32" fillId="0" borderId="18" xfId="0" applyNumberFormat="1" applyFont="1" applyFill="1" applyBorder="1" applyAlignment="1">
      <alignment/>
    </xf>
    <xf numFmtId="3" fontId="73" fillId="0" borderId="0" xfId="0" applyNumberFormat="1" applyFont="1" applyFill="1" applyAlignment="1">
      <alignment/>
    </xf>
    <xf numFmtId="0" fontId="32" fillId="0" borderId="18" xfId="54" applyFont="1" applyFill="1" applyBorder="1" applyAlignment="1" applyProtection="1">
      <alignment horizontal="center" vertical="center" wrapText="1"/>
      <protection/>
    </xf>
    <xf numFmtId="0" fontId="34" fillId="0" borderId="28" xfId="0" applyFont="1" applyFill="1" applyBorder="1" applyAlignment="1">
      <alignment/>
    </xf>
    <xf numFmtId="0" fontId="33" fillId="0" borderId="21" xfId="0" applyFont="1" applyFill="1" applyBorder="1" applyAlignment="1">
      <alignment/>
    </xf>
    <xf numFmtId="0" fontId="20" fillId="0" borderId="18" xfId="0" applyFont="1" applyFill="1" applyBorder="1" applyAlignment="1">
      <alignment horizontal="left"/>
    </xf>
    <xf numFmtId="0" fontId="23" fillId="0" borderId="18" xfId="54" applyFont="1" applyFill="1" applyBorder="1" applyAlignment="1" applyProtection="1">
      <alignment horizontal="center" vertical="center" wrapText="1"/>
      <protection/>
    </xf>
    <xf numFmtId="0" fontId="20" fillId="0" borderId="18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20" fillId="0" borderId="17" xfId="0" applyFont="1" applyFill="1" applyBorder="1" applyAlignment="1">
      <alignment horizontal="left"/>
    </xf>
    <xf numFmtId="1" fontId="23" fillId="0" borderId="18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23" fillId="0" borderId="17" xfId="0" applyFont="1" applyFill="1" applyBorder="1" applyAlignment="1">
      <alignment horizontal="left"/>
    </xf>
    <xf numFmtId="0" fontId="12" fillId="0" borderId="18" xfId="0" applyFont="1" applyFill="1" applyBorder="1" applyAlignment="1" applyProtection="1">
      <alignment horizontal="left" vertical="center" wrapText="1" indent="1"/>
      <protection/>
    </xf>
    <xf numFmtId="16" fontId="23" fillId="0" borderId="18" xfId="0" applyNumberFormat="1" applyFont="1" applyFill="1" applyBorder="1" applyAlignment="1">
      <alignment/>
    </xf>
    <xf numFmtId="3" fontId="12" fillId="0" borderId="0" xfId="0" applyNumberFormat="1" applyFont="1" applyFill="1" applyAlignment="1">
      <alignment wrapText="1"/>
    </xf>
    <xf numFmtId="3" fontId="12" fillId="0" borderId="18" xfId="0" applyNumberFormat="1" applyFont="1" applyFill="1" applyBorder="1" applyAlignment="1">
      <alignment wrapText="1"/>
    </xf>
    <xf numFmtId="0" fontId="26" fillId="0" borderId="18" xfId="0" applyFont="1" applyFill="1" applyBorder="1" applyAlignment="1">
      <alignment/>
    </xf>
    <xf numFmtId="0" fontId="23" fillId="0" borderId="46" xfId="0" applyFont="1" applyFill="1" applyBorder="1" applyAlignment="1">
      <alignment horizontal="left"/>
    </xf>
    <xf numFmtId="0" fontId="23" fillId="0" borderId="21" xfId="0" applyFont="1" applyFill="1" applyBorder="1" applyAlignment="1">
      <alignment/>
    </xf>
    <xf numFmtId="0" fontId="23" fillId="0" borderId="18" xfId="0" applyFont="1" applyFill="1" applyBorder="1" applyAlignment="1">
      <alignment horizontal="justify"/>
    </xf>
    <xf numFmtId="0" fontId="20" fillId="0" borderId="0" xfId="0" applyFont="1" applyFill="1" applyAlignment="1">
      <alignment horizontal="left"/>
    </xf>
    <xf numFmtId="1" fontId="0" fillId="0" borderId="0" xfId="0" applyNumberFormat="1" applyFill="1" applyAlignment="1">
      <alignment/>
    </xf>
    <xf numFmtId="1" fontId="26" fillId="0" borderId="0" xfId="0" applyNumberFormat="1" applyFont="1" applyFill="1" applyAlignment="1">
      <alignment/>
    </xf>
    <xf numFmtId="0" fontId="20" fillId="0" borderId="28" xfId="0" applyFont="1" applyFill="1" applyBorder="1" applyAlignment="1">
      <alignment/>
    </xf>
    <xf numFmtId="3" fontId="12" fillId="0" borderId="18" xfId="0" applyNumberFormat="1" applyFont="1" applyFill="1" applyBorder="1" applyAlignment="1">
      <alignment horizontal="right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1" fontId="23" fillId="0" borderId="0" xfId="0" applyNumberFormat="1" applyFont="1" applyFill="1" applyAlignment="1">
      <alignment/>
    </xf>
    <xf numFmtId="1" fontId="20" fillId="0" borderId="18" xfId="0" applyNumberFormat="1" applyFont="1" applyFill="1" applyBorder="1" applyAlignment="1">
      <alignment/>
    </xf>
    <xf numFmtId="0" fontId="20" fillId="0" borderId="18" xfId="0" applyFont="1" applyFill="1" applyBorder="1" applyAlignment="1">
      <alignment/>
    </xf>
    <xf numFmtId="1" fontId="20" fillId="0" borderId="18" xfId="0" applyNumberFormat="1" applyFont="1" applyFill="1" applyBorder="1" applyAlignment="1">
      <alignment/>
    </xf>
    <xf numFmtId="173" fontId="1" fillId="0" borderId="16" xfId="54" applyNumberFormat="1" applyFont="1" applyFill="1" applyBorder="1" applyAlignment="1" applyProtection="1">
      <alignment vertical="center" wrapText="1"/>
      <protection locked="0"/>
    </xf>
    <xf numFmtId="0" fontId="23" fillId="0" borderId="18" xfId="54" applyFont="1" applyFill="1" applyBorder="1" applyAlignment="1" applyProtection="1">
      <alignment horizontal="right" vertical="center" wrapText="1"/>
      <protection/>
    </xf>
    <xf numFmtId="3" fontId="23" fillId="0" borderId="18" xfId="0" applyNumberFormat="1" applyFont="1" applyBorder="1" applyAlignment="1">
      <alignment horizontal="right"/>
    </xf>
    <xf numFmtId="3" fontId="2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20" fillId="0" borderId="18" xfId="54" applyFont="1" applyFill="1" applyBorder="1" applyAlignment="1" applyProtection="1">
      <alignment horizontal="right" vertical="center" wrapText="1"/>
      <protection/>
    </xf>
    <xf numFmtId="0" fontId="23" fillId="0" borderId="18" xfId="0" applyFont="1" applyBorder="1" applyAlignment="1">
      <alignment horizontal="right"/>
    </xf>
    <xf numFmtId="1" fontId="23" fillId="0" borderId="18" xfId="0" applyNumberFormat="1" applyFont="1" applyBorder="1" applyAlignment="1">
      <alignment horizontal="right"/>
    </xf>
    <xf numFmtId="1" fontId="23" fillId="0" borderId="0" xfId="0" applyNumberFormat="1" applyFont="1" applyAlignment="1">
      <alignment horizontal="right"/>
    </xf>
    <xf numFmtId="173" fontId="66" fillId="0" borderId="18" xfId="0" applyNumberFormat="1" applyFont="1" applyFill="1" applyBorder="1" applyAlignment="1" applyProtection="1">
      <alignment horizontal="right" wrapText="1" indent="1"/>
      <protection locked="0"/>
    </xf>
    <xf numFmtId="3" fontId="23" fillId="0" borderId="32" xfId="0" applyNumberFormat="1" applyFont="1" applyBorder="1" applyAlignment="1">
      <alignment/>
    </xf>
    <xf numFmtId="3" fontId="23" fillId="0" borderId="18" xfId="0" applyNumberFormat="1" applyFont="1" applyBorder="1" applyAlignment="1">
      <alignment/>
    </xf>
    <xf numFmtId="173" fontId="66" fillId="0" borderId="18" xfId="0" applyNumberFormat="1" applyFont="1" applyFill="1" applyBorder="1" applyAlignment="1" applyProtection="1">
      <alignment vertical="center" wrapText="1"/>
      <protection locked="0"/>
    </xf>
    <xf numFmtId="0" fontId="23" fillId="0" borderId="46" xfId="0" applyFont="1" applyBorder="1" applyAlignment="1">
      <alignment/>
    </xf>
    <xf numFmtId="0" fontId="0" fillId="0" borderId="0" xfId="0" applyAlignment="1">
      <alignment horizontal="center"/>
    </xf>
    <xf numFmtId="3" fontId="20" fillId="0" borderId="18" xfId="0" applyNumberFormat="1" applyFont="1" applyBorder="1" applyAlignment="1">
      <alignment/>
    </xf>
    <xf numFmtId="0" fontId="12" fillId="0" borderId="18" xfId="0" applyFont="1" applyBorder="1" applyAlignment="1" applyProtection="1">
      <alignment vertical="center" wrapText="1"/>
      <protection/>
    </xf>
    <xf numFmtId="1" fontId="20" fillId="0" borderId="18" xfId="0" applyNumberFormat="1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18" xfId="0" applyFont="1" applyFill="1" applyBorder="1" applyAlignment="1">
      <alignment horizontal="justify"/>
    </xf>
    <xf numFmtId="0" fontId="23" fillId="0" borderId="0" xfId="0" applyFont="1" applyFill="1" applyAlignment="1">
      <alignment/>
    </xf>
    <xf numFmtId="0" fontId="24" fillId="0" borderId="17" xfId="0" applyFont="1" applyBorder="1" applyAlignment="1">
      <alignment horizontal="right"/>
    </xf>
    <xf numFmtId="3" fontId="20" fillId="0" borderId="17" xfId="0" applyNumberFormat="1" applyFont="1" applyFill="1" applyBorder="1" applyAlignment="1" applyProtection="1">
      <alignment vertical="center" wrapText="1"/>
      <protection locked="0"/>
    </xf>
    <xf numFmtId="3" fontId="11" fillId="0" borderId="17" xfId="0" applyNumberFormat="1" applyFont="1" applyFill="1" applyBorder="1" applyAlignment="1" applyProtection="1">
      <alignment vertical="center" wrapText="1"/>
      <protection locked="0"/>
    </xf>
    <xf numFmtId="173" fontId="13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79" fillId="0" borderId="18" xfId="0" applyFont="1" applyBorder="1" applyAlignment="1">
      <alignment horizontal="right"/>
    </xf>
    <xf numFmtId="0" fontId="80" fillId="0" borderId="18" xfId="0" applyFont="1" applyBorder="1" applyAlignment="1">
      <alignment horizontal="right"/>
    </xf>
    <xf numFmtId="0" fontId="10" fillId="0" borderId="14" xfId="54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42" xfId="0" applyFont="1" applyFill="1" applyBorder="1" applyAlignment="1" applyProtection="1">
      <alignment horizontal="center" vertical="center" wrapText="1"/>
      <protection/>
    </xf>
    <xf numFmtId="173" fontId="10" fillId="0" borderId="24" xfId="0" applyNumberFormat="1" applyFont="1" applyFill="1" applyBorder="1" applyAlignment="1" applyProtection="1">
      <alignment horizontal="right" vertical="center" wrapText="1" indent="1"/>
      <protection/>
    </xf>
    <xf numFmtId="173" fontId="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3" fontId="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3" fontId="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3" fontId="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3" fontId="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3" fontId="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3" fontId="10" fillId="0" borderId="50" xfId="0" applyNumberFormat="1" applyFont="1" applyFill="1" applyBorder="1" applyAlignment="1" applyProtection="1">
      <alignment horizontal="right" vertical="center" wrapText="1" indent="1"/>
      <protection/>
    </xf>
    <xf numFmtId="173" fontId="10" fillId="0" borderId="45" xfId="0" applyNumberFormat="1" applyFont="1" applyFill="1" applyBorder="1" applyAlignment="1" applyProtection="1">
      <alignment horizontal="right" vertical="center" wrapText="1" indent="1"/>
      <protection/>
    </xf>
    <xf numFmtId="173" fontId="1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73" fontId="10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73" fontId="10" fillId="0" borderId="50" xfId="0" applyNumberFormat="1" applyFont="1" applyFill="1" applyBorder="1" applyAlignment="1" applyProtection="1">
      <alignment horizontal="right" vertical="center" wrapText="1" indent="1"/>
      <protection/>
    </xf>
    <xf numFmtId="173" fontId="10" fillId="0" borderId="73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95" xfId="0" applyFont="1" applyBorder="1" applyAlignment="1">
      <alignment/>
    </xf>
    <xf numFmtId="0" fontId="26" fillId="0" borderId="71" xfId="0" applyFont="1" applyBorder="1" applyAlignment="1">
      <alignment/>
    </xf>
    <xf numFmtId="0" fontId="26" fillId="0" borderId="88" xfId="0" applyFont="1" applyBorder="1" applyAlignment="1">
      <alignment/>
    </xf>
    <xf numFmtId="173" fontId="10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73" xfId="0" applyFont="1" applyBorder="1" applyAlignment="1">
      <alignment/>
    </xf>
    <xf numFmtId="173" fontId="10" fillId="0" borderId="73" xfId="0" applyNumberFormat="1" applyFont="1" applyFill="1" applyBorder="1" applyAlignment="1" applyProtection="1">
      <alignment horizontal="right" vertical="center" wrapText="1" indent="1"/>
      <protection/>
    </xf>
    <xf numFmtId="173" fontId="10" fillId="0" borderId="11" xfId="0" applyNumberFormat="1" applyFont="1" applyFill="1" applyBorder="1" applyAlignment="1" applyProtection="1">
      <alignment horizontal="right" vertical="center" wrapText="1" indent="1"/>
      <protection/>
    </xf>
    <xf numFmtId="173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3" fontId="10" fillId="0" borderId="11" xfId="0" applyNumberFormat="1" applyFont="1" applyFill="1" applyBorder="1" applyAlignment="1" applyProtection="1">
      <alignment horizontal="right" vertical="center" wrapText="1" indent="1"/>
      <protection/>
    </xf>
    <xf numFmtId="173" fontId="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3" fontId="10" fillId="0" borderId="24" xfId="0" applyNumberFormat="1" applyFont="1" applyFill="1" applyBorder="1" applyAlignment="1" applyProtection="1">
      <alignment horizontal="right" vertical="center" wrapText="1" indent="1"/>
      <protection/>
    </xf>
    <xf numFmtId="174" fontId="1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3" fontId="39" fillId="0" borderId="0" xfId="0" applyNumberFormat="1" applyFont="1" applyBorder="1" applyAlignment="1">
      <alignment horizontal="right" vertical="top" wrapText="1"/>
    </xf>
    <xf numFmtId="3" fontId="39" fillId="0" borderId="28" xfId="0" applyNumberFormat="1" applyFont="1" applyBorder="1" applyAlignment="1">
      <alignment horizontal="right" vertical="top" wrapText="1"/>
    </xf>
    <xf numFmtId="0" fontId="26" fillId="0" borderId="28" xfId="0" applyFont="1" applyBorder="1" applyAlignment="1">
      <alignment/>
    </xf>
    <xf numFmtId="0" fontId="26" fillId="0" borderId="82" xfId="0" applyFont="1" applyBorder="1" applyAlignment="1">
      <alignment/>
    </xf>
    <xf numFmtId="0" fontId="26" fillId="0" borderId="23" xfId="0" applyFont="1" applyBorder="1" applyAlignment="1">
      <alignment/>
    </xf>
    <xf numFmtId="173" fontId="10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3" fontId="10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72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89" xfId="0" applyFont="1" applyBorder="1" applyAlignment="1">
      <alignment/>
    </xf>
    <xf numFmtId="173" fontId="10" fillId="0" borderId="23" xfId="0" applyNumberFormat="1" applyFont="1" applyFill="1" applyBorder="1" applyAlignment="1" applyProtection="1">
      <alignment horizontal="right" vertical="center" wrapText="1" indent="1"/>
      <protection/>
    </xf>
    <xf numFmtId="173" fontId="10" fillId="0" borderId="82" xfId="0" applyNumberFormat="1" applyFont="1" applyFill="1" applyBorder="1" applyAlignment="1" applyProtection="1">
      <alignment horizontal="right" vertical="center" wrapText="1" indent="1"/>
      <protection/>
    </xf>
    <xf numFmtId="173" fontId="26" fillId="0" borderId="11" xfId="0" applyNumberFormat="1" applyFont="1" applyBorder="1" applyAlignment="1">
      <alignment/>
    </xf>
    <xf numFmtId="173" fontId="26" fillId="0" borderId="73" xfId="0" applyNumberFormat="1" applyFont="1" applyBorder="1" applyAlignment="1">
      <alignment/>
    </xf>
    <xf numFmtId="0" fontId="12" fillId="0" borderId="22" xfId="0" applyFont="1" applyBorder="1" applyAlignment="1">
      <alignment/>
    </xf>
    <xf numFmtId="173" fontId="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3" fontId="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0" applyFont="1" applyBorder="1" applyAlignment="1">
      <alignment/>
    </xf>
    <xf numFmtId="173" fontId="10" fillId="0" borderId="33" xfId="0" applyNumberFormat="1" applyFont="1" applyFill="1" applyBorder="1" applyAlignment="1" applyProtection="1">
      <alignment vertical="center" wrapText="1"/>
      <protection/>
    </xf>
    <xf numFmtId="173" fontId="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3" fontId="10" fillId="0" borderId="52" xfId="0" applyNumberFormat="1" applyFont="1" applyFill="1" applyBorder="1" applyAlignment="1" applyProtection="1">
      <alignment horizontal="right" vertical="center" wrapText="1" indent="1"/>
      <protection/>
    </xf>
    <xf numFmtId="3" fontId="1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3" xfId="0" applyFont="1" applyBorder="1" applyAlignment="1">
      <alignment/>
    </xf>
    <xf numFmtId="0" fontId="26" fillId="0" borderId="13" xfId="0" applyFont="1" applyBorder="1" applyAlignment="1">
      <alignment/>
    </xf>
    <xf numFmtId="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1" xfId="0" applyFont="1" applyBorder="1" applyAlignment="1">
      <alignment/>
    </xf>
    <xf numFmtId="0" fontId="12" fillId="0" borderId="20" xfId="0" applyFont="1" applyBorder="1" applyAlignment="1">
      <alignment/>
    </xf>
    <xf numFmtId="0" fontId="10" fillId="0" borderId="4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173" fontId="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3" fontId="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3" fontId="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3" fontId="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3" fontId="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3" fontId="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3" fontId="10" fillId="0" borderId="49" xfId="0" applyNumberFormat="1" applyFont="1" applyFill="1" applyBorder="1" applyAlignment="1" applyProtection="1">
      <alignment horizontal="right" vertical="center" wrapText="1" indent="1"/>
      <protection/>
    </xf>
    <xf numFmtId="173" fontId="1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3" fontId="1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73" fontId="1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8" xfId="0" applyFont="1" applyFill="1" applyBorder="1" applyAlignment="1" applyProtection="1">
      <alignment horizontal="right" vertical="center" wrapText="1" indent="1"/>
      <protection/>
    </xf>
    <xf numFmtId="0" fontId="26" fillId="0" borderId="48" xfId="0" applyFont="1" applyFill="1" applyBorder="1" applyAlignment="1" applyProtection="1">
      <alignment horizontal="left" vertical="center" wrapText="1"/>
      <protection/>
    </xf>
    <xf numFmtId="0" fontId="26" fillId="0" borderId="50" xfId="0" applyFont="1" applyFill="1" applyBorder="1" applyAlignment="1" applyProtection="1">
      <alignment vertical="center" wrapText="1"/>
      <protection/>
    </xf>
    <xf numFmtId="0" fontId="26" fillId="0" borderId="50" xfId="0" applyFont="1" applyFill="1" applyBorder="1" applyAlignment="1" applyProtection="1">
      <alignment horizontal="right" vertical="center" wrapText="1" indent="1"/>
      <protection/>
    </xf>
    <xf numFmtId="0" fontId="26" fillId="0" borderId="11" xfId="0" applyFont="1" applyFill="1" applyBorder="1" applyAlignment="1" applyProtection="1">
      <alignment horizontal="right" vertical="center" wrapText="1" indent="1"/>
      <protection/>
    </xf>
    <xf numFmtId="0" fontId="26" fillId="0" borderId="73" xfId="0" applyFont="1" applyFill="1" applyBorder="1" applyAlignment="1" applyProtection="1">
      <alignment horizontal="right" vertical="center" wrapText="1" indent="1"/>
      <protection/>
    </xf>
    <xf numFmtId="173" fontId="1" fillId="0" borderId="95" xfId="0" applyNumberFormat="1" applyFont="1" applyFill="1" applyBorder="1" applyAlignment="1" applyProtection="1">
      <alignment horizontal="right" vertical="center" wrapText="1" indent="1"/>
      <protection locked="0"/>
    </xf>
    <xf numFmtId="173" fontId="1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73" fontId="1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73" fontId="1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73" fontId="1" fillId="0" borderId="95" xfId="0" applyNumberFormat="1" applyFont="1" applyFill="1" applyBorder="1" applyAlignment="1" applyProtection="1">
      <alignment horizontal="right" vertical="center" wrapText="1" indent="1"/>
      <protection locked="0"/>
    </xf>
    <xf numFmtId="173" fontId="1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73" fontId="10" fillId="0" borderId="70" xfId="0" applyNumberFormat="1" applyFont="1" applyFill="1" applyBorder="1" applyAlignment="1" applyProtection="1">
      <alignment horizontal="right" vertical="center" wrapText="1" indent="1"/>
      <protection/>
    </xf>
    <xf numFmtId="173" fontId="1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74" fontId="10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7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40" xfId="0" applyFont="1" applyFill="1" applyBorder="1" applyAlignment="1" applyProtection="1">
      <alignment horizontal="right" vertical="center"/>
      <protection/>
    </xf>
    <xf numFmtId="173" fontId="1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61" xfId="0" applyFont="1" applyFill="1" applyBorder="1" applyAlignment="1" applyProtection="1">
      <alignment horizontal="center" vertical="center" wrapText="1"/>
      <protection/>
    </xf>
    <xf numFmtId="0" fontId="10" fillId="0" borderId="40" xfId="0" applyFont="1" applyFill="1" applyBorder="1" applyAlignment="1" applyProtection="1">
      <alignment horizontal="center" vertical="center" wrapText="1"/>
      <protection/>
    </xf>
    <xf numFmtId="173" fontId="10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1" fillId="0" borderId="45" xfId="0" applyFont="1" applyFill="1" applyBorder="1" applyAlignment="1" applyProtection="1">
      <alignment horizontal="center" vertical="center" wrapText="1"/>
      <protection/>
    </xf>
    <xf numFmtId="0" fontId="10" fillId="0" borderId="45" xfId="0" applyFont="1" applyFill="1" applyBorder="1" applyAlignment="1" applyProtection="1">
      <alignment horizontal="left" vertical="center" wrapText="1" indent="1"/>
      <protection/>
    </xf>
    <xf numFmtId="173" fontId="10" fillId="0" borderId="45" xfId="0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24" xfId="54" applyFont="1" applyFill="1" applyBorder="1" applyAlignment="1" applyProtection="1">
      <alignment horizontal="center" vertical="center" wrapText="1"/>
      <protection/>
    </xf>
    <xf numFmtId="0" fontId="1" fillId="0" borderId="11" xfId="54" applyFont="1" applyFill="1" applyBorder="1" applyAlignment="1" applyProtection="1">
      <alignment horizontal="center" vertical="center" wrapText="1"/>
      <protection/>
    </xf>
    <xf numFmtId="0" fontId="1" fillId="0" borderId="73" xfId="54" applyFont="1" applyFill="1" applyBorder="1" applyAlignment="1" applyProtection="1">
      <alignment horizontal="center" vertical="center" wrapText="1"/>
      <protection/>
    </xf>
    <xf numFmtId="0" fontId="26" fillId="34" borderId="18" xfId="0" applyFont="1" applyFill="1" applyBorder="1" applyAlignment="1">
      <alignment/>
    </xf>
    <xf numFmtId="0" fontId="26" fillId="38" borderId="18" xfId="0" applyFont="1" applyFill="1" applyBorder="1" applyAlignment="1">
      <alignment/>
    </xf>
    <xf numFmtId="0" fontId="12" fillId="34" borderId="18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47" fillId="0" borderId="18" xfId="0" applyFont="1" applyBorder="1" applyAlignment="1">
      <alignment wrapText="1"/>
    </xf>
    <xf numFmtId="0" fontId="48" fillId="34" borderId="18" xfId="0" applyFont="1" applyFill="1" applyBorder="1" applyAlignment="1">
      <alignment wrapText="1"/>
    </xf>
    <xf numFmtId="0" fontId="45" fillId="34" borderId="18" xfId="0" applyFont="1" applyFill="1" applyBorder="1" applyAlignment="1">
      <alignment vertical="center" wrapText="1"/>
    </xf>
    <xf numFmtId="0" fontId="42" fillId="0" borderId="0" xfId="0" applyFont="1" applyAlignment="1">
      <alignment/>
    </xf>
    <xf numFmtId="0" fontId="0" fillId="0" borderId="37" xfId="0" applyFill="1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18" xfId="0" applyFont="1" applyFill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left" vertical="top" wrapText="1"/>
    </xf>
    <xf numFmtId="0" fontId="12" fillId="0" borderId="0" xfId="0" applyFont="1" applyBorder="1" applyAlignment="1" quotePrefix="1">
      <alignment horizontal="left" vertical="top" wrapText="1"/>
    </xf>
    <xf numFmtId="0" fontId="12" fillId="0" borderId="19" xfId="0" applyFont="1" applyBorder="1" applyAlignment="1" quotePrefix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96" xfId="0" applyFont="1" applyBorder="1" applyAlignment="1">
      <alignment horizontal="center" vertical="top" wrapText="1"/>
    </xf>
    <xf numFmtId="0" fontId="11" fillId="0" borderId="96" xfId="0" applyFont="1" applyBorder="1" applyAlignment="1">
      <alignment horizontal="left" vertical="top" wrapText="1"/>
    </xf>
    <xf numFmtId="0" fontId="12" fillId="0" borderId="96" xfId="0" applyFont="1" applyBorder="1" applyAlignment="1">
      <alignment/>
    </xf>
    <xf numFmtId="0" fontId="12" fillId="0" borderId="97" xfId="0" applyFont="1" applyBorder="1" applyAlignment="1">
      <alignment horizontal="center" vertical="top" wrapText="1"/>
    </xf>
    <xf numFmtId="0" fontId="12" fillId="0" borderId="97" xfId="0" applyFont="1" applyBorder="1" applyAlignment="1">
      <alignment horizontal="left" vertical="top" wrapText="1"/>
    </xf>
    <xf numFmtId="3" fontId="12" fillId="0" borderId="97" xfId="0" applyNumberFormat="1" applyFont="1" applyBorder="1" applyAlignment="1">
      <alignment horizontal="right" vertical="top" wrapText="1"/>
    </xf>
    <xf numFmtId="3" fontId="26" fillId="0" borderId="97" xfId="0" applyNumberFormat="1" applyFont="1" applyBorder="1" applyAlignment="1">
      <alignment/>
    </xf>
    <xf numFmtId="0" fontId="11" fillId="0" borderId="97" xfId="0" applyFont="1" applyBorder="1" applyAlignment="1">
      <alignment horizontal="center" vertical="top" wrapText="1"/>
    </xf>
    <xf numFmtId="0" fontId="11" fillId="0" borderId="97" xfId="0" applyFont="1" applyBorder="1" applyAlignment="1">
      <alignment horizontal="left" vertical="top" wrapText="1"/>
    </xf>
    <xf numFmtId="0" fontId="12" fillId="0" borderId="97" xfId="0" applyFont="1" applyBorder="1" applyAlignment="1">
      <alignment/>
    </xf>
    <xf numFmtId="0" fontId="12" fillId="0" borderId="97" xfId="0" applyFont="1" applyBorder="1" applyAlignment="1" quotePrefix="1">
      <alignment horizontal="left" vertical="top" wrapText="1"/>
    </xf>
    <xf numFmtId="3" fontId="56" fillId="0" borderId="11" xfId="0" applyNumberFormat="1" applyFont="1" applyFill="1" applyBorder="1" applyAlignment="1">
      <alignment horizontal="center" vertical="center" wrapText="1"/>
    </xf>
    <xf numFmtId="3" fontId="56" fillId="0" borderId="33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32" xfId="0" applyFont="1" applyBorder="1" applyAlignment="1">
      <alignment wrapText="1"/>
    </xf>
    <xf numFmtId="0" fontId="26" fillId="0" borderId="10" xfId="0" applyFont="1" applyBorder="1" applyAlignment="1">
      <alignment horizontal="center"/>
    </xf>
    <xf numFmtId="3" fontId="12" fillId="0" borderId="55" xfId="0" applyNumberFormat="1" applyFont="1" applyBorder="1" applyAlignment="1">
      <alignment/>
    </xf>
    <xf numFmtId="3" fontId="12" fillId="0" borderId="54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left"/>
      <protection/>
    </xf>
    <xf numFmtId="0" fontId="12" fillId="0" borderId="40" xfId="0" applyFont="1" applyFill="1" applyBorder="1" applyAlignment="1" applyProtection="1">
      <alignment/>
      <protection/>
    </xf>
    <xf numFmtId="0" fontId="12" fillId="0" borderId="57" xfId="0" applyFont="1" applyFill="1" applyBorder="1" applyAlignment="1" applyProtection="1">
      <alignment/>
      <protection/>
    </xf>
    <xf numFmtId="0" fontId="1" fillId="33" borderId="0" xfId="54" applyFont="1" applyFill="1" applyAlignment="1">
      <alignment horizontal="center"/>
      <protection/>
    </xf>
    <xf numFmtId="0" fontId="3" fillId="33" borderId="0" xfId="0" applyFont="1" applyFill="1" applyAlignment="1">
      <alignment/>
    </xf>
    <xf numFmtId="0" fontId="5" fillId="33" borderId="0" xfId="54" applyFont="1" applyFill="1" applyAlignment="1">
      <alignment horizontal="center" wrapText="1"/>
      <protection/>
    </xf>
    <xf numFmtId="0" fontId="3" fillId="33" borderId="0" xfId="0" applyFont="1" applyFill="1" applyAlignment="1">
      <alignment wrapText="1"/>
    </xf>
    <xf numFmtId="173" fontId="7" fillId="33" borderId="0" xfId="54" applyNumberFormat="1" applyFont="1" applyFill="1" applyBorder="1" applyAlignment="1" applyProtection="1">
      <alignment horizontal="center" vertical="center"/>
      <protection/>
    </xf>
    <xf numFmtId="173" fontId="8" fillId="33" borderId="40" xfId="54" applyNumberFormat="1" applyFont="1" applyFill="1" applyBorder="1" applyAlignment="1" applyProtection="1">
      <alignment horizontal="left" vertical="center"/>
      <protection/>
    </xf>
    <xf numFmtId="0" fontId="9" fillId="33" borderId="40" xfId="0" applyFont="1" applyFill="1" applyBorder="1" applyAlignment="1" applyProtection="1">
      <alignment horizontal="right" vertical="center"/>
      <protection/>
    </xf>
    <xf numFmtId="0" fontId="1" fillId="33" borderId="25" xfId="54" applyFont="1" applyFill="1" applyBorder="1" applyAlignment="1" applyProtection="1">
      <alignment horizontal="center" vertical="center" wrapText="1"/>
      <protection/>
    </xf>
    <xf numFmtId="0" fontId="1" fillId="33" borderId="42" xfId="54" applyFont="1" applyFill="1" applyBorder="1" applyAlignment="1" applyProtection="1">
      <alignment horizontal="center" vertical="center" wrapText="1"/>
      <protection/>
    </xf>
    <xf numFmtId="0" fontId="1" fillId="33" borderId="16" xfId="54" applyFont="1" applyFill="1" applyBorder="1" applyAlignment="1" applyProtection="1">
      <alignment horizontal="center" vertical="center" wrapText="1"/>
      <protection/>
    </xf>
    <xf numFmtId="0" fontId="1" fillId="33" borderId="39" xfId="54" applyFont="1" applyFill="1" applyBorder="1" applyAlignment="1" applyProtection="1">
      <alignment horizontal="center" vertical="center" wrapText="1"/>
      <protection/>
    </xf>
    <xf numFmtId="173" fontId="1" fillId="33" borderId="16" xfId="54" applyNumberFormat="1" applyFont="1" applyFill="1" applyBorder="1" applyAlignment="1" applyProtection="1">
      <alignment horizontal="center" vertical="center"/>
      <protection/>
    </xf>
    <xf numFmtId="173" fontId="1" fillId="33" borderId="26" xfId="54" applyNumberFormat="1" applyFont="1" applyFill="1" applyBorder="1" applyAlignment="1" applyProtection="1">
      <alignment horizontal="center" vertical="center"/>
      <protection/>
    </xf>
    <xf numFmtId="172" fontId="4" fillId="33" borderId="38" xfId="0" applyNumberFormat="1" applyFont="1" applyFill="1" applyBorder="1" applyAlignment="1">
      <alignment wrapText="1"/>
    </xf>
    <xf numFmtId="172" fontId="4" fillId="33" borderId="14" xfId="0" applyNumberFormat="1" applyFont="1" applyFill="1" applyBorder="1" applyAlignment="1">
      <alignment wrapText="1"/>
    </xf>
    <xf numFmtId="0" fontId="5" fillId="33" borderId="25" xfId="54" applyFont="1" applyFill="1" applyBorder="1" applyAlignment="1" applyProtection="1">
      <alignment horizontal="center" vertical="center" wrapText="1"/>
      <protection/>
    </xf>
    <xf numFmtId="0" fontId="5" fillId="33" borderId="42" xfId="54" applyFont="1" applyFill="1" applyBorder="1" applyAlignment="1" applyProtection="1">
      <alignment horizontal="center" vertical="center" wrapText="1"/>
      <protection/>
    </xf>
    <xf numFmtId="0" fontId="5" fillId="33" borderId="16" xfId="54" applyFont="1" applyFill="1" applyBorder="1" applyAlignment="1" applyProtection="1">
      <alignment horizontal="center" vertical="center" wrapText="1"/>
      <protection/>
    </xf>
    <xf numFmtId="0" fontId="5" fillId="33" borderId="39" xfId="54" applyFont="1" applyFill="1" applyBorder="1" applyAlignment="1" applyProtection="1">
      <alignment horizontal="center" vertical="center" wrapText="1"/>
      <protection/>
    </xf>
    <xf numFmtId="0" fontId="19" fillId="33" borderId="40" xfId="0" applyFont="1" applyFill="1" applyBorder="1" applyAlignment="1" applyProtection="1">
      <alignment horizontal="left" wrapText="1" indent="1"/>
      <protection/>
    </xf>
    <xf numFmtId="0" fontId="25" fillId="33" borderId="40" xfId="0" applyFont="1" applyFill="1" applyBorder="1" applyAlignment="1">
      <alignment horizontal="right"/>
    </xf>
    <xf numFmtId="0" fontId="15" fillId="33" borderId="0" xfId="0" applyFont="1" applyFill="1" applyAlignment="1" applyProtection="1">
      <alignment horizontal="center" vertical="center" wrapText="1"/>
      <protection/>
    </xf>
    <xf numFmtId="0" fontId="4" fillId="33" borderId="40" xfId="0" applyFont="1" applyFill="1" applyBorder="1" applyAlignment="1">
      <alignment/>
    </xf>
    <xf numFmtId="0" fontId="15" fillId="33" borderId="0" xfId="0" applyFont="1" applyFill="1" applyAlignment="1" applyProtection="1">
      <alignment horizontal="center" vertical="center"/>
      <protection/>
    </xf>
    <xf numFmtId="0" fontId="18" fillId="33" borderId="0" xfId="54" applyFont="1" applyFill="1" applyAlignment="1" applyProtection="1">
      <alignment horizontal="center"/>
      <protection/>
    </xf>
    <xf numFmtId="0" fontId="4" fillId="33" borderId="40" xfId="0" applyFont="1" applyFill="1" applyBorder="1" applyAlignment="1">
      <alignment horizontal="right"/>
    </xf>
    <xf numFmtId="0" fontId="34" fillId="0" borderId="19" xfId="54" applyFont="1" applyFill="1" applyBorder="1" applyAlignment="1" applyProtection="1">
      <alignment horizontal="left" vertical="center" wrapText="1"/>
      <protection/>
    </xf>
    <xf numFmtId="0" fontId="34" fillId="0" borderId="17" xfId="54" applyFont="1" applyFill="1" applyBorder="1" applyAlignment="1" applyProtection="1">
      <alignment horizontal="left" vertical="center" wrapText="1"/>
      <protection/>
    </xf>
    <xf numFmtId="0" fontId="34" fillId="0" borderId="46" xfId="54" applyFont="1" applyFill="1" applyBorder="1" applyAlignment="1" applyProtection="1">
      <alignment horizontal="left" vertical="center" wrapText="1"/>
      <protection/>
    </xf>
    <xf numFmtId="0" fontId="34" fillId="0" borderId="19" xfId="0" applyFont="1" applyFill="1" applyBorder="1" applyAlignment="1">
      <alignment horizontal="left"/>
    </xf>
    <xf numFmtId="0" fontId="34" fillId="0" borderId="17" xfId="0" applyFont="1" applyFill="1" applyBorder="1" applyAlignment="1">
      <alignment horizontal="left"/>
    </xf>
    <xf numFmtId="0" fontId="34" fillId="0" borderId="46" xfId="0" applyFont="1" applyFill="1" applyBorder="1" applyAlignment="1">
      <alignment horizontal="left"/>
    </xf>
    <xf numFmtId="0" fontId="34" fillId="0" borderId="18" xfId="54" applyFont="1" applyFill="1" applyBorder="1" applyAlignment="1" applyProtection="1">
      <alignment horizontal="left" vertical="center" wrapText="1"/>
      <protection/>
    </xf>
    <xf numFmtId="49" fontId="32" fillId="0" borderId="19" xfId="54" applyNumberFormat="1" applyFont="1" applyFill="1" applyBorder="1" applyAlignment="1" applyProtection="1">
      <alignment horizontal="left" vertical="center" wrapText="1"/>
      <protection/>
    </xf>
    <xf numFmtId="49" fontId="32" fillId="0" borderId="46" xfId="54" applyNumberFormat="1" applyFont="1" applyFill="1" applyBorder="1" applyAlignment="1" applyProtection="1">
      <alignment horizontal="left" vertical="center" wrapText="1"/>
      <protection/>
    </xf>
    <xf numFmtId="0" fontId="32" fillId="0" borderId="19" xfId="0" applyFont="1" applyFill="1" applyBorder="1" applyAlignment="1">
      <alignment horizontal="left"/>
    </xf>
    <xf numFmtId="0" fontId="32" fillId="0" borderId="46" xfId="0" applyFont="1" applyFill="1" applyBorder="1" applyAlignment="1">
      <alignment horizontal="left"/>
    </xf>
    <xf numFmtId="0" fontId="34" fillId="0" borderId="18" xfId="54" applyFont="1" applyFill="1" applyBorder="1" applyAlignment="1" applyProtection="1">
      <alignment vertical="center" wrapText="1"/>
      <protection/>
    </xf>
    <xf numFmtId="0" fontId="34" fillId="0" borderId="18" xfId="54" applyFont="1" applyFill="1" applyBorder="1" applyAlignment="1" applyProtection="1">
      <alignment horizontal="center" vertical="center" wrapText="1"/>
      <protection/>
    </xf>
    <xf numFmtId="0" fontId="32" fillId="0" borderId="18" xfId="54" applyFont="1" applyFill="1" applyBorder="1" applyAlignment="1" applyProtection="1">
      <alignment horizontal="left" vertical="center" wrapText="1"/>
      <protection/>
    </xf>
    <xf numFmtId="0" fontId="34" fillId="0" borderId="19" xfId="54" applyFont="1" applyFill="1" applyBorder="1" applyAlignment="1" applyProtection="1">
      <alignment horizontal="center" vertical="center" wrapText="1"/>
      <protection/>
    </xf>
    <xf numFmtId="0" fontId="34" fillId="0" borderId="17" xfId="54" applyFont="1" applyFill="1" applyBorder="1" applyAlignment="1" applyProtection="1">
      <alignment horizontal="center" vertical="center" wrapText="1"/>
      <protection/>
    </xf>
    <xf numFmtId="0" fontId="34" fillId="0" borderId="46" xfId="54" applyFont="1" applyFill="1" applyBorder="1" applyAlignment="1" applyProtection="1">
      <alignment horizontal="center" vertical="center" wrapText="1"/>
      <protection/>
    </xf>
    <xf numFmtId="0" fontId="32" fillId="0" borderId="58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4" fillId="0" borderId="35" xfId="54" applyFont="1" applyFill="1" applyBorder="1" applyAlignment="1" applyProtection="1">
      <alignment horizontal="left" vertical="center" wrapText="1"/>
      <protection/>
    </xf>
    <xf numFmtId="0" fontId="34" fillId="0" borderId="37" xfId="54" applyFont="1" applyFill="1" applyBorder="1" applyAlignment="1" applyProtection="1">
      <alignment horizontal="left" vertical="center" wrapText="1"/>
      <protection/>
    </xf>
    <xf numFmtId="0" fontId="34" fillId="0" borderId="79" xfId="54" applyFont="1" applyFill="1" applyBorder="1" applyAlignment="1" applyProtection="1">
      <alignment horizontal="left" vertical="center" wrapText="1"/>
      <protection/>
    </xf>
    <xf numFmtId="0" fontId="34" fillId="0" borderId="18" xfId="0" applyFont="1" applyFill="1" applyBorder="1" applyAlignment="1">
      <alignment horizontal="left"/>
    </xf>
    <xf numFmtId="0" fontId="34" fillId="0" borderId="21" xfId="54" applyFont="1" applyFill="1" applyBorder="1" applyAlignment="1" applyProtection="1">
      <alignment horizontal="left" vertical="center" wrapText="1"/>
      <protection/>
    </xf>
    <xf numFmtId="0" fontId="32" fillId="0" borderId="19" xfId="54" applyFont="1" applyFill="1" applyBorder="1" applyAlignment="1" applyProtection="1">
      <alignment horizontal="center" vertical="center" wrapText="1"/>
      <protection/>
    </xf>
    <xf numFmtId="0" fontId="32" fillId="0" borderId="17" xfId="54" applyFont="1" applyFill="1" applyBorder="1" applyAlignment="1" applyProtection="1">
      <alignment horizontal="center" vertical="center" wrapText="1"/>
      <protection/>
    </xf>
    <xf numFmtId="0" fontId="32" fillId="0" borderId="46" xfId="54" applyFont="1" applyFill="1" applyBorder="1" applyAlignment="1" applyProtection="1">
      <alignment horizontal="center" vertical="center" wrapText="1"/>
      <protection/>
    </xf>
    <xf numFmtId="0" fontId="34" fillId="0" borderId="58" xfId="0" applyFont="1" applyFill="1" applyBorder="1" applyAlignment="1">
      <alignment horizontal="center"/>
    </xf>
    <xf numFmtId="0" fontId="33" fillId="0" borderId="58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46" xfId="0" applyFont="1" applyFill="1" applyBorder="1" applyAlignment="1">
      <alignment horizontal="center"/>
    </xf>
    <xf numFmtId="0" fontId="33" fillId="0" borderId="46" xfId="0" applyFont="1" applyFill="1" applyBorder="1" applyAlignment="1">
      <alignment/>
    </xf>
    <xf numFmtId="0" fontId="33" fillId="0" borderId="17" xfId="0" applyFont="1" applyFill="1" applyBorder="1" applyAlignment="1">
      <alignment horizontal="center"/>
    </xf>
    <xf numFmtId="0" fontId="33" fillId="0" borderId="46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left"/>
    </xf>
    <xf numFmtId="0" fontId="33" fillId="0" borderId="18" xfId="0" applyFont="1" applyFill="1" applyBorder="1" applyAlignment="1">
      <alignment/>
    </xf>
    <xf numFmtId="0" fontId="77" fillId="0" borderId="19" xfId="0" applyFont="1" applyFill="1" applyBorder="1" applyAlignment="1">
      <alignment horizontal="center"/>
    </xf>
    <xf numFmtId="0" fontId="77" fillId="0" borderId="17" xfId="0" applyFont="1" applyFill="1" applyBorder="1" applyAlignment="1">
      <alignment horizontal="center"/>
    </xf>
    <xf numFmtId="0" fontId="77" fillId="0" borderId="46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20" fillId="0" borderId="19" xfId="54" applyFont="1" applyFill="1" applyBorder="1" applyAlignment="1" applyProtection="1">
      <alignment horizontal="left" vertical="center" wrapText="1"/>
      <protection/>
    </xf>
    <xf numFmtId="0" fontId="20" fillId="0" borderId="17" xfId="54" applyFont="1" applyFill="1" applyBorder="1" applyAlignment="1" applyProtection="1">
      <alignment horizontal="left" vertical="center" wrapText="1"/>
      <protection/>
    </xf>
    <xf numFmtId="0" fontId="20" fillId="0" borderId="46" xfId="54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20" fillId="0" borderId="19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46" xfId="0" applyFont="1" applyBorder="1" applyAlignment="1">
      <alignment horizontal="left"/>
    </xf>
    <xf numFmtId="0" fontId="23" fillId="0" borderId="19" xfId="54" applyFont="1" applyFill="1" applyBorder="1" applyAlignment="1" applyProtection="1">
      <alignment horizontal="left" vertical="center" wrapText="1"/>
      <protection/>
    </xf>
    <xf numFmtId="0" fontId="23" fillId="0" borderId="17" xfId="54" applyFont="1" applyFill="1" applyBorder="1" applyAlignment="1" applyProtection="1">
      <alignment horizontal="left" vertical="center" wrapText="1"/>
      <protection/>
    </xf>
    <xf numFmtId="0" fontId="23" fillId="0" borderId="46" xfId="54" applyFont="1" applyFill="1" applyBorder="1" applyAlignment="1" applyProtection="1">
      <alignment horizontal="left" vertical="center" wrapText="1"/>
      <protection/>
    </xf>
    <xf numFmtId="0" fontId="20" fillId="0" borderId="18" xfId="54" applyFont="1" applyFill="1" applyBorder="1" applyAlignment="1" applyProtection="1">
      <alignment horizontal="left" vertical="center" wrapText="1"/>
      <protection/>
    </xf>
    <xf numFmtId="49" fontId="23" fillId="0" borderId="19" xfId="54" applyNumberFormat="1" applyFont="1" applyFill="1" applyBorder="1" applyAlignment="1" applyProtection="1">
      <alignment horizontal="left" vertical="center" wrapText="1"/>
      <protection/>
    </xf>
    <xf numFmtId="49" fontId="23" fillId="0" borderId="46" xfId="54" applyNumberFormat="1" applyFont="1" applyFill="1" applyBorder="1" applyAlignment="1" applyProtection="1">
      <alignment horizontal="left" vertical="center" wrapText="1"/>
      <protection/>
    </xf>
    <xf numFmtId="0" fontId="20" fillId="0" borderId="18" xfId="54" applyFont="1" applyFill="1" applyBorder="1" applyAlignment="1" applyProtection="1">
      <alignment vertical="center" wrapText="1"/>
      <protection/>
    </xf>
    <xf numFmtId="0" fontId="20" fillId="0" borderId="19" xfId="54" applyFont="1" applyFill="1" applyBorder="1" applyAlignment="1" applyProtection="1">
      <alignment horizontal="center" vertical="center" wrapText="1"/>
      <protection/>
    </xf>
    <xf numFmtId="0" fontId="20" fillId="0" borderId="17" xfId="54" applyFont="1" applyFill="1" applyBorder="1" applyAlignment="1" applyProtection="1">
      <alignment horizontal="center" vertical="center" wrapText="1"/>
      <protection/>
    </xf>
    <xf numFmtId="0" fontId="20" fillId="0" borderId="46" xfId="54" applyFont="1" applyFill="1" applyBorder="1" applyAlignment="1" applyProtection="1">
      <alignment horizontal="center" vertical="center" wrapText="1"/>
      <protection/>
    </xf>
    <xf numFmtId="0" fontId="20" fillId="0" borderId="18" xfId="54" applyFont="1" applyFill="1" applyBorder="1" applyAlignment="1" applyProtection="1">
      <alignment horizontal="center" vertical="center" wrapText="1"/>
      <protection/>
    </xf>
    <xf numFmtId="0" fontId="23" fillId="0" borderId="17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0" fillId="0" borderId="35" xfId="0" applyFont="1" applyBorder="1" applyAlignment="1">
      <alignment horizontal="left"/>
    </xf>
    <xf numFmtId="0" fontId="20" fillId="0" borderId="37" xfId="0" applyFont="1" applyBorder="1" applyAlignment="1">
      <alignment horizontal="left"/>
    </xf>
    <xf numFmtId="0" fontId="20" fillId="0" borderId="79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46" xfId="0" applyFont="1" applyBorder="1" applyAlignment="1">
      <alignment horizontal="left"/>
    </xf>
    <xf numFmtId="0" fontId="23" fillId="0" borderId="18" xfId="54" applyFont="1" applyFill="1" applyBorder="1" applyAlignment="1" applyProtection="1">
      <alignment horizontal="left" vertical="center" wrapText="1"/>
      <protection/>
    </xf>
    <xf numFmtId="0" fontId="0" fillId="0" borderId="46" xfId="0" applyBorder="1" applyAlignment="1">
      <alignment/>
    </xf>
    <xf numFmtId="0" fontId="23" fillId="0" borderId="19" xfId="54" applyFont="1" applyFill="1" applyBorder="1" applyAlignment="1" applyProtection="1">
      <alignment horizontal="center" vertical="center" wrapText="1"/>
      <protection/>
    </xf>
    <xf numFmtId="0" fontId="23" fillId="0" borderId="17" xfId="54" applyFont="1" applyFill="1" applyBorder="1" applyAlignment="1" applyProtection="1">
      <alignment horizontal="center" vertical="center" wrapText="1"/>
      <protection/>
    </xf>
    <xf numFmtId="0" fontId="23" fillId="0" borderId="46" xfId="54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/>
    </xf>
    <xf numFmtId="0" fontId="23" fillId="0" borderId="5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46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23" fillId="0" borderId="58" xfId="0" applyFont="1" applyFill="1" applyBorder="1" applyAlignment="1">
      <alignment horizontal="center"/>
    </xf>
    <xf numFmtId="0" fontId="23" fillId="0" borderId="18" xfId="54" applyFont="1" applyFill="1" applyBorder="1" applyAlignment="1" applyProtection="1">
      <alignment horizontal="center" vertical="center" wrapText="1"/>
      <protection/>
    </xf>
    <xf numFmtId="49" fontId="23" fillId="0" borderId="18" xfId="54" applyNumberFormat="1" applyFont="1" applyFill="1" applyBorder="1" applyAlignment="1" applyProtection="1">
      <alignment horizontal="left" vertical="center" wrapText="1"/>
      <protection/>
    </xf>
    <xf numFmtId="0" fontId="20" fillId="0" borderId="18" xfId="0" applyFont="1" applyFill="1" applyBorder="1" applyAlignment="1">
      <alignment horizontal="left"/>
    </xf>
    <xf numFmtId="0" fontId="23" fillId="0" borderId="19" xfId="0" applyFont="1" applyFill="1" applyBorder="1" applyAlignment="1">
      <alignment horizontal="left"/>
    </xf>
    <xf numFmtId="0" fontId="0" fillId="0" borderId="46" xfId="0" applyFill="1" applyBorder="1" applyAlignment="1">
      <alignment/>
    </xf>
    <xf numFmtId="0" fontId="23" fillId="0" borderId="0" xfId="0" applyFont="1" applyFill="1" applyAlignment="1">
      <alignment horizontal="center"/>
    </xf>
    <xf numFmtId="0" fontId="20" fillId="0" borderId="32" xfId="54" applyFont="1" applyFill="1" applyBorder="1" applyAlignment="1" applyProtection="1">
      <alignment horizontal="left" vertical="center" wrapText="1"/>
      <protection/>
    </xf>
    <xf numFmtId="0" fontId="20" fillId="0" borderId="19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173" fontId="23" fillId="0" borderId="58" xfId="0" applyNumberFormat="1" applyFont="1" applyFill="1" applyBorder="1" applyAlignment="1" applyProtection="1">
      <alignment horizontal="right" wrapText="1"/>
      <protection/>
    </xf>
    <xf numFmtId="0" fontId="12" fillId="0" borderId="0" xfId="0" applyFont="1" applyAlignment="1" applyProtection="1">
      <alignment horizontal="center" vertical="top"/>
      <protection locked="0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173" fontId="10" fillId="0" borderId="16" xfId="54" applyNumberFormat="1" applyFont="1" applyFill="1" applyBorder="1" applyAlignment="1" applyProtection="1">
      <alignment horizontal="center" vertical="center"/>
      <protection/>
    </xf>
    <xf numFmtId="173" fontId="10" fillId="0" borderId="38" xfId="54" applyNumberFormat="1" applyFont="1" applyFill="1" applyBorder="1" applyAlignment="1" applyProtection="1">
      <alignment horizontal="center" vertical="center"/>
      <protection/>
    </xf>
    <xf numFmtId="49" fontId="1" fillId="0" borderId="24" xfId="54" applyNumberFormat="1" applyFont="1" applyFill="1" applyBorder="1" applyAlignment="1" applyProtection="1">
      <alignment horizontal="left" vertical="center" wrapText="1"/>
      <protection/>
    </xf>
    <xf numFmtId="0" fontId="26" fillId="0" borderId="50" xfId="0" applyFont="1" applyBorder="1" applyAlignment="1">
      <alignment horizontal="left" vertical="center" wrapText="1"/>
    </xf>
    <xf numFmtId="49" fontId="1" fillId="0" borderId="11" xfId="54" applyNumberFormat="1" applyFont="1" applyFill="1" applyBorder="1" applyAlignment="1" applyProtection="1">
      <alignment horizontal="left" vertical="center" wrapText="1"/>
      <protection/>
    </xf>
    <xf numFmtId="0" fontId="26" fillId="0" borderId="24" xfId="0" applyFont="1" applyBorder="1" applyAlignment="1">
      <alignment horizontal="left" vertical="center" wrapText="1"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173" fontId="1" fillId="0" borderId="16" xfId="54" applyNumberFormat="1" applyFont="1" applyFill="1" applyBorder="1" applyAlignment="1" applyProtection="1">
      <alignment horizontal="center" vertical="center"/>
      <protection/>
    </xf>
    <xf numFmtId="173" fontId="1" fillId="0" borderId="38" xfId="54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>
      <alignment horizontal="center" wrapText="1"/>
    </xf>
    <xf numFmtId="0" fontId="10" fillId="0" borderId="48" xfId="0" applyFont="1" applyFill="1" applyBorder="1" applyAlignment="1" applyProtection="1">
      <alignment horizontal="center" vertical="center" wrapText="1"/>
      <protection/>
    </xf>
    <xf numFmtId="0" fontId="10" fillId="0" borderId="52" xfId="0" applyFont="1" applyFill="1" applyBorder="1" applyAlignment="1" applyProtection="1">
      <alignment horizontal="center" vertical="center" wrapText="1"/>
      <protection/>
    </xf>
    <xf numFmtId="173" fontId="10" fillId="0" borderId="26" xfId="54" applyNumberFormat="1" applyFont="1" applyFill="1" applyBorder="1" applyAlignment="1" applyProtection="1">
      <alignment horizontal="center" vertical="center"/>
      <protection/>
    </xf>
    <xf numFmtId="173" fontId="10" fillId="0" borderId="94" xfId="54" applyNumberFormat="1" applyFont="1" applyFill="1" applyBorder="1" applyAlignment="1" applyProtection="1">
      <alignment horizontal="center" vertical="center"/>
      <protection/>
    </xf>
    <xf numFmtId="173" fontId="10" fillId="0" borderId="95" xfId="54" applyNumberFormat="1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right"/>
      <protection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21" xfId="0" applyFont="1" applyBorder="1" applyAlignment="1">
      <alignment horizontal="left" vertical="center" wrapText="1"/>
    </xf>
    <xf numFmtId="0" fontId="23" fillId="33" borderId="32" xfId="0" applyFont="1" applyFill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23" fillId="33" borderId="18" xfId="0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/>
    </xf>
    <xf numFmtId="0" fontId="23" fillId="0" borderId="46" xfId="0" applyFont="1" applyBorder="1" applyAlignment="1">
      <alignment horizontal="left" vertical="center"/>
    </xf>
    <xf numFmtId="0" fontId="42" fillId="33" borderId="32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32" xfId="0" applyFont="1" applyFill="1" applyBorder="1" applyAlignment="1">
      <alignment horizontal="left" vertical="center" wrapText="1"/>
    </xf>
    <xf numFmtId="0" fontId="42" fillId="33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2" fillId="33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46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1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41" fillId="0" borderId="32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46" xfId="0" applyFont="1" applyFill="1" applyBorder="1" applyAlignment="1">
      <alignment horizontal="center" vertical="center" wrapText="1"/>
    </xf>
    <xf numFmtId="0" fontId="42" fillId="33" borderId="32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58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left"/>
    </xf>
    <xf numFmtId="0" fontId="62" fillId="0" borderId="17" xfId="0" applyFont="1" applyBorder="1" applyAlignment="1">
      <alignment horizontal="left"/>
    </xf>
    <xf numFmtId="0" fontId="62" fillId="0" borderId="46" xfId="0" applyFont="1" applyBorder="1" applyAlignment="1">
      <alignment horizontal="left"/>
    </xf>
    <xf numFmtId="0" fontId="16" fillId="37" borderId="19" xfId="0" applyFont="1" applyFill="1" applyBorder="1" applyAlignment="1">
      <alignment horizontal="center" wrapText="1"/>
    </xf>
    <xf numFmtId="0" fontId="16" fillId="37" borderId="17" xfId="0" applyFont="1" applyFill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46" xfId="0" applyFont="1" applyBorder="1" applyAlignment="1">
      <alignment horizontal="center" wrapText="1"/>
    </xf>
    <xf numFmtId="0" fontId="16" fillId="0" borderId="19" xfId="0" applyFont="1" applyBorder="1" applyAlignment="1">
      <alignment horizontal="left" wrapText="1"/>
    </xf>
    <xf numFmtId="0" fontId="16" fillId="0" borderId="17" xfId="0" applyFont="1" applyBorder="1" applyAlignment="1">
      <alignment horizontal="left" wrapText="1"/>
    </xf>
    <xf numFmtId="0" fontId="16" fillId="0" borderId="19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46" xfId="0" applyBorder="1" applyAlignment="1">
      <alignment wrapText="1"/>
    </xf>
    <xf numFmtId="0" fontId="16" fillId="37" borderId="19" xfId="0" applyFont="1" applyFill="1" applyBorder="1" applyAlignment="1">
      <alignment horizontal="left" wrapText="1"/>
    </xf>
    <xf numFmtId="0" fontId="16" fillId="37" borderId="17" xfId="0" applyFont="1" applyFill="1" applyBorder="1" applyAlignment="1">
      <alignment horizontal="left" wrapText="1"/>
    </xf>
    <xf numFmtId="0" fontId="16" fillId="37" borderId="46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16" fillId="0" borderId="18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16" fillId="0" borderId="46" xfId="0" applyFont="1" applyBorder="1" applyAlignment="1">
      <alignment wrapText="1"/>
    </xf>
    <xf numFmtId="0" fontId="16" fillId="0" borderId="19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46" xfId="0" applyFont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6" fillId="0" borderId="17" xfId="0" applyFont="1" applyBorder="1" applyAlignment="1">
      <alignment vertical="center" wrapText="1"/>
    </xf>
    <xf numFmtId="0" fontId="16" fillId="0" borderId="46" xfId="0" applyFont="1" applyBorder="1" applyAlignment="1">
      <alignment vertical="center" wrapText="1"/>
    </xf>
    <xf numFmtId="0" fontId="39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0" fillId="0" borderId="40" xfId="0" applyBorder="1" applyAlignment="1">
      <alignment horizontal="right"/>
    </xf>
    <xf numFmtId="173" fontId="7" fillId="0" borderId="64" xfId="0" applyNumberFormat="1" applyFont="1" applyFill="1" applyBorder="1" applyAlignment="1">
      <alignment horizontal="center" vertical="center" wrapText="1"/>
    </xf>
    <xf numFmtId="173" fontId="7" fillId="0" borderId="62" xfId="0" applyNumberFormat="1" applyFont="1" applyFill="1" applyBorder="1" applyAlignment="1">
      <alignment horizontal="center" vertical="center" wrapText="1"/>
    </xf>
    <xf numFmtId="173" fontId="7" fillId="0" borderId="64" xfId="0" applyNumberFormat="1" applyFont="1" applyFill="1" applyBorder="1" applyAlignment="1">
      <alignment horizontal="center" vertical="center"/>
    </xf>
    <xf numFmtId="173" fontId="7" fillId="0" borderId="62" xfId="0" applyNumberFormat="1" applyFont="1" applyFill="1" applyBorder="1" applyAlignment="1">
      <alignment horizontal="center" vertical="center"/>
    </xf>
    <xf numFmtId="173" fontId="7" fillId="0" borderId="75" xfId="0" applyNumberFormat="1" applyFont="1" applyFill="1" applyBorder="1" applyAlignment="1">
      <alignment horizontal="center" vertical="center" wrapText="1"/>
    </xf>
    <xf numFmtId="173" fontId="7" fillId="0" borderId="61" xfId="0" applyNumberFormat="1" applyFont="1" applyFill="1" applyBorder="1" applyAlignment="1">
      <alignment horizontal="center" vertical="center" wrapText="1"/>
    </xf>
    <xf numFmtId="173" fontId="7" fillId="0" borderId="26" xfId="0" applyNumberFormat="1" applyFont="1" applyFill="1" applyBorder="1" applyAlignment="1">
      <alignment horizontal="center" vertical="center" wrapText="1"/>
    </xf>
    <xf numFmtId="173" fontId="7" fillId="0" borderId="78" xfId="0" applyNumberFormat="1" applyFont="1" applyFill="1" applyBorder="1" applyAlignment="1">
      <alignment horizontal="center" vertical="center" wrapText="1"/>
    </xf>
    <xf numFmtId="173" fontId="7" fillId="0" borderId="70" xfId="0" applyNumberFormat="1" applyFont="1" applyFill="1" applyBorder="1" applyAlignment="1">
      <alignment horizontal="center" vertical="center" wrapText="1"/>
    </xf>
    <xf numFmtId="173" fontId="7" fillId="0" borderId="82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73" fontId="7" fillId="0" borderId="49" xfId="0" applyNumberFormat="1" applyFont="1" applyFill="1" applyBorder="1" applyAlignment="1" applyProtection="1">
      <alignment horizontal="center" vertical="center" wrapText="1"/>
      <protection/>
    </xf>
    <xf numFmtId="173" fontId="7" fillId="0" borderId="23" xfId="0" applyNumberFormat="1" applyFont="1" applyFill="1" applyBorder="1" applyAlignment="1" applyProtection="1">
      <alignment horizontal="center" vertical="center" wrapText="1"/>
      <protection/>
    </xf>
    <xf numFmtId="173" fontId="7" fillId="0" borderId="64" xfId="0" applyNumberFormat="1" applyFont="1" applyFill="1" applyBorder="1" applyAlignment="1" applyProtection="1">
      <alignment horizontal="center" vertical="center" wrapText="1"/>
      <protection/>
    </xf>
    <xf numFmtId="173" fontId="7" fillId="0" borderId="62" xfId="0" applyNumberFormat="1" applyFont="1" applyFill="1" applyBorder="1" applyAlignment="1" applyProtection="1">
      <alignment horizontal="center" vertical="center" wrapText="1"/>
      <protection/>
    </xf>
    <xf numFmtId="173" fontId="7" fillId="0" borderId="12" xfId="0" applyNumberFormat="1" applyFont="1" applyFill="1" applyBorder="1" applyAlignment="1" applyProtection="1">
      <alignment horizontal="center" vertical="center" wrapText="1"/>
      <protection/>
    </xf>
    <xf numFmtId="173" fontId="7" fillId="0" borderId="30" xfId="0" applyNumberFormat="1" applyFont="1" applyFill="1" applyBorder="1" applyAlignment="1" applyProtection="1">
      <alignment horizontal="center" vertical="center" wrapText="1"/>
      <protection/>
    </xf>
    <xf numFmtId="173" fontId="7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 wrapText="1"/>
    </xf>
    <xf numFmtId="0" fontId="18" fillId="0" borderId="48" xfId="0" applyFont="1" applyFill="1" applyBorder="1" applyAlignment="1" applyProtection="1">
      <alignment horizontal="left" vertical="center"/>
      <protection/>
    </xf>
    <xf numFmtId="0" fontId="18" fillId="0" borderId="52" xfId="0" applyFont="1" applyFill="1" applyBorder="1" applyAlignment="1" applyProtection="1">
      <alignment horizontal="left" vertical="center"/>
      <protection/>
    </xf>
    <xf numFmtId="0" fontId="7" fillId="0" borderId="75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70" xfId="0" applyFont="1" applyFill="1" applyBorder="1" applyAlignment="1">
      <alignment horizontal="left" vertical="center" wrapText="1"/>
    </xf>
    <xf numFmtId="0" fontId="10" fillId="0" borderId="48" xfId="0" applyFont="1" applyFill="1" applyBorder="1" applyAlignment="1" applyProtection="1">
      <alignment horizontal="left" vertical="center"/>
      <protection/>
    </xf>
    <xf numFmtId="0" fontId="10" fillId="0" borderId="52" xfId="0" applyFont="1" applyFill="1" applyBorder="1" applyAlignment="1" applyProtection="1">
      <alignment horizontal="left" vertical="center"/>
      <protection/>
    </xf>
    <xf numFmtId="0" fontId="7" fillId="0" borderId="75" xfId="0" applyFont="1" applyFill="1" applyBorder="1" applyAlignment="1" applyProtection="1">
      <alignment horizontal="left" vertical="center" wrapText="1"/>
      <protection/>
    </xf>
    <xf numFmtId="0" fontId="7" fillId="0" borderId="45" xfId="0" applyFont="1" applyFill="1" applyBorder="1" applyAlignment="1" applyProtection="1">
      <alignment horizontal="left" vertical="center" wrapText="1"/>
      <protection/>
    </xf>
    <xf numFmtId="0" fontId="7" fillId="0" borderId="7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22" fillId="0" borderId="40" xfId="0" applyFont="1" applyFill="1" applyBorder="1" applyAlignment="1">
      <alignment horizontal="right"/>
    </xf>
    <xf numFmtId="0" fontId="7" fillId="0" borderId="75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center" wrapText="1"/>
      <protection/>
    </xf>
    <xf numFmtId="173" fontId="10" fillId="0" borderId="54" xfId="0" applyNumberFormat="1" applyFont="1" applyFill="1" applyBorder="1" applyAlignment="1">
      <alignment horizontal="center" vertical="center" wrapText="1"/>
    </xf>
    <xf numFmtId="173" fontId="10" fillId="0" borderId="54" xfId="0" applyNumberFormat="1" applyFont="1" applyFill="1" applyBorder="1" applyAlignment="1">
      <alignment horizontal="center" vertical="center"/>
    </xf>
    <xf numFmtId="0" fontId="83" fillId="0" borderId="40" xfId="0" applyFont="1" applyBorder="1" applyAlignment="1">
      <alignment horizontal="right" wrapText="1"/>
    </xf>
    <xf numFmtId="0" fontId="19" fillId="0" borderId="40" xfId="0" applyFont="1" applyFill="1" applyBorder="1" applyAlignment="1" applyProtection="1">
      <alignment horizontal="right"/>
      <protection/>
    </xf>
    <xf numFmtId="49" fontId="12" fillId="0" borderId="0" xfId="0" applyNumberFormat="1" applyFont="1" applyBorder="1" applyAlignment="1" applyProtection="1">
      <alignment horizontal="left" wrapText="1"/>
      <protection/>
    </xf>
    <xf numFmtId="173" fontId="7" fillId="0" borderId="75" xfId="0" applyNumberFormat="1" applyFont="1" applyFill="1" applyBorder="1" applyAlignment="1">
      <alignment horizontal="center" vertical="center"/>
    </xf>
    <xf numFmtId="173" fontId="7" fillId="0" borderId="76" xfId="0" applyNumberFormat="1" applyFont="1" applyFill="1" applyBorder="1" applyAlignment="1">
      <alignment horizontal="center" vertical="center"/>
    </xf>
    <xf numFmtId="173" fontId="7" fillId="0" borderId="61" xfId="0" applyNumberFormat="1" applyFont="1" applyFill="1" applyBorder="1" applyAlignment="1">
      <alignment horizontal="center" vertical="center"/>
    </xf>
    <xf numFmtId="173" fontId="7" fillId="0" borderId="54" xfId="0" applyNumberFormat="1" applyFont="1" applyFill="1" applyBorder="1" applyAlignment="1">
      <alignment horizontal="center" vertical="center" wrapText="1"/>
    </xf>
    <xf numFmtId="173" fontId="7" fillId="0" borderId="60" xfId="0" applyNumberFormat="1" applyFont="1" applyFill="1" applyBorder="1" applyAlignment="1">
      <alignment horizontal="center" vertical="center" wrapText="1"/>
    </xf>
    <xf numFmtId="173" fontId="7" fillId="0" borderId="5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11" fillId="0" borderId="48" xfId="0" applyFont="1" applyFill="1" applyBorder="1" applyAlignment="1" applyProtection="1">
      <alignment horizontal="left" indent="1"/>
      <protection/>
    </xf>
    <xf numFmtId="0" fontId="11" fillId="0" borderId="50" xfId="0" applyFont="1" applyFill="1" applyBorder="1" applyAlignment="1" applyProtection="1">
      <alignment horizontal="left" indent="1"/>
      <protection/>
    </xf>
    <xf numFmtId="0" fontId="11" fillId="0" borderId="52" xfId="0" applyFont="1" applyFill="1" applyBorder="1" applyAlignment="1" applyProtection="1">
      <alignment horizontal="left" indent="1"/>
      <protection/>
    </xf>
    <xf numFmtId="0" fontId="11" fillId="0" borderId="11" xfId="0" applyFont="1" applyFill="1" applyBorder="1" applyAlignment="1" applyProtection="1">
      <alignment horizontal="right" indent="1"/>
      <protection/>
    </xf>
    <xf numFmtId="0" fontId="11" fillId="0" borderId="33" xfId="0" applyFont="1" applyFill="1" applyBorder="1" applyAlignment="1" applyProtection="1">
      <alignment horizontal="right" indent="1"/>
      <protection/>
    </xf>
    <xf numFmtId="0" fontId="11" fillId="0" borderId="75" xfId="0" applyFon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/>
      <protection/>
    </xf>
    <xf numFmtId="0" fontId="11" fillId="0" borderId="98" xfId="0" applyFont="1" applyFill="1" applyBorder="1" applyAlignment="1" applyProtection="1">
      <alignment horizontal="center"/>
      <protection/>
    </xf>
    <xf numFmtId="0" fontId="11" fillId="0" borderId="49" xfId="0" applyFont="1" applyFill="1" applyBorder="1" applyAlignment="1" applyProtection="1">
      <alignment horizontal="center"/>
      <protection/>
    </xf>
    <xf numFmtId="0" fontId="11" fillId="0" borderId="53" xfId="0" applyFont="1" applyFill="1" applyBorder="1" applyAlignment="1" applyProtection="1">
      <alignment horizontal="center"/>
      <protection/>
    </xf>
    <xf numFmtId="0" fontId="12" fillId="0" borderId="63" xfId="0" applyFont="1" applyFill="1" applyBorder="1" applyAlignment="1" applyProtection="1">
      <alignment horizontal="left" indent="1"/>
      <protection locked="0"/>
    </xf>
    <xf numFmtId="0" fontId="12" fillId="0" borderId="94" xfId="0" applyFont="1" applyFill="1" applyBorder="1" applyAlignment="1" applyProtection="1">
      <alignment horizontal="left" indent="1"/>
      <protection locked="0"/>
    </xf>
    <xf numFmtId="0" fontId="12" fillId="0" borderId="78" xfId="0" applyFont="1" applyFill="1" applyBorder="1" applyAlignment="1" applyProtection="1">
      <alignment horizontal="left" indent="1"/>
      <protection locked="0"/>
    </xf>
    <xf numFmtId="0" fontId="12" fillId="0" borderId="16" xfId="0" applyFont="1" applyFill="1" applyBorder="1" applyAlignment="1" applyProtection="1">
      <alignment horizontal="right" indent="1"/>
      <protection locked="0"/>
    </xf>
    <xf numFmtId="0" fontId="12" fillId="0" borderId="38" xfId="0" applyFont="1" applyFill="1" applyBorder="1" applyAlignment="1" applyProtection="1">
      <alignment horizontal="right" indent="1"/>
      <protection locked="0"/>
    </xf>
    <xf numFmtId="0" fontId="51" fillId="0" borderId="0" xfId="0" applyFont="1" applyFill="1" applyAlignment="1" applyProtection="1">
      <alignment horizontal="center" vertical="top" wrapText="1"/>
      <protection locked="0"/>
    </xf>
    <xf numFmtId="0" fontId="12" fillId="0" borderId="58" xfId="0" applyFont="1" applyBorder="1" applyAlignment="1">
      <alignment horizontal="center"/>
    </xf>
    <xf numFmtId="0" fontId="55" fillId="0" borderId="99" xfId="0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horizontal="center"/>
    </xf>
    <xf numFmtId="0" fontId="55" fillId="0" borderId="50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left"/>
    </xf>
    <xf numFmtId="0" fontId="55" fillId="0" borderId="45" xfId="0" applyFont="1" applyFill="1" applyBorder="1" applyAlignment="1">
      <alignment/>
    </xf>
    <xf numFmtId="0" fontId="0" fillId="0" borderId="50" xfId="0" applyFill="1" applyBorder="1" applyAlignment="1">
      <alignment/>
    </xf>
    <xf numFmtId="0" fontId="55" fillId="0" borderId="48" xfId="0" applyFont="1" applyFill="1" applyBorder="1" applyAlignment="1">
      <alignment horizontal="left"/>
    </xf>
    <xf numFmtId="1" fontId="55" fillId="0" borderId="0" xfId="0" applyNumberFormat="1" applyFont="1" applyFill="1" applyBorder="1" applyAlignment="1">
      <alignment horizontal="left"/>
    </xf>
    <xf numFmtId="0" fontId="55" fillId="0" borderId="40" xfId="0" applyFont="1" applyFill="1" applyBorder="1" applyAlignment="1">
      <alignment horizontal="left"/>
    </xf>
    <xf numFmtId="0" fontId="0" fillId="0" borderId="40" xfId="0" applyFill="1" applyBorder="1" applyAlignment="1">
      <alignment/>
    </xf>
    <xf numFmtId="0" fontId="55" fillId="0" borderId="50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55" fillId="0" borderId="0" xfId="0" applyFont="1" applyFill="1" applyBorder="1" applyAlignment="1">
      <alignment horizontal="left" wrapText="1"/>
    </xf>
    <xf numFmtId="49" fontId="55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55" fillId="0" borderId="4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14" fontId="55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55" fillId="0" borderId="15" xfId="0" applyFont="1" applyFill="1" applyBorder="1" applyAlignment="1">
      <alignment horizontal="left" vertical="center"/>
    </xf>
    <xf numFmtId="0" fontId="55" fillId="0" borderId="18" xfId="0" applyFont="1" applyFill="1" applyBorder="1" applyAlignment="1">
      <alignment horizontal="left" vertical="center"/>
    </xf>
    <xf numFmtId="49" fontId="55" fillId="0" borderId="24" xfId="0" applyNumberFormat="1" applyFont="1" applyFill="1" applyBorder="1" applyAlignment="1">
      <alignment wrapText="1"/>
    </xf>
    <xf numFmtId="0" fontId="0" fillId="0" borderId="52" xfId="0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81" fillId="0" borderId="0" xfId="0" applyFont="1" applyFill="1" applyAlignment="1">
      <alignment horizontal="center"/>
    </xf>
    <xf numFmtId="0" fontId="60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/>
    </xf>
    <xf numFmtId="14" fontId="60" fillId="0" borderId="0" xfId="0" applyNumberFormat="1" applyFont="1" applyFill="1" applyBorder="1" applyAlignment="1">
      <alignment horizontal="center" wrapText="1"/>
    </xf>
    <xf numFmtId="0" fontId="55" fillId="0" borderId="50" xfId="0" applyFont="1" applyFill="1" applyBorder="1" applyAlignment="1">
      <alignment horizontal="left" vertical="center"/>
    </xf>
    <xf numFmtId="0" fontId="55" fillId="0" borderId="75" xfId="0" applyFont="1" applyFill="1" applyBorder="1" applyAlignment="1">
      <alignment horizontal="left" vertical="center"/>
    </xf>
    <xf numFmtId="0" fontId="55" fillId="0" borderId="45" xfId="0" applyFont="1" applyFill="1" applyBorder="1" applyAlignment="1">
      <alignment horizontal="left" vertical="center"/>
    </xf>
    <xf numFmtId="0" fontId="55" fillId="0" borderId="70" xfId="0" applyFont="1" applyFill="1" applyBorder="1" applyAlignment="1">
      <alignment horizontal="left" vertical="center"/>
    </xf>
    <xf numFmtId="0" fontId="55" fillId="0" borderId="75" xfId="0" applyFont="1" applyFill="1" applyBorder="1" applyAlignment="1">
      <alignment horizontal="left"/>
    </xf>
    <xf numFmtId="0" fontId="55" fillId="0" borderId="45" xfId="0" applyFont="1" applyFill="1" applyBorder="1" applyAlignment="1">
      <alignment horizontal="left"/>
    </xf>
    <xf numFmtId="0" fontId="55" fillId="0" borderId="48" xfId="0" applyFont="1" applyFill="1" applyBorder="1" applyAlignment="1">
      <alignment horizontal="left" vertical="center"/>
    </xf>
    <xf numFmtId="0" fontId="55" fillId="0" borderId="4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73" xfId="0" applyFont="1" applyFill="1" applyBorder="1" applyAlignment="1">
      <alignment horizontal="left"/>
    </xf>
    <xf numFmtId="0" fontId="55" fillId="0" borderId="0" xfId="0" applyFont="1" applyFill="1" applyAlignment="1">
      <alignment horizontal="left"/>
    </xf>
    <xf numFmtId="0" fontId="55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55" fillId="0" borderId="61" xfId="0" applyFont="1" applyFill="1" applyBorder="1" applyAlignment="1">
      <alignment horizontal="left"/>
    </xf>
    <xf numFmtId="0" fontId="55" fillId="0" borderId="82" xfId="0" applyFont="1" applyFill="1" applyBorder="1" applyAlignment="1">
      <alignment horizontal="left"/>
    </xf>
    <xf numFmtId="0" fontId="55" fillId="0" borderId="48" xfId="0" applyFont="1" applyFill="1" applyBorder="1" applyAlignment="1">
      <alignment horizontal="center"/>
    </xf>
    <xf numFmtId="0" fontId="55" fillId="0" borderId="50" xfId="0" applyFont="1" applyFill="1" applyBorder="1" applyAlignment="1">
      <alignment horizontal="center"/>
    </xf>
    <xf numFmtId="0" fontId="55" fillId="0" borderId="73" xfId="0" applyFont="1" applyFill="1" applyBorder="1" applyAlignment="1">
      <alignment horizontal="center"/>
    </xf>
    <xf numFmtId="0" fontId="55" fillId="0" borderId="50" xfId="0" applyFont="1" applyFill="1" applyBorder="1" applyAlignment="1">
      <alignment horizontal="left" vertical="center" wrapText="1"/>
    </xf>
    <xf numFmtId="0" fontId="56" fillId="0" borderId="50" xfId="0" applyFont="1" applyFill="1" applyBorder="1" applyAlignment="1">
      <alignment horizontal="left"/>
    </xf>
    <xf numFmtId="0" fontId="61" fillId="0" borderId="50" xfId="0" applyFont="1" applyFill="1" applyBorder="1" applyAlignment="1">
      <alignment horizontal="left"/>
    </xf>
    <xf numFmtId="0" fontId="55" fillId="0" borderId="40" xfId="0" applyFont="1" applyFill="1" applyBorder="1" applyAlignment="1">
      <alignment horizontal="left" vertical="center" wrapText="1"/>
    </xf>
    <xf numFmtId="0" fontId="0" fillId="0" borderId="50" xfId="0" applyFill="1" applyBorder="1" applyAlignment="1">
      <alignment horizontal="left"/>
    </xf>
    <xf numFmtId="0" fontId="0" fillId="0" borderId="48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56" fillId="0" borderId="0" xfId="0" applyFont="1" applyFill="1" applyBorder="1" applyAlignment="1">
      <alignment horizontal="left" wrapText="1"/>
    </xf>
    <xf numFmtId="0" fontId="55" fillId="0" borderId="0" xfId="0" applyFont="1" applyFill="1" applyAlignment="1">
      <alignment horizontal="left" vertical="center" wrapText="1"/>
    </xf>
    <xf numFmtId="0" fontId="55" fillId="0" borderId="5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55" fillId="0" borderId="0" xfId="0" applyFont="1" applyFill="1" applyAlignment="1">
      <alignment horizontal="center"/>
    </xf>
    <xf numFmtId="0" fontId="55" fillId="34" borderId="0" xfId="0" applyFont="1" applyFill="1" applyBorder="1" applyAlignment="1">
      <alignment horizontal="left"/>
    </xf>
    <xf numFmtId="0" fontId="55" fillId="0" borderId="87" xfId="0" applyFont="1" applyFill="1" applyBorder="1" applyAlignment="1">
      <alignment horizontal="left"/>
    </xf>
    <xf numFmtId="0" fontId="55" fillId="0" borderId="57" xfId="0" applyFont="1" applyFill="1" applyBorder="1" applyAlignment="1">
      <alignment horizontal="left"/>
    </xf>
    <xf numFmtId="0" fontId="55" fillId="0" borderId="100" xfId="0" applyFont="1" applyFill="1" applyBorder="1" applyAlignment="1">
      <alignment horizontal="left"/>
    </xf>
    <xf numFmtId="0" fontId="55" fillId="0" borderId="54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1" fontId="55" fillId="0" borderId="0" xfId="0" applyNumberFormat="1" applyFont="1" applyFill="1" applyAlignment="1">
      <alignment/>
    </xf>
    <xf numFmtId="0" fontId="26" fillId="0" borderId="0" xfId="0" applyFont="1" applyAlignment="1">
      <alignment horizontal="center"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60" fillId="0" borderId="16" xfId="0" applyFont="1" applyBorder="1" applyAlignment="1">
      <alignment horizontal="center" wrapText="1"/>
    </xf>
    <xf numFmtId="0" fontId="60" fillId="0" borderId="38" xfId="0" applyFont="1" applyBorder="1" applyAlignment="1">
      <alignment horizontal="center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5">
    <dxf>
      <font>
        <color indexed="1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rv&#225;thn&#233;\2012.0724%20ment&#233;s\dokumentumok\besz&#225;mol&#243;\2013\III.n.&#233;v\&#246;nk\h&#225;romnegyed&#233;v%202013%20&#252;l&#233;s%20ut&#225;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k&#225;rki\Dokumentumok\2012.0724%20ment&#233;s\dokumentumok\k&#246;lts&#233;gvet&#233;s\2013\Kv2013\munka%20ph\szabaly\KVIREN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&#233;rleg%20&#246;ssz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elhaszn&#225;l&#243;\AppData\Local\Microsoft\Windows\Temporary%20Internet%20Files\OLKC724\Besz&#225;mol&#243;%202013j&#2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vi mérleg"/>
      <sheetName val="műk.felh.össz"/>
      <sheetName val="önk.műk.felh"/>
      <sheetName val="ph műk.felh"/>
      <sheetName val="óvoda műk.felh"/>
      <sheetName val="gamesz műk.felh"/>
      <sheetName val="gond.műk.felh."/>
      <sheetName val="műv.műk.felh"/>
      <sheetName val="beruh.felúj"/>
      <sheetName val="BEV-KIA"/>
      <sheetName val="önk.bev"/>
      <sheetName val="ph bev"/>
      <sheetName val="óvoda bev"/>
      <sheetName val="gamesz bev"/>
      <sheetName val="gond.bev"/>
      <sheetName val="műv.bev"/>
      <sheetName val="önk.kia"/>
      <sheetName val="ph kia"/>
      <sheetName val="ovi kia"/>
      <sheetName val="gamesz kia"/>
      <sheetName val="gond.kia"/>
      <sheetName val="műv.kia"/>
      <sheetName val="tám"/>
    </sheetNames>
    <sheetDataSet>
      <sheetData sheetId="0">
        <row r="79">
          <cell r="E79">
            <v>0</v>
          </cell>
        </row>
      </sheetData>
      <sheetData sheetId="2">
        <row r="6">
          <cell r="L6">
            <v>15630</v>
          </cell>
        </row>
        <row r="7">
          <cell r="F7">
            <v>113000</v>
          </cell>
          <cell r="L7">
            <v>3759</v>
          </cell>
        </row>
        <row r="8">
          <cell r="L8">
            <v>72943</v>
          </cell>
        </row>
        <row r="9">
          <cell r="F9">
            <v>1000</v>
          </cell>
        </row>
        <row r="14">
          <cell r="L14">
            <v>7614</v>
          </cell>
        </row>
        <row r="16">
          <cell r="E16">
            <v>1000</v>
          </cell>
        </row>
        <row r="17">
          <cell r="E17">
            <v>4330</v>
          </cell>
        </row>
        <row r="20">
          <cell r="E20">
            <v>128635</v>
          </cell>
        </row>
        <row r="21">
          <cell r="E21">
            <v>86156</v>
          </cell>
        </row>
        <row r="22">
          <cell r="E22">
            <v>88583</v>
          </cell>
        </row>
        <row r="23">
          <cell r="E23">
            <v>6220</v>
          </cell>
        </row>
        <row r="24">
          <cell r="E24">
            <v>476</v>
          </cell>
        </row>
        <row r="27">
          <cell r="E27">
            <v>4800</v>
          </cell>
        </row>
        <row r="29">
          <cell r="E29">
            <v>900</v>
          </cell>
        </row>
        <row r="30">
          <cell r="E30">
            <v>400</v>
          </cell>
        </row>
        <row r="38">
          <cell r="L38">
            <v>1448619</v>
          </cell>
        </row>
        <row r="39">
          <cell r="L39">
            <v>15189</v>
          </cell>
        </row>
        <row r="40">
          <cell r="L40">
            <v>0</v>
          </cell>
          <cell r="M40">
            <v>4247</v>
          </cell>
        </row>
        <row r="45">
          <cell r="E45">
            <v>973164</v>
          </cell>
          <cell r="L45">
            <v>1862</v>
          </cell>
        </row>
        <row r="50">
          <cell r="E50">
            <v>129844</v>
          </cell>
        </row>
        <row r="52">
          <cell r="E52">
            <v>303573</v>
          </cell>
        </row>
        <row r="59">
          <cell r="M59">
            <v>1932467</v>
          </cell>
        </row>
        <row r="74">
          <cell r="M74">
            <v>2217</v>
          </cell>
        </row>
        <row r="75">
          <cell r="M75">
            <v>359</v>
          </cell>
        </row>
        <row r="76">
          <cell r="M76">
            <v>222</v>
          </cell>
        </row>
        <row r="78">
          <cell r="E78">
            <v>1890</v>
          </cell>
          <cell r="M78">
            <v>5409</v>
          </cell>
        </row>
        <row r="97">
          <cell r="E97">
            <v>600</v>
          </cell>
          <cell r="F97">
            <v>600</v>
          </cell>
          <cell r="G97">
            <v>600</v>
          </cell>
        </row>
      </sheetData>
      <sheetData sheetId="3">
        <row r="6">
          <cell r="L6">
            <v>42256</v>
          </cell>
        </row>
        <row r="7">
          <cell r="L7">
            <v>10934</v>
          </cell>
        </row>
        <row r="8">
          <cell r="L8">
            <v>14531</v>
          </cell>
        </row>
        <row r="15">
          <cell r="E15">
            <v>149</v>
          </cell>
        </row>
        <row r="17">
          <cell r="E17">
            <v>550</v>
          </cell>
        </row>
        <row r="29">
          <cell r="E29">
            <v>104737</v>
          </cell>
        </row>
        <row r="31">
          <cell r="E31">
            <v>86976</v>
          </cell>
        </row>
        <row r="39">
          <cell r="L39">
            <v>400</v>
          </cell>
        </row>
        <row r="41">
          <cell r="L41">
            <v>0</v>
          </cell>
          <cell r="M41">
            <v>0</v>
          </cell>
        </row>
        <row r="54">
          <cell r="M54">
            <v>400</v>
          </cell>
        </row>
      </sheetData>
      <sheetData sheetId="4">
        <row r="6">
          <cell r="L6">
            <v>44379</v>
          </cell>
        </row>
        <row r="7">
          <cell r="L7">
            <v>11963</v>
          </cell>
        </row>
        <row r="8">
          <cell r="L8">
            <v>7248</v>
          </cell>
        </row>
        <row r="31">
          <cell r="E31">
            <v>63590</v>
          </cell>
        </row>
      </sheetData>
      <sheetData sheetId="5">
        <row r="6">
          <cell r="L6">
            <v>33671</v>
          </cell>
        </row>
        <row r="7">
          <cell r="L7">
            <v>8659</v>
          </cell>
        </row>
        <row r="8">
          <cell r="L8">
            <v>28875</v>
          </cell>
        </row>
        <row r="15">
          <cell r="E15">
            <v>360</v>
          </cell>
        </row>
        <row r="16">
          <cell r="E16">
            <v>400</v>
          </cell>
        </row>
        <row r="17">
          <cell r="E17">
            <v>1310</v>
          </cell>
        </row>
        <row r="27">
          <cell r="E27">
            <v>11334</v>
          </cell>
        </row>
        <row r="31">
          <cell r="E31">
            <v>54365</v>
          </cell>
        </row>
        <row r="39">
          <cell r="L39">
            <v>573</v>
          </cell>
        </row>
        <row r="41">
          <cell r="L41">
            <v>0</v>
          </cell>
          <cell r="M41">
            <v>0</v>
          </cell>
        </row>
        <row r="54">
          <cell r="M54">
            <v>20741</v>
          </cell>
        </row>
        <row r="68">
          <cell r="M68">
            <v>880</v>
          </cell>
        </row>
        <row r="69">
          <cell r="M69">
            <v>237</v>
          </cell>
        </row>
        <row r="70">
          <cell r="M70">
            <v>2604</v>
          </cell>
        </row>
        <row r="72">
          <cell r="M72">
            <v>0</v>
          </cell>
        </row>
      </sheetData>
      <sheetData sheetId="6">
        <row r="6">
          <cell r="L6">
            <v>57767</v>
          </cell>
        </row>
        <row r="7">
          <cell r="L7">
            <v>15545</v>
          </cell>
        </row>
        <row r="8">
          <cell r="L8">
            <v>89369</v>
          </cell>
        </row>
        <row r="14">
          <cell r="E14">
            <v>26000</v>
          </cell>
        </row>
        <row r="17">
          <cell r="E17">
            <v>25456</v>
          </cell>
        </row>
        <row r="31">
          <cell r="E31">
            <v>110920</v>
          </cell>
        </row>
        <row r="39">
          <cell r="L39">
            <v>889</v>
          </cell>
        </row>
        <row r="41">
          <cell r="L41">
            <v>0</v>
          </cell>
          <cell r="M41">
            <v>0</v>
          </cell>
        </row>
        <row r="54">
          <cell r="M54">
            <v>889</v>
          </cell>
        </row>
      </sheetData>
      <sheetData sheetId="7">
        <row r="6">
          <cell r="L6">
            <v>17573</v>
          </cell>
        </row>
        <row r="7">
          <cell r="L7">
            <v>4758</v>
          </cell>
        </row>
        <row r="8">
          <cell r="L8">
            <v>14004</v>
          </cell>
        </row>
        <row r="15">
          <cell r="E15">
            <v>359</v>
          </cell>
        </row>
        <row r="17">
          <cell r="E17">
            <v>2710</v>
          </cell>
        </row>
        <row r="31">
          <cell r="E31">
            <v>33126</v>
          </cell>
        </row>
        <row r="41">
          <cell r="L41">
            <v>0</v>
          </cell>
          <cell r="M41">
            <v>0</v>
          </cell>
        </row>
        <row r="54">
          <cell r="M54">
            <v>250</v>
          </cell>
        </row>
        <row r="68">
          <cell r="M68">
            <v>9</v>
          </cell>
        </row>
        <row r="69">
          <cell r="M69">
            <v>752</v>
          </cell>
        </row>
        <row r="71">
          <cell r="M71">
            <v>0</v>
          </cell>
        </row>
        <row r="72">
          <cell r="E7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 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 sz. mell"/>
      <sheetName val="9.1. sz. mell"/>
      <sheetName val="9.2. sz. mell"/>
      <sheetName val="9.3. sz. mell"/>
      <sheetName val="9.4. sz. mell"/>
      <sheetName val="9.5. sz. mell"/>
      <sheetName val="10. sz. mell"/>
      <sheetName val="11. sz. mell."/>
      <sheetName val="12. sz. mell."/>
      <sheetName val="13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Munka1"/>
    </sheetNames>
    <sheetDataSet>
      <sheetData sheetId="5">
        <row r="27">
          <cell r="E27">
            <v>0</v>
          </cell>
        </row>
        <row r="32">
          <cell r="C32" t="str">
            <v>-</v>
          </cell>
          <cell r="E32" t="str">
            <v>-</v>
          </cell>
        </row>
      </sheetData>
      <sheetData sheetId="6">
        <row r="31">
          <cell r="E3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önk"/>
      <sheetName val="ph"/>
      <sheetName val="óvoda"/>
      <sheetName val="gamesz"/>
      <sheetName val="gond"/>
      <sheetName val="műv"/>
      <sheetName val="víz"/>
    </sheetNames>
    <sheetDataSet>
      <sheetData sheetId="1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4442</v>
          </cell>
          <cell r="D7">
            <v>4388</v>
          </cell>
        </row>
        <row r="8">
          <cell r="C8">
            <v>13822</v>
          </cell>
          <cell r="D8">
            <v>13822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18264</v>
          </cell>
          <cell r="D11">
            <v>18210</v>
          </cell>
        </row>
        <row r="12">
          <cell r="C12">
            <v>1838375</v>
          </cell>
          <cell r="D12">
            <v>1807958</v>
          </cell>
        </row>
        <row r="13">
          <cell r="C13">
            <v>16539</v>
          </cell>
          <cell r="D13">
            <v>29746</v>
          </cell>
        </row>
        <row r="14">
          <cell r="C14">
            <v>0</v>
          </cell>
          <cell r="D14">
            <v>3526</v>
          </cell>
        </row>
        <row r="15">
          <cell r="C15">
            <v>0</v>
          </cell>
          <cell r="D15">
            <v>0</v>
          </cell>
        </row>
        <row r="16">
          <cell r="C16">
            <v>97878</v>
          </cell>
          <cell r="D16">
            <v>81513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1952792</v>
          </cell>
          <cell r="D20">
            <v>1922743</v>
          </cell>
        </row>
        <row r="21">
          <cell r="C21">
            <v>8963</v>
          </cell>
          <cell r="D21">
            <v>9063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8963</v>
          </cell>
          <cell r="D30">
            <v>9063</v>
          </cell>
        </row>
        <row r="31">
          <cell r="C31">
            <v>147565</v>
          </cell>
          <cell r="D31">
            <v>141372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147565</v>
          </cell>
          <cell r="D36">
            <v>141372</v>
          </cell>
        </row>
        <row r="37">
          <cell r="C37">
            <v>2127584</v>
          </cell>
          <cell r="D37">
            <v>2091388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3306</v>
          </cell>
          <cell r="D45">
            <v>3600</v>
          </cell>
        </row>
        <row r="46">
          <cell r="C46">
            <v>19180</v>
          </cell>
          <cell r="D46">
            <v>31168</v>
          </cell>
        </row>
        <row r="47">
          <cell r="C47">
            <v>5808</v>
          </cell>
          <cell r="D47">
            <v>8890</v>
          </cell>
        </row>
        <row r="48">
          <cell r="C48">
            <v>4761</v>
          </cell>
          <cell r="D48">
            <v>0</v>
          </cell>
        </row>
        <row r="49">
          <cell r="C49">
            <v>8</v>
          </cell>
          <cell r="D49">
            <v>9121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C56">
            <v>28302</v>
          </cell>
          <cell r="D56">
            <v>52779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</row>
        <row r="60">
          <cell r="C60">
            <v>0</v>
          </cell>
          <cell r="D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3">
          <cell r="C63">
            <v>0</v>
          </cell>
          <cell r="D63">
            <v>0</v>
          </cell>
        </row>
        <row r="64">
          <cell r="C64">
            <v>2</v>
          </cell>
          <cell r="D64">
            <v>0</v>
          </cell>
        </row>
        <row r="65">
          <cell r="C65">
            <v>64164</v>
          </cell>
          <cell r="D65">
            <v>104047</v>
          </cell>
        </row>
        <row r="66">
          <cell r="C66">
            <v>64164</v>
          </cell>
          <cell r="D66">
            <v>104047</v>
          </cell>
        </row>
        <row r="67">
          <cell r="C67">
            <v>0</v>
          </cell>
          <cell r="D67">
            <v>0</v>
          </cell>
        </row>
        <row r="68">
          <cell r="C68">
            <v>0</v>
          </cell>
          <cell r="D68">
            <v>0</v>
          </cell>
        </row>
        <row r="69">
          <cell r="C69">
            <v>7</v>
          </cell>
        </row>
        <row r="70">
          <cell r="C70">
            <v>7</v>
          </cell>
        </row>
        <row r="71">
          <cell r="C71">
            <v>0</v>
          </cell>
          <cell r="D71">
            <v>0</v>
          </cell>
        </row>
        <row r="72">
          <cell r="C72">
            <v>64173</v>
          </cell>
          <cell r="D72">
            <v>104047</v>
          </cell>
        </row>
        <row r="73">
          <cell r="C73">
            <v>5081</v>
          </cell>
          <cell r="D73">
            <v>0</v>
          </cell>
        </row>
        <row r="74">
          <cell r="C74">
            <v>220</v>
          </cell>
          <cell r="D74">
            <v>0</v>
          </cell>
        </row>
        <row r="75">
          <cell r="C75">
            <v>0</v>
          </cell>
          <cell r="D75">
            <v>0</v>
          </cell>
        </row>
        <row r="76">
          <cell r="C76">
            <v>0</v>
          </cell>
          <cell r="D76">
            <v>0</v>
          </cell>
        </row>
        <row r="77">
          <cell r="C77">
            <v>5301</v>
          </cell>
          <cell r="D77">
            <v>0</v>
          </cell>
        </row>
        <row r="78">
          <cell r="C78">
            <v>97776</v>
          </cell>
          <cell r="D78">
            <v>156826</v>
          </cell>
        </row>
        <row r="79">
          <cell r="C79">
            <v>2225360</v>
          </cell>
          <cell r="D79">
            <v>2248214</v>
          </cell>
        </row>
        <row r="84">
          <cell r="C84">
            <v>68563</v>
          </cell>
          <cell r="D84">
            <v>68563</v>
          </cell>
        </row>
        <row r="86">
          <cell r="C86">
            <v>2083329</v>
          </cell>
          <cell r="D86">
            <v>2051260</v>
          </cell>
        </row>
        <row r="87">
          <cell r="C87">
            <v>2083329</v>
          </cell>
          <cell r="D87">
            <v>2051260</v>
          </cell>
        </row>
        <row r="89">
          <cell r="C89">
            <v>0</v>
          </cell>
          <cell r="D89">
            <v>0</v>
          </cell>
        </row>
        <row r="90">
          <cell r="C90">
            <v>0</v>
          </cell>
          <cell r="D90">
            <v>0</v>
          </cell>
        </row>
        <row r="91">
          <cell r="C91">
            <v>2151892</v>
          </cell>
          <cell r="D91">
            <v>2119823</v>
          </cell>
        </row>
        <row r="92">
          <cell r="C92">
            <v>58803</v>
          </cell>
          <cell r="D92">
            <v>98001</v>
          </cell>
        </row>
        <row r="93">
          <cell r="C93">
            <v>57492</v>
          </cell>
          <cell r="D93">
            <v>98001</v>
          </cell>
        </row>
        <row r="94">
          <cell r="C94">
            <v>1311</v>
          </cell>
          <cell r="D94">
            <v>0</v>
          </cell>
        </row>
        <row r="95">
          <cell r="C95">
            <v>4185</v>
          </cell>
          <cell r="D95">
            <v>4087</v>
          </cell>
        </row>
        <row r="96">
          <cell r="C96">
            <v>0</v>
          </cell>
          <cell r="D96">
            <v>0</v>
          </cell>
        </row>
        <row r="97">
          <cell r="C97">
            <v>0</v>
          </cell>
          <cell r="D97">
            <v>0</v>
          </cell>
        </row>
        <row r="98">
          <cell r="C98">
            <v>0</v>
          </cell>
          <cell r="D98">
            <v>0</v>
          </cell>
        </row>
        <row r="99">
          <cell r="C99">
            <v>62988</v>
          </cell>
          <cell r="D99">
            <v>102088</v>
          </cell>
        </row>
        <row r="100">
          <cell r="C100">
            <v>0</v>
          </cell>
          <cell r="D100">
            <v>0</v>
          </cell>
        </row>
        <row r="101">
          <cell r="C101">
            <v>0</v>
          </cell>
          <cell r="D101">
            <v>0</v>
          </cell>
        </row>
        <row r="102">
          <cell r="C102">
            <v>0</v>
          </cell>
          <cell r="D102">
            <v>0</v>
          </cell>
        </row>
        <row r="103">
          <cell r="C103">
            <v>0</v>
          </cell>
          <cell r="D103">
            <v>0</v>
          </cell>
        </row>
        <row r="104">
          <cell r="C104">
            <v>0</v>
          </cell>
          <cell r="D104">
            <v>0</v>
          </cell>
        </row>
        <row r="105">
          <cell r="C105">
            <v>0</v>
          </cell>
          <cell r="D105">
            <v>0</v>
          </cell>
        </row>
        <row r="106">
          <cell r="C106">
            <v>0</v>
          </cell>
          <cell r="D106">
            <v>0</v>
          </cell>
        </row>
        <row r="107">
          <cell r="C107">
            <v>62988</v>
          </cell>
          <cell r="D107">
            <v>102088</v>
          </cell>
        </row>
        <row r="108">
          <cell r="C108">
            <v>0</v>
          </cell>
          <cell r="D108">
            <v>0</v>
          </cell>
        </row>
        <row r="109">
          <cell r="C109">
            <v>0</v>
          </cell>
          <cell r="D109">
            <v>0</v>
          </cell>
        </row>
        <row r="110">
          <cell r="C110">
            <v>0</v>
          </cell>
          <cell r="D110">
            <v>0</v>
          </cell>
        </row>
        <row r="111">
          <cell r="C111">
            <v>0</v>
          </cell>
          <cell r="D111">
            <v>0</v>
          </cell>
        </row>
        <row r="112">
          <cell r="C112">
            <v>0</v>
          </cell>
          <cell r="D112">
            <v>0</v>
          </cell>
        </row>
        <row r="113">
          <cell r="C113">
            <v>0</v>
          </cell>
          <cell r="D113">
            <v>0</v>
          </cell>
        </row>
        <row r="114">
          <cell r="C114">
            <v>0</v>
          </cell>
          <cell r="D114">
            <v>0</v>
          </cell>
        </row>
        <row r="115">
          <cell r="C115">
            <v>0</v>
          </cell>
          <cell r="D115">
            <v>0</v>
          </cell>
        </row>
        <row r="116">
          <cell r="C116">
            <v>0</v>
          </cell>
          <cell r="D116">
            <v>0</v>
          </cell>
        </row>
        <row r="117">
          <cell r="C117">
            <v>1047</v>
          </cell>
        </row>
        <row r="118">
          <cell r="C118">
            <v>0</v>
          </cell>
          <cell r="D118">
            <v>0</v>
          </cell>
        </row>
        <row r="119">
          <cell r="C119">
            <v>0</v>
          </cell>
          <cell r="D119">
            <v>0</v>
          </cell>
        </row>
        <row r="120">
          <cell r="C120">
            <v>0</v>
          </cell>
          <cell r="D120">
            <v>0</v>
          </cell>
        </row>
        <row r="121">
          <cell r="C121">
            <v>0</v>
          </cell>
          <cell r="D121">
            <v>0</v>
          </cell>
        </row>
        <row r="122">
          <cell r="C122">
            <v>0</v>
          </cell>
          <cell r="D122">
            <v>0</v>
          </cell>
        </row>
        <row r="123">
          <cell r="C123">
            <v>0</v>
          </cell>
          <cell r="D123">
            <v>0</v>
          </cell>
        </row>
        <row r="124">
          <cell r="C124">
            <v>0</v>
          </cell>
          <cell r="D124">
            <v>0</v>
          </cell>
        </row>
        <row r="125">
          <cell r="C125">
            <v>0</v>
          </cell>
          <cell r="D125">
            <v>0</v>
          </cell>
        </row>
        <row r="126">
          <cell r="C126">
            <v>0</v>
          </cell>
          <cell r="D126">
            <v>0</v>
          </cell>
        </row>
        <row r="127">
          <cell r="C127">
            <v>0</v>
          </cell>
          <cell r="D127">
            <v>150</v>
          </cell>
        </row>
        <row r="128">
          <cell r="C128">
            <v>0</v>
          </cell>
          <cell r="D128">
            <v>150</v>
          </cell>
        </row>
        <row r="129">
          <cell r="C129">
            <v>0</v>
          </cell>
          <cell r="D129">
            <v>0</v>
          </cell>
        </row>
        <row r="130">
          <cell r="C130">
            <v>2947</v>
          </cell>
          <cell r="D130">
            <v>24194</v>
          </cell>
        </row>
        <row r="131">
          <cell r="C131">
            <v>0</v>
          </cell>
          <cell r="D131">
            <v>0</v>
          </cell>
        </row>
        <row r="132">
          <cell r="C132">
            <v>0</v>
          </cell>
          <cell r="D132">
            <v>0</v>
          </cell>
        </row>
        <row r="133">
          <cell r="C133">
            <v>0</v>
          </cell>
          <cell r="D133">
            <v>0</v>
          </cell>
        </row>
        <row r="134">
          <cell r="C134">
            <v>2947</v>
          </cell>
          <cell r="D134">
            <v>5960</v>
          </cell>
        </row>
        <row r="135">
          <cell r="C135">
            <v>0</v>
          </cell>
          <cell r="D135">
            <v>0</v>
          </cell>
        </row>
        <row r="136">
          <cell r="C136">
            <v>0</v>
          </cell>
          <cell r="D136">
            <v>0</v>
          </cell>
        </row>
        <row r="137">
          <cell r="C137">
            <v>0</v>
          </cell>
          <cell r="D137">
            <v>0</v>
          </cell>
        </row>
        <row r="138">
          <cell r="C138">
            <v>0</v>
          </cell>
          <cell r="D138">
            <v>0</v>
          </cell>
        </row>
        <row r="139">
          <cell r="C139">
            <v>0</v>
          </cell>
          <cell r="D139">
            <v>0</v>
          </cell>
        </row>
        <row r="140">
          <cell r="C140">
            <v>0</v>
          </cell>
          <cell r="D140">
            <v>0</v>
          </cell>
        </row>
        <row r="141">
          <cell r="C141">
            <v>0</v>
          </cell>
          <cell r="D141">
            <v>0</v>
          </cell>
        </row>
        <row r="142">
          <cell r="C142">
            <v>0</v>
          </cell>
          <cell r="D142">
            <v>0</v>
          </cell>
        </row>
        <row r="143">
          <cell r="C143">
            <v>0</v>
          </cell>
          <cell r="D143">
            <v>18234</v>
          </cell>
        </row>
        <row r="144">
          <cell r="C144">
            <v>3994</v>
          </cell>
          <cell r="D144">
            <v>24344</v>
          </cell>
        </row>
        <row r="145">
          <cell r="C145">
            <v>6479</v>
          </cell>
          <cell r="D145">
            <v>1959</v>
          </cell>
        </row>
        <row r="146">
          <cell r="C146">
            <v>0</v>
          </cell>
          <cell r="D146">
            <v>0</v>
          </cell>
        </row>
        <row r="147">
          <cell r="C147">
            <v>0</v>
          </cell>
          <cell r="D147">
            <v>0</v>
          </cell>
        </row>
        <row r="148">
          <cell r="C148">
            <v>7</v>
          </cell>
          <cell r="D148">
            <v>0</v>
          </cell>
        </row>
        <row r="149">
          <cell r="C149">
            <v>0</v>
          </cell>
          <cell r="D149">
            <v>0</v>
          </cell>
        </row>
        <row r="150">
          <cell r="C150">
            <v>0</v>
          </cell>
          <cell r="D150">
            <v>0</v>
          </cell>
        </row>
        <row r="151">
          <cell r="C151">
            <v>6486</v>
          </cell>
          <cell r="D151">
            <v>1959</v>
          </cell>
        </row>
        <row r="152">
          <cell r="C152">
            <v>10480</v>
          </cell>
          <cell r="D152">
            <v>26303</v>
          </cell>
        </row>
        <row r="153">
          <cell r="C153">
            <v>2225360</v>
          </cell>
          <cell r="D153">
            <v>2248214</v>
          </cell>
        </row>
      </sheetData>
      <sheetData sheetId="2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222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222</v>
          </cell>
        </row>
        <row r="12">
          <cell r="C12">
            <v>0</v>
          </cell>
          <cell r="D12">
            <v>0</v>
          </cell>
        </row>
        <row r="13">
          <cell r="C13">
            <v>129</v>
          </cell>
          <cell r="D13">
            <v>801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129</v>
          </cell>
          <cell r="D20">
            <v>801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129</v>
          </cell>
          <cell r="D37">
            <v>1023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550</v>
          </cell>
          <cell r="D45">
            <v>518</v>
          </cell>
        </row>
        <row r="46">
          <cell r="C46">
            <v>662</v>
          </cell>
          <cell r="D46">
            <v>541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  <cell r="D49">
            <v>70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C56">
            <v>1212</v>
          </cell>
          <cell r="D56">
            <v>1129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</row>
        <row r="60">
          <cell r="C60">
            <v>0</v>
          </cell>
          <cell r="D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3">
          <cell r="C63">
            <v>0</v>
          </cell>
          <cell r="D63">
            <v>0</v>
          </cell>
        </row>
        <row r="64">
          <cell r="C64">
            <v>0</v>
          </cell>
          <cell r="D64">
            <v>0</v>
          </cell>
        </row>
        <row r="65">
          <cell r="C65">
            <v>482</v>
          </cell>
          <cell r="D65">
            <v>605</v>
          </cell>
        </row>
        <row r="66">
          <cell r="C66">
            <v>482</v>
          </cell>
          <cell r="D66">
            <v>605</v>
          </cell>
        </row>
        <row r="67">
          <cell r="C67">
            <v>0</v>
          </cell>
          <cell r="D67">
            <v>0</v>
          </cell>
        </row>
        <row r="68">
          <cell r="C68">
            <v>0</v>
          </cell>
          <cell r="D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482</v>
          </cell>
          <cell r="D72">
            <v>605</v>
          </cell>
        </row>
        <row r="73">
          <cell r="C73">
            <v>132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C75">
            <v>0</v>
          </cell>
          <cell r="D75">
            <v>0</v>
          </cell>
        </row>
        <row r="76">
          <cell r="C76">
            <v>0</v>
          </cell>
          <cell r="D76">
            <v>0</v>
          </cell>
        </row>
        <row r="77">
          <cell r="C77">
            <v>132</v>
          </cell>
          <cell r="D77">
            <v>0</v>
          </cell>
        </row>
        <row r="78">
          <cell r="C78">
            <v>1826</v>
          </cell>
          <cell r="D78">
            <v>1734</v>
          </cell>
        </row>
        <row r="79">
          <cell r="C79">
            <v>1955</v>
          </cell>
          <cell r="D79">
            <v>2757</v>
          </cell>
        </row>
        <row r="84">
          <cell r="C84">
            <v>0</v>
          </cell>
          <cell r="D84">
            <v>0</v>
          </cell>
        </row>
        <row r="86">
          <cell r="C86">
            <v>722</v>
          </cell>
          <cell r="D86">
            <v>2119</v>
          </cell>
        </row>
        <row r="87">
          <cell r="C87">
            <v>722</v>
          </cell>
          <cell r="D87">
            <v>2119</v>
          </cell>
        </row>
        <row r="89">
          <cell r="C89">
            <v>0</v>
          </cell>
          <cell r="D89">
            <v>0</v>
          </cell>
        </row>
        <row r="90">
          <cell r="C90">
            <v>0</v>
          </cell>
          <cell r="D90">
            <v>0</v>
          </cell>
        </row>
        <row r="91">
          <cell r="C91">
            <v>722</v>
          </cell>
          <cell r="D91">
            <v>2119</v>
          </cell>
        </row>
        <row r="92">
          <cell r="C92">
            <v>556</v>
          </cell>
          <cell r="D92">
            <v>605</v>
          </cell>
        </row>
        <row r="93">
          <cell r="C93">
            <v>556</v>
          </cell>
          <cell r="D93">
            <v>605</v>
          </cell>
        </row>
        <row r="94">
          <cell r="C94">
            <v>0</v>
          </cell>
          <cell r="D94">
            <v>0</v>
          </cell>
        </row>
        <row r="95">
          <cell r="C95">
            <v>0</v>
          </cell>
          <cell r="D95">
            <v>0</v>
          </cell>
        </row>
        <row r="96">
          <cell r="C96">
            <v>0</v>
          </cell>
          <cell r="D96">
            <v>0</v>
          </cell>
        </row>
        <row r="97">
          <cell r="C97">
            <v>0</v>
          </cell>
          <cell r="D97">
            <v>0</v>
          </cell>
        </row>
        <row r="98">
          <cell r="C98">
            <v>0</v>
          </cell>
          <cell r="D98">
            <v>0</v>
          </cell>
        </row>
        <row r="99">
          <cell r="C99">
            <v>556</v>
          </cell>
          <cell r="D99">
            <v>605</v>
          </cell>
        </row>
        <row r="100">
          <cell r="C100">
            <v>0</v>
          </cell>
          <cell r="D100">
            <v>0</v>
          </cell>
        </row>
        <row r="101">
          <cell r="C101">
            <v>0</v>
          </cell>
          <cell r="D101">
            <v>0</v>
          </cell>
        </row>
        <row r="102">
          <cell r="C102">
            <v>0</v>
          </cell>
          <cell r="D102">
            <v>0</v>
          </cell>
        </row>
        <row r="103">
          <cell r="C103">
            <v>0</v>
          </cell>
          <cell r="D103">
            <v>0</v>
          </cell>
        </row>
        <row r="104">
          <cell r="C104">
            <v>0</v>
          </cell>
          <cell r="D104">
            <v>0</v>
          </cell>
        </row>
        <row r="105">
          <cell r="C105">
            <v>0</v>
          </cell>
          <cell r="D105">
            <v>0</v>
          </cell>
        </row>
        <row r="106">
          <cell r="C106">
            <v>0</v>
          </cell>
          <cell r="D106">
            <v>0</v>
          </cell>
        </row>
        <row r="107">
          <cell r="C107">
            <v>556</v>
          </cell>
          <cell r="D107">
            <v>605</v>
          </cell>
        </row>
        <row r="108">
          <cell r="C108">
            <v>0</v>
          </cell>
          <cell r="D108">
            <v>0</v>
          </cell>
        </row>
        <row r="109">
          <cell r="C109">
            <v>0</v>
          </cell>
          <cell r="D109">
            <v>0</v>
          </cell>
        </row>
        <row r="110">
          <cell r="C110">
            <v>0</v>
          </cell>
          <cell r="D110">
            <v>0</v>
          </cell>
        </row>
        <row r="111">
          <cell r="C111">
            <v>0</v>
          </cell>
          <cell r="D111">
            <v>0</v>
          </cell>
        </row>
        <row r="112">
          <cell r="C112">
            <v>0</v>
          </cell>
          <cell r="D112">
            <v>0</v>
          </cell>
        </row>
        <row r="113">
          <cell r="C113">
            <v>0</v>
          </cell>
          <cell r="D113">
            <v>0</v>
          </cell>
        </row>
        <row r="114">
          <cell r="C114">
            <v>0</v>
          </cell>
          <cell r="D114">
            <v>0</v>
          </cell>
        </row>
        <row r="115">
          <cell r="C115">
            <v>0</v>
          </cell>
          <cell r="D115">
            <v>0</v>
          </cell>
        </row>
        <row r="116">
          <cell r="C116">
            <v>0</v>
          </cell>
          <cell r="D116">
            <v>0</v>
          </cell>
        </row>
        <row r="117">
          <cell r="C117">
            <v>0</v>
          </cell>
        </row>
        <row r="118">
          <cell r="C118">
            <v>0</v>
          </cell>
          <cell r="D118">
            <v>0</v>
          </cell>
        </row>
        <row r="119">
          <cell r="C119">
            <v>0</v>
          </cell>
          <cell r="D119">
            <v>0</v>
          </cell>
        </row>
        <row r="120">
          <cell r="C120">
            <v>0</v>
          </cell>
          <cell r="D120">
            <v>0</v>
          </cell>
        </row>
        <row r="121">
          <cell r="C121">
            <v>0</v>
          </cell>
          <cell r="D121">
            <v>0</v>
          </cell>
        </row>
        <row r="122">
          <cell r="C122">
            <v>0</v>
          </cell>
          <cell r="D122">
            <v>0</v>
          </cell>
        </row>
        <row r="123">
          <cell r="C123">
            <v>0</v>
          </cell>
          <cell r="D123">
            <v>0</v>
          </cell>
        </row>
        <row r="124">
          <cell r="C124">
            <v>0</v>
          </cell>
          <cell r="D124">
            <v>0</v>
          </cell>
        </row>
        <row r="125">
          <cell r="C125">
            <v>0</v>
          </cell>
          <cell r="D125">
            <v>0</v>
          </cell>
        </row>
        <row r="126">
          <cell r="C126">
            <v>0</v>
          </cell>
          <cell r="D126">
            <v>0</v>
          </cell>
        </row>
        <row r="127">
          <cell r="C127">
            <v>619</v>
          </cell>
          <cell r="D127">
            <v>0</v>
          </cell>
        </row>
        <row r="128">
          <cell r="C128">
            <v>619</v>
          </cell>
          <cell r="D128">
            <v>0</v>
          </cell>
        </row>
        <row r="129">
          <cell r="C129">
            <v>0</v>
          </cell>
          <cell r="D129">
            <v>0</v>
          </cell>
        </row>
        <row r="130">
          <cell r="C130">
            <v>0</v>
          </cell>
          <cell r="D130">
            <v>33</v>
          </cell>
        </row>
        <row r="131">
          <cell r="C131">
            <v>0</v>
          </cell>
          <cell r="D131">
            <v>0</v>
          </cell>
        </row>
        <row r="132">
          <cell r="C132">
            <v>0</v>
          </cell>
          <cell r="D132">
            <v>0</v>
          </cell>
        </row>
        <row r="133">
          <cell r="C133">
            <v>0</v>
          </cell>
          <cell r="D133">
            <v>0</v>
          </cell>
        </row>
        <row r="134">
          <cell r="C134">
            <v>0</v>
          </cell>
          <cell r="D134">
            <v>0</v>
          </cell>
        </row>
        <row r="135">
          <cell r="C135">
            <v>0</v>
          </cell>
          <cell r="D135">
            <v>0</v>
          </cell>
        </row>
        <row r="136">
          <cell r="C136">
            <v>0</v>
          </cell>
          <cell r="D136">
            <v>0</v>
          </cell>
        </row>
        <row r="137">
          <cell r="C137">
            <v>0</v>
          </cell>
          <cell r="D137">
            <v>0</v>
          </cell>
        </row>
        <row r="138">
          <cell r="C138">
            <v>0</v>
          </cell>
          <cell r="D138">
            <v>0</v>
          </cell>
        </row>
        <row r="139">
          <cell r="C139">
            <v>0</v>
          </cell>
          <cell r="D139">
            <v>0</v>
          </cell>
        </row>
        <row r="140">
          <cell r="C140">
            <v>0</v>
          </cell>
          <cell r="D140">
            <v>0</v>
          </cell>
        </row>
        <row r="141">
          <cell r="C141">
            <v>0</v>
          </cell>
          <cell r="D141">
            <v>33</v>
          </cell>
        </row>
        <row r="142">
          <cell r="C142">
            <v>0</v>
          </cell>
          <cell r="D142">
            <v>0</v>
          </cell>
        </row>
        <row r="143">
          <cell r="C143">
            <v>0</v>
          </cell>
          <cell r="D143">
            <v>0</v>
          </cell>
        </row>
        <row r="144">
          <cell r="C144">
            <v>619</v>
          </cell>
          <cell r="D144">
            <v>33</v>
          </cell>
        </row>
        <row r="145">
          <cell r="C145">
            <v>58</v>
          </cell>
          <cell r="D145">
            <v>0</v>
          </cell>
        </row>
        <row r="146">
          <cell r="C146">
            <v>0</v>
          </cell>
          <cell r="D146">
            <v>0</v>
          </cell>
        </row>
        <row r="147">
          <cell r="C147">
            <v>0</v>
          </cell>
          <cell r="D147">
            <v>0</v>
          </cell>
        </row>
        <row r="148">
          <cell r="C148">
            <v>0</v>
          </cell>
          <cell r="D148">
            <v>0</v>
          </cell>
        </row>
        <row r="149">
          <cell r="C149">
            <v>0</v>
          </cell>
          <cell r="D149">
            <v>0</v>
          </cell>
        </row>
        <row r="150">
          <cell r="C150">
            <v>0</v>
          </cell>
          <cell r="D150">
            <v>0</v>
          </cell>
        </row>
        <row r="151">
          <cell r="C151">
            <v>58</v>
          </cell>
          <cell r="D151">
            <v>0</v>
          </cell>
        </row>
        <row r="152">
          <cell r="C152">
            <v>677</v>
          </cell>
          <cell r="D152">
            <v>33</v>
          </cell>
        </row>
        <row r="153">
          <cell r="C153">
            <v>1955</v>
          </cell>
          <cell r="D153">
            <v>2757</v>
          </cell>
        </row>
      </sheetData>
      <sheetData sheetId="3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5042</v>
          </cell>
          <cell r="D12">
            <v>4906</v>
          </cell>
        </row>
        <row r="13">
          <cell r="C13">
            <v>407</v>
          </cell>
          <cell r="D13">
            <v>507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5449</v>
          </cell>
          <cell r="D20">
            <v>5413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5449</v>
          </cell>
          <cell r="D37">
            <v>5413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  <cell r="D49">
            <v>0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</row>
        <row r="60">
          <cell r="C60">
            <v>0</v>
          </cell>
          <cell r="D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3">
          <cell r="C63">
            <v>0</v>
          </cell>
          <cell r="D63">
            <v>0</v>
          </cell>
        </row>
        <row r="64">
          <cell r="C64">
            <v>0</v>
          </cell>
          <cell r="D64">
            <v>0</v>
          </cell>
        </row>
        <row r="65">
          <cell r="C65">
            <v>10</v>
          </cell>
          <cell r="D65">
            <v>508</v>
          </cell>
        </row>
        <row r="66">
          <cell r="C66">
            <v>10</v>
          </cell>
          <cell r="D66">
            <v>508</v>
          </cell>
        </row>
        <row r="67">
          <cell r="C67">
            <v>0</v>
          </cell>
          <cell r="D67">
            <v>0</v>
          </cell>
        </row>
        <row r="68">
          <cell r="C68">
            <v>0</v>
          </cell>
          <cell r="D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10</v>
          </cell>
          <cell r="D72">
            <v>508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C75">
            <v>0</v>
          </cell>
          <cell r="D75">
            <v>0</v>
          </cell>
        </row>
        <row r="76">
          <cell r="C76">
            <v>0</v>
          </cell>
          <cell r="D76">
            <v>0</v>
          </cell>
        </row>
        <row r="77">
          <cell r="C77">
            <v>0</v>
          </cell>
          <cell r="D77">
            <v>0</v>
          </cell>
        </row>
        <row r="78">
          <cell r="C78">
            <v>10</v>
          </cell>
          <cell r="D78">
            <v>508</v>
          </cell>
        </row>
        <row r="79">
          <cell r="C79">
            <v>5459</v>
          </cell>
          <cell r="D79">
            <v>5921</v>
          </cell>
        </row>
        <row r="84">
          <cell r="C84">
            <v>626</v>
          </cell>
          <cell r="D84">
            <v>626</v>
          </cell>
        </row>
        <row r="86">
          <cell r="C86">
            <v>4823</v>
          </cell>
          <cell r="D86">
            <v>4787</v>
          </cell>
        </row>
        <row r="87">
          <cell r="C87">
            <v>4823</v>
          </cell>
          <cell r="D87">
            <v>4787</v>
          </cell>
        </row>
        <row r="89">
          <cell r="C89">
            <v>0</v>
          </cell>
          <cell r="D89">
            <v>0</v>
          </cell>
        </row>
        <row r="90">
          <cell r="C90">
            <v>0</v>
          </cell>
          <cell r="D90">
            <v>0</v>
          </cell>
        </row>
        <row r="91">
          <cell r="C91">
            <v>5449</v>
          </cell>
          <cell r="D91">
            <v>5413</v>
          </cell>
        </row>
        <row r="92">
          <cell r="C92">
            <v>10</v>
          </cell>
          <cell r="D92">
            <v>508</v>
          </cell>
        </row>
        <row r="93">
          <cell r="C93">
            <v>10</v>
          </cell>
          <cell r="D93">
            <v>508</v>
          </cell>
        </row>
        <row r="94">
          <cell r="C94">
            <v>0</v>
          </cell>
          <cell r="D94">
            <v>0</v>
          </cell>
        </row>
        <row r="95">
          <cell r="C95">
            <v>0</v>
          </cell>
          <cell r="D95">
            <v>0</v>
          </cell>
        </row>
        <row r="96">
          <cell r="C96">
            <v>0</v>
          </cell>
          <cell r="D96">
            <v>0</v>
          </cell>
        </row>
        <row r="97">
          <cell r="C97">
            <v>0</v>
          </cell>
          <cell r="D97">
            <v>0</v>
          </cell>
        </row>
        <row r="98">
          <cell r="C98">
            <v>0</v>
          </cell>
          <cell r="D98">
            <v>0</v>
          </cell>
        </row>
        <row r="99">
          <cell r="C99">
            <v>10</v>
          </cell>
          <cell r="D99">
            <v>508</v>
          </cell>
        </row>
        <row r="100">
          <cell r="C100">
            <v>0</v>
          </cell>
          <cell r="D100">
            <v>0</v>
          </cell>
        </row>
        <row r="101">
          <cell r="C101">
            <v>0</v>
          </cell>
          <cell r="D101">
            <v>0</v>
          </cell>
        </row>
        <row r="102">
          <cell r="C102">
            <v>0</v>
          </cell>
          <cell r="D102">
            <v>0</v>
          </cell>
        </row>
        <row r="103">
          <cell r="C103">
            <v>0</v>
          </cell>
          <cell r="D103">
            <v>0</v>
          </cell>
        </row>
        <row r="104">
          <cell r="C104">
            <v>0</v>
          </cell>
          <cell r="D104">
            <v>0</v>
          </cell>
        </row>
        <row r="105">
          <cell r="C105">
            <v>0</v>
          </cell>
          <cell r="D105">
            <v>0</v>
          </cell>
        </row>
        <row r="106">
          <cell r="C106">
            <v>0</v>
          </cell>
          <cell r="D106">
            <v>0</v>
          </cell>
        </row>
        <row r="107">
          <cell r="C107">
            <v>10</v>
          </cell>
          <cell r="D107">
            <v>508</v>
          </cell>
        </row>
        <row r="108">
          <cell r="C108">
            <v>0</v>
          </cell>
          <cell r="D108">
            <v>0</v>
          </cell>
        </row>
        <row r="109">
          <cell r="C109">
            <v>0</v>
          </cell>
          <cell r="D109">
            <v>0</v>
          </cell>
        </row>
        <row r="110">
          <cell r="C110">
            <v>0</v>
          </cell>
          <cell r="D110">
            <v>0</v>
          </cell>
        </row>
        <row r="111">
          <cell r="C111">
            <v>0</v>
          </cell>
          <cell r="D111">
            <v>0</v>
          </cell>
        </row>
        <row r="112">
          <cell r="C112">
            <v>0</v>
          </cell>
          <cell r="D112">
            <v>0</v>
          </cell>
        </row>
        <row r="113">
          <cell r="C113">
            <v>0</v>
          </cell>
          <cell r="D113">
            <v>0</v>
          </cell>
        </row>
        <row r="114">
          <cell r="C114">
            <v>0</v>
          </cell>
          <cell r="D114">
            <v>0</v>
          </cell>
        </row>
        <row r="115">
          <cell r="C115">
            <v>0</v>
          </cell>
          <cell r="D115">
            <v>0</v>
          </cell>
        </row>
        <row r="116">
          <cell r="C116">
            <v>0</v>
          </cell>
          <cell r="D116">
            <v>0</v>
          </cell>
        </row>
        <row r="117">
          <cell r="C117">
            <v>0</v>
          </cell>
        </row>
        <row r="118">
          <cell r="C118">
            <v>0</v>
          </cell>
          <cell r="D118">
            <v>0</v>
          </cell>
        </row>
        <row r="119">
          <cell r="C119">
            <v>0</v>
          </cell>
          <cell r="D119">
            <v>0</v>
          </cell>
        </row>
        <row r="120">
          <cell r="C120">
            <v>0</v>
          </cell>
          <cell r="D120">
            <v>0</v>
          </cell>
        </row>
        <row r="121">
          <cell r="C121">
            <v>0</v>
          </cell>
          <cell r="D121">
            <v>0</v>
          </cell>
        </row>
        <row r="122">
          <cell r="C122">
            <v>0</v>
          </cell>
          <cell r="D122">
            <v>0</v>
          </cell>
        </row>
        <row r="123">
          <cell r="C123">
            <v>0</v>
          </cell>
          <cell r="D123">
            <v>0</v>
          </cell>
        </row>
        <row r="124">
          <cell r="C124">
            <v>0</v>
          </cell>
          <cell r="D124">
            <v>0</v>
          </cell>
        </row>
        <row r="125">
          <cell r="C125">
            <v>0</v>
          </cell>
          <cell r="D125">
            <v>0</v>
          </cell>
        </row>
        <row r="126">
          <cell r="C126">
            <v>0</v>
          </cell>
          <cell r="D126">
            <v>0</v>
          </cell>
        </row>
        <row r="127">
          <cell r="C127">
            <v>0</v>
          </cell>
          <cell r="D127">
            <v>0</v>
          </cell>
        </row>
        <row r="128">
          <cell r="C128">
            <v>0</v>
          </cell>
          <cell r="D128">
            <v>0</v>
          </cell>
        </row>
        <row r="129">
          <cell r="C129">
            <v>0</v>
          </cell>
          <cell r="D129">
            <v>0</v>
          </cell>
        </row>
        <row r="130">
          <cell r="C130">
            <v>0</v>
          </cell>
          <cell r="D130">
            <v>0</v>
          </cell>
        </row>
        <row r="131">
          <cell r="C131">
            <v>0</v>
          </cell>
          <cell r="D131">
            <v>0</v>
          </cell>
        </row>
        <row r="132">
          <cell r="C132">
            <v>0</v>
          </cell>
          <cell r="D132">
            <v>0</v>
          </cell>
        </row>
        <row r="133">
          <cell r="C133">
            <v>0</v>
          </cell>
          <cell r="D133">
            <v>0</v>
          </cell>
        </row>
        <row r="134">
          <cell r="C134">
            <v>0</v>
          </cell>
          <cell r="D134">
            <v>0</v>
          </cell>
        </row>
        <row r="135">
          <cell r="C135">
            <v>0</v>
          </cell>
          <cell r="D135">
            <v>0</v>
          </cell>
        </row>
        <row r="136">
          <cell r="C136">
            <v>0</v>
          </cell>
          <cell r="D136">
            <v>0</v>
          </cell>
        </row>
        <row r="137">
          <cell r="C137">
            <v>0</v>
          </cell>
          <cell r="D137">
            <v>0</v>
          </cell>
        </row>
        <row r="138">
          <cell r="C138">
            <v>0</v>
          </cell>
          <cell r="D138">
            <v>0</v>
          </cell>
        </row>
        <row r="139">
          <cell r="C139">
            <v>0</v>
          </cell>
          <cell r="D139">
            <v>0</v>
          </cell>
        </row>
        <row r="140">
          <cell r="C140">
            <v>0</v>
          </cell>
          <cell r="D140">
            <v>0</v>
          </cell>
        </row>
        <row r="141">
          <cell r="C141">
            <v>0</v>
          </cell>
          <cell r="D141">
            <v>0</v>
          </cell>
        </row>
        <row r="142">
          <cell r="C142">
            <v>0</v>
          </cell>
          <cell r="D142">
            <v>0</v>
          </cell>
        </row>
        <row r="143">
          <cell r="C143">
            <v>0</v>
          </cell>
          <cell r="D143">
            <v>0</v>
          </cell>
        </row>
        <row r="144">
          <cell r="C144">
            <v>0</v>
          </cell>
          <cell r="D144">
            <v>0</v>
          </cell>
        </row>
        <row r="145">
          <cell r="C145">
            <v>0</v>
          </cell>
          <cell r="D145">
            <v>0</v>
          </cell>
        </row>
        <row r="146">
          <cell r="C146">
            <v>0</v>
          </cell>
          <cell r="D146">
            <v>0</v>
          </cell>
        </row>
        <row r="147">
          <cell r="C147">
            <v>0</v>
          </cell>
          <cell r="D147">
            <v>0</v>
          </cell>
        </row>
        <row r="148">
          <cell r="C148">
            <v>0</v>
          </cell>
          <cell r="D148">
            <v>0</v>
          </cell>
        </row>
        <row r="149">
          <cell r="C149">
            <v>0</v>
          </cell>
          <cell r="D149">
            <v>0</v>
          </cell>
        </row>
        <row r="150">
          <cell r="C150">
            <v>0</v>
          </cell>
          <cell r="D150">
            <v>0</v>
          </cell>
        </row>
        <row r="151">
          <cell r="C151">
            <v>0</v>
          </cell>
          <cell r="D151">
            <v>0</v>
          </cell>
        </row>
        <row r="152">
          <cell r="C152">
            <v>0</v>
          </cell>
          <cell r="D152">
            <v>0</v>
          </cell>
        </row>
        <row r="153">
          <cell r="C153">
            <v>5459</v>
          </cell>
          <cell r="D153">
            <v>5921</v>
          </cell>
        </row>
      </sheetData>
      <sheetData sheetId="4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373</v>
          </cell>
          <cell r="D7">
            <v>273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373</v>
          </cell>
          <cell r="D11">
            <v>273</v>
          </cell>
        </row>
        <row r="12">
          <cell r="C12">
            <v>15341</v>
          </cell>
          <cell r="D12">
            <v>21950</v>
          </cell>
        </row>
        <row r="13">
          <cell r="C13">
            <v>13450</v>
          </cell>
          <cell r="D13">
            <v>26418</v>
          </cell>
        </row>
        <row r="14">
          <cell r="C14">
            <v>8689</v>
          </cell>
          <cell r="D14">
            <v>12650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37480</v>
          </cell>
          <cell r="D20">
            <v>61018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37853</v>
          </cell>
          <cell r="D37">
            <v>61291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2016</v>
          </cell>
          <cell r="D41">
            <v>1381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4">
          <cell r="C44">
            <v>2016</v>
          </cell>
          <cell r="D44">
            <v>1381</v>
          </cell>
        </row>
        <row r="45">
          <cell r="C45">
            <v>317</v>
          </cell>
          <cell r="D45">
            <v>519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  <cell r="D49">
            <v>0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C56">
            <v>317</v>
          </cell>
          <cell r="D56">
            <v>519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</row>
        <row r="60">
          <cell r="C60">
            <v>0</v>
          </cell>
          <cell r="D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3">
          <cell r="C63">
            <v>0</v>
          </cell>
          <cell r="D63">
            <v>0</v>
          </cell>
        </row>
        <row r="64">
          <cell r="C64">
            <v>101</v>
          </cell>
          <cell r="D64">
            <v>24</v>
          </cell>
        </row>
        <row r="65">
          <cell r="C65">
            <v>7067</v>
          </cell>
          <cell r="D65">
            <v>19399</v>
          </cell>
        </row>
        <row r="66">
          <cell r="C66">
            <v>7067</v>
          </cell>
          <cell r="D66">
            <v>19399</v>
          </cell>
        </row>
        <row r="67">
          <cell r="C67">
            <v>0</v>
          </cell>
          <cell r="D67">
            <v>0</v>
          </cell>
        </row>
        <row r="68">
          <cell r="C68">
            <v>0</v>
          </cell>
          <cell r="D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7168</v>
          </cell>
          <cell r="D72">
            <v>19423</v>
          </cell>
        </row>
        <row r="73">
          <cell r="C73">
            <v>2048</v>
          </cell>
          <cell r="D73">
            <v>843</v>
          </cell>
        </row>
        <row r="74">
          <cell r="C74">
            <v>0</v>
          </cell>
          <cell r="D74">
            <v>0</v>
          </cell>
        </row>
        <row r="75">
          <cell r="C75">
            <v>0</v>
          </cell>
          <cell r="D75">
            <v>0</v>
          </cell>
        </row>
        <row r="76">
          <cell r="C76">
            <v>0</v>
          </cell>
          <cell r="D76">
            <v>0</v>
          </cell>
        </row>
        <row r="77">
          <cell r="C77">
            <v>2048</v>
          </cell>
          <cell r="D77">
            <v>843</v>
          </cell>
        </row>
        <row r="78">
          <cell r="C78">
            <v>11549</v>
          </cell>
          <cell r="D78">
            <v>22166</v>
          </cell>
        </row>
        <row r="79">
          <cell r="C79">
            <v>49402</v>
          </cell>
          <cell r="D79">
            <v>83457</v>
          </cell>
        </row>
        <row r="84">
          <cell r="C84">
            <v>20141</v>
          </cell>
          <cell r="D84">
            <v>20141</v>
          </cell>
        </row>
        <row r="86">
          <cell r="C86">
            <v>19642</v>
          </cell>
          <cell r="D86">
            <v>43050</v>
          </cell>
        </row>
        <row r="87">
          <cell r="C87">
            <v>19642</v>
          </cell>
          <cell r="D87">
            <v>43050</v>
          </cell>
        </row>
        <row r="89">
          <cell r="C89">
            <v>0</v>
          </cell>
          <cell r="D89">
            <v>0</v>
          </cell>
        </row>
        <row r="90">
          <cell r="C90">
            <v>0</v>
          </cell>
          <cell r="D90">
            <v>0</v>
          </cell>
        </row>
        <row r="91">
          <cell r="C91">
            <v>39783</v>
          </cell>
          <cell r="D91">
            <v>63191</v>
          </cell>
        </row>
        <row r="92">
          <cell r="C92">
            <v>4140</v>
          </cell>
          <cell r="D92">
            <v>4382</v>
          </cell>
        </row>
        <row r="93">
          <cell r="C93">
            <v>4140</v>
          </cell>
          <cell r="D93">
            <v>4382</v>
          </cell>
        </row>
        <row r="94">
          <cell r="C94">
            <v>0</v>
          </cell>
          <cell r="D94">
            <v>0</v>
          </cell>
        </row>
        <row r="95">
          <cell r="C95">
            <v>0</v>
          </cell>
          <cell r="D95">
            <v>0</v>
          </cell>
        </row>
        <row r="96">
          <cell r="C96">
            <v>0</v>
          </cell>
          <cell r="D96">
            <v>0</v>
          </cell>
        </row>
        <row r="97">
          <cell r="C97">
            <v>0</v>
          </cell>
          <cell r="D97">
            <v>0</v>
          </cell>
        </row>
        <row r="98">
          <cell r="C98">
            <v>0</v>
          </cell>
          <cell r="D98">
            <v>0</v>
          </cell>
        </row>
        <row r="99">
          <cell r="C99">
            <v>4140</v>
          </cell>
          <cell r="D99">
            <v>4382</v>
          </cell>
        </row>
        <row r="100">
          <cell r="C100">
            <v>0</v>
          </cell>
          <cell r="D100">
            <v>0</v>
          </cell>
        </row>
        <row r="101">
          <cell r="C101">
            <v>0</v>
          </cell>
          <cell r="D101">
            <v>0</v>
          </cell>
        </row>
        <row r="102">
          <cell r="C102">
            <v>0</v>
          </cell>
          <cell r="D102">
            <v>0</v>
          </cell>
        </row>
        <row r="103">
          <cell r="C103">
            <v>0</v>
          </cell>
          <cell r="D103">
            <v>0</v>
          </cell>
        </row>
        <row r="104">
          <cell r="C104">
            <v>0</v>
          </cell>
          <cell r="D104">
            <v>0</v>
          </cell>
        </row>
        <row r="105">
          <cell r="C105">
            <v>0</v>
          </cell>
          <cell r="D105">
            <v>0</v>
          </cell>
        </row>
        <row r="106">
          <cell r="C106">
            <v>0</v>
          </cell>
          <cell r="D106">
            <v>0</v>
          </cell>
        </row>
        <row r="107">
          <cell r="C107">
            <v>4140</v>
          </cell>
          <cell r="D107">
            <v>4382</v>
          </cell>
        </row>
        <row r="108">
          <cell r="C108">
            <v>0</v>
          </cell>
          <cell r="D108">
            <v>0</v>
          </cell>
        </row>
        <row r="109">
          <cell r="C109">
            <v>0</v>
          </cell>
          <cell r="D109">
            <v>0</v>
          </cell>
        </row>
        <row r="110">
          <cell r="C110">
            <v>0</v>
          </cell>
          <cell r="D110">
            <v>0</v>
          </cell>
        </row>
        <row r="111">
          <cell r="C111">
            <v>0</v>
          </cell>
          <cell r="D111">
            <v>0</v>
          </cell>
        </row>
        <row r="112">
          <cell r="C112">
            <v>0</v>
          </cell>
          <cell r="D112">
            <v>0</v>
          </cell>
        </row>
        <row r="113">
          <cell r="C113">
            <v>0</v>
          </cell>
          <cell r="D113">
            <v>0</v>
          </cell>
        </row>
        <row r="114">
          <cell r="C114">
            <v>0</v>
          </cell>
          <cell r="D114">
            <v>0</v>
          </cell>
        </row>
        <row r="115">
          <cell r="C115">
            <v>0</v>
          </cell>
          <cell r="D115">
            <v>0</v>
          </cell>
        </row>
        <row r="116">
          <cell r="C116">
            <v>0</v>
          </cell>
          <cell r="D116">
            <v>0</v>
          </cell>
        </row>
        <row r="117">
          <cell r="C117">
            <v>0</v>
          </cell>
        </row>
        <row r="118">
          <cell r="C118">
            <v>0</v>
          </cell>
          <cell r="D118">
            <v>0</v>
          </cell>
        </row>
        <row r="119">
          <cell r="C119">
            <v>0</v>
          </cell>
          <cell r="D119">
            <v>0</v>
          </cell>
        </row>
        <row r="120">
          <cell r="C120">
            <v>0</v>
          </cell>
          <cell r="D120">
            <v>0</v>
          </cell>
        </row>
        <row r="121">
          <cell r="C121">
            <v>0</v>
          </cell>
          <cell r="D121">
            <v>0</v>
          </cell>
        </row>
        <row r="122">
          <cell r="C122">
            <v>0</v>
          </cell>
          <cell r="D122">
            <v>0</v>
          </cell>
        </row>
        <row r="123">
          <cell r="C123">
            <v>0</v>
          </cell>
          <cell r="D123">
            <v>0</v>
          </cell>
        </row>
        <row r="124">
          <cell r="C124">
            <v>0</v>
          </cell>
          <cell r="D124">
            <v>0</v>
          </cell>
        </row>
        <row r="125">
          <cell r="C125">
            <v>0</v>
          </cell>
          <cell r="D125">
            <v>0</v>
          </cell>
        </row>
        <row r="126">
          <cell r="C126">
            <v>0</v>
          </cell>
          <cell r="D126">
            <v>0</v>
          </cell>
        </row>
        <row r="127">
          <cell r="C127">
            <v>403</v>
          </cell>
          <cell r="D127">
            <v>0</v>
          </cell>
        </row>
        <row r="128">
          <cell r="C128">
            <v>403</v>
          </cell>
          <cell r="D128">
            <v>0</v>
          </cell>
        </row>
        <row r="129">
          <cell r="C129">
            <v>0</v>
          </cell>
          <cell r="D129">
            <v>0</v>
          </cell>
        </row>
        <row r="130">
          <cell r="C130">
            <v>0</v>
          </cell>
          <cell r="D130">
            <v>0</v>
          </cell>
        </row>
        <row r="131">
          <cell r="C131">
            <v>0</v>
          </cell>
          <cell r="D131">
            <v>0</v>
          </cell>
        </row>
        <row r="132">
          <cell r="C132">
            <v>0</v>
          </cell>
          <cell r="D132">
            <v>0</v>
          </cell>
        </row>
        <row r="133">
          <cell r="C133">
            <v>0</v>
          </cell>
          <cell r="D133">
            <v>0</v>
          </cell>
        </row>
        <row r="134">
          <cell r="C134">
            <v>0</v>
          </cell>
          <cell r="D134">
            <v>0</v>
          </cell>
        </row>
        <row r="135">
          <cell r="C135">
            <v>0</v>
          </cell>
          <cell r="D135">
            <v>0</v>
          </cell>
        </row>
        <row r="136">
          <cell r="C136">
            <v>0</v>
          </cell>
          <cell r="D136">
            <v>0</v>
          </cell>
        </row>
        <row r="137">
          <cell r="C137">
            <v>0</v>
          </cell>
          <cell r="D137">
            <v>0</v>
          </cell>
        </row>
        <row r="138">
          <cell r="C138">
            <v>0</v>
          </cell>
          <cell r="D138">
            <v>0</v>
          </cell>
        </row>
        <row r="139">
          <cell r="C139">
            <v>0</v>
          </cell>
          <cell r="D139">
            <v>0</v>
          </cell>
        </row>
        <row r="140">
          <cell r="C140">
            <v>0</v>
          </cell>
          <cell r="D140">
            <v>0</v>
          </cell>
        </row>
        <row r="141">
          <cell r="C141">
            <v>0</v>
          </cell>
          <cell r="D141">
            <v>0</v>
          </cell>
        </row>
        <row r="142">
          <cell r="C142">
            <v>0</v>
          </cell>
          <cell r="D142">
            <v>0</v>
          </cell>
        </row>
        <row r="143">
          <cell r="C143">
            <v>0</v>
          </cell>
          <cell r="D143">
            <v>0</v>
          </cell>
        </row>
        <row r="144">
          <cell r="C144">
            <v>403</v>
          </cell>
          <cell r="D144">
            <v>0</v>
          </cell>
        </row>
        <row r="145">
          <cell r="C145">
            <v>0</v>
          </cell>
          <cell r="D145">
            <v>0</v>
          </cell>
        </row>
        <row r="146">
          <cell r="C146">
            <v>5076</v>
          </cell>
          <cell r="D146">
            <v>15884</v>
          </cell>
        </row>
        <row r="147">
          <cell r="C147">
            <v>0</v>
          </cell>
          <cell r="D147">
            <v>0</v>
          </cell>
        </row>
        <row r="148">
          <cell r="C148">
            <v>0</v>
          </cell>
          <cell r="D148">
            <v>0</v>
          </cell>
        </row>
        <row r="149">
          <cell r="C149">
            <v>0</v>
          </cell>
          <cell r="D149">
            <v>0</v>
          </cell>
        </row>
        <row r="150">
          <cell r="C150">
            <v>0</v>
          </cell>
          <cell r="D150">
            <v>0</v>
          </cell>
        </row>
        <row r="151">
          <cell r="C151">
            <v>5076</v>
          </cell>
          <cell r="D151">
            <v>15884</v>
          </cell>
        </row>
        <row r="152">
          <cell r="C152">
            <v>5479</v>
          </cell>
          <cell r="D152">
            <v>15884</v>
          </cell>
        </row>
        <row r="153">
          <cell r="C153">
            <v>49402</v>
          </cell>
          <cell r="D153">
            <v>83457</v>
          </cell>
        </row>
      </sheetData>
      <sheetData sheetId="5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25</v>
          </cell>
          <cell r="D7">
            <v>10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25</v>
          </cell>
          <cell r="D11">
            <v>10</v>
          </cell>
        </row>
        <row r="12">
          <cell r="C12">
            <v>117852</v>
          </cell>
          <cell r="D12">
            <v>115085</v>
          </cell>
        </row>
        <row r="13">
          <cell r="C13">
            <v>1854</v>
          </cell>
          <cell r="D13">
            <v>1625</v>
          </cell>
        </row>
        <row r="14">
          <cell r="C14">
            <v>1375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121081</v>
          </cell>
          <cell r="D20">
            <v>116710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121106</v>
          </cell>
          <cell r="D37">
            <v>116720</v>
          </cell>
        </row>
        <row r="38">
          <cell r="C38">
            <v>1959</v>
          </cell>
          <cell r="D38">
            <v>2404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4">
          <cell r="C44">
            <v>1959</v>
          </cell>
          <cell r="D44">
            <v>2404</v>
          </cell>
        </row>
        <row r="45">
          <cell r="C45">
            <v>418</v>
          </cell>
          <cell r="D45">
            <v>980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  <cell r="D49">
            <v>0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C56">
            <v>418</v>
          </cell>
          <cell r="D56">
            <v>980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</row>
        <row r="60">
          <cell r="C60">
            <v>0</v>
          </cell>
          <cell r="D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3">
          <cell r="C63">
            <v>0</v>
          </cell>
          <cell r="D63">
            <v>0</v>
          </cell>
        </row>
        <row r="64">
          <cell r="C64">
            <v>139</v>
          </cell>
          <cell r="D64">
            <v>141</v>
          </cell>
        </row>
        <row r="65">
          <cell r="C65">
            <v>179</v>
          </cell>
          <cell r="D65">
            <v>922</v>
          </cell>
        </row>
        <row r="66">
          <cell r="C66">
            <v>179</v>
          </cell>
          <cell r="D66">
            <v>922</v>
          </cell>
        </row>
        <row r="67">
          <cell r="C67">
            <v>0</v>
          </cell>
          <cell r="D67">
            <v>0</v>
          </cell>
        </row>
        <row r="68">
          <cell r="C68">
            <v>0</v>
          </cell>
          <cell r="D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318</v>
          </cell>
          <cell r="D72">
            <v>1063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C75">
            <v>0</v>
          </cell>
          <cell r="D75">
            <v>0</v>
          </cell>
        </row>
        <row r="76">
          <cell r="C76">
            <v>0</v>
          </cell>
          <cell r="D76">
            <v>0</v>
          </cell>
        </row>
        <row r="77">
          <cell r="C77">
            <v>0</v>
          </cell>
          <cell r="D77">
            <v>0</v>
          </cell>
        </row>
        <row r="78">
          <cell r="C78">
            <v>2695</v>
          </cell>
          <cell r="D78">
            <v>4447</v>
          </cell>
        </row>
        <row r="79">
          <cell r="C79">
            <v>123801</v>
          </cell>
          <cell r="D79">
            <v>121167</v>
          </cell>
        </row>
        <row r="84">
          <cell r="C84">
            <v>139121</v>
          </cell>
          <cell r="D84">
            <v>139121</v>
          </cell>
        </row>
        <row r="86">
          <cell r="C86">
            <v>-15638</v>
          </cell>
          <cell r="D86">
            <v>-19017</v>
          </cell>
        </row>
        <row r="87">
          <cell r="C87">
            <v>-15638</v>
          </cell>
          <cell r="D87">
            <v>-19017</v>
          </cell>
        </row>
        <row r="89">
          <cell r="C89">
            <v>0</v>
          </cell>
          <cell r="D89">
            <v>0</v>
          </cell>
        </row>
        <row r="90">
          <cell r="C90">
            <v>0</v>
          </cell>
          <cell r="D90">
            <v>0</v>
          </cell>
        </row>
        <row r="91">
          <cell r="C91">
            <v>123483</v>
          </cell>
          <cell r="D91">
            <v>120104</v>
          </cell>
        </row>
        <row r="92">
          <cell r="C92">
            <v>318</v>
          </cell>
          <cell r="D92">
            <v>1063</v>
          </cell>
        </row>
        <row r="93">
          <cell r="C93">
            <v>318</v>
          </cell>
          <cell r="D93">
            <v>1063</v>
          </cell>
        </row>
        <row r="94">
          <cell r="C94">
            <v>0</v>
          </cell>
          <cell r="D94">
            <v>0</v>
          </cell>
        </row>
        <row r="95">
          <cell r="C95">
            <v>0</v>
          </cell>
          <cell r="D95">
            <v>0</v>
          </cell>
        </row>
        <row r="96">
          <cell r="C96">
            <v>0</v>
          </cell>
          <cell r="D96">
            <v>0</v>
          </cell>
        </row>
        <row r="97">
          <cell r="C97">
            <v>0</v>
          </cell>
          <cell r="D97">
            <v>0</v>
          </cell>
        </row>
        <row r="98">
          <cell r="C98">
            <v>0</v>
          </cell>
          <cell r="D98">
            <v>0</v>
          </cell>
        </row>
        <row r="99">
          <cell r="C99">
            <v>318</v>
          </cell>
          <cell r="D99">
            <v>1063</v>
          </cell>
        </row>
        <row r="100">
          <cell r="C100">
            <v>0</v>
          </cell>
          <cell r="D100">
            <v>0</v>
          </cell>
        </row>
        <row r="101">
          <cell r="C101">
            <v>0</v>
          </cell>
          <cell r="D101">
            <v>0</v>
          </cell>
        </row>
        <row r="102">
          <cell r="C102">
            <v>0</v>
          </cell>
          <cell r="D102">
            <v>0</v>
          </cell>
        </row>
        <row r="103">
          <cell r="C103">
            <v>0</v>
          </cell>
          <cell r="D103">
            <v>0</v>
          </cell>
        </row>
        <row r="104">
          <cell r="C104">
            <v>0</v>
          </cell>
          <cell r="D104">
            <v>0</v>
          </cell>
        </row>
        <row r="105">
          <cell r="C105">
            <v>0</v>
          </cell>
          <cell r="D105">
            <v>0</v>
          </cell>
        </row>
        <row r="106">
          <cell r="C106">
            <v>0</v>
          </cell>
          <cell r="D106">
            <v>0</v>
          </cell>
        </row>
        <row r="107">
          <cell r="C107">
            <v>318</v>
          </cell>
          <cell r="D107">
            <v>1063</v>
          </cell>
        </row>
        <row r="108">
          <cell r="C108">
            <v>0</v>
          </cell>
          <cell r="D108">
            <v>0</v>
          </cell>
        </row>
        <row r="109">
          <cell r="C109">
            <v>0</v>
          </cell>
          <cell r="D109">
            <v>0</v>
          </cell>
        </row>
        <row r="110">
          <cell r="C110">
            <v>0</v>
          </cell>
          <cell r="D110">
            <v>0</v>
          </cell>
        </row>
        <row r="111">
          <cell r="C111">
            <v>0</v>
          </cell>
          <cell r="D111">
            <v>0</v>
          </cell>
        </row>
        <row r="112">
          <cell r="C112">
            <v>0</v>
          </cell>
          <cell r="D112">
            <v>0</v>
          </cell>
        </row>
        <row r="113">
          <cell r="C113">
            <v>0</v>
          </cell>
          <cell r="D113">
            <v>0</v>
          </cell>
        </row>
        <row r="114">
          <cell r="C114">
            <v>0</v>
          </cell>
          <cell r="D114">
            <v>0</v>
          </cell>
        </row>
        <row r="115">
          <cell r="C115">
            <v>0</v>
          </cell>
          <cell r="D115">
            <v>0</v>
          </cell>
        </row>
        <row r="116">
          <cell r="C116">
            <v>0</v>
          </cell>
          <cell r="D116">
            <v>0</v>
          </cell>
        </row>
        <row r="117">
          <cell r="C117">
            <v>0</v>
          </cell>
        </row>
        <row r="118">
          <cell r="C118">
            <v>0</v>
          </cell>
          <cell r="D118">
            <v>0</v>
          </cell>
        </row>
        <row r="119">
          <cell r="C119">
            <v>0</v>
          </cell>
          <cell r="D119">
            <v>0</v>
          </cell>
        </row>
        <row r="120">
          <cell r="C120">
            <v>0</v>
          </cell>
          <cell r="D120">
            <v>0</v>
          </cell>
        </row>
        <row r="121">
          <cell r="C121">
            <v>0</v>
          </cell>
          <cell r="D121">
            <v>0</v>
          </cell>
        </row>
        <row r="122">
          <cell r="C122">
            <v>0</v>
          </cell>
          <cell r="D122">
            <v>0</v>
          </cell>
        </row>
        <row r="123">
          <cell r="C123">
            <v>0</v>
          </cell>
          <cell r="D123">
            <v>0</v>
          </cell>
        </row>
        <row r="124">
          <cell r="C124">
            <v>0</v>
          </cell>
          <cell r="D124">
            <v>0</v>
          </cell>
        </row>
        <row r="125">
          <cell r="C125">
            <v>0</v>
          </cell>
          <cell r="D125">
            <v>0</v>
          </cell>
        </row>
        <row r="126">
          <cell r="C126">
            <v>0</v>
          </cell>
          <cell r="D126">
            <v>0</v>
          </cell>
        </row>
        <row r="127">
          <cell r="C127">
            <v>0</v>
          </cell>
          <cell r="D127">
            <v>0</v>
          </cell>
        </row>
        <row r="128">
          <cell r="C128">
            <v>0</v>
          </cell>
          <cell r="D128">
            <v>0</v>
          </cell>
        </row>
        <row r="129">
          <cell r="C129">
            <v>0</v>
          </cell>
          <cell r="D129">
            <v>0</v>
          </cell>
        </row>
        <row r="130">
          <cell r="C130">
            <v>0</v>
          </cell>
          <cell r="D130">
            <v>0</v>
          </cell>
        </row>
        <row r="131">
          <cell r="C131">
            <v>0</v>
          </cell>
          <cell r="D131">
            <v>0</v>
          </cell>
        </row>
        <row r="132">
          <cell r="C132">
            <v>0</v>
          </cell>
          <cell r="D132">
            <v>0</v>
          </cell>
        </row>
        <row r="133">
          <cell r="C133">
            <v>0</v>
          </cell>
          <cell r="D133">
            <v>0</v>
          </cell>
        </row>
        <row r="134">
          <cell r="C134">
            <v>0</v>
          </cell>
          <cell r="D134">
            <v>0</v>
          </cell>
        </row>
        <row r="135">
          <cell r="C135">
            <v>0</v>
          </cell>
          <cell r="D135">
            <v>0</v>
          </cell>
        </row>
        <row r="136">
          <cell r="C136">
            <v>0</v>
          </cell>
          <cell r="D136">
            <v>0</v>
          </cell>
        </row>
        <row r="137">
          <cell r="C137">
            <v>0</v>
          </cell>
          <cell r="D137">
            <v>0</v>
          </cell>
        </row>
        <row r="138">
          <cell r="C138">
            <v>0</v>
          </cell>
          <cell r="D138">
            <v>0</v>
          </cell>
        </row>
        <row r="139">
          <cell r="C139">
            <v>0</v>
          </cell>
          <cell r="D139">
            <v>0</v>
          </cell>
        </row>
        <row r="140">
          <cell r="C140">
            <v>0</v>
          </cell>
          <cell r="D140">
            <v>0</v>
          </cell>
        </row>
        <row r="141">
          <cell r="C141">
            <v>0</v>
          </cell>
          <cell r="D141">
            <v>0</v>
          </cell>
        </row>
        <row r="142">
          <cell r="C142">
            <v>0</v>
          </cell>
          <cell r="D142">
            <v>0</v>
          </cell>
        </row>
        <row r="143">
          <cell r="C143">
            <v>0</v>
          </cell>
          <cell r="D143">
            <v>0</v>
          </cell>
        </row>
        <row r="144">
          <cell r="C144">
            <v>0</v>
          </cell>
          <cell r="D144">
            <v>0</v>
          </cell>
        </row>
        <row r="145">
          <cell r="C145">
            <v>0</v>
          </cell>
          <cell r="D145">
            <v>0</v>
          </cell>
        </row>
        <row r="146">
          <cell r="C146">
            <v>0</v>
          </cell>
          <cell r="D146">
            <v>0</v>
          </cell>
        </row>
        <row r="147">
          <cell r="C147">
            <v>0</v>
          </cell>
          <cell r="D147">
            <v>0</v>
          </cell>
        </row>
        <row r="148">
          <cell r="C148">
            <v>0</v>
          </cell>
          <cell r="D148">
            <v>0</v>
          </cell>
        </row>
        <row r="149">
          <cell r="C149">
            <v>0</v>
          </cell>
          <cell r="D149">
            <v>0</v>
          </cell>
        </row>
        <row r="150">
          <cell r="C150">
            <v>0</v>
          </cell>
          <cell r="D150">
            <v>0</v>
          </cell>
        </row>
        <row r="151">
          <cell r="C151">
            <v>0</v>
          </cell>
          <cell r="D151">
            <v>0</v>
          </cell>
        </row>
        <row r="152">
          <cell r="C152">
            <v>0</v>
          </cell>
          <cell r="D152">
            <v>0</v>
          </cell>
        </row>
        <row r="153">
          <cell r="C153">
            <v>123801</v>
          </cell>
          <cell r="D153">
            <v>121167</v>
          </cell>
        </row>
      </sheetData>
      <sheetData sheetId="6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95</v>
          </cell>
          <cell r="D7">
            <v>53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95</v>
          </cell>
          <cell r="D11">
            <v>53</v>
          </cell>
        </row>
        <row r="12">
          <cell r="C12">
            <v>41483</v>
          </cell>
          <cell r="D12">
            <v>40894</v>
          </cell>
        </row>
        <row r="13">
          <cell r="C13">
            <v>588</v>
          </cell>
          <cell r="D13">
            <v>404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14359</v>
          </cell>
          <cell r="D16">
            <v>14359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56430</v>
          </cell>
          <cell r="D20">
            <v>55657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2994</v>
          </cell>
          <cell r="D31">
            <v>2710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2994</v>
          </cell>
          <cell r="D36">
            <v>2710</v>
          </cell>
        </row>
        <row r="37">
          <cell r="C37">
            <v>59519</v>
          </cell>
          <cell r="D37">
            <v>58420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323</v>
          </cell>
          <cell r="D45">
            <v>288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  <cell r="D49">
            <v>0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C56">
            <v>323</v>
          </cell>
          <cell r="D56">
            <v>288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</row>
        <row r="60">
          <cell r="C60">
            <v>0</v>
          </cell>
          <cell r="D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3">
          <cell r="C63">
            <v>0</v>
          </cell>
          <cell r="D63">
            <v>0</v>
          </cell>
        </row>
        <row r="64">
          <cell r="C64">
            <v>22</v>
          </cell>
          <cell r="D64">
            <v>1</v>
          </cell>
        </row>
        <row r="65">
          <cell r="C65">
            <v>143</v>
          </cell>
          <cell r="D65">
            <v>294</v>
          </cell>
        </row>
        <row r="66">
          <cell r="C66">
            <v>143</v>
          </cell>
          <cell r="D66">
            <v>294</v>
          </cell>
        </row>
        <row r="67">
          <cell r="C67">
            <v>0</v>
          </cell>
          <cell r="D67">
            <v>0</v>
          </cell>
        </row>
        <row r="68">
          <cell r="C68">
            <v>0</v>
          </cell>
          <cell r="D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165</v>
          </cell>
          <cell r="D72">
            <v>295</v>
          </cell>
        </row>
        <row r="73">
          <cell r="C73">
            <v>0</v>
          </cell>
          <cell r="D73">
            <v>56</v>
          </cell>
        </row>
        <row r="74">
          <cell r="C74">
            <v>0</v>
          </cell>
          <cell r="D74">
            <v>0</v>
          </cell>
        </row>
        <row r="75">
          <cell r="C75">
            <v>0</v>
          </cell>
          <cell r="D75">
            <v>0</v>
          </cell>
        </row>
        <row r="76">
          <cell r="C76">
            <v>0</v>
          </cell>
          <cell r="D76">
            <v>0</v>
          </cell>
        </row>
        <row r="77">
          <cell r="C77">
            <v>0</v>
          </cell>
          <cell r="D77">
            <v>56</v>
          </cell>
        </row>
        <row r="78">
          <cell r="C78">
            <v>488</v>
          </cell>
          <cell r="D78">
            <v>639</v>
          </cell>
        </row>
        <row r="79">
          <cell r="C79">
            <v>60007</v>
          </cell>
          <cell r="D79">
            <v>59059</v>
          </cell>
        </row>
        <row r="84">
          <cell r="C84">
            <v>64298</v>
          </cell>
          <cell r="D84">
            <v>64298</v>
          </cell>
        </row>
        <row r="86">
          <cell r="C86">
            <v>-4456</v>
          </cell>
          <cell r="D86">
            <v>-5590</v>
          </cell>
        </row>
        <row r="87">
          <cell r="C87">
            <v>-4456</v>
          </cell>
          <cell r="D87">
            <v>-5590</v>
          </cell>
        </row>
        <row r="89">
          <cell r="C89">
            <v>0</v>
          </cell>
          <cell r="D89">
            <v>0</v>
          </cell>
        </row>
        <row r="90">
          <cell r="C90">
            <v>0</v>
          </cell>
          <cell r="D90">
            <v>0</v>
          </cell>
        </row>
        <row r="91">
          <cell r="C91">
            <v>59842</v>
          </cell>
          <cell r="D91">
            <v>58708</v>
          </cell>
        </row>
        <row r="92">
          <cell r="C92">
            <v>165</v>
          </cell>
          <cell r="D92">
            <v>351</v>
          </cell>
        </row>
        <row r="93">
          <cell r="C93">
            <v>165</v>
          </cell>
          <cell r="D93">
            <v>351</v>
          </cell>
        </row>
        <row r="94">
          <cell r="C94">
            <v>0</v>
          </cell>
          <cell r="D94">
            <v>0</v>
          </cell>
        </row>
        <row r="95">
          <cell r="C95">
            <v>0</v>
          </cell>
          <cell r="D95">
            <v>0</v>
          </cell>
        </row>
        <row r="96">
          <cell r="C96">
            <v>0</v>
          </cell>
          <cell r="D96">
            <v>0</v>
          </cell>
        </row>
        <row r="97">
          <cell r="C97">
            <v>0</v>
          </cell>
          <cell r="D97">
            <v>0</v>
          </cell>
        </row>
        <row r="98">
          <cell r="C98">
            <v>0</v>
          </cell>
          <cell r="D98">
            <v>0</v>
          </cell>
        </row>
        <row r="99">
          <cell r="C99">
            <v>165</v>
          </cell>
          <cell r="D99">
            <v>351</v>
          </cell>
        </row>
        <row r="100">
          <cell r="C100">
            <v>0</v>
          </cell>
          <cell r="D100">
            <v>0</v>
          </cell>
        </row>
        <row r="101">
          <cell r="C101">
            <v>0</v>
          </cell>
          <cell r="D101">
            <v>0</v>
          </cell>
        </row>
        <row r="102">
          <cell r="C102">
            <v>0</v>
          </cell>
          <cell r="D102">
            <v>0</v>
          </cell>
        </row>
        <row r="103">
          <cell r="C103">
            <v>0</v>
          </cell>
          <cell r="D103">
            <v>0</v>
          </cell>
        </row>
        <row r="104">
          <cell r="C104">
            <v>0</v>
          </cell>
          <cell r="D104">
            <v>0</v>
          </cell>
        </row>
        <row r="105">
          <cell r="C105">
            <v>0</v>
          </cell>
          <cell r="D105">
            <v>0</v>
          </cell>
        </row>
        <row r="106">
          <cell r="C106">
            <v>0</v>
          </cell>
          <cell r="D106">
            <v>0</v>
          </cell>
        </row>
        <row r="107">
          <cell r="C107">
            <v>165</v>
          </cell>
          <cell r="D107">
            <v>351</v>
          </cell>
        </row>
        <row r="108">
          <cell r="C108">
            <v>0</v>
          </cell>
          <cell r="D108">
            <v>0</v>
          </cell>
        </row>
        <row r="109">
          <cell r="C109">
            <v>0</v>
          </cell>
          <cell r="D109">
            <v>0</v>
          </cell>
        </row>
        <row r="110">
          <cell r="C110">
            <v>0</v>
          </cell>
          <cell r="D110">
            <v>0</v>
          </cell>
        </row>
        <row r="111">
          <cell r="C111">
            <v>0</v>
          </cell>
          <cell r="D111">
            <v>0</v>
          </cell>
        </row>
        <row r="112">
          <cell r="C112">
            <v>0</v>
          </cell>
          <cell r="D112">
            <v>0</v>
          </cell>
        </row>
        <row r="113">
          <cell r="C113">
            <v>0</v>
          </cell>
          <cell r="D113">
            <v>0</v>
          </cell>
        </row>
        <row r="114">
          <cell r="C114">
            <v>0</v>
          </cell>
          <cell r="D114">
            <v>0</v>
          </cell>
        </row>
        <row r="115">
          <cell r="C115">
            <v>0</v>
          </cell>
          <cell r="D115">
            <v>0</v>
          </cell>
        </row>
        <row r="116">
          <cell r="C116">
            <v>0</v>
          </cell>
          <cell r="D116">
            <v>0</v>
          </cell>
        </row>
        <row r="117">
          <cell r="C117">
            <v>0</v>
          </cell>
        </row>
        <row r="118">
          <cell r="C118">
            <v>0</v>
          </cell>
          <cell r="D118">
            <v>0</v>
          </cell>
        </row>
        <row r="119">
          <cell r="C119">
            <v>0</v>
          </cell>
          <cell r="D119">
            <v>0</v>
          </cell>
        </row>
        <row r="120">
          <cell r="C120">
            <v>0</v>
          </cell>
          <cell r="D120">
            <v>0</v>
          </cell>
        </row>
        <row r="121">
          <cell r="C121">
            <v>0</v>
          </cell>
          <cell r="D121">
            <v>0</v>
          </cell>
        </row>
        <row r="122">
          <cell r="C122">
            <v>0</v>
          </cell>
          <cell r="D122">
            <v>0</v>
          </cell>
        </row>
        <row r="123">
          <cell r="C123">
            <v>0</v>
          </cell>
          <cell r="D123">
            <v>0</v>
          </cell>
        </row>
        <row r="124">
          <cell r="C124">
            <v>0</v>
          </cell>
          <cell r="D124">
            <v>0</v>
          </cell>
        </row>
        <row r="125">
          <cell r="C125">
            <v>0</v>
          </cell>
          <cell r="D125">
            <v>0</v>
          </cell>
        </row>
        <row r="126">
          <cell r="C126">
            <v>0</v>
          </cell>
          <cell r="D126">
            <v>0</v>
          </cell>
        </row>
        <row r="127">
          <cell r="C127">
            <v>0</v>
          </cell>
          <cell r="D127">
            <v>0</v>
          </cell>
        </row>
        <row r="128">
          <cell r="C128">
            <v>0</v>
          </cell>
          <cell r="D128">
            <v>0</v>
          </cell>
        </row>
        <row r="129">
          <cell r="C129">
            <v>0</v>
          </cell>
          <cell r="D129">
            <v>0</v>
          </cell>
        </row>
        <row r="130">
          <cell r="C130">
            <v>0</v>
          </cell>
          <cell r="D130">
            <v>0</v>
          </cell>
        </row>
        <row r="131">
          <cell r="C131">
            <v>0</v>
          </cell>
          <cell r="D131">
            <v>0</v>
          </cell>
        </row>
        <row r="132">
          <cell r="C132">
            <v>0</v>
          </cell>
          <cell r="D132">
            <v>0</v>
          </cell>
        </row>
        <row r="133">
          <cell r="C133">
            <v>0</v>
          </cell>
          <cell r="D133">
            <v>0</v>
          </cell>
        </row>
        <row r="134">
          <cell r="C134">
            <v>0</v>
          </cell>
          <cell r="D134">
            <v>0</v>
          </cell>
        </row>
        <row r="135">
          <cell r="C135">
            <v>0</v>
          </cell>
          <cell r="D135">
            <v>0</v>
          </cell>
        </row>
        <row r="136">
          <cell r="C136">
            <v>0</v>
          </cell>
          <cell r="D136">
            <v>0</v>
          </cell>
        </row>
        <row r="137">
          <cell r="C137">
            <v>0</v>
          </cell>
          <cell r="D137">
            <v>0</v>
          </cell>
        </row>
        <row r="138">
          <cell r="C138">
            <v>0</v>
          </cell>
          <cell r="D138">
            <v>0</v>
          </cell>
        </row>
        <row r="139">
          <cell r="C139">
            <v>0</v>
          </cell>
          <cell r="D139">
            <v>0</v>
          </cell>
        </row>
        <row r="140">
          <cell r="C140">
            <v>0</v>
          </cell>
          <cell r="D140">
            <v>0</v>
          </cell>
        </row>
        <row r="141">
          <cell r="C141">
            <v>0</v>
          </cell>
          <cell r="D141">
            <v>0</v>
          </cell>
        </row>
        <row r="142">
          <cell r="C142">
            <v>0</v>
          </cell>
          <cell r="D142">
            <v>0</v>
          </cell>
        </row>
        <row r="143">
          <cell r="C143">
            <v>0</v>
          </cell>
          <cell r="D143">
            <v>0</v>
          </cell>
        </row>
        <row r="144">
          <cell r="C144">
            <v>0</v>
          </cell>
          <cell r="D144">
            <v>0</v>
          </cell>
        </row>
        <row r="145">
          <cell r="C145">
            <v>0</v>
          </cell>
          <cell r="D145">
            <v>0</v>
          </cell>
        </row>
        <row r="146">
          <cell r="C146">
            <v>0</v>
          </cell>
          <cell r="D146">
            <v>0</v>
          </cell>
        </row>
        <row r="147">
          <cell r="C147">
            <v>0</v>
          </cell>
          <cell r="D147">
            <v>0</v>
          </cell>
        </row>
        <row r="148">
          <cell r="C148">
            <v>0</v>
          </cell>
          <cell r="D148">
            <v>0</v>
          </cell>
        </row>
        <row r="149">
          <cell r="C149">
            <v>0</v>
          </cell>
          <cell r="D149">
            <v>0</v>
          </cell>
        </row>
        <row r="150">
          <cell r="C150">
            <v>0</v>
          </cell>
          <cell r="D150">
            <v>0</v>
          </cell>
        </row>
        <row r="151">
          <cell r="C151">
            <v>0</v>
          </cell>
          <cell r="D151">
            <v>0</v>
          </cell>
        </row>
        <row r="152">
          <cell r="C152">
            <v>0</v>
          </cell>
          <cell r="D152">
            <v>0</v>
          </cell>
        </row>
        <row r="153">
          <cell r="C153">
            <v>60007</v>
          </cell>
          <cell r="D153">
            <v>59059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mesz műk.felh önként"/>
      <sheetName val="gond.műk.felh. önként"/>
      <sheetName val="műv.műk.felh önként"/>
      <sheetName val="gamesz műk.felh kötelező"/>
      <sheetName val="gond.műk.felh.kötelező"/>
      <sheetName val="műv.műk.felh kötelező"/>
      <sheetName val="beruh.felúj"/>
      <sheetName val="BEV-KIA"/>
      <sheetName val="gamesz bev"/>
      <sheetName val="gond.bev"/>
      <sheetName val="műv.bev"/>
      <sheetName val="gamesz kia"/>
      <sheetName val="gond.kia"/>
      <sheetName val="műv.kia"/>
    </sheetNames>
    <sheetDataSet>
      <sheetData sheetId="0">
        <row r="6">
          <cell r="M6">
            <v>999</v>
          </cell>
          <cell r="N6">
            <v>974</v>
          </cell>
        </row>
        <row r="7">
          <cell r="M7">
            <v>270</v>
          </cell>
          <cell r="N7">
            <v>263</v>
          </cell>
        </row>
        <row r="8">
          <cell r="M8">
            <v>2726</v>
          </cell>
          <cell r="N8">
            <v>2747</v>
          </cell>
        </row>
        <row r="15">
          <cell r="F15">
            <v>160</v>
          </cell>
          <cell r="G15">
            <v>159</v>
          </cell>
        </row>
        <row r="17">
          <cell r="F17">
            <v>600</v>
          </cell>
          <cell r="G17">
            <v>590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5.875" style="2" customWidth="1"/>
    <col min="2" max="2" width="42.875" style="2" customWidth="1"/>
    <col min="3" max="3" width="9.625" style="3" bestFit="1" customWidth="1"/>
    <col min="4" max="4" width="10.00390625" style="3" customWidth="1"/>
    <col min="5" max="5" width="9.125" style="3" customWidth="1"/>
    <col min="6" max="6" width="7.25390625" style="1" customWidth="1"/>
    <col min="7" max="16384" width="9.125" style="2" customWidth="1"/>
  </cols>
  <sheetData>
    <row r="1" spans="1:5" ht="15">
      <c r="A1" s="1902" t="s">
        <v>5266</v>
      </c>
      <c r="B1" s="1902"/>
      <c r="C1" s="1902"/>
      <c r="D1" s="1903"/>
      <c r="E1" s="1903"/>
    </row>
    <row r="2" spans="1:5" ht="15">
      <c r="A2" s="1904" t="s">
        <v>4019</v>
      </c>
      <c r="B2" s="1904"/>
      <c r="C2" s="1904"/>
      <c r="D2" s="1905"/>
      <c r="E2" s="1905"/>
    </row>
    <row r="3" spans="1:3" ht="15">
      <c r="A3" s="1906" t="s">
        <v>4020</v>
      </c>
      <c r="B3" s="1906"/>
      <c r="C3" s="1906"/>
    </row>
    <row r="4" spans="1:6" ht="15.75" thickBot="1">
      <c r="A4" s="1907" t="s">
        <v>4021</v>
      </c>
      <c r="B4" s="1907"/>
      <c r="C4" s="1908" t="s">
        <v>4022</v>
      </c>
      <c r="D4" s="1908"/>
      <c r="E4" s="1908"/>
      <c r="F4" s="1908"/>
    </row>
    <row r="5" spans="1:6" ht="15">
      <c r="A5" s="1909" t="s">
        <v>4023</v>
      </c>
      <c r="B5" s="1911" t="s">
        <v>4024</v>
      </c>
      <c r="C5" s="1913" t="s">
        <v>4025</v>
      </c>
      <c r="D5" s="1913"/>
      <c r="E5" s="1914"/>
      <c r="F5" s="1915" t="s">
        <v>4026</v>
      </c>
    </row>
    <row r="6" spans="1:6" ht="23.25" thickBot="1">
      <c r="A6" s="1910"/>
      <c r="B6" s="1912"/>
      <c r="C6" s="1645" t="s">
        <v>4027</v>
      </c>
      <c r="D6" s="1645" t="s">
        <v>4028</v>
      </c>
      <c r="E6" s="1646" t="s">
        <v>4220</v>
      </c>
      <c r="F6" s="1916"/>
    </row>
    <row r="7" spans="1:6" ht="15.75" thickBot="1">
      <c r="A7" s="4">
        <v>1</v>
      </c>
      <c r="B7" s="5">
        <v>2</v>
      </c>
      <c r="C7" s="1681">
        <v>3</v>
      </c>
      <c r="D7" s="1681">
        <v>4</v>
      </c>
      <c r="E7" s="1682">
        <v>5</v>
      </c>
      <c r="F7" s="1683">
        <v>6</v>
      </c>
    </row>
    <row r="8" spans="1:6" ht="15.75" thickBot="1">
      <c r="A8" s="6" t="s">
        <v>4029</v>
      </c>
      <c r="B8" s="7" t="s">
        <v>4030</v>
      </c>
      <c r="C8" s="155">
        <f>+C9+C14+C23</f>
        <v>501095</v>
      </c>
      <c r="D8" s="155">
        <f>+D9+D14+D23</f>
        <v>208839</v>
      </c>
      <c r="E8" s="155">
        <f>+E9+E14+E23</f>
        <v>235153</v>
      </c>
      <c r="F8" s="53">
        <f>E8/D8*100</f>
        <v>112.60013694760079</v>
      </c>
    </row>
    <row r="9" spans="1:7" ht="15.75" thickBot="1">
      <c r="A9" s="9" t="s">
        <v>4031</v>
      </c>
      <c r="B9" s="10" t="s">
        <v>4032</v>
      </c>
      <c r="C9" s="156">
        <f>+C10+C11+C12+C13</f>
        <v>122898</v>
      </c>
      <c r="D9" s="156">
        <f>+D10+D11+D12+D13</f>
        <v>116410</v>
      </c>
      <c r="E9" s="156">
        <f>+E10+E11+E12+E13</f>
        <v>121978</v>
      </c>
      <c r="F9" s="11">
        <f aca="true" t="shared" si="0" ref="F9:F70">E9/D9*100</f>
        <v>104.78309423589039</v>
      </c>
      <c r="G9" s="12"/>
    </row>
    <row r="10" spans="1:6" ht="15">
      <c r="A10" s="13" t="s">
        <v>4033</v>
      </c>
      <c r="B10" s="14" t="s">
        <v>4034</v>
      </c>
      <c r="C10" s="15">
        <v>113000</v>
      </c>
      <c r="D10" s="16">
        <v>113000</v>
      </c>
      <c r="E10" s="17">
        <v>114214</v>
      </c>
      <c r="F10" s="18">
        <f t="shared" si="0"/>
        <v>101.07433628318586</v>
      </c>
    </row>
    <row r="11" spans="1:6" ht="15">
      <c r="A11" s="13" t="s">
        <v>4035</v>
      </c>
      <c r="B11" s="19" t="s">
        <v>4036</v>
      </c>
      <c r="C11" s="15"/>
      <c r="D11" s="16"/>
      <c r="E11" s="17">
        <f>'[1]BEV-KIA'!F9</f>
        <v>0</v>
      </c>
      <c r="F11" s="20"/>
    </row>
    <row r="12" spans="1:6" ht="15">
      <c r="A12" s="13" t="s">
        <v>4037</v>
      </c>
      <c r="B12" s="19" t="s">
        <v>4038</v>
      </c>
      <c r="C12" s="15">
        <v>1000</v>
      </c>
      <c r="D12" s="16">
        <v>1000</v>
      </c>
      <c r="E12" s="17">
        <v>1213</v>
      </c>
      <c r="F12" s="20">
        <f t="shared" si="0"/>
        <v>121.30000000000001</v>
      </c>
    </row>
    <row r="13" spans="1:6" ht="15.75" thickBot="1">
      <c r="A13" s="13" t="s">
        <v>4039</v>
      </c>
      <c r="B13" s="21" t="s">
        <v>4040</v>
      </c>
      <c r="C13" s="15">
        <f>4444+2044+2410</f>
        <v>8898</v>
      </c>
      <c r="D13" s="16">
        <v>2410</v>
      </c>
      <c r="E13" s="17">
        <v>6551</v>
      </c>
      <c r="F13" s="11">
        <f t="shared" si="0"/>
        <v>271.82572614107886</v>
      </c>
    </row>
    <row r="14" spans="1:6" ht="15.75" thickBot="1">
      <c r="A14" s="9" t="s">
        <v>4041</v>
      </c>
      <c r="B14" s="7" t="s">
        <v>4042</v>
      </c>
      <c r="C14" s="22">
        <f>+C15+C16+C17+C18+C19+C20+C21+C22</f>
        <v>366197</v>
      </c>
      <c r="D14" s="22">
        <f>D15+D16+D17+D18+D19+D20+D21+D22</f>
        <v>80429</v>
      </c>
      <c r="E14" s="23">
        <f>+E15+E16+E17+E18+E19+E20+E21+E22</f>
        <v>102048</v>
      </c>
      <c r="F14" s="8">
        <f t="shared" si="0"/>
        <v>126.8796081015554</v>
      </c>
    </row>
    <row r="15" spans="1:6" ht="15">
      <c r="A15" s="24" t="s">
        <v>4043</v>
      </c>
      <c r="B15" s="25" t="s">
        <v>4044</v>
      </c>
      <c r="C15" s="26"/>
      <c r="D15" s="16">
        <f>3783</f>
        <v>3783</v>
      </c>
      <c r="E15" s="17">
        <v>3762</v>
      </c>
      <c r="F15" s="18">
        <f t="shared" si="0"/>
        <v>99.44488501189532</v>
      </c>
    </row>
    <row r="16" spans="1:6" ht="15">
      <c r="A16" s="13" t="s">
        <v>4045</v>
      </c>
      <c r="B16" s="27" t="s">
        <v>4046</v>
      </c>
      <c r="C16" s="28"/>
      <c r="D16" s="16">
        <v>6076</v>
      </c>
      <c r="E16" s="17">
        <v>6080</v>
      </c>
      <c r="F16" s="18">
        <f>E16/D16*100</f>
        <v>100.06583278472681</v>
      </c>
    </row>
    <row r="17" spans="1:7" ht="15">
      <c r="A17" s="13" t="s">
        <v>4047</v>
      </c>
      <c r="B17" s="27" t="s">
        <v>4048</v>
      </c>
      <c r="C17" s="28"/>
      <c r="D17" s="16">
        <v>15242</v>
      </c>
      <c r="E17" s="17">
        <v>14283</v>
      </c>
      <c r="F17" s="18">
        <f>E17/D17*100</f>
        <v>93.70817478021257</v>
      </c>
      <c r="G17" s="29"/>
    </row>
    <row r="18" spans="1:6" ht="15">
      <c r="A18" s="13" t="s">
        <v>4049</v>
      </c>
      <c r="B18" s="27" t="s">
        <v>4050</v>
      </c>
      <c r="C18" s="28">
        <v>26000</v>
      </c>
      <c r="D18" s="16">
        <v>41153</v>
      </c>
      <c r="E18" s="17">
        <v>41209</v>
      </c>
      <c r="F18" s="18">
        <f>E18/D18*100</f>
        <v>100.13607756421159</v>
      </c>
    </row>
    <row r="19" spans="1:6" ht="15">
      <c r="A19" s="30" t="s">
        <v>4051</v>
      </c>
      <c r="B19" s="31" t="s">
        <v>4052</v>
      </c>
      <c r="C19" s="32"/>
      <c r="D19" s="16"/>
      <c r="E19" s="17">
        <f>'[1]BEV-KIA'!F17+'[1]BEV-KIA'!F122+'[1]BEV-KIA'!F176+'[1]BEV-KIA'!F230+'[1]BEV-KIA'!F284+'[1]BEV-KIA'!F338</f>
        <v>0</v>
      </c>
      <c r="F19" s="18"/>
    </row>
    <row r="20" spans="1:6" ht="15">
      <c r="A20" s="13" t="s">
        <v>4053</v>
      </c>
      <c r="B20" s="27" t="s">
        <v>4054</v>
      </c>
      <c r="C20" s="28">
        <f>762+303573+106</f>
        <v>304441</v>
      </c>
      <c r="D20" s="16">
        <v>7317</v>
      </c>
      <c r="E20" s="17">
        <v>9579</v>
      </c>
      <c r="F20" s="18">
        <f>E20/D20*100</f>
        <v>130.91430914309143</v>
      </c>
    </row>
    <row r="21" spans="1:6" ht="15">
      <c r="A21" s="13" t="s">
        <v>4055</v>
      </c>
      <c r="B21" s="27" t="s">
        <v>4056</v>
      </c>
      <c r="C21" s="28">
        <v>1400</v>
      </c>
      <c r="D21" s="16">
        <v>2868</v>
      </c>
      <c r="E21" s="17">
        <f>1+2926</f>
        <v>2927</v>
      </c>
      <c r="F21" s="20">
        <f t="shared" si="0"/>
        <v>102.05718270571826</v>
      </c>
    </row>
    <row r="22" spans="1:6" ht="15.75" thickBot="1">
      <c r="A22" s="33" t="s">
        <v>4057</v>
      </c>
      <c r="B22" s="34" t="s">
        <v>4058</v>
      </c>
      <c r="C22" s="35">
        <v>34356</v>
      </c>
      <c r="D22" s="36">
        <v>3990</v>
      </c>
      <c r="E22" s="17">
        <f>80+24128</f>
        <v>24208</v>
      </c>
      <c r="F22" s="20">
        <f t="shared" si="0"/>
        <v>606.7167919799498</v>
      </c>
    </row>
    <row r="23" spans="1:6" ht="15.75" thickBot="1">
      <c r="A23" s="9" t="s">
        <v>4059</v>
      </c>
      <c r="B23" s="7" t="s">
        <v>4060</v>
      </c>
      <c r="C23" s="37">
        <v>12000</v>
      </c>
      <c r="D23" s="38">
        <v>12000</v>
      </c>
      <c r="E23" s="39">
        <v>11127</v>
      </c>
      <c r="F23" s="40">
        <f t="shared" si="0"/>
        <v>92.72500000000001</v>
      </c>
    </row>
    <row r="24" spans="1:7" ht="15.75" thickBot="1">
      <c r="A24" s="9" t="s">
        <v>4061</v>
      </c>
      <c r="B24" s="7" t="s">
        <v>4062</v>
      </c>
      <c r="C24" s="22">
        <f>SUM(C25:C32)</f>
        <v>310070</v>
      </c>
      <c r="D24" s="22">
        <f>SUM(D25:D32)</f>
        <v>462724</v>
      </c>
      <c r="E24" s="23">
        <f>SUM(E25:E32)</f>
        <v>462724</v>
      </c>
      <c r="F24" s="8">
        <f t="shared" si="0"/>
        <v>100</v>
      </c>
      <c r="G24" s="12"/>
    </row>
    <row r="25" spans="1:6" ht="15">
      <c r="A25" s="1644" t="s">
        <v>4063</v>
      </c>
      <c r="B25" s="157" t="s">
        <v>4234</v>
      </c>
      <c r="C25" s="41">
        <v>128635</v>
      </c>
      <c r="D25" s="16">
        <v>128636</v>
      </c>
      <c r="E25" s="42">
        <v>128636</v>
      </c>
      <c r="F25" s="18">
        <f t="shared" si="0"/>
        <v>100</v>
      </c>
    </row>
    <row r="26" spans="1:6" ht="23.25">
      <c r="A26" s="1644" t="s">
        <v>4064</v>
      </c>
      <c r="B26" s="160" t="s">
        <v>4235</v>
      </c>
      <c r="C26" s="28">
        <v>86156</v>
      </c>
      <c r="D26" s="16">
        <v>88171</v>
      </c>
      <c r="E26" s="42">
        <v>88171</v>
      </c>
      <c r="F26" s="20">
        <f t="shared" si="0"/>
        <v>100</v>
      </c>
    </row>
    <row r="27" spans="1:6" ht="23.25">
      <c r="A27" s="1644" t="s">
        <v>4065</v>
      </c>
      <c r="B27" s="160" t="s">
        <v>662</v>
      </c>
      <c r="C27" s="28">
        <v>88583</v>
      </c>
      <c r="D27" s="16">
        <v>180215</v>
      </c>
      <c r="E27" s="42">
        <v>180215</v>
      </c>
      <c r="F27" s="20">
        <f t="shared" si="0"/>
        <v>100</v>
      </c>
    </row>
    <row r="28" spans="1:6" ht="15">
      <c r="A28" s="1644" t="s">
        <v>4066</v>
      </c>
      <c r="B28" s="161" t="s">
        <v>661</v>
      </c>
      <c r="C28" s="43">
        <v>6220</v>
      </c>
      <c r="D28" s="16">
        <v>6220</v>
      </c>
      <c r="E28" s="42">
        <v>6220</v>
      </c>
      <c r="F28" s="20">
        <f t="shared" si="0"/>
        <v>100</v>
      </c>
    </row>
    <row r="29" spans="1:6" ht="15">
      <c r="A29" s="13" t="s">
        <v>4067</v>
      </c>
      <c r="B29" s="27" t="s">
        <v>4068</v>
      </c>
      <c r="C29" s="44">
        <v>476</v>
      </c>
      <c r="D29" s="158">
        <v>12984</v>
      </c>
      <c r="E29" s="159">
        <v>12984</v>
      </c>
      <c r="F29" s="20">
        <f t="shared" si="0"/>
        <v>100</v>
      </c>
    </row>
    <row r="30" spans="1:6" ht="15">
      <c r="A30" s="45" t="s">
        <v>4069</v>
      </c>
      <c r="B30" s="27" t="s">
        <v>664</v>
      </c>
      <c r="C30" s="44"/>
      <c r="D30" s="16">
        <v>16962</v>
      </c>
      <c r="E30" s="42">
        <v>16962</v>
      </c>
      <c r="F30" s="20">
        <f t="shared" si="0"/>
        <v>100</v>
      </c>
    </row>
    <row r="31" spans="1:6" ht="15">
      <c r="A31" s="13" t="s">
        <v>4071</v>
      </c>
      <c r="B31" s="27" t="s">
        <v>663</v>
      </c>
      <c r="C31" s="46"/>
      <c r="D31" s="16">
        <v>13900</v>
      </c>
      <c r="E31" s="42">
        <v>13900</v>
      </c>
      <c r="F31" s="20">
        <f t="shared" si="0"/>
        <v>100</v>
      </c>
    </row>
    <row r="32" spans="1:6" ht="15.75" thickBot="1">
      <c r="A32" s="13" t="s">
        <v>4072</v>
      </c>
      <c r="B32" s="47" t="s">
        <v>4073</v>
      </c>
      <c r="C32" s="48"/>
      <c r="D32" s="16">
        <v>15636</v>
      </c>
      <c r="E32" s="42">
        <v>15636</v>
      </c>
      <c r="F32" s="11">
        <f t="shared" si="0"/>
        <v>100</v>
      </c>
    </row>
    <row r="33" spans="1:6" ht="21.75" thickBot="1">
      <c r="A33" s="9" t="s">
        <v>4074</v>
      </c>
      <c r="B33" s="7" t="s">
        <v>4075</v>
      </c>
      <c r="C33" s="49">
        <f>C34+C40</f>
        <v>1095535</v>
      </c>
      <c r="D33" s="49">
        <f>D34+D40</f>
        <v>254197</v>
      </c>
      <c r="E33" s="50">
        <f>E34+E40</f>
        <v>250558</v>
      </c>
      <c r="F33" s="8">
        <f t="shared" si="0"/>
        <v>98.56843314437228</v>
      </c>
    </row>
    <row r="34" spans="1:7" ht="22.5">
      <c r="A34" s="24" t="s">
        <v>4076</v>
      </c>
      <c r="B34" s="51" t="s">
        <v>4077</v>
      </c>
      <c r="C34" s="52">
        <f>SUM(C35:C39)</f>
        <v>122371</v>
      </c>
      <c r="D34" s="52">
        <f>SUM(D35:D39)</f>
        <v>168057</v>
      </c>
      <c r="E34" s="1723">
        <f>SUM(E35:E39)</f>
        <v>171202</v>
      </c>
      <c r="F34" s="53">
        <f t="shared" si="0"/>
        <v>101.871388874013</v>
      </c>
      <c r="G34" s="12"/>
    </row>
    <row r="35" spans="1:6" ht="15">
      <c r="A35" s="13" t="s">
        <v>4078</v>
      </c>
      <c r="B35" s="54" t="s">
        <v>4236</v>
      </c>
      <c r="C35" s="46">
        <v>16134</v>
      </c>
      <c r="D35" s="16">
        <v>17531</v>
      </c>
      <c r="E35" s="42">
        <v>17531</v>
      </c>
      <c r="F35" s="1680">
        <f t="shared" si="0"/>
        <v>100</v>
      </c>
    </row>
    <row r="36" spans="1:6" ht="15">
      <c r="A36" s="13" t="s">
        <v>4079</v>
      </c>
      <c r="B36" s="54" t="s">
        <v>655</v>
      </c>
      <c r="C36" s="55"/>
      <c r="D36" s="16"/>
      <c r="E36" s="42"/>
      <c r="F36" s="20"/>
    </row>
    <row r="37" spans="1:6" ht="15">
      <c r="A37" s="13" t="s">
        <v>4080</v>
      </c>
      <c r="B37" s="54" t="s">
        <v>656</v>
      </c>
      <c r="C37" s="46"/>
      <c r="D37" s="16"/>
      <c r="E37" s="17"/>
      <c r="F37" s="20"/>
    </row>
    <row r="38" spans="1:6" ht="15">
      <c r="A38" s="13" t="s">
        <v>4081</v>
      </c>
      <c r="B38" s="54" t="s">
        <v>657</v>
      </c>
      <c r="C38" s="46"/>
      <c r="D38" s="16"/>
      <c r="E38" s="17"/>
      <c r="F38" s="20"/>
    </row>
    <row r="39" spans="1:6" ht="15">
      <c r="A39" s="13" t="s">
        <v>4082</v>
      </c>
      <c r="B39" s="54" t="s">
        <v>658</v>
      </c>
      <c r="C39" s="46">
        <v>106237</v>
      </c>
      <c r="D39" s="16">
        <v>150526</v>
      </c>
      <c r="E39" s="17">
        <f>563+148687+1783+2638+E48</f>
        <v>153671</v>
      </c>
      <c r="F39" s="20">
        <f t="shared" si="0"/>
        <v>102.08934004756654</v>
      </c>
    </row>
    <row r="40" spans="1:6" ht="22.5">
      <c r="A40" s="13" t="s">
        <v>4083</v>
      </c>
      <c r="B40" s="56" t="s">
        <v>4084</v>
      </c>
      <c r="C40" s="57">
        <f>SUM(C41:C45)</f>
        <v>973164</v>
      </c>
      <c r="D40" s="57">
        <f>SUM(D41:D45)</f>
        <v>86140</v>
      </c>
      <c r="E40" s="58">
        <f>SUM(E41:E45)</f>
        <v>79356</v>
      </c>
      <c r="F40" s="20">
        <f t="shared" si="0"/>
        <v>92.12444857209195</v>
      </c>
    </row>
    <row r="41" spans="1:6" ht="15">
      <c r="A41" s="13" t="s">
        <v>4085</v>
      </c>
      <c r="B41" s="54" t="s">
        <v>4236</v>
      </c>
      <c r="C41" s="48"/>
      <c r="D41" s="16"/>
      <c r="E41" s="17"/>
      <c r="F41" s="20"/>
    </row>
    <row r="42" spans="1:6" ht="15">
      <c r="A42" s="13" t="s">
        <v>4086</v>
      </c>
      <c r="B42" s="54" t="s">
        <v>655</v>
      </c>
      <c r="C42" s="59"/>
      <c r="D42" s="16"/>
      <c r="E42" s="17"/>
      <c r="F42" s="20"/>
    </row>
    <row r="43" spans="1:6" ht="15">
      <c r="A43" s="13" t="s">
        <v>4087</v>
      </c>
      <c r="B43" s="54" t="s">
        <v>656</v>
      </c>
      <c r="C43" s="28"/>
      <c r="D43" s="16"/>
      <c r="E43" s="17"/>
      <c r="F43" s="20"/>
    </row>
    <row r="44" spans="1:6" ht="15">
      <c r="A44" s="13" t="s">
        <v>4088</v>
      </c>
      <c r="B44" s="60" t="s">
        <v>402</v>
      </c>
      <c r="C44" s="41"/>
      <c r="D44" s="16">
        <v>3480</v>
      </c>
      <c r="E44" s="17"/>
      <c r="F44" s="20"/>
    </row>
    <row r="45" spans="1:6" ht="15.75" thickBot="1">
      <c r="A45" s="45" t="s">
        <v>4089</v>
      </c>
      <c r="B45" s="61" t="s">
        <v>660</v>
      </c>
      <c r="C45" s="62">
        <v>973164</v>
      </c>
      <c r="D45" s="16">
        <f>20396+62264</f>
        <v>82660</v>
      </c>
      <c r="E45" s="17">
        <f>22101+57255</f>
        <v>79356</v>
      </c>
      <c r="F45" s="11">
        <f t="shared" si="0"/>
        <v>96.00290345995644</v>
      </c>
    </row>
    <row r="46" spans="1:6" ht="21.75" thickBot="1">
      <c r="A46" s="9" t="s">
        <v>4090</v>
      </c>
      <c r="B46" s="63" t="s">
        <v>668</v>
      </c>
      <c r="C46" s="49">
        <f>C47+C49</f>
        <v>130244</v>
      </c>
      <c r="D46" s="49">
        <f>D47+D49+D48</f>
        <v>8239</v>
      </c>
      <c r="E46" s="49">
        <f>E47+E49+E48</f>
        <v>5284</v>
      </c>
      <c r="F46" s="8">
        <f t="shared" si="0"/>
        <v>64.13399684427722</v>
      </c>
    </row>
    <row r="47" spans="1:6" ht="22.5">
      <c r="A47" s="65" t="s">
        <v>4091</v>
      </c>
      <c r="B47" s="19" t="s">
        <v>4092</v>
      </c>
      <c r="C47" s="66">
        <v>400</v>
      </c>
      <c r="D47" s="16">
        <v>579</v>
      </c>
      <c r="E47" s="17">
        <v>1284</v>
      </c>
      <c r="F47" s="18">
        <f t="shared" si="0"/>
        <v>221.76165803108807</v>
      </c>
    </row>
    <row r="48" spans="1:6" ht="15">
      <c r="A48" s="165" t="s">
        <v>666</v>
      </c>
      <c r="B48" s="166" t="s">
        <v>665</v>
      </c>
      <c r="C48" s="168"/>
      <c r="D48" s="16">
        <v>1500</v>
      </c>
      <c r="E48" s="17"/>
      <c r="F48" s="167"/>
    </row>
    <row r="49" spans="1:6" ht="23.25" thickBot="1">
      <c r="A49" s="30" t="s">
        <v>667</v>
      </c>
      <c r="B49" s="67" t="s">
        <v>4093</v>
      </c>
      <c r="C49" s="68">
        <v>129844</v>
      </c>
      <c r="D49" s="16">
        <f>7480+2160-3480</f>
        <v>6160</v>
      </c>
      <c r="E49" s="17">
        <v>4000</v>
      </c>
      <c r="F49" s="11">
        <f t="shared" si="0"/>
        <v>64.93506493506493</v>
      </c>
    </row>
    <row r="50" spans="1:6" ht="15.75" thickBot="1">
      <c r="A50" s="9" t="s">
        <v>4094</v>
      </c>
      <c r="B50" s="63" t="s">
        <v>4095</v>
      </c>
      <c r="C50" s="69">
        <f>C52</f>
        <v>0</v>
      </c>
      <c r="D50" s="69">
        <f>D51+D53+D52</f>
        <v>33256</v>
      </c>
      <c r="E50" s="69">
        <f>E51+E53</f>
        <v>28881</v>
      </c>
      <c r="F50" s="11">
        <f>E50/D50*100</f>
        <v>86.8444791917248</v>
      </c>
    </row>
    <row r="51" spans="1:6" ht="22.5">
      <c r="A51" s="65" t="s">
        <v>4096</v>
      </c>
      <c r="B51" s="19" t="s">
        <v>4097</v>
      </c>
      <c r="C51" s="70"/>
      <c r="D51" s="16">
        <v>28808</v>
      </c>
      <c r="E51" s="17">
        <v>28863</v>
      </c>
      <c r="F51" s="18">
        <f>E51/D51*100</f>
        <v>100.19091918911414</v>
      </c>
    </row>
    <row r="52" spans="1:6" ht="15">
      <c r="A52" s="13" t="s">
        <v>4098</v>
      </c>
      <c r="B52" s="54" t="s">
        <v>4099</v>
      </c>
      <c r="C52" s="71"/>
      <c r="D52" s="16">
        <v>4430</v>
      </c>
      <c r="E52" s="17"/>
      <c r="F52" s="18"/>
    </row>
    <row r="53" spans="1:6" ht="15.75" thickBot="1">
      <c r="A53" s="30" t="s">
        <v>4100</v>
      </c>
      <c r="B53" s="67" t="s">
        <v>4101</v>
      </c>
      <c r="C53" s="72"/>
      <c r="D53" s="16">
        <v>18</v>
      </c>
      <c r="E53" s="17">
        <v>18</v>
      </c>
      <c r="F53" s="92">
        <f>E53/D53*100</f>
        <v>100</v>
      </c>
    </row>
    <row r="54" spans="1:6" ht="15.75" thickBot="1">
      <c r="A54" s="9" t="s">
        <v>4102</v>
      </c>
      <c r="B54" s="73" t="s">
        <v>4103</v>
      </c>
      <c r="C54" s="49">
        <f>C8+C24+C33+C46+C50</f>
        <v>2036944</v>
      </c>
      <c r="D54" s="49">
        <f>D8+D24+D33+D46+D50</f>
        <v>967255</v>
      </c>
      <c r="E54" s="64">
        <f>E8+E24+E33+E46+E50</f>
        <v>982600</v>
      </c>
      <c r="F54" s="40">
        <f t="shared" si="0"/>
        <v>101.58644824787673</v>
      </c>
    </row>
    <row r="55" spans="1:6" ht="15.75" thickBot="1">
      <c r="A55" s="74">
        <v>10</v>
      </c>
      <c r="B55" s="10" t="s">
        <v>4104</v>
      </c>
      <c r="C55" s="75">
        <f>+C56+C62</f>
        <v>82970</v>
      </c>
      <c r="D55" s="75">
        <f>+D56+D62</f>
        <v>64091</v>
      </c>
      <c r="E55" s="76">
        <f>+E56+E62</f>
        <v>64091</v>
      </c>
      <c r="F55" s="11">
        <f t="shared" si="0"/>
        <v>100</v>
      </c>
    </row>
    <row r="56" spans="1:6" ht="15">
      <c r="A56" s="77" t="s">
        <v>4105</v>
      </c>
      <c r="B56" s="78" t="s">
        <v>4106</v>
      </c>
      <c r="C56" s="79">
        <f>SUM(C57:C61)</f>
        <v>23881</v>
      </c>
      <c r="D56" s="79">
        <f>SUM(D57:D61)</f>
        <v>64091</v>
      </c>
      <c r="E56" s="80">
        <f>SUM(E57:E61)</f>
        <v>64091</v>
      </c>
      <c r="F56" s="18">
        <f t="shared" si="0"/>
        <v>100</v>
      </c>
    </row>
    <row r="57" spans="1:6" ht="15">
      <c r="A57" s="81" t="s">
        <v>4107</v>
      </c>
      <c r="B57" s="54" t="s">
        <v>4108</v>
      </c>
      <c r="C57" s="44">
        <v>23881</v>
      </c>
      <c r="D57" s="16">
        <v>64091</v>
      </c>
      <c r="E57" s="17">
        <v>64091</v>
      </c>
      <c r="F57" s="20">
        <f t="shared" si="0"/>
        <v>100</v>
      </c>
    </row>
    <row r="58" spans="1:6" ht="15">
      <c r="A58" s="81" t="s">
        <v>4109</v>
      </c>
      <c r="B58" s="54" t="s">
        <v>4110</v>
      </c>
      <c r="C58" s="82"/>
      <c r="D58" s="16"/>
      <c r="E58" s="17"/>
      <c r="F58" s="20"/>
    </row>
    <row r="59" spans="1:6" ht="15">
      <c r="A59" s="81" t="s">
        <v>4111</v>
      </c>
      <c r="B59" s="54" t="s">
        <v>4112</v>
      </c>
      <c r="C59" s="44"/>
      <c r="D59" s="16"/>
      <c r="E59" s="17"/>
      <c r="F59" s="20"/>
    </row>
    <row r="60" spans="1:6" ht="15">
      <c r="A60" s="81" t="s">
        <v>4113</v>
      </c>
      <c r="B60" s="54" t="s">
        <v>4114</v>
      </c>
      <c r="C60" s="44"/>
      <c r="D60" s="16"/>
      <c r="E60" s="17"/>
      <c r="F60" s="20"/>
    </row>
    <row r="61" spans="1:6" ht="15">
      <c r="A61" s="81" t="s">
        <v>4115</v>
      </c>
      <c r="B61" s="54" t="s">
        <v>4116</v>
      </c>
      <c r="C61" s="44"/>
      <c r="D61" s="16"/>
      <c r="E61" s="17"/>
      <c r="F61" s="20"/>
    </row>
    <row r="62" spans="1:6" ht="22.5">
      <c r="A62" s="83" t="s">
        <v>4117</v>
      </c>
      <c r="B62" s="56" t="s">
        <v>4118</v>
      </c>
      <c r="C62" s="44">
        <f>SUM(C63:C66)</f>
        <v>59089</v>
      </c>
      <c r="D62" s="44">
        <f>SUM(D63:D66)</f>
        <v>0</v>
      </c>
      <c r="E62" s="58">
        <f>SUM(E63:E66)</f>
        <v>0</v>
      </c>
      <c r="F62" s="20"/>
    </row>
    <row r="63" spans="1:6" ht="15">
      <c r="A63" s="81" t="s">
        <v>4119</v>
      </c>
      <c r="B63" s="54" t="s">
        <v>4120</v>
      </c>
      <c r="C63" s="44">
        <v>59089</v>
      </c>
      <c r="D63" s="16">
        <v>0</v>
      </c>
      <c r="E63" s="17"/>
      <c r="F63" s="20"/>
    </row>
    <row r="64" spans="1:6" ht="15">
      <c r="A64" s="81" t="s">
        <v>4121</v>
      </c>
      <c r="B64" s="54" t="s">
        <v>4122</v>
      </c>
      <c r="C64" s="84"/>
      <c r="D64" s="16"/>
      <c r="E64" s="17"/>
      <c r="F64" s="20"/>
    </row>
    <row r="65" spans="1:6" ht="15">
      <c r="A65" s="81" t="s">
        <v>4123</v>
      </c>
      <c r="B65" s="54" t="s">
        <v>4124</v>
      </c>
      <c r="C65" s="85"/>
      <c r="D65" s="16"/>
      <c r="E65" s="17"/>
      <c r="F65" s="20"/>
    </row>
    <row r="66" spans="1:6" ht="15">
      <c r="A66" s="81" t="s">
        <v>4125</v>
      </c>
      <c r="B66" s="54" t="s">
        <v>4126</v>
      </c>
      <c r="C66" s="84">
        <f>+C64+C65</f>
        <v>0</v>
      </c>
      <c r="D66" s="16"/>
      <c r="E66" s="17"/>
      <c r="F66" s="20"/>
    </row>
    <row r="67" spans="1:6" ht="15.75" thickBot="1">
      <c r="A67" s="86" t="s">
        <v>4127</v>
      </c>
      <c r="B67" s="67" t="s">
        <v>4128</v>
      </c>
      <c r="C67" s="87"/>
      <c r="D67" s="16"/>
      <c r="E67" s="17"/>
      <c r="F67" s="11"/>
    </row>
    <row r="68" spans="1:6" ht="24.75" thickBot="1">
      <c r="A68" s="88" t="s">
        <v>4129</v>
      </c>
      <c r="B68" s="89" t="s">
        <v>4130</v>
      </c>
      <c r="C68" s="90">
        <f>C54+C55</f>
        <v>2119914</v>
      </c>
      <c r="D68" s="90">
        <f>D54+D55</f>
        <v>1031346</v>
      </c>
      <c r="E68" s="91">
        <f>E54+E55</f>
        <v>1046691</v>
      </c>
      <c r="F68" s="92">
        <f t="shared" si="0"/>
        <v>101.48786149362097</v>
      </c>
    </row>
    <row r="69" spans="1:6" ht="15.75" thickBot="1">
      <c r="A69" s="93">
        <v>12</v>
      </c>
      <c r="B69" s="94" t="s">
        <v>4131</v>
      </c>
      <c r="C69" s="95"/>
      <c r="D69" s="38"/>
      <c r="E69" s="39">
        <v>6230</v>
      </c>
      <c r="F69" s="40"/>
    </row>
    <row r="70" spans="1:7" ht="15.75" thickBot="1">
      <c r="A70" s="96">
        <v>13</v>
      </c>
      <c r="B70" s="89" t="s">
        <v>4132</v>
      </c>
      <c r="C70" s="97">
        <f>C68+C69</f>
        <v>2119914</v>
      </c>
      <c r="D70" s="97">
        <f>D68+D69</f>
        <v>1031346</v>
      </c>
      <c r="E70" s="98">
        <f>E68+E69</f>
        <v>1052921</v>
      </c>
      <c r="F70" s="11">
        <f t="shared" si="0"/>
        <v>102.09192647278411</v>
      </c>
      <c r="G70" s="12"/>
    </row>
    <row r="71" spans="1:6" ht="15.75">
      <c r="A71" s="99"/>
      <c r="B71" s="99"/>
      <c r="C71" s="100"/>
      <c r="F71" s="101"/>
    </row>
    <row r="72" spans="1:6" ht="15.75" thickBot="1">
      <c r="A72" s="1906" t="s">
        <v>4133</v>
      </c>
      <c r="B72" s="1906"/>
      <c r="C72" s="1906"/>
      <c r="D72" s="1922" t="s">
        <v>4022</v>
      </c>
      <c r="E72" s="1922"/>
      <c r="F72" s="1922"/>
    </row>
    <row r="73" spans="1:6" ht="15">
      <c r="A73" s="1917" t="s">
        <v>4023</v>
      </c>
      <c r="B73" s="1919" t="s">
        <v>4024</v>
      </c>
      <c r="C73" s="1913" t="s">
        <v>4025</v>
      </c>
      <c r="D73" s="1913"/>
      <c r="E73" s="1914"/>
      <c r="F73" s="1915" t="s">
        <v>4026</v>
      </c>
    </row>
    <row r="74" spans="1:8" ht="23.25" thickBot="1">
      <c r="A74" s="1918"/>
      <c r="B74" s="1920"/>
      <c r="C74" s="1645" t="s">
        <v>4027</v>
      </c>
      <c r="D74" s="1645" t="s">
        <v>4028</v>
      </c>
      <c r="E74" s="1646" t="s">
        <v>4220</v>
      </c>
      <c r="F74" s="1916"/>
      <c r="H74" s="12"/>
    </row>
    <row r="75" spans="1:6" ht="15.75" thickBot="1">
      <c r="A75" s="1647">
        <v>1</v>
      </c>
      <c r="B75" s="1648">
        <v>2</v>
      </c>
      <c r="C75" s="1648">
        <v>3</v>
      </c>
      <c r="D75" s="1649">
        <v>4</v>
      </c>
      <c r="E75" s="1650">
        <v>5</v>
      </c>
      <c r="F75" s="1651">
        <v>6</v>
      </c>
    </row>
    <row r="76" spans="1:8" ht="15.75" thickBot="1">
      <c r="A76" s="1652" t="s">
        <v>4029</v>
      </c>
      <c r="B76" s="1653" t="s">
        <v>4134</v>
      </c>
      <c r="C76" s="1654">
        <f>+C77+C78+C79+C80+C81</f>
        <v>653244</v>
      </c>
      <c r="D76" s="1654">
        <f>+D77+D78+D79+D80+D81</f>
        <v>842827</v>
      </c>
      <c r="E76" s="1654">
        <f>+E77+E78+E79+E80+E81</f>
        <v>831638</v>
      </c>
      <c r="F76" s="40">
        <f>E76/D76*100</f>
        <v>98.67244404842275</v>
      </c>
      <c r="H76" s="12"/>
    </row>
    <row r="77" spans="1:6" ht="15">
      <c r="A77" s="24" t="s">
        <v>4135</v>
      </c>
      <c r="B77" s="25" t="s">
        <v>4136</v>
      </c>
      <c r="C77" s="26">
        <v>215211</v>
      </c>
      <c r="D77" s="103">
        <v>339856</v>
      </c>
      <c r="E77" s="104">
        <v>335820</v>
      </c>
      <c r="F77" s="18">
        <f>E77/D77*100</f>
        <v>98.81243820912387</v>
      </c>
    </row>
    <row r="78" spans="1:6" ht="22.5">
      <c r="A78" s="13" t="s">
        <v>4137</v>
      </c>
      <c r="B78" s="27" t="s">
        <v>4138</v>
      </c>
      <c r="C78" s="28">
        <v>56223</v>
      </c>
      <c r="D78" s="16">
        <v>73051</v>
      </c>
      <c r="E78" s="104">
        <v>70915</v>
      </c>
      <c r="F78" s="20">
        <f>E78/D78*100</f>
        <v>97.07601538651079</v>
      </c>
    </row>
    <row r="79" spans="1:6" ht="15">
      <c r="A79" s="13" t="s">
        <v>4139</v>
      </c>
      <c r="B79" s="27" t="s">
        <v>4140</v>
      </c>
      <c r="C79" s="43">
        <f>476+234464</f>
        <v>234940</v>
      </c>
      <c r="D79" s="16">
        <f>154+280608</f>
        <v>280762</v>
      </c>
      <c r="E79" s="104">
        <f>170+278737</f>
        <v>278907</v>
      </c>
      <c r="F79" s="20">
        <f>E79/D79*100</f>
        <v>99.33929805315535</v>
      </c>
    </row>
    <row r="80" spans="1:6" ht="15">
      <c r="A80" s="13" t="s">
        <v>4141</v>
      </c>
      <c r="B80" s="105" t="s">
        <v>4142</v>
      </c>
      <c r="C80" s="43"/>
      <c r="D80" s="16"/>
      <c r="E80" s="104">
        <f>'[1]BEV-KIA'!F64+'[1]BEV-KIA'!F148+'[1]BEV-KIA'!F202+'[1]BEV-KIA'!F256+'[1]BEV-KIA'!F310+'[1]BEV-KIA'!F364</f>
        <v>0</v>
      </c>
      <c r="F80" s="20"/>
    </row>
    <row r="81" spans="1:6" ht="15">
      <c r="A81" s="13" t="s">
        <v>4143</v>
      </c>
      <c r="B81" s="106" t="s">
        <v>4144</v>
      </c>
      <c r="C81" s="43">
        <f>SUM(C82:C88)</f>
        <v>146870</v>
      </c>
      <c r="D81" s="107">
        <f>SUM(D82:D88)</f>
        <v>149158</v>
      </c>
      <c r="E81" s="107">
        <f>SUM(E82:E88)</f>
        <v>145996</v>
      </c>
      <c r="F81" s="20">
        <f>E81/D81*100</f>
        <v>97.88010029633007</v>
      </c>
    </row>
    <row r="82" spans="1:6" ht="15">
      <c r="A82" s="13" t="s">
        <v>4145</v>
      </c>
      <c r="B82" s="150" t="s">
        <v>4232</v>
      </c>
      <c r="C82" s="43"/>
      <c r="D82" s="16"/>
      <c r="E82" s="108"/>
      <c r="F82" s="20"/>
    </row>
    <row r="83" spans="1:6" ht="15">
      <c r="A83" s="13" t="s">
        <v>4146</v>
      </c>
      <c r="B83" s="151" t="s">
        <v>4233</v>
      </c>
      <c r="C83" s="43">
        <v>137097</v>
      </c>
      <c r="D83" s="16">
        <v>129327</v>
      </c>
      <c r="E83" s="108">
        <v>124890</v>
      </c>
      <c r="F83" s="20">
        <f>E83/D83*100</f>
        <v>96.56916189194831</v>
      </c>
    </row>
    <row r="84" spans="1:6" ht="23.25">
      <c r="A84" s="13" t="s">
        <v>4147</v>
      </c>
      <c r="B84" s="152" t="s">
        <v>4227</v>
      </c>
      <c r="C84" s="43">
        <v>1000</v>
      </c>
      <c r="D84" s="16">
        <v>1063</v>
      </c>
      <c r="E84" s="108">
        <v>2764</v>
      </c>
      <c r="F84" s="20">
        <f>E84/D84*100</f>
        <v>260.01881467544683</v>
      </c>
    </row>
    <row r="85" spans="1:6" ht="22.5">
      <c r="A85" s="13" t="s">
        <v>4148</v>
      </c>
      <c r="B85" s="150" t="s">
        <v>4228</v>
      </c>
      <c r="C85" s="43">
        <v>8773</v>
      </c>
      <c r="D85" s="16">
        <v>17018</v>
      </c>
      <c r="E85" s="108">
        <v>16592</v>
      </c>
      <c r="F85" s="20">
        <f>E85/D85*100</f>
        <v>97.49676812786461</v>
      </c>
    </row>
    <row r="86" spans="1:6" ht="15">
      <c r="A86" s="30" t="s">
        <v>4149</v>
      </c>
      <c r="B86" s="153" t="s">
        <v>4230</v>
      </c>
      <c r="C86" s="43"/>
      <c r="D86" s="16"/>
      <c r="E86" s="108"/>
      <c r="F86" s="20"/>
    </row>
    <row r="87" spans="1:6" ht="15">
      <c r="A87" s="13" t="s">
        <v>4150</v>
      </c>
      <c r="B87" s="153" t="s">
        <v>4229</v>
      </c>
      <c r="C87" s="43"/>
      <c r="D87" s="16"/>
      <c r="E87" s="108"/>
      <c r="F87" s="20"/>
    </row>
    <row r="88" spans="1:6" ht="15.75" thickBot="1">
      <c r="A88" s="109" t="s">
        <v>4151</v>
      </c>
      <c r="B88" s="154" t="s">
        <v>4231</v>
      </c>
      <c r="C88" s="43"/>
      <c r="D88" s="110">
        <v>1750</v>
      </c>
      <c r="E88" s="111">
        <v>1750</v>
      </c>
      <c r="F88" s="112">
        <f aca="true" t="shared" si="1" ref="F88:F93">E88/D88*100</f>
        <v>100</v>
      </c>
    </row>
    <row r="89" spans="1:6" ht="15.75" thickBot="1">
      <c r="A89" s="9" t="s">
        <v>4031</v>
      </c>
      <c r="B89" s="113" t="s">
        <v>4152</v>
      </c>
      <c r="C89" s="102">
        <f>+C90+C91+C92</f>
        <v>1465670</v>
      </c>
      <c r="D89" s="102">
        <f>+D90+D91+D92</f>
        <v>121271</v>
      </c>
      <c r="E89" s="102">
        <f>+E90+E91+E92</f>
        <v>109079</v>
      </c>
      <c r="F89" s="40">
        <f t="shared" si="1"/>
        <v>89.946483495642</v>
      </c>
    </row>
    <row r="90" spans="1:6" ht="15">
      <c r="A90" s="65" t="s">
        <v>4033</v>
      </c>
      <c r="B90" s="27" t="s">
        <v>4153</v>
      </c>
      <c r="C90" s="41">
        <f>424+1450057</f>
        <v>1450481</v>
      </c>
      <c r="D90" s="103">
        <f>20835+66523</f>
        <v>87358</v>
      </c>
      <c r="E90" s="104">
        <f>20949+64438</f>
        <v>85387</v>
      </c>
      <c r="F90" s="18">
        <f t="shared" si="1"/>
        <v>97.74376702763342</v>
      </c>
    </row>
    <row r="91" spans="1:6" ht="15">
      <c r="A91" s="65" t="s">
        <v>4035</v>
      </c>
      <c r="B91" s="47" t="s">
        <v>4154</v>
      </c>
      <c r="C91" s="28">
        <v>15189</v>
      </c>
      <c r="D91" s="16">
        <v>16189</v>
      </c>
      <c r="E91" s="104">
        <v>9749</v>
      </c>
      <c r="F91" s="20">
        <f t="shared" si="1"/>
        <v>60.21990240286614</v>
      </c>
    </row>
    <row r="92" spans="1:6" ht="15">
      <c r="A92" s="65" t="s">
        <v>4037</v>
      </c>
      <c r="B92" s="54" t="s">
        <v>4155</v>
      </c>
      <c r="C92" s="28"/>
      <c r="D92" s="16">
        <f>SUM(D93:D99)</f>
        <v>17724</v>
      </c>
      <c r="E92" s="16">
        <f>SUM(E93:E99)</f>
        <v>13943</v>
      </c>
      <c r="F92" s="20">
        <f t="shared" si="1"/>
        <v>78.66734371473709</v>
      </c>
    </row>
    <row r="93" spans="1:6" ht="22.5">
      <c r="A93" s="65" t="s">
        <v>4039</v>
      </c>
      <c r="B93" s="54" t="s">
        <v>4156</v>
      </c>
      <c r="C93" s="28"/>
      <c r="D93" s="16">
        <v>4147</v>
      </c>
      <c r="E93" s="104">
        <v>4203</v>
      </c>
      <c r="F93" s="20">
        <f t="shared" si="1"/>
        <v>101.35037376416687</v>
      </c>
    </row>
    <row r="94" spans="1:6" ht="22.5">
      <c r="A94" s="65" t="s">
        <v>4157</v>
      </c>
      <c r="B94" s="148" t="s">
        <v>4221</v>
      </c>
      <c r="C94" s="28"/>
      <c r="D94" s="16"/>
      <c r="E94" s="108"/>
      <c r="F94" s="20"/>
    </row>
    <row r="95" spans="1:6" ht="15">
      <c r="A95" s="65" t="s">
        <v>4158</v>
      </c>
      <c r="B95" s="147" t="s">
        <v>4222</v>
      </c>
      <c r="C95" s="28"/>
      <c r="D95" s="16">
        <v>100</v>
      </c>
      <c r="E95" s="108">
        <v>100</v>
      </c>
      <c r="F95" s="20">
        <f>E95/D95*100</f>
        <v>100</v>
      </c>
    </row>
    <row r="96" spans="1:6" ht="15">
      <c r="A96" s="65" t="s">
        <v>4159</v>
      </c>
      <c r="B96" s="148" t="s">
        <v>4223</v>
      </c>
      <c r="C96" s="28"/>
      <c r="D96" s="16"/>
      <c r="E96" s="108"/>
      <c r="F96" s="20"/>
    </row>
    <row r="97" spans="1:6" ht="15">
      <c r="A97" s="65" t="s">
        <v>4160</v>
      </c>
      <c r="B97" s="148" t="s">
        <v>4225</v>
      </c>
      <c r="C97" s="28"/>
      <c r="D97" s="16">
        <f>7480+2160+3837</f>
        <v>13477</v>
      </c>
      <c r="E97" s="108">
        <f>7480+2160</f>
        <v>9640</v>
      </c>
      <c r="F97" s="20">
        <f>E97/D97*100</f>
        <v>71.52927209319581</v>
      </c>
    </row>
    <row r="98" spans="1:6" ht="22.5">
      <c r="A98" s="65" t="s">
        <v>4161</v>
      </c>
      <c r="B98" s="148" t="s">
        <v>4224</v>
      </c>
      <c r="C98" s="28"/>
      <c r="D98" s="16"/>
      <c r="E98" s="108"/>
      <c r="F98" s="20"/>
    </row>
    <row r="99" spans="1:6" ht="34.5" thickBot="1">
      <c r="A99" s="30" t="s">
        <v>4162</v>
      </c>
      <c r="B99" s="149" t="s">
        <v>4226</v>
      </c>
      <c r="C99" s="43"/>
      <c r="D99" s="110"/>
      <c r="E99" s="111"/>
      <c r="F99" s="112"/>
    </row>
    <row r="100" spans="1:6" ht="15.75" thickBot="1">
      <c r="A100" s="9" t="s">
        <v>4041</v>
      </c>
      <c r="B100" s="114" t="s">
        <v>4163</v>
      </c>
      <c r="C100" s="102">
        <f>+C101+C102</f>
        <v>1000</v>
      </c>
      <c r="D100" s="102">
        <f>+D101+D102</f>
        <v>67248</v>
      </c>
      <c r="E100" s="102">
        <f>+E101+E102</f>
        <v>0</v>
      </c>
      <c r="F100" s="40"/>
    </row>
    <row r="101" spans="1:6" ht="15">
      <c r="A101" s="65" t="s">
        <v>4043</v>
      </c>
      <c r="B101" s="115" t="s">
        <v>4164</v>
      </c>
      <c r="C101" s="41">
        <v>1000</v>
      </c>
      <c r="D101" s="103">
        <v>59441</v>
      </c>
      <c r="E101" s="104"/>
      <c r="F101" s="18"/>
    </row>
    <row r="102" spans="1:6" ht="15.75" thickBot="1">
      <c r="A102" s="162" t="s">
        <v>4045</v>
      </c>
      <c r="B102" s="163" t="s">
        <v>4165</v>
      </c>
      <c r="C102" s="43"/>
      <c r="D102" s="110">
        <v>7807</v>
      </c>
      <c r="E102" s="111"/>
      <c r="F102" s="112"/>
    </row>
    <row r="103" spans="1:6" ht="15.75" thickBot="1">
      <c r="A103" s="9" t="s">
        <v>4166</v>
      </c>
      <c r="B103" s="164" t="s">
        <v>4167</v>
      </c>
      <c r="C103" s="102">
        <f>+C76+C89+C100</f>
        <v>2119914</v>
      </c>
      <c r="D103" s="102">
        <f>+D76+D89+D100</f>
        <v>1031346</v>
      </c>
      <c r="E103" s="102">
        <f>+E76+E89+E100</f>
        <v>940717</v>
      </c>
      <c r="F103" s="40">
        <f>E103/D103*100</f>
        <v>91.21255136491536</v>
      </c>
    </row>
    <row r="104" spans="1:6" ht="15.75" thickBot="1">
      <c r="A104" s="116" t="s">
        <v>4061</v>
      </c>
      <c r="B104" s="117" t="s">
        <v>4168</v>
      </c>
      <c r="C104" s="102">
        <f>+C105+C113</f>
        <v>0</v>
      </c>
      <c r="D104" s="102">
        <f>+D105+D113</f>
        <v>0</v>
      </c>
      <c r="E104" s="102"/>
      <c r="F104" s="40"/>
    </row>
    <row r="105" spans="1:6" ht="15.75" thickBot="1">
      <c r="A105" s="118" t="s">
        <v>4169</v>
      </c>
      <c r="B105" s="119" t="s">
        <v>4170</v>
      </c>
      <c r="C105" s="120">
        <f>+C106+C107+C108+C109+C110+C111+C112</f>
        <v>0</v>
      </c>
      <c r="D105" s="120">
        <f>+D106+D107+D108+D109+D110+D111+D112</f>
        <v>0</v>
      </c>
      <c r="E105" s="120">
        <f>+E106+E107+E108+E109+E110+E111+E112</f>
        <v>0</v>
      </c>
      <c r="F105" s="40"/>
    </row>
    <row r="106" spans="1:6" ht="15">
      <c r="A106" s="121" t="s">
        <v>4171</v>
      </c>
      <c r="B106" s="19" t="s">
        <v>4172</v>
      </c>
      <c r="C106" s="122"/>
      <c r="D106" s="103"/>
      <c r="E106" s="104"/>
      <c r="F106" s="18"/>
    </row>
    <row r="107" spans="1:6" ht="15">
      <c r="A107" s="81" t="s">
        <v>4173</v>
      </c>
      <c r="B107" s="54" t="s">
        <v>4174</v>
      </c>
      <c r="C107" s="123"/>
      <c r="D107" s="16"/>
      <c r="E107" s="108"/>
      <c r="F107" s="20"/>
    </row>
    <row r="108" spans="1:6" ht="15">
      <c r="A108" s="81" t="s">
        <v>4175</v>
      </c>
      <c r="B108" s="54" t="s">
        <v>4176</v>
      </c>
      <c r="C108" s="123"/>
      <c r="D108" s="16"/>
      <c r="E108" s="108"/>
      <c r="F108" s="20"/>
    </row>
    <row r="109" spans="1:6" ht="15">
      <c r="A109" s="81" t="s">
        <v>4177</v>
      </c>
      <c r="B109" s="54" t="s">
        <v>4178</v>
      </c>
      <c r="C109" s="123"/>
      <c r="D109" s="16"/>
      <c r="E109" s="108"/>
      <c r="F109" s="20"/>
    </row>
    <row r="110" spans="1:6" ht="15">
      <c r="A110" s="81" t="s">
        <v>4179</v>
      </c>
      <c r="B110" s="54" t="s">
        <v>4180</v>
      </c>
      <c r="C110" s="123"/>
      <c r="D110" s="16"/>
      <c r="E110" s="108"/>
      <c r="F110" s="20"/>
    </row>
    <row r="111" spans="1:6" ht="15">
      <c r="A111" s="81" t="s">
        <v>4181</v>
      </c>
      <c r="B111" s="54" t="s">
        <v>4182</v>
      </c>
      <c r="C111" s="123"/>
      <c r="D111" s="16"/>
      <c r="E111" s="108"/>
      <c r="F111" s="20"/>
    </row>
    <row r="112" spans="1:6" ht="15.75" thickBot="1">
      <c r="A112" s="124" t="s">
        <v>4183</v>
      </c>
      <c r="B112" s="125" t="s">
        <v>4184</v>
      </c>
      <c r="C112" s="126"/>
      <c r="D112" s="110"/>
      <c r="E112" s="111"/>
      <c r="F112" s="112"/>
    </row>
    <row r="113" spans="1:6" ht="23.25" thickBot="1">
      <c r="A113" s="127" t="s">
        <v>4185</v>
      </c>
      <c r="B113" s="128" t="s">
        <v>4186</v>
      </c>
      <c r="C113" s="120">
        <f>+C114+C115+C116+C117+C118+C119+C120+C121</f>
        <v>0</v>
      </c>
      <c r="D113" s="120">
        <f>+D114+D115+D116+D117+D118+D119+D120+D121</f>
        <v>0</v>
      </c>
      <c r="E113" s="120"/>
      <c r="F113" s="40"/>
    </row>
    <row r="114" spans="1:6" ht="15">
      <c r="A114" s="121" t="s">
        <v>4187</v>
      </c>
      <c r="B114" s="19" t="s">
        <v>4172</v>
      </c>
      <c r="C114" s="122"/>
      <c r="D114" s="103"/>
      <c r="E114" s="104"/>
      <c r="F114" s="18"/>
    </row>
    <row r="115" spans="1:6" ht="15">
      <c r="A115" s="81" t="s">
        <v>4188</v>
      </c>
      <c r="B115" s="54" t="s">
        <v>4189</v>
      </c>
      <c r="C115" s="123"/>
      <c r="D115" s="16"/>
      <c r="E115" s="108"/>
      <c r="F115" s="20"/>
    </row>
    <row r="116" spans="1:6" ht="15">
      <c r="A116" s="81" t="s">
        <v>4087</v>
      </c>
      <c r="B116" s="54" t="s">
        <v>4176</v>
      </c>
      <c r="C116" s="123"/>
      <c r="D116" s="16"/>
      <c r="E116" s="108"/>
      <c r="F116" s="20"/>
    </row>
    <row r="117" spans="1:10" ht="15">
      <c r="A117" s="81" t="s">
        <v>4088</v>
      </c>
      <c r="B117" s="54" t="s">
        <v>4178</v>
      </c>
      <c r="C117" s="123"/>
      <c r="D117" s="16"/>
      <c r="E117" s="108"/>
      <c r="F117" s="20"/>
      <c r="J117" s="12"/>
    </row>
    <row r="118" spans="1:6" ht="15">
      <c r="A118" s="81" t="s">
        <v>4089</v>
      </c>
      <c r="B118" s="54" t="s">
        <v>4180</v>
      </c>
      <c r="C118" s="123"/>
      <c r="D118" s="16"/>
      <c r="E118" s="108"/>
      <c r="F118" s="20"/>
    </row>
    <row r="119" spans="1:6" ht="15">
      <c r="A119" s="81" t="s">
        <v>4190</v>
      </c>
      <c r="B119" s="54" t="s">
        <v>4191</v>
      </c>
      <c r="C119" s="123"/>
      <c r="D119" s="16"/>
      <c r="E119" s="108"/>
      <c r="F119" s="20"/>
    </row>
    <row r="120" spans="1:6" ht="15">
      <c r="A120" s="81" t="s">
        <v>4192</v>
      </c>
      <c r="B120" s="54" t="s">
        <v>4184</v>
      </c>
      <c r="C120" s="123"/>
      <c r="D120" s="16"/>
      <c r="E120" s="108"/>
      <c r="F120" s="20"/>
    </row>
    <row r="121" spans="1:6" ht="15.75" thickBot="1">
      <c r="A121" s="124" t="s">
        <v>4193</v>
      </c>
      <c r="B121" s="125" t="s">
        <v>4194</v>
      </c>
      <c r="C121" s="126"/>
      <c r="D121" s="110"/>
      <c r="E121" s="111"/>
      <c r="F121" s="112"/>
    </row>
    <row r="122" spans="1:6" ht="24.75" thickBot="1">
      <c r="A122" s="116" t="s">
        <v>4195</v>
      </c>
      <c r="B122" s="129" t="s">
        <v>4196</v>
      </c>
      <c r="C122" s="130">
        <f>+C103+C104</f>
        <v>2119914</v>
      </c>
      <c r="D122" s="130">
        <f>+D103+D104</f>
        <v>1031346</v>
      </c>
      <c r="E122" s="130">
        <f>+E103+E104</f>
        <v>940717</v>
      </c>
      <c r="F122" s="40">
        <f>E122/D122*100</f>
        <v>91.21255136491536</v>
      </c>
    </row>
    <row r="123" spans="1:6" ht="15.75" thickBot="1">
      <c r="A123" s="116" t="s">
        <v>4094</v>
      </c>
      <c r="B123" s="129" t="s">
        <v>4197</v>
      </c>
      <c r="C123" s="131"/>
      <c r="D123" s="38"/>
      <c r="E123" s="38">
        <v>-6582</v>
      </c>
      <c r="F123" s="40"/>
    </row>
    <row r="124" spans="1:6" ht="15.75" thickBot="1">
      <c r="A124" s="132" t="s">
        <v>4102</v>
      </c>
      <c r="B124" s="133" t="s">
        <v>4198</v>
      </c>
      <c r="C124" s="134">
        <f>+C122+C123</f>
        <v>2119914</v>
      </c>
      <c r="D124" s="134">
        <f>+D122+D123</f>
        <v>1031346</v>
      </c>
      <c r="E124" s="134">
        <f>+E122+E123</f>
        <v>934135</v>
      </c>
      <c r="F124" s="40">
        <f>E124/D124*100</f>
        <v>90.57435622962615</v>
      </c>
    </row>
    <row r="125" spans="1:7" ht="15.75">
      <c r="A125" s="135"/>
      <c r="B125" s="136"/>
      <c r="C125" s="137"/>
      <c r="F125" s="138"/>
      <c r="G125" s="12"/>
    </row>
    <row r="126" spans="1:6" ht="15">
      <c r="A126" s="1926" t="s">
        <v>4199</v>
      </c>
      <c r="B126" s="1926"/>
      <c r="C126" s="1926"/>
      <c r="F126" s="138"/>
    </row>
    <row r="127" spans="1:6" ht="15.75" thickBot="1">
      <c r="A127" s="1907" t="s">
        <v>4200</v>
      </c>
      <c r="B127" s="1907"/>
      <c r="C127" s="1908" t="s">
        <v>4022</v>
      </c>
      <c r="D127" s="1927"/>
      <c r="E127" s="1927"/>
      <c r="F127" s="138"/>
    </row>
    <row r="128" spans="1:6" ht="21.75" thickBot="1">
      <c r="A128" s="9">
        <v>1</v>
      </c>
      <c r="B128" s="139" t="s">
        <v>4201</v>
      </c>
      <c r="C128" s="22">
        <f>+C54-C103</f>
        <v>-82970</v>
      </c>
      <c r="D128" s="22">
        <f>+D54-D103</f>
        <v>-64091</v>
      </c>
      <c r="E128" s="102">
        <f>+E54-E103</f>
        <v>41883</v>
      </c>
      <c r="F128" s="138"/>
    </row>
    <row r="129" spans="1:6" ht="15.75">
      <c r="A129" s="135"/>
      <c r="B129" s="136"/>
      <c r="C129" s="137"/>
      <c r="F129" s="138"/>
    </row>
    <row r="130" spans="1:6" ht="15">
      <c r="A130" s="1923" t="s">
        <v>4202</v>
      </c>
      <c r="B130" s="1923"/>
      <c r="C130" s="1923"/>
      <c r="F130" s="138"/>
    </row>
    <row r="131" spans="1:6" ht="15.75" customHeight="1" thickBot="1">
      <c r="A131" s="1921" t="s">
        <v>4203</v>
      </c>
      <c r="B131" s="1921"/>
      <c r="C131" s="1908" t="s">
        <v>4022</v>
      </c>
      <c r="D131" s="1924"/>
      <c r="E131" s="1924"/>
      <c r="F131" s="138"/>
    </row>
    <row r="132" spans="1:6" ht="15.75" customHeight="1" thickBot="1">
      <c r="A132" s="116" t="s">
        <v>4029</v>
      </c>
      <c r="B132" s="1655" t="s">
        <v>4204</v>
      </c>
      <c r="C132" s="1656">
        <f>IF('[2]2.1.sz.mell  '!C32&lt;&gt;"-",'[2]2.1.sz.mell  '!C32,0)</f>
        <v>0</v>
      </c>
      <c r="D132" s="1656"/>
      <c r="E132" s="1657">
        <f>IF('[2]2.1.sz.mell  '!E32&lt;&gt;"-",'[2]2.1.sz.mell  '!E32,0)</f>
        <v>0</v>
      </c>
      <c r="F132" s="138"/>
    </row>
    <row r="133" spans="1:6" ht="15.75" thickBot="1">
      <c r="A133" s="116" t="s">
        <v>4031</v>
      </c>
      <c r="B133" s="1658" t="s">
        <v>4205</v>
      </c>
      <c r="C133" s="1664">
        <v>85272</v>
      </c>
      <c r="D133" s="1659"/>
      <c r="E133" s="1660"/>
      <c r="F133" s="138"/>
    </row>
    <row r="134" spans="1:6" ht="15.75" thickBot="1">
      <c r="A134" s="116" t="s">
        <v>4041</v>
      </c>
      <c r="B134" s="1661" t="s">
        <v>4206</v>
      </c>
      <c r="C134" s="1665">
        <f>C133+C132</f>
        <v>85272</v>
      </c>
      <c r="D134" s="1662">
        <f>D133+D132</f>
        <v>0</v>
      </c>
      <c r="E134" s="1663">
        <f>E133+E132</f>
        <v>0</v>
      </c>
      <c r="F134" s="138"/>
    </row>
    <row r="135" spans="1:6" ht="15.75">
      <c r="A135" s="140"/>
      <c r="B135" s="141"/>
      <c r="C135" s="142"/>
      <c r="F135" s="138"/>
    </row>
    <row r="136" spans="1:6" ht="15">
      <c r="A136" s="1925" t="s">
        <v>4207</v>
      </c>
      <c r="B136" s="1925"/>
      <c r="C136" s="1925"/>
      <c r="F136" s="138"/>
    </row>
    <row r="137" spans="1:6" ht="15.75" thickBot="1">
      <c r="A137" s="1921" t="s">
        <v>4208</v>
      </c>
      <c r="B137" s="1921"/>
      <c r="C137" s="143" t="s">
        <v>4022</v>
      </c>
      <c r="F137" s="138"/>
    </row>
    <row r="138" spans="1:6" ht="15.75" customHeight="1">
      <c r="A138" s="1666" t="s">
        <v>4029</v>
      </c>
      <c r="B138" s="1667" t="s">
        <v>4209</v>
      </c>
      <c r="C138" s="1668">
        <f>+C139-C142</f>
        <v>82970</v>
      </c>
      <c r="D138" s="1668">
        <f>+D139-D142</f>
        <v>64091</v>
      </c>
      <c r="E138" s="1669">
        <f>+E139-E142</f>
        <v>64091</v>
      </c>
      <c r="F138" s="138"/>
    </row>
    <row r="139" spans="1:6" ht="15">
      <c r="A139" s="81" t="s">
        <v>4135</v>
      </c>
      <c r="B139" s="1670" t="s">
        <v>4210</v>
      </c>
      <c r="C139" s="1664">
        <f>+C55</f>
        <v>82970</v>
      </c>
      <c r="D139" s="1664">
        <f>+D55</f>
        <v>64091</v>
      </c>
      <c r="E139" s="1671">
        <f>+E55</f>
        <v>64091</v>
      </c>
      <c r="F139" s="138"/>
    </row>
    <row r="140" spans="1:6" ht="15">
      <c r="A140" s="1672" t="s">
        <v>4211</v>
      </c>
      <c r="B140" s="1673" t="s">
        <v>4212</v>
      </c>
      <c r="C140" s="1674">
        <v>23987</v>
      </c>
      <c r="D140" s="1674"/>
      <c r="E140" s="1675"/>
      <c r="F140" s="138"/>
    </row>
    <row r="141" spans="1:6" ht="15">
      <c r="A141" s="1672" t="s">
        <v>4213</v>
      </c>
      <c r="B141" s="1673" t="s">
        <v>4214</v>
      </c>
      <c r="C141" s="1674">
        <v>85272</v>
      </c>
      <c r="D141" s="1674"/>
      <c r="E141" s="1675"/>
      <c r="F141" s="138"/>
    </row>
    <row r="142" spans="1:6" ht="15">
      <c r="A142" s="81" t="s">
        <v>4137</v>
      </c>
      <c r="B142" s="1670" t="s">
        <v>4215</v>
      </c>
      <c r="C142" s="1664">
        <f>+C104</f>
        <v>0</v>
      </c>
      <c r="D142" s="1664">
        <f>+D104</f>
        <v>0</v>
      </c>
      <c r="E142" s="1671">
        <f>+E104</f>
        <v>0</v>
      </c>
      <c r="F142" s="138"/>
    </row>
    <row r="143" spans="1:6" ht="15">
      <c r="A143" s="1672" t="s">
        <v>4216</v>
      </c>
      <c r="B143" s="1673" t="s">
        <v>4217</v>
      </c>
      <c r="C143" s="1674">
        <f>+'[2]2.1.sz.mell  '!E27</f>
        <v>0</v>
      </c>
      <c r="D143" s="1674"/>
      <c r="E143" s="1675"/>
      <c r="F143" s="138"/>
    </row>
    <row r="144" spans="1:6" ht="15.75" thickBot="1">
      <c r="A144" s="1676" t="s">
        <v>4218</v>
      </c>
      <c r="B144" s="1677" t="s">
        <v>4219</v>
      </c>
      <c r="C144" s="1678">
        <f>+'[2]2.2.sz.mell  '!E31</f>
        <v>0</v>
      </c>
      <c r="D144" s="1678"/>
      <c r="E144" s="1679"/>
      <c r="F144" s="138"/>
    </row>
    <row r="145" spans="1:3" ht="15.75">
      <c r="A145" s="144"/>
      <c r="B145" s="145"/>
      <c r="C145" s="146"/>
    </row>
    <row r="146" spans="1:3" ht="15.75">
      <c r="A146" s="144"/>
      <c r="B146" s="145"/>
      <c r="C146" s="146"/>
    </row>
    <row r="147" spans="1:3" ht="15.75">
      <c r="A147" s="144"/>
      <c r="B147" s="145"/>
      <c r="C147" s="146"/>
    </row>
    <row r="148" spans="1:3" ht="15.75">
      <c r="A148" s="144"/>
      <c r="B148" s="145"/>
      <c r="C148" s="146"/>
    </row>
    <row r="149" spans="1:3" ht="15.75">
      <c r="A149" s="144"/>
      <c r="B149" s="145"/>
      <c r="C149" s="146"/>
    </row>
    <row r="150" spans="1:3" ht="15.75">
      <c r="A150" s="144"/>
      <c r="B150" s="145"/>
      <c r="C150" s="146"/>
    </row>
    <row r="151" spans="1:3" ht="15.75">
      <c r="A151" s="144"/>
      <c r="B151" s="145"/>
      <c r="C151" s="146"/>
    </row>
    <row r="152" spans="1:3" ht="15.75">
      <c r="A152" s="144"/>
      <c r="B152" s="145"/>
      <c r="C152" s="146"/>
    </row>
    <row r="153" spans="1:3" ht="15.75">
      <c r="A153" s="144"/>
      <c r="B153" s="145"/>
      <c r="C153" s="146"/>
    </row>
  </sheetData>
  <sheetProtection/>
  <mergeCells count="23">
    <mergeCell ref="F73:F74"/>
    <mergeCell ref="A126:C126"/>
    <mergeCell ref="A127:B127"/>
    <mergeCell ref="C127:E127"/>
    <mergeCell ref="A72:C72"/>
    <mergeCell ref="A73:A74"/>
    <mergeCell ref="B73:B74"/>
    <mergeCell ref="C73:E73"/>
    <mergeCell ref="A137:B137"/>
    <mergeCell ref="D72:F72"/>
    <mergeCell ref="A130:C130"/>
    <mergeCell ref="A131:B131"/>
    <mergeCell ref="C131:E131"/>
    <mergeCell ref="A136:C136"/>
    <mergeCell ref="A1:E1"/>
    <mergeCell ref="A2:E2"/>
    <mergeCell ref="A3:C3"/>
    <mergeCell ref="A4:B4"/>
    <mergeCell ref="C4:F4"/>
    <mergeCell ref="A5:A6"/>
    <mergeCell ref="B5:B6"/>
    <mergeCell ref="C5:E5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9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3.625" style="940" customWidth="1"/>
    <col min="2" max="2" width="5.125" style="940" customWidth="1"/>
    <col min="3" max="3" width="50.625" style="940" customWidth="1"/>
    <col min="4" max="4" width="8.625" style="940" customWidth="1"/>
    <col min="5" max="5" width="9.625" style="940" customWidth="1"/>
    <col min="6" max="6" width="9.25390625" style="940" customWidth="1"/>
    <col min="7" max="16384" width="9.125" style="940" customWidth="1"/>
  </cols>
  <sheetData>
    <row r="1" spans="1:6" ht="11.25">
      <c r="A1" s="2026" t="s">
        <v>5275</v>
      </c>
      <c r="B1" s="2026"/>
      <c r="C1" s="2026"/>
      <c r="D1" s="2026"/>
      <c r="E1" s="2027"/>
      <c r="F1" s="2027"/>
    </row>
    <row r="2" spans="1:6" ht="11.25">
      <c r="A2" s="2028" t="s">
        <v>1085</v>
      </c>
      <c r="B2" s="2028"/>
      <c r="C2" s="2028"/>
      <c r="D2" s="2028"/>
      <c r="E2" s="2029"/>
      <c r="F2" s="2029"/>
    </row>
    <row r="3" spans="1:6" ht="12" thickBot="1">
      <c r="A3" s="1595"/>
      <c r="B3" s="1595"/>
      <c r="C3" s="1595"/>
      <c r="F3" s="273" t="s">
        <v>1086</v>
      </c>
    </row>
    <row r="4" spans="1:6" ht="11.25">
      <c r="A4" s="2030" t="s">
        <v>1087</v>
      </c>
      <c r="B4" s="2031"/>
      <c r="C4" s="1578" t="s">
        <v>1088</v>
      </c>
      <c r="D4" s="2032" t="s">
        <v>4025</v>
      </c>
      <c r="E4" s="2032"/>
      <c r="F4" s="2033"/>
    </row>
    <row r="5" spans="1:6" ht="22.5" customHeight="1" thickBot="1">
      <c r="A5" s="303"/>
      <c r="B5" s="1596"/>
      <c r="C5" s="1597" t="s">
        <v>1089</v>
      </c>
      <c r="D5" s="1598" t="s">
        <v>4027</v>
      </c>
      <c r="E5" s="1598" t="s">
        <v>4028</v>
      </c>
      <c r="F5" s="1599" t="s">
        <v>1075</v>
      </c>
    </row>
    <row r="6" spans="1:6" ht="15" customHeight="1" thickBot="1">
      <c r="A6" s="274" t="s">
        <v>4029</v>
      </c>
      <c r="B6" s="275"/>
      <c r="C6" s="1565" t="s">
        <v>1090</v>
      </c>
      <c r="D6" s="283">
        <f>D7+D12+D21</f>
        <v>443801</v>
      </c>
      <c r="E6" s="283">
        <f>E7+E12+E21</f>
        <v>142735</v>
      </c>
      <c r="F6" s="284">
        <f>F7+F12+F21</f>
        <v>168754</v>
      </c>
    </row>
    <row r="7" spans="1:6" ht="15" customHeight="1" thickBot="1">
      <c r="A7" s="276" t="s">
        <v>4031</v>
      </c>
      <c r="B7" s="277"/>
      <c r="C7" s="1565" t="s">
        <v>1091</v>
      </c>
      <c r="D7" s="283">
        <f>SUM(D8:D11)</f>
        <v>122898</v>
      </c>
      <c r="E7" s="283">
        <f>SUM(E8:E11)</f>
        <v>116410</v>
      </c>
      <c r="F7" s="284">
        <f>SUM(F8:F11)</f>
        <v>121927</v>
      </c>
    </row>
    <row r="8" spans="1:6" ht="15" customHeight="1">
      <c r="A8" s="278"/>
      <c r="B8" s="279" t="s">
        <v>4033</v>
      </c>
      <c r="C8" s="1566" t="s">
        <v>4034</v>
      </c>
      <c r="D8" s="280">
        <v>113000</v>
      </c>
      <c r="E8" s="1600">
        <v>113000</v>
      </c>
      <c r="F8" s="1601">
        <v>114214</v>
      </c>
    </row>
    <row r="9" spans="1:6" ht="15" customHeight="1">
      <c r="A9" s="278"/>
      <c r="B9" s="279" t="s">
        <v>4035</v>
      </c>
      <c r="C9" s="1567" t="s">
        <v>4036</v>
      </c>
      <c r="D9" s="281"/>
      <c r="E9" s="158"/>
      <c r="F9" s="1602"/>
    </row>
    <row r="10" spans="1:6" ht="15" customHeight="1">
      <c r="A10" s="278"/>
      <c r="B10" s="279" t="s">
        <v>4037</v>
      </c>
      <c r="C10" s="1567" t="s">
        <v>4038</v>
      </c>
      <c r="D10" s="281">
        <v>1000</v>
      </c>
      <c r="E10" s="158">
        <v>1000</v>
      </c>
      <c r="F10" s="1602">
        <v>1409</v>
      </c>
    </row>
    <row r="11" spans="1:6" ht="15" customHeight="1" thickBot="1">
      <c r="A11" s="278"/>
      <c r="B11" s="279" t="s">
        <v>4039</v>
      </c>
      <c r="C11" s="1568" t="s">
        <v>4040</v>
      </c>
      <c r="D11" s="282">
        <v>8898</v>
      </c>
      <c r="E11" s="1603">
        <v>2410</v>
      </c>
      <c r="F11" s="1604">
        <v>6304</v>
      </c>
    </row>
    <row r="12" spans="1:6" ht="15" customHeight="1" thickBot="1">
      <c r="A12" s="276" t="s">
        <v>4041</v>
      </c>
      <c r="B12" s="277"/>
      <c r="C12" s="1565" t="s">
        <v>4042</v>
      </c>
      <c r="D12" s="283">
        <f>SUM(D13:D20)</f>
        <v>308903</v>
      </c>
      <c r="E12" s="283">
        <f>SUM(E13:E20)</f>
        <v>14325</v>
      </c>
      <c r="F12" s="284">
        <f>SUM(F13:F20)</f>
        <v>35649</v>
      </c>
    </row>
    <row r="13" spans="1:6" ht="15" customHeight="1">
      <c r="A13" s="285"/>
      <c r="B13" s="279" t="s">
        <v>4043</v>
      </c>
      <c r="C13" s="1566" t="s">
        <v>4044</v>
      </c>
      <c r="D13" s="280"/>
      <c r="E13" s="1600"/>
      <c r="F13" s="1601"/>
    </row>
    <row r="14" spans="1:6" ht="15" customHeight="1">
      <c r="A14" s="278"/>
      <c r="B14" s="279" t="s">
        <v>4045</v>
      </c>
      <c r="C14" s="1567" t="s">
        <v>4046</v>
      </c>
      <c r="D14" s="281"/>
      <c r="E14" s="158">
        <v>42</v>
      </c>
      <c r="F14" s="1602"/>
    </row>
    <row r="15" spans="1:6" ht="15" customHeight="1">
      <c r="A15" s="278"/>
      <c r="B15" s="279" t="s">
        <v>4047</v>
      </c>
      <c r="C15" s="1567" t="s">
        <v>4048</v>
      </c>
      <c r="D15" s="281"/>
      <c r="E15" s="158">
        <v>11268</v>
      </c>
      <c r="F15" s="1602">
        <v>10312</v>
      </c>
    </row>
    <row r="16" spans="1:6" ht="15" customHeight="1">
      <c r="A16" s="278"/>
      <c r="B16" s="279" t="s">
        <v>4049</v>
      </c>
      <c r="C16" s="1567" t="s">
        <v>4050</v>
      </c>
      <c r="D16" s="281"/>
      <c r="E16" s="158"/>
      <c r="F16" s="1602"/>
    </row>
    <row r="17" spans="1:6" ht="15" customHeight="1">
      <c r="A17" s="278"/>
      <c r="B17" s="279" t="s">
        <v>4051</v>
      </c>
      <c r="C17" s="1567" t="s">
        <v>4052</v>
      </c>
      <c r="D17" s="281"/>
      <c r="E17" s="158"/>
      <c r="F17" s="1602"/>
    </row>
    <row r="18" spans="1:6" ht="15" customHeight="1">
      <c r="A18" s="286"/>
      <c r="B18" s="279" t="s">
        <v>4053</v>
      </c>
      <c r="C18" s="1567" t="s">
        <v>4054</v>
      </c>
      <c r="D18" s="287">
        <v>303573</v>
      </c>
      <c r="E18" s="158">
        <v>268</v>
      </c>
      <c r="F18" s="1602">
        <v>2496</v>
      </c>
    </row>
    <row r="19" spans="1:6" ht="15" customHeight="1">
      <c r="A19" s="278"/>
      <c r="B19" s="279" t="s">
        <v>4055</v>
      </c>
      <c r="C19" s="1567" t="s">
        <v>4056</v>
      </c>
      <c r="D19" s="281">
        <v>1000</v>
      </c>
      <c r="E19" s="158">
        <v>2247</v>
      </c>
      <c r="F19" s="1602">
        <f>1+2247</f>
        <v>2248</v>
      </c>
    </row>
    <row r="20" spans="1:6" ht="15" customHeight="1" thickBot="1">
      <c r="A20" s="288"/>
      <c r="B20" s="289" t="s">
        <v>4057</v>
      </c>
      <c r="C20" s="1568" t="s">
        <v>4058</v>
      </c>
      <c r="D20" s="282">
        <v>4330</v>
      </c>
      <c r="E20" s="1603">
        <v>500</v>
      </c>
      <c r="F20" s="1604">
        <f>80+20513</f>
        <v>20593</v>
      </c>
    </row>
    <row r="21" spans="1:6" ht="15" customHeight="1" thickBot="1">
      <c r="A21" s="276" t="s">
        <v>4166</v>
      </c>
      <c r="B21" s="290"/>
      <c r="C21" s="1565" t="s">
        <v>4060</v>
      </c>
      <c r="D21" s="1557">
        <v>12000</v>
      </c>
      <c r="E21" s="1557">
        <v>12000</v>
      </c>
      <c r="F21" s="1558">
        <f>11127+51</f>
        <v>11178</v>
      </c>
    </row>
    <row r="22" spans="1:6" ht="15" customHeight="1" thickBot="1">
      <c r="A22" s="276" t="s">
        <v>4061</v>
      </c>
      <c r="B22" s="277"/>
      <c r="C22" s="1565" t="s">
        <v>1092</v>
      </c>
      <c r="D22" s="1555">
        <f>SUM(D23:D30)</f>
        <v>310070</v>
      </c>
      <c r="E22" s="1555">
        <f>SUM(E23:E30)</f>
        <v>462724</v>
      </c>
      <c r="F22" s="1556">
        <f>SUM(F23:F30)</f>
        <v>462724</v>
      </c>
    </row>
    <row r="23" spans="1:6" ht="19.5" customHeight="1">
      <c r="A23" s="278"/>
      <c r="B23" s="279" t="s">
        <v>4169</v>
      </c>
      <c r="C23" s="1566" t="s">
        <v>1093</v>
      </c>
      <c r="D23" s="292">
        <v>309594</v>
      </c>
      <c r="E23" s="1600">
        <v>403242</v>
      </c>
      <c r="F23" s="1601">
        <v>403242</v>
      </c>
    </row>
    <row r="24" spans="1:6" ht="15" customHeight="1">
      <c r="A24" s="278"/>
      <c r="B24" s="279" t="s">
        <v>4185</v>
      </c>
      <c r="C24" s="1567" t="s">
        <v>4068</v>
      </c>
      <c r="D24" s="292">
        <v>476</v>
      </c>
      <c r="E24" s="158">
        <f>9165+3819</f>
        <v>12984</v>
      </c>
      <c r="F24" s="1602">
        <f>9165+3819</f>
        <v>12984</v>
      </c>
    </row>
    <row r="25" spans="1:6" ht="15" customHeight="1">
      <c r="A25" s="278"/>
      <c r="B25" s="279" t="s">
        <v>1094</v>
      </c>
      <c r="C25" s="1567" t="s">
        <v>4070</v>
      </c>
      <c r="D25" s="292"/>
      <c r="E25" s="158"/>
      <c r="F25" s="1602"/>
    </row>
    <row r="26" spans="1:6" ht="21" customHeight="1">
      <c r="A26" s="278"/>
      <c r="B26" s="279" t="s">
        <v>1095</v>
      </c>
      <c r="C26" s="1567" t="s">
        <v>664</v>
      </c>
      <c r="D26" s="292"/>
      <c r="E26" s="158">
        <v>16962</v>
      </c>
      <c r="F26" s="1602">
        <v>16962</v>
      </c>
    </row>
    <row r="27" spans="1:6" ht="15" customHeight="1">
      <c r="A27" s="278"/>
      <c r="B27" s="279" t="s">
        <v>4067</v>
      </c>
      <c r="C27" s="1567" t="s">
        <v>1096</v>
      </c>
      <c r="D27" s="292"/>
      <c r="E27" s="158"/>
      <c r="F27" s="1602"/>
    </row>
    <row r="28" spans="1:6" ht="15" customHeight="1">
      <c r="A28" s="278"/>
      <c r="B28" s="279" t="s">
        <v>4069</v>
      </c>
      <c r="C28" s="1567" t="s">
        <v>1097</v>
      </c>
      <c r="D28" s="292"/>
      <c r="E28" s="158">
        <v>13900</v>
      </c>
      <c r="F28" s="1602">
        <v>13900</v>
      </c>
    </row>
    <row r="29" spans="1:6" ht="15" customHeight="1">
      <c r="A29" s="278"/>
      <c r="B29" s="279" t="s">
        <v>4071</v>
      </c>
      <c r="C29" s="1567" t="s">
        <v>1098</v>
      </c>
      <c r="D29" s="292"/>
      <c r="E29" s="158"/>
      <c r="F29" s="1602"/>
    </row>
    <row r="30" spans="1:6" ht="15" customHeight="1" thickBot="1">
      <c r="A30" s="288"/>
      <c r="B30" s="289" t="s">
        <v>4072</v>
      </c>
      <c r="C30" s="1569" t="s">
        <v>1099</v>
      </c>
      <c r="D30" s="293"/>
      <c r="E30" s="1603">
        <v>15636</v>
      </c>
      <c r="F30" s="1605">
        <v>15636</v>
      </c>
    </row>
    <row r="31" spans="1:6" ht="18.75" customHeight="1" thickBot="1">
      <c r="A31" s="294" t="s">
        <v>4074</v>
      </c>
      <c r="B31" s="295"/>
      <c r="C31" s="1570" t="s">
        <v>1100</v>
      </c>
      <c r="D31" s="291">
        <f>+D32+D38</f>
        <v>979464</v>
      </c>
      <c r="E31" s="283">
        <f>+E32+E38</f>
        <v>83821</v>
      </c>
      <c r="F31" s="1549">
        <f>+F32+F38</f>
        <v>82307</v>
      </c>
    </row>
    <row r="32" spans="1:6" ht="21.75" customHeight="1">
      <c r="A32" s="285"/>
      <c r="B32" s="296" t="s">
        <v>4076</v>
      </c>
      <c r="C32" s="1571" t="s">
        <v>4077</v>
      </c>
      <c r="D32" s="297">
        <f>SUM(D33:D37)</f>
        <v>6300</v>
      </c>
      <c r="E32" s="298">
        <f>SUM(E33:E37)</f>
        <v>24903</v>
      </c>
      <c r="F32" s="1550">
        <f>SUM(F33:F37)</f>
        <v>28852</v>
      </c>
    </row>
    <row r="33" spans="1:6" ht="15" customHeight="1">
      <c r="A33" s="278"/>
      <c r="B33" s="299" t="s">
        <v>4078</v>
      </c>
      <c r="C33" s="1567" t="s">
        <v>1101</v>
      </c>
      <c r="D33" s="281">
        <v>4800</v>
      </c>
      <c r="E33" s="158">
        <v>5755</v>
      </c>
      <c r="F33" s="1602">
        <v>5755</v>
      </c>
    </row>
    <row r="34" spans="1:6" ht="15" customHeight="1">
      <c r="A34" s="278"/>
      <c r="B34" s="299" t="s">
        <v>4079</v>
      </c>
      <c r="C34" s="1567" t="s">
        <v>1102</v>
      </c>
      <c r="D34" s="281"/>
      <c r="E34" s="158"/>
      <c r="F34" s="1602"/>
    </row>
    <row r="35" spans="1:6" ht="15" customHeight="1">
      <c r="A35" s="278"/>
      <c r="B35" s="299" t="s">
        <v>4080</v>
      </c>
      <c r="C35" s="1567" t="s">
        <v>1103</v>
      </c>
      <c r="D35" s="281"/>
      <c r="E35" s="158"/>
      <c r="F35" s="1602"/>
    </row>
    <row r="36" spans="1:6" ht="15" customHeight="1">
      <c r="A36" s="278"/>
      <c r="B36" s="299" t="s">
        <v>4081</v>
      </c>
      <c r="C36" s="1567" t="s">
        <v>1104</v>
      </c>
      <c r="D36" s="281"/>
      <c r="E36" s="158"/>
      <c r="F36" s="1602"/>
    </row>
    <row r="37" spans="1:6" ht="15" customHeight="1">
      <c r="A37" s="278"/>
      <c r="B37" s="299" t="s">
        <v>4082</v>
      </c>
      <c r="C37" s="1567" t="s">
        <v>1105</v>
      </c>
      <c r="D37" s="281">
        <v>1500</v>
      </c>
      <c r="E37" s="158">
        <f>19148</f>
        <v>19148</v>
      </c>
      <c r="F37" s="1602">
        <f>-1783+24880</f>
        <v>23097</v>
      </c>
    </row>
    <row r="38" spans="1:6" ht="24.75" customHeight="1">
      <c r="A38" s="278"/>
      <c r="B38" s="299" t="s">
        <v>4083</v>
      </c>
      <c r="C38" s="1572" t="s">
        <v>4084</v>
      </c>
      <c r="D38" s="300">
        <f>SUM(D39:D43)</f>
        <v>973164</v>
      </c>
      <c r="E38" s="301">
        <f>SUM(E39:E43)</f>
        <v>58918</v>
      </c>
      <c r="F38" s="1551">
        <f>SUM(F39:F43)</f>
        <v>53455</v>
      </c>
    </row>
    <row r="39" spans="1:6" ht="15" customHeight="1">
      <c r="A39" s="278"/>
      <c r="B39" s="299" t="s">
        <v>4085</v>
      </c>
      <c r="C39" s="1567" t="s">
        <v>1101</v>
      </c>
      <c r="D39" s="281"/>
      <c r="E39" s="158"/>
      <c r="F39" s="1602"/>
    </row>
    <row r="40" spans="1:6" ht="15" customHeight="1">
      <c r="A40" s="278"/>
      <c r="B40" s="299" t="s">
        <v>4086</v>
      </c>
      <c r="C40" s="1567" t="s">
        <v>1102</v>
      </c>
      <c r="D40" s="281"/>
      <c r="E40" s="158"/>
      <c r="F40" s="1602"/>
    </row>
    <row r="41" spans="1:6" ht="15" customHeight="1">
      <c r="A41" s="278"/>
      <c r="B41" s="299" t="s">
        <v>4087</v>
      </c>
      <c r="C41" s="1567" t="s">
        <v>1103</v>
      </c>
      <c r="D41" s="302"/>
      <c r="E41" s="387"/>
      <c r="F41" s="386"/>
    </row>
    <row r="42" spans="1:6" ht="15" customHeight="1">
      <c r="A42" s="278"/>
      <c r="B42" s="299" t="s">
        <v>4088</v>
      </c>
      <c r="C42" s="1567" t="s">
        <v>403</v>
      </c>
      <c r="D42" s="302"/>
      <c r="E42" s="387">
        <f>2160+3837</f>
        <v>5997</v>
      </c>
      <c r="F42" s="386">
        <v>3837</v>
      </c>
    </row>
    <row r="43" spans="1:6" ht="15" customHeight="1" thickBot="1">
      <c r="A43" s="303"/>
      <c r="B43" s="304" t="s">
        <v>4089</v>
      </c>
      <c r="C43" s="1568" t="s">
        <v>1106</v>
      </c>
      <c r="D43" s="305">
        <v>973164</v>
      </c>
      <c r="E43" s="1606">
        <v>52921</v>
      </c>
      <c r="F43" s="1607">
        <v>49618</v>
      </c>
    </row>
    <row r="44" spans="1:6" ht="24.75" customHeight="1" thickBot="1">
      <c r="A44" s="294" t="s">
        <v>4195</v>
      </c>
      <c r="B44" s="277"/>
      <c r="C44" s="1565" t="s">
        <v>1107</v>
      </c>
      <c r="D44" s="306">
        <f>+D45+D46</f>
        <v>130244</v>
      </c>
      <c r="E44" s="306">
        <f>+E45+E46</f>
        <v>9380</v>
      </c>
      <c r="F44" s="307">
        <f>+F45+F46</f>
        <v>6384</v>
      </c>
    </row>
    <row r="45" spans="1:6" ht="26.25" customHeight="1">
      <c r="A45" s="278"/>
      <c r="B45" s="299" t="s">
        <v>4091</v>
      </c>
      <c r="C45" s="1566" t="s">
        <v>1108</v>
      </c>
      <c r="D45" s="308">
        <v>400</v>
      </c>
      <c r="E45" s="1608">
        <v>1900</v>
      </c>
      <c r="F45" s="1609">
        <f>1782+602</f>
        <v>2384</v>
      </c>
    </row>
    <row r="46" spans="1:6" ht="27.75" customHeight="1" thickBot="1">
      <c r="A46" s="278"/>
      <c r="B46" s="299" t="s">
        <v>1109</v>
      </c>
      <c r="C46" s="1568" t="s">
        <v>1110</v>
      </c>
      <c r="D46" s="305">
        <v>129844</v>
      </c>
      <c r="E46" s="1606">
        <f>3480+4000</f>
        <v>7480</v>
      </c>
      <c r="F46" s="1607">
        <v>4000</v>
      </c>
    </row>
    <row r="47" spans="1:6" ht="15" customHeight="1" thickBot="1">
      <c r="A47" s="276" t="s">
        <v>4094</v>
      </c>
      <c r="B47" s="277"/>
      <c r="C47" s="1565" t="s">
        <v>1111</v>
      </c>
      <c r="D47" s="306">
        <f>+D48+D49+D50</f>
        <v>0</v>
      </c>
      <c r="E47" s="306">
        <f>+E48+E49+E50</f>
        <v>33256</v>
      </c>
      <c r="F47" s="284">
        <f>+F48+F49+F50</f>
        <v>28881</v>
      </c>
    </row>
    <row r="48" spans="1:6" ht="22.5" customHeight="1">
      <c r="A48" s="309"/>
      <c r="B48" s="299" t="s">
        <v>4096</v>
      </c>
      <c r="C48" s="1566" t="s">
        <v>4097</v>
      </c>
      <c r="D48" s="308"/>
      <c r="E48" s="1608">
        <v>11041</v>
      </c>
      <c r="F48" s="1609">
        <v>11096</v>
      </c>
    </row>
    <row r="49" spans="1:6" ht="22.5" customHeight="1">
      <c r="A49" s="309"/>
      <c r="B49" s="299" t="s">
        <v>4098</v>
      </c>
      <c r="C49" s="1610" t="s">
        <v>3691</v>
      </c>
      <c r="D49" s="430"/>
      <c r="E49" s="430">
        <f>4430+17767</f>
        <v>22197</v>
      </c>
      <c r="F49" s="1611">
        <v>17767</v>
      </c>
    </row>
    <row r="50" spans="1:6" ht="15" customHeight="1" thickBot="1">
      <c r="A50" s="278"/>
      <c r="B50" s="299" t="s">
        <v>4100</v>
      </c>
      <c r="C50" s="1569" t="s">
        <v>4101</v>
      </c>
      <c r="D50" s="305"/>
      <c r="E50" s="1606">
        <v>18</v>
      </c>
      <c r="F50" s="1607">
        <v>18</v>
      </c>
    </row>
    <row r="51" spans="1:6" ht="15" customHeight="1" thickBot="1">
      <c r="A51" s="310" t="s">
        <v>4102</v>
      </c>
      <c r="B51" s="311"/>
      <c r="C51" s="1570" t="s">
        <v>1112</v>
      </c>
      <c r="D51" s="312">
        <f>+D7+D12+D21+D22+D31+D44+D47</f>
        <v>1863579</v>
      </c>
      <c r="E51" s="312">
        <f>+E7+E12+E21+E22+E31+E44+E47</f>
        <v>731916</v>
      </c>
      <c r="F51" s="313">
        <f>+F7+F12+F21+F22+F31+F44+F47</f>
        <v>749050</v>
      </c>
    </row>
    <row r="52" spans="1:6" ht="15" customHeight="1" thickBot="1">
      <c r="A52" s="276" t="s">
        <v>1113</v>
      </c>
      <c r="B52" s="314"/>
      <c r="C52" s="1570" t="s">
        <v>1114</v>
      </c>
      <c r="D52" s="1575">
        <f>+D53+D54</f>
        <v>79089</v>
      </c>
      <c r="E52" s="315">
        <f>+E53+E54</f>
        <v>58902</v>
      </c>
      <c r="F52" s="1552">
        <f>+F53+F54</f>
        <v>58902</v>
      </c>
    </row>
    <row r="53" spans="1:6" ht="15" customHeight="1">
      <c r="A53" s="285"/>
      <c r="B53" s="296" t="s">
        <v>4105</v>
      </c>
      <c r="C53" s="1573" t="s">
        <v>1115</v>
      </c>
      <c r="D53" s="1576">
        <v>20000</v>
      </c>
      <c r="E53" s="387">
        <v>30730</v>
      </c>
      <c r="F53" s="386">
        <v>30730</v>
      </c>
    </row>
    <row r="54" spans="1:6" ht="15" customHeight="1" thickBot="1">
      <c r="A54" s="303"/>
      <c r="B54" s="304" t="s">
        <v>4117</v>
      </c>
      <c r="C54" s="1574" t="s">
        <v>1116</v>
      </c>
      <c r="D54" s="316">
        <v>59089</v>
      </c>
      <c r="E54" s="1612">
        <v>28172</v>
      </c>
      <c r="F54" s="1613">
        <v>28172</v>
      </c>
    </row>
    <row r="55" spans="1:6" ht="15" customHeight="1" thickBot="1">
      <c r="A55" s="274" t="s">
        <v>4129</v>
      </c>
      <c r="B55" s="2034" t="s">
        <v>1117</v>
      </c>
      <c r="C55" s="2035"/>
      <c r="D55" s="1577"/>
      <c r="E55" s="1614"/>
      <c r="F55" s="1560">
        <v>-3974</v>
      </c>
    </row>
    <row r="56" spans="1:6" ht="15" customHeight="1" thickBot="1">
      <c r="A56" s="317" t="s">
        <v>4129</v>
      </c>
      <c r="B56" s="318"/>
      <c r="C56" s="1570" t="s">
        <v>1118</v>
      </c>
      <c r="D56" s="306">
        <f>+D51+D52</f>
        <v>1942668</v>
      </c>
      <c r="E56" s="1563">
        <f>+E51+E52</f>
        <v>790818</v>
      </c>
      <c r="F56" s="307">
        <f>+F51+F52+F55</f>
        <v>803978</v>
      </c>
    </row>
    <row r="57" spans="1:6" ht="15" customHeight="1">
      <c r="A57" s="319"/>
      <c r="B57" s="319"/>
      <c r="C57" s="1615"/>
      <c r="D57" s="320"/>
      <c r="E57" s="1616"/>
      <c r="F57" s="1617"/>
    </row>
    <row r="58" spans="1:6" ht="15" customHeight="1" thickBot="1">
      <c r="A58" s="321"/>
      <c r="B58" s="322"/>
      <c r="C58" s="322"/>
      <c r="D58" s="1553"/>
      <c r="E58" s="1618"/>
      <c r="F58" s="1619"/>
    </row>
    <row r="59" spans="1:6" ht="15" customHeight="1" thickBot="1">
      <c r="A59" s="323"/>
      <c r="B59" s="324"/>
      <c r="C59" s="324" t="s">
        <v>1119</v>
      </c>
      <c r="D59" s="325"/>
      <c r="E59" s="1620"/>
      <c r="F59" s="1560"/>
    </row>
    <row r="60" spans="1:6" ht="15" customHeight="1" thickBot="1">
      <c r="A60" s="294" t="s">
        <v>4029</v>
      </c>
      <c r="B60" s="326"/>
      <c r="C60" s="1579" t="s">
        <v>1120</v>
      </c>
      <c r="D60" s="306">
        <f>SUM(D61:D65)</f>
        <v>121701</v>
      </c>
      <c r="E60" s="306">
        <f>SUM(E61:E65)</f>
        <v>170818</v>
      </c>
      <c r="F60" s="307">
        <f>SUM(F61:F65)</f>
        <v>167828</v>
      </c>
    </row>
    <row r="61" spans="1:6" ht="15" customHeight="1">
      <c r="A61" s="327"/>
      <c r="B61" s="328" t="s">
        <v>4135</v>
      </c>
      <c r="C61" s="1580" t="s">
        <v>4136</v>
      </c>
      <c r="D61" s="308">
        <v>17847</v>
      </c>
      <c r="E61" s="1608">
        <v>29307</v>
      </c>
      <c r="F61" s="1609">
        <v>26766</v>
      </c>
    </row>
    <row r="62" spans="1:6" ht="15" customHeight="1">
      <c r="A62" s="329"/>
      <c r="B62" s="299" t="s">
        <v>4137</v>
      </c>
      <c r="C62" s="1581" t="s">
        <v>4138</v>
      </c>
      <c r="D62" s="334">
        <v>4118</v>
      </c>
      <c r="E62" s="387">
        <v>8620</v>
      </c>
      <c r="F62" s="386">
        <v>7783</v>
      </c>
    </row>
    <row r="63" spans="1:6" ht="15" customHeight="1">
      <c r="A63" s="329"/>
      <c r="B63" s="299" t="s">
        <v>4139</v>
      </c>
      <c r="C63" s="1581" t="s">
        <v>4140</v>
      </c>
      <c r="D63" s="302">
        <f>476+77081</f>
        <v>77557</v>
      </c>
      <c r="E63" s="387">
        <f>154+92545</f>
        <v>92699</v>
      </c>
      <c r="F63" s="386">
        <f>170+95628</f>
        <v>95798</v>
      </c>
    </row>
    <row r="64" spans="1:6" ht="15" customHeight="1">
      <c r="A64" s="329"/>
      <c r="B64" s="299" t="s">
        <v>4141</v>
      </c>
      <c r="C64" s="1581" t="s">
        <v>4142</v>
      </c>
      <c r="D64" s="302"/>
      <c r="E64" s="387"/>
      <c r="F64" s="386"/>
    </row>
    <row r="65" spans="1:6" ht="15" customHeight="1">
      <c r="A65" s="329"/>
      <c r="B65" s="299" t="s">
        <v>4143</v>
      </c>
      <c r="C65" s="1581" t="s">
        <v>4144</v>
      </c>
      <c r="D65" s="302">
        <f>SUM(D66:D73)</f>
        <v>22179</v>
      </c>
      <c r="E65" s="330">
        <f>SUM(E66:E73)</f>
        <v>40192</v>
      </c>
      <c r="F65" s="1554">
        <f>SUM(F66:F73)</f>
        <v>37481</v>
      </c>
    </row>
    <row r="66" spans="1:6" ht="15" customHeight="1">
      <c r="A66" s="329"/>
      <c r="B66" s="299" t="s">
        <v>4145</v>
      </c>
      <c r="C66" s="1581" t="s">
        <v>1121</v>
      </c>
      <c r="D66" s="334"/>
      <c r="E66" s="387"/>
      <c r="F66" s="386"/>
    </row>
    <row r="67" spans="1:6" ht="15" customHeight="1">
      <c r="A67" s="329"/>
      <c r="B67" s="299" t="s">
        <v>4146</v>
      </c>
      <c r="C67" s="1582" t="s">
        <v>1122</v>
      </c>
      <c r="D67" s="302">
        <v>12406</v>
      </c>
      <c r="E67" s="387">
        <v>20361</v>
      </c>
      <c r="F67" s="386">
        <v>16375</v>
      </c>
    </row>
    <row r="68" spans="1:6" ht="28.5" customHeight="1">
      <c r="A68" s="329"/>
      <c r="B68" s="299" t="s">
        <v>4147</v>
      </c>
      <c r="C68" s="1567" t="s">
        <v>1123</v>
      </c>
      <c r="D68" s="302">
        <v>1000</v>
      </c>
      <c r="E68" s="387">
        <v>1063</v>
      </c>
      <c r="F68" s="386">
        <v>2764</v>
      </c>
    </row>
    <row r="69" spans="1:6" ht="27" customHeight="1">
      <c r="A69" s="329"/>
      <c r="B69" s="299" t="s">
        <v>4148</v>
      </c>
      <c r="C69" s="1567" t="s">
        <v>1124</v>
      </c>
      <c r="D69" s="302">
        <v>8773</v>
      </c>
      <c r="E69" s="387">
        <v>17018</v>
      </c>
      <c r="F69" s="386">
        <v>16592</v>
      </c>
    </row>
    <row r="70" spans="1:6" ht="15" customHeight="1">
      <c r="A70" s="329"/>
      <c r="B70" s="299" t="s">
        <v>4149</v>
      </c>
      <c r="C70" s="1567" t="s">
        <v>1125</v>
      </c>
      <c r="D70" s="302"/>
      <c r="E70" s="387"/>
      <c r="F70" s="386"/>
    </row>
    <row r="71" spans="1:6" ht="15" customHeight="1">
      <c r="A71" s="329"/>
      <c r="B71" s="299" t="s">
        <v>4150</v>
      </c>
      <c r="C71" s="1583" t="s">
        <v>1126</v>
      </c>
      <c r="D71" s="302"/>
      <c r="E71" s="387"/>
      <c r="F71" s="386"/>
    </row>
    <row r="72" spans="1:6" ht="15" customHeight="1">
      <c r="A72" s="329"/>
      <c r="B72" s="299" t="s">
        <v>4151</v>
      </c>
      <c r="C72" s="1581" t="s">
        <v>1127</v>
      </c>
      <c r="D72" s="302"/>
      <c r="E72" s="387"/>
      <c r="F72" s="386"/>
    </row>
    <row r="73" spans="1:6" ht="15" customHeight="1" thickBot="1">
      <c r="A73" s="331"/>
      <c r="B73" s="332" t="s">
        <v>1128</v>
      </c>
      <c r="C73" s="1584" t="s">
        <v>1129</v>
      </c>
      <c r="D73" s="305"/>
      <c r="E73" s="1606">
        <v>1750</v>
      </c>
      <c r="F73" s="1607">
        <v>1750</v>
      </c>
    </row>
    <row r="74" spans="1:6" ht="15" customHeight="1" thickBot="1">
      <c r="A74" s="294" t="s">
        <v>4031</v>
      </c>
      <c r="B74" s="326"/>
      <c r="C74" s="1579" t="s">
        <v>1130</v>
      </c>
      <c r="D74" s="306">
        <f>SUM(D75:D77)</f>
        <v>1463808</v>
      </c>
      <c r="E74" s="1563">
        <f>SUM(E75:E77)</f>
        <v>94889</v>
      </c>
      <c r="F74" s="307">
        <f>SUM(F75:F77)</f>
        <v>83196</v>
      </c>
    </row>
    <row r="75" spans="1:6" ht="15" customHeight="1">
      <c r="A75" s="327"/>
      <c r="B75" s="328" t="s">
        <v>4033</v>
      </c>
      <c r="C75" s="1573" t="s">
        <v>1131</v>
      </c>
      <c r="D75" s="333">
        <v>1448619</v>
      </c>
      <c r="E75" s="1608">
        <f>20835+41141</f>
        <v>61976</v>
      </c>
      <c r="F75" s="1609">
        <f>20949+39055</f>
        <v>60004</v>
      </c>
    </row>
    <row r="76" spans="1:6" ht="15" customHeight="1">
      <c r="A76" s="329"/>
      <c r="B76" s="299" t="s">
        <v>4035</v>
      </c>
      <c r="C76" s="1567" t="s">
        <v>4154</v>
      </c>
      <c r="D76" s="334">
        <v>15189</v>
      </c>
      <c r="E76" s="387">
        <v>15189</v>
      </c>
      <c r="F76" s="386">
        <v>9249</v>
      </c>
    </row>
    <row r="77" spans="1:6" ht="15" customHeight="1">
      <c r="A77" s="329"/>
      <c r="B77" s="299" t="s">
        <v>4037</v>
      </c>
      <c r="C77" s="1567" t="s">
        <v>1132</v>
      </c>
      <c r="D77" s="334"/>
      <c r="E77" s="387">
        <f>E79+E80+E82</f>
        <v>17724</v>
      </c>
      <c r="F77" s="386">
        <f>F79+F80+F82</f>
        <v>13943</v>
      </c>
    </row>
    <row r="78" spans="1:6" ht="28.5" customHeight="1">
      <c r="A78" s="329"/>
      <c r="B78" s="299" t="s">
        <v>4039</v>
      </c>
      <c r="C78" s="1567" t="s">
        <v>1133</v>
      </c>
      <c r="D78" s="334"/>
      <c r="E78" s="387"/>
      <c r="F78" s="386"/>
    </row>
    <row r="79" spans="1:6" ht="26.25" customHeight="1">
      <c r="A79" s="329"/>
      <c r="B79" s="299" t="s">
        <v>4157</v>
      </c>
      <c r="C79" s="1567" t="s">
        <v>1134</v>
      </c>
      <c r="D79" s="334"/>
      <c r="E79" s="387">
        <v>4147</v>
      </c>
      <c r="F79" s="386">
        <v>4203</v>
      </c>
    </row>
    <row r="80" spans="1:6" ht="15" customHeight="1">
      <c r="A80" s="329"/>
      <c r="B80" s="299" t="s">
        <v>4158</v>
      </c>
      <c r="C80" s="1567" t="s">
        <v>1135</v>
      </c>
      <c r="D80" s="334"/>
      <c r="E80" s="387">
        <v>100</v>
      </c>
      <c r="F80" s="386">
        <v>100</v>
      </c>
    </row>
    <row r="81" spans="1:6" ht="15" customHeight="1">
      <c r="A81" s="329"/>
      <c r="B81" s="299" t="s">
        <v>4159</v>
      </c>
      <c r="C81" s="1567" t="s">
        <v>1136</v>
      </c>
      <c r="D81" s="334"/>
      <c r="E81" s="387"/>
      <c r="F81" s="386"/>
    </row>
    <row r="82" spans="1:6" ht="15" customHeight="1">
      <c r="A82" s="329"/>
      <c r="B82" s="299" t="s">
        <v>4160</v>
      </c>
      <c r="C82" s="1567" t="s">
        <v>697</v>
      </c>
      <c r="D82" s="334"/>
      <c r="E82" s="387">
        <f>3837+9640</f>
        <v>13477</v>
      </c>
      <c r="F82" s="386">
        <v>9640</v>
      </c>
    </row>
    <row r="83" spans="1:6" ht="21" customHeight="1">
      <c r="A83" s="329"/>
      <c r="B83" s="299" t="s">
        <v>4161</v>
      </c>
      <c r="C83" s="1567" t="s">
        <v>1137</v>
      </c>
      <c r="D83" s="334"/>
      <c r="E83" s="387"/>
      <c r="F83" s="386"/>
    </row>
    <row r="84" spans="1:6" ht="22.5" customHeight="1" thickBot="1">
      <c r="A84" s="329"/>
      <c r="B84" s="299" t="s">
        <v>4162</v>
      </c>
      <c r="C84" s="1568" t="s">
        <v>1138</v>
      </c>
      <c r="D84" s="334"/>
      <c r="E84" s="1606"/>
      <c r="F84" s="1607"/>
    </row>
    <row r="85" spans="1:6" ht="15" customHeight="1" thickBot="1">
      <c r="A85" s="335" t="s">
        <v>4041</v>
      </c>
      <c r="B85" s="336"/>
      <c r="C85" s="1585" t="s">
        <v>1139</v>
      </c>
      <c r="D85" s="306">
        <f>+D86+D87</f>
        <v>1000</v>
      </c>
      <c r="E85" s="1563">
        <f>+E86+E87</f>
        <v>67248</v>
      </c>
      <c r="F85" s="307">
        <f>+F86+F87</f>
        <v>0</v>
      </c>
    </row>
    <row r="86" spans="1:6" ht="15" customHeight="1">
      <c r="A86" s="337"/>
      <c r="B86" s="296" t="s">
        <v>4043</v>
      </c>
      <c r="C86" s="1586" t="s">
        <v>4164</v>
      </c>
      <c r="D86" s="338">
        <v>1000</v>
      </c>
      <c r="E86" s="1608">
        <v>59441</v>
      </c>
      <c r="F86" s="1609"/>
    </row>
    <row r="87" spans="1:6" ht="15" customHeight="1" thickBot="1">
      <c r="A87" s="339"/>
      <c r="B87" s="304" t="s">
        <v>4045</v>
      </c>
      <c r="C87" s="1587" t="s">
        <v>4165</v>
      </c>
      <c r="D87" s="340"/>
      <c r="E87" s="1612">
        <v>7807</v>
      </c>
      <c r="F87" s="1613"/>
    </row>
    <row r="88" spans="1:6" ht="15" customHeight="1" thickBot="1">
      <c r="A88" s="294" t="s">
        <v>4166</v>
      </c>
      <c r="B88" s="341"/>
      <c r="C88" s="1588" t="s">
        <v>1140</v>
      </c>
      <c r="D88" s="342">
        <v>356159</v>
      </c>
      <c r="E88" s="1561">
        <v>457863</v>
      </c>
      <c r="F88" s="1562">
        <v>457863</v>
      </c>
    </row>
    <row r="89" spans="1:6" ht="15" customHeight="1" thickBot="1">
      <c r="A89" s="294" t="s">
        <v>4061</v>
      </c>
      <c r="B89" s="326"/>
      <c r="C89" s="1570" t="s">
        <v>1141</v>
      </c>
      <c r="D89" s="1559">
        <f>+D60+D74+D85+D88</f>
        <v>1942668</v>
      </c>
      <c r="E89" s="1559">
        <f>+E60+E74+E85+E88</f>
        <v>790818</v>
      </c>
      <c r="F89" s="343">
        <f>+F60+F74+F85+F88</f>
        <v>708887</v>
      </c>
    </row>
    <row r="90" spans="1:6" ht="15" customHeight="1" thickBot="1">
      <c r="A90" s="294" t="s">
        <v>4074</v>
      </c>
      <c r="B90" s="326"/>
      <c r="C90" s="1570" t="s">
        <v>1142</v>
      </c>
      <c r="D90" s="306">
        <f>+D91+D92</f>
        <v>0</v>
      </c>
      <c r="E90" s="1620"/>
      <c r="F90" s="1560"/>
    </row>
    <row r="91" spans="1:6" ht="15" customHeight="1">
      <c r="A91" s="327"/>
      <c r="B91" s="299" t="s">
        <v>1143</v>
      </c>
      <c r="C91" s="1573" t="s">
        <v>1144</v>
      </c>
      <c r="D91" s="1590"/>
      <c r="E91" s="1608"/>
      <c r="F91" s="1609"/>
    </row>
    <row r="92" spans="1:6" ht="15" customHeight="1" thickBot="1">
      <c r="A92" s="331"/>
      <c r="B92" s="332" t="s">
        <v>1145</v>
      </c>
      <c r="C92" s="1589" t="s">
        <v>1146</v>
      </c>
      <c r="D92" s="1591"/>
      <c r="E92" s="1612"/>
      <c r="F92" s="1613"/>
    </row>
    <row r="93" spans="1:6" ht="15" customHeight="1" thickBot="1">
      <c r="A93" s="294" t="s">
        <v>4195</v>
      </c>
      <c r="B93" s="2036" t="s">
        <v>1147</v>
      </c>
      <c r="C93" s="2037"/>
      <c r="D93" s="1592"/>
      <c r="E93" s="1620"/>
      <c r="F93" s="1560">
        <v>-5301</v>
      </c>
    </row>
    <row r="94" spans="1:6" ht="15" customHeight="1" thickBot="1">
      <c r="A94" s="294">
        <v>8</v>
      </c>
      <c r="B94" s="344"/>
      <c r="C94" s="1570" t="s">
        <v>1148</v>
      </c>
      <c r="D94" s="1593">
        <f>+D89+D90</f>
        <v>1942668</v>
      </c>
      <c r="E94" s="1564">
        <f>+E89+E90</f>
        <v>790818</v>
      </c>
      <c r="F94" s="345">
        <f>+F89+F90+F93</f>
        <v>703586</v>
      </c>
    </row>
    <row r="95" spans="1:4" ht="15" customHeight="1" thickBot="1">
      <c r="A95" s="1621"/>
      <c r="B95" s="1622"/>
      <c r="C95" s="1622"/>
      <c r="D95" s="1623"/>
    </row>
    <row r="96" spans="1:6" ht="15" customHeight="1" thickBot="1">
      <c r="A96" s="1624" t="s">
        <v>1149</v>
      </c>
      <c r="B96" s="1625"/>
      <c r="C96" s="1626"/>
      <c r="D96" s="1627">
        <v>7</v>
      </c>
      <c r="E96" s="1627">
        <v>7</v>
      </c>
      <c r="F96" s="1628">
        <v>7</v>
      </c>
    </row>
    <row r="97" spans="1:6" ht="15" customHeight="1" thickBot="1">
      <c r="A97" s="1624" t="s">
        <v>1150</v>
      </c>
      <c r="B97" s="1625"/>
      <c r="C97" s="1626"/>
      <c r="D97" s="1627">
        <v>2</v>
      </c>
      <c r="E97" s="1627">
        <v>2</v>
      </c>
      <c r="F97" s="1628">
        <v>2</v>
      </c>
    </row>
    <row r="98" spans="1:4" ht="15" customHeight="1">
      <c r="A98" s="1594"/>
      <c r="B98" s="1594"/>
      <c r="C98" s="1594"/>
      <c r="D98" s="1594"/>
    </row>
    <row r="99" spans="1:4" ht="15" customHeight="1">
      <c r="A99" s="1594"/>
      <c r="B99" s="1594"/>
      <c r="C99" s="1594"/>
      <c r="D99" s="1594"/>
    </row>
    <row r="100" spans="1:4" ht="15" customHeight="1">
      <c r="A100" s="1594"/>
      <c r="B100" s="1594"/>
      <c r="C100" s="1594"/>
      <c r="D100" s="1594"/>
    </row>
    <row r="101" spans="1:6" ht="15" customHeight="1">
      <c r="A101" s="2026" t="s">
        <v>2791</v>
      </c>
      <c r="B101" s="2026"/>
      <c r="C101" s="2026"/>
      <c r="D101" s="2026"/>
      <c r="E101" s="2027"/>
      <c r="F101" s="2027"/>
    </row>
    <row r="102" spans="1:6" ht="15" customHeight="1">
      <c r="A102" s="2028" t="s">
        <v>2792</v>
      </c>
      <c r="B102" s="2028"/>
      <c r="C102" s="2028"/>
      <c r="D102" s="2028"/>
      <c r="E102" s="2029"/>
      <c r="F102" s="2029"/>
    </row>
    <row r="103" spans="1:6" ht="15" customHeight="1" thickBot="1">
      <c r="A103" s="1595"/>
      <c r="B103" s="1595"/>
      <c r="C103" s="1595"/>
      <c r="F103" s="273" t="s">
        <v>1086</v>
      </c>
    </row>
    <row r="104" spans="1:6" ht="15" customHeight="1">
      <c r="A104" s="2038" t="s">
        <v>1087</v>
      </c>
      <c r="B104" s="2039"/>
      <c r="C104" s="1751" t="s">
        <v>1088</v>
      </c>
      <c r="D104" s="2040" t="s">
        <v>4025</v>
      </c>
      <c r="E104" s="2040"/>
      <c r="F104" s="2041"/>
    </row>
    <row r="105" spans="1:6" ht="32.25" customHeight="1" thickBot="1">
      <c r="A105" s="1752"/>
      <c r="B105" s="1597"/>
      <c r="C105" s="1597" t="s">
        <v>1089</v>
      </c>
      <c r="D105" s="1598" t="s">
        <v>4027</v>
      </c>
      <c r="E105" s="1598" t="s">
        <v>4028</v>
      </c>
      <c r="F105" s="1599" t="s">
        <v>4220</v>
      </c>
    </row>
    <row r="106" spans="1:6" ht="15" customHeight="1" thickBot="1">
      <c r="A106" s="276" t="s">
        <v>4029</v>
      </c>
      <c r="B106" s="277"/>
      <c r="C106" s="347" t="s">
        <v>1151</v>
      </c>
      <c r="D106" s="1753">
        <f>SUM(D107:D114)</f>
        <v>699</v>
      </c>
      <c r="E106" s="1772">
        <f>SUM(E107:E114)</f>
        <v>699</v>
      </c>
      <c r="F106" s="1765">
        <f>SUM(F107:F114)</f>
        <v>1073</v>
      </c>
    </row>
    <row r="107" spans="1:6" ht="15" customHeight="1">
      <c r="A107" s="285"/>
      <c r="B107" s="279" t="s">
        <v>4135</v>
      </c>
      <c r="C107" s="349" t="s">
        <v>4044</v>
      </c>
      <c r="D107" s="1754"/>
      <c r="E107" s="1642"/>
      <c r="F107" s="1766"/>
    </row>
    <row r="108" spans="1:6" ht="15" customHeight="1">
      <c r="A108" s="278"/>
      <c r="B108" s="279" t="s">
        <v>4137</v>
      </c>
      <c r="C108" s="351" t="s">
        <v>4046</v>
      </c>
      <c r="D108" s="1755"/>
      <c r="E108" s="387"/>
      <c r="F108" s="1767"/>
    </row>
    <row r="109" spans="1:6" ht="15" customHeight="1">
      <c r="A109" s="278"/>
      <c r="B109" s="279" t="s">
        <v>4139</v>
      </c>
      <c r="C109" s="351" t="s">
        <v>4048</v>
      </c>
      <c r="D109" s="1755"/>
      <c r="E109" s="387"/>
      <c r="F109" s="1767"/>
    </row>
    <row r="110" spans="1:6" ht="15" customHeight="1">
      <c r="A110" s="278"/>
      <c r="B110" s="279" t="s">
        <v>4141</v>
      </c>
      <c r="C110" s="351" t="s">
        <v>4050</v>
      </c>
      <c r="D110" s="1755"/>
      <c r="E110" s="387"/>
      <c r="F110" s="1767"/>
    </row>
    <row r="111" spans="1:6" ht="15" customHeight="1">
      <c r="A111" s="278"/>
      <c r="B111" s="279" t="s">
        <v>1152</v>
      </c>
      <c r="C111" s="353" t="s">
        <v>4052</v>
      </c>
      <c r="D111" s="1755"/>
      <c r="E111" s="387"/>
      <c r="F111" s="1767"/>
    </row>
    <row r="112" spans="1:6" ht="15" customHeight="1">
      <c r="A112" s="286"/>
      <c r="B112" s="279" t="s">
        <v>4145</v>
      </c>
      <c r="C112" s="351" t="s">
        <v>695</v>
      </c>
      <c r="D112" s="1756">
        <v>149</v>
      </c>
      <c r="E112" s="387">
        <v>149</v>
      </c>
      <c r="F112" s="1767">
        <v>156</v>
      </c>
    </row>
    <row r="113" spans="1:6" ht="15" customHeight="1">
      <c r="A113" s="278"/>
      <c r="B113" s="279" t="s">
        <v>4146</v>
      </c>
      <c r="C113" s="351" t="s">
        <v>1153</v>
      </c>
      <c r="D113" s="1755"/>
      <c r="E113" s="387"/>
      <c r="F113" s="1767">
        <v>58</v>
      </c>
    </row>
    <row r="114" spans="1:6" ht="15" customHeight="1" thickBot="1">
      <c r="A114" s="288"/>
      <c r="B114" s="289" t="s">
        <v>4147</v>
      </c>
      <c r="C114" s="353" t="s">
        <v>1154</v>
      </c>
      <c r="D114" s="1757">
        <v>550</v>
      </c>
      <c r="E114" s="1643">
        <v>550</v>
      </c>
      <c r="F114" s="1768">
        <v>859</v>
      </c>
    </row>
    <row r="115" spans="1:6" ht="21.75" customHeight="1" thickBot="1">
      <c r="A115" s="276" t="s">
        <v>4031</v>
      </c>
      <c r="B115" s="277"/>
      <c r="C115" s="347" t="s">
        <v>1155</v>
      </c>
      <c r="D115" s="1753">
        <f>SUM(D116:D119)</f>
        <v>104737</v>
      </c>
      <c r="E115" s="1772">
        <f>SUM(E116:E119)</f>
        <v>2650</v>
      </c>
      <c r="F115" s="1765">
        <f>SUM(F116:F119)</f>
        <v>63</v>
      </c>
    </row>
    <row r="116" spans="1:6" ht="15" customHeight="1">
      <c r="A116" s="278"/>
      <c r="B116" s="279" t="s">
        <v>4033</v>
      </c>
      <c r="C116" s="356" t="s">
        <v>1156</v>
      </c>
      <c r="D116" s="1755">
        <v>104737</v>
      </c>
      <c r="E116" s="1642">
        <v>2650</v>
      </c>
      <c r="F116" s="1766">
        <v>63</v>
      </c>
    </row>
    <row r="117" spans="1:6" ht="15" customHeight="1">
      <c r="A117" s="278"/>
      <c r="B117" s="279" t="s">
        <v>4035</v>
      </c>
      <c r="C117" s="351" t="s">
        <v>1157</v>
      </c>
      <c r="D117" s="1755"/>
      <c r="E117" s="387"/>
      <c r="F117" s="1767"/>
    </row>
    <row r="118" spans="1:6" ht="15" customHeight="1">
      <c r="A118" s="278"/>
      <c r="B118" s="279" t="s">
        <v>4037</v>
      </c>
      <c r="C118" s="351" t="s">
        <v>1158</v>
      </c>
      <c r="D118" s="1755"/>
      <c r="E118" s="387"/>
      <c r="F118" s="1767"/>
    </row>
    <row r="119" spans="1:6" ht="15" customHeight="1" thickBot="1">
      <c r="A119" s="278"/>
      <c r="B119" s="279" t="s">
        <v>4039</v>
      </c>
      <c r="C119" s="351" t="s">
        <v>1157</v>
      </c>
      <c r="D119" s="1755"/>
      <c r="E119" s="1643"/>
      <c r="F119" s="1768"/>
    </row>
    <row r="120" spans="1:6" ht="21" customHeight="1" thickBot="1">
      <c r="A120" s="294" t="s">
        <v>4041</v>
      </c>
      <c r="B120" s="357"/>
      <c r="C120" s="357" t="s">
        <v>1159</v>
      </c>
      <c r="D120" s="1753">
        <f>+D121+D122</f>
        <v>0</v>
      </c>
      <c r="E120" s="1772">
        <f>+E121+E122</f>
        <v>0</v>
      </c>
      <c r="F120" s="1765">
        <f>+F121+F122</f>
        <v>503</v>
      </c>
    </row>
    <row r="121" spans="1:6" ht="20.25" customHeight="1">
      <c r="A121" s="337"/>
      <c r="B121" s="358" t="s">
        <v>4043</v>
      </c>
      <c r="C121" s="359" t="s">
        <v>4092</v>
      </c>
      <c r="D121" s="1758"/>
      <c r="E121" s="1642"/>
      <c r="F121" s="1766">
        <v>503</v>
      </c>
    </row>
    <row r="122" spans="1:6" ht="22.5" customHeight="1" thickBot="1">
      <c r="A122" s="361"/>
      <c r="B122" s="362" t="s">
        <v>4045</v>
      </c>
      <c r="C122" s="363" t="s">
        <v>1160</v>
      </c>
      <c r="D122" s="1759"/>
      <c r="E122" s="1643"/>
      <c r="F122" s="1768"/>
    </row>
    <row r="123" spans="1:6" ht="15" customHeight="1" thickBot="1">
      <c r="A123" s="294" t="s">
        <v>4166</v>
      </c>
      <c r="B123" s="277"/>
      <c r="C123" s="357" t="s">
        <v>1161</v>
      </c>
      <c r="D123" s="381">
        <v>87376</v>
      </c>
      <c r="E123" s="1773">
        <v>173365</v>
      </c>
      <c r="F123" s="1769">
        <v>173365</v>
      </c>
    </row>
    <row r="124" spans="1:6" ht="15" customHeight="1" thickBot="1">
      <c r="A124" s="276" t="s">
        <v>4061</v>
      </c>
      <c r="B124" s="366"/>
      <c r="C124" s="357" t="s">
        <v>1162</v>
      </c>
      <c r="D124" s="1760">
        <f>D106+D115+D123+D120</f>
        <v>192812</v>
      </c>
      <c r="E124" s="1772">
        <f>E106+E115+E123+E120</f>
        <v>176714</v>
      </c>
      <c r="F124" s="1765">
        <f>F106+F115+F123+F120</f>
        <v>175004</v>
      </c>
    </row>
    <row r="125" spans="1:6" ht="15" customHeight="1" thickBot="1">
      <c r="A125" s="367" t="s">
        <v>4074</v>
      </c>
      <c r="B125" s="1630"/>
      <c r="C125" s="368" t="s">
        <v>1163</v>
      </c>
      <c r="D125" s="1761">
        <f>+D126+D127</f>
        <v>0</v>
      </c>
      <c r="E125" s="1772">
        <f>+E126+E127</f>
        <v>557</v>
      </c>
      <c r="F125" s="1765">
        <f>+F126+F127</f>
        <v>557</v>
      </c>
    </row>
    <row r="126" spans="1:6" ht="15" customHeight="1">
      <c r="A126" s="285"/>
      <c r="B126" s="369" t="s">
        <v>4076</v>
      </c>
      <c r="C126" s="359" t="s">
        <v>1164</v>
      </c>
      <c r="D126" s="1758"/>
      <c r="E126" s="1642">
        <v>557</v>
      </c>
      <c r="F126" s="1766">
        <v>557</v>
      </c>
    </row>
    <row r="127" spans="1:6" ht="15" customHeight="1" thickBot="1">
      <c r="A127" s="1631"/>
      <c r="B127" s="370" t="s">
        <v>4083</v>
      </c>
      <c r="C127" s="371" t="s">
        <v>1165</v>
      </c>
      <c r="D127" s="1762"/>
      <c r="E127" s="1643"/>
      <c r="F127" s="1768"/>
    </row>
    <row r="128" spans="1:6" ht="15" customHeight="1" thickBot="1">
      <c r="A128" s="317" t="s">
        <v>4195</v>
      </c>
      <c r="B128" s="373"/>
      <c r="C128" s="374" t="s">
        <v>1166</v>
      </c>
      <c r="D128" s="1763"/>
      <c r="E128" s="1620"/>
      <c r="F128" s="1770">
        <v>-58</v>
      </c>
    </row>
    <row r="129" spans="1:6" ht="15" customHeight="1" thickBot="1">
      <c r="A129" s="317" t="s">
        <v>4094</v>
      </c>
      <c r="B129" s="1632"/>
      <c r="C129" s="1633" t="s">
        <v>1437</v>
      </c>
      <c r="D129" s="1764">
        <f>SUM(D124+D125+D128)</f>
        <v>192812</v>
      </c>
      <c r="E129" s="1774">
        <f>SUM(E124+E125+E128)</f>
        <v>177271</v>
      </c>
      <c r="F129" s="1771">
        <f>SUM(F124+F125+F128)</f>
        <v>175503</v>
      </c>
    </row>
    <row r="130" spans="1:4" ht="15" customHeight="1">
      <c r="A130" s="319"/>
      <c r="B130" s="319"/>
      <c r="C130" s="1634"/>
      <c r="D130" s="375"/>
    </row>
    <row r="131" spans="1:4" ht="15" customHeight="1" thickBot="1">
      <c r="A131" s="321"/>
      <c r="B131" s="322"/>
      <c r="C131" s="322"/>
      <c r="D131" s="376"/>
    </row>
    <row r="132" spans="1:6" ht="27.75" customHeight="1" thickBot="1">
      <c r="A132" s="323"/>
      <c r="B132" s="324"/>
      <c r="C132" s="324" t="s">
        <v>1119</v>
      </c>
      <c r="D132" s="1851" t="s">
        <v>4027</v>
      </c>
      <c r="E132" s="1852" t="s">
        <v>4028</v>
      </c>
      <c r="F132" s="1853" t="s">
        <v>4220</v>
      </c>
    </row>
    <row r="133" spans="1:6" ht="15" customHeight="1" thickBot="1">
      <c r="A133" s="294" t="s">
        <v>4029</v>
      </c>
      <c r="B133" s="377"/>
      <c r="C133" s="357" t="s">
        <v>1120</v>
      </c>
      <c r="D133" s="1753">
        <f>SUM(D134:D138)</f>
        <v>192412</v>
      </c>
      <c r="E133" s="1772">
        <f>SUM(E134:E138)</f>
        <v>176148</v>
      </c>
      <c r="F133" s="1765">
        <f>SUM(F134:F138)</f>
        <v>173831</v>
      </c>
    </row>
    <row r="134" spans="1:6" ht="15" customHeight="1">
      <c r="A134" s="327"/>
      <c r="B134" s="378" t="s">
        <v>4135</v>
      </c>
      <c r="C134" s="356" t="s">
        <v>4136</v>
      </c>
      <c r="D134" s="1775">
        <v>42256</v>
      </c>
      <c r="E134" s="1642">
        <v>43375</v>
      </c>
      <c r="F134" s="1766">
        <v>43322</v>
      </c>
    </row>
    <row r="135" spans="1:6" ht="15" customHeight="1">
      <c r="A135" s="329"/>
      <c r="B135" s="379" t="s">
        <v>4137</v>
      </c>
      <c r="C135" s="351" t="s">
        <v>4138</v>
      </c>
      <c r="D135" s="383">
        <v>10934</v>
      </c>
      <c r="E135" s="387">
        <v>11232</v>
      </c>
      <c r="F135" s="1767">
        <v>10303</v>
      </c>
    </row>
    <row r="136" spans="1:6" ht="15" customHeight="1">
      <c r="A136" s="329"/>
      <c r="B136" s="379" t="s">
        <v>4139</v>
      </c>
      <c r="C136" s="351" t="s">
        <v>4140</v>
      </c>
      <c r="D136" s="383">
        <v>14531</v>
      </c>
      <c r="E136" s="1780">
        <v>12575</v>
      </c>
      <c r="F136" s="1779">
        <v>11691</v>
      </c>
    </row>
    <row r="137" spans="1:6" ht="15" customHeight="1">
      <c r="A137" s="329"/>
      <c r="B137" s="379" t="s">
        <v>4141</v>
      </c>
      <c r="C137" s="351" t="s">
        <v>4142</v>
      </c>
      <c r="D137" s="383"/>
      <c r="E137" s="387"/>
      <c r="F137" s="1767"/>
    </row>
    <row r="138" spans="1:6" ht="15" customHeight="1" thickBot="1">
      <c r="A138" s="329"/>
      <c r="B138" s="379" t="s">
        <v>4143</v>
      </c>
      <c r="C138" s="351" t="s">
        <v>4144</v>
      </c>
      <c r="D138" s="383">
        <v>124691</v>
      </c>
      <c r="E138" s="1780">
        <v>108966</v>
      </c>
      <c r="F138" s="1779">
        <v>108515</v>
      </c>
    </row>
    <row r="139" spans="1:6" ht="15" customHeight="1" thickBot="1">
      <c r="A139" s="294" t="s">
        <v>4031</v>
      </c>
      <c r="B139" s="377"/>
      <c r="C139" s="357" t="s">
        <v>1438</v>
      </c>
      <c r="D139" s="1753">
        <f>SUM(D140:D143)</f>
        <v>400</v>
      </c>
      <c r="E139" s="1772">
        <f>SUM(E140:E143)</f>
        <v>1123</v>
      </c>
      <c r="F139" s="1765">
        <f>SUM(F140:F143)</f>
        <v>1124</v>
      </c>
    </row>
    <row r="140" spans="1:6" ht="15" customHeight="1">
      <c r="A140" s="327"/>
      <c r="B140" s="378" t="s">
        <v>4033</v>
      </c>
      <c r="C140" s="356" t="s">
        <v>4153</v>
      </c>
      <c r="D140" s="1775">
        <v>400</v>
      </c>
      <c r="E140" s="1642">
        <v>1123</v>
      </c>
      <c r="F140" s="1766">
        <v>1124</v>
      </c>
    </row>
    <row r="141" spans="1:6" ht="15" customHeight="1">
      <c r="A141" s="329"/>
      <c r="B141" s="379" t="s">
        <v>4035</v>
      </c>
      <c r="C141" s="351" t="s">
        <v>4154</v>
      </c>
      <c r="D141" s="383"/>
      <c r="E141" s="387"/>
      <c r="F141" s="1767"/>
    </row>
    <row r="142" spans="1:6" ht="15" customHeight="1">
      <c r="A142" s="329"/>
      <c r="B142" s="379" t="s">
        <v>4157</v>
      </c>
      <c r="C142" s="351" t="s">
        <v>1439</v>
      </c>
      <c r="D142" s="383"/>
      <c r="E142" s="387"/>
      <c r="F142" s="1767"/>
    </row>
    <row r="143" spans="1:6" ht="15" customHeight="1" thickBot="1">
      <c r="A143" s="329"/>
      <c r="B143" s="379" t="s">
        <v>4159</v>
      </c>
      <c r="C143" s="351" t="s">
        <v>1440</v>
      </c>
      <c r="D143" s="383"/>
      <c r="E143" s="1643"/>
      <c r="F143" s="1768"/>
    </row>
    <row r="144" spans="1:6" ht="15" customHeight="1" thickBot="1">
      <c r="A144" s="294" t="s">
        <v>4041</v>
      </c>
      <c r="B144" s="377"/>
      <c r="C144" s="377" t="s">
        <v>1441</v>
      </c>
      <c r="D144" s="381"/>
      <c r="E144" s="1773"/>
      <c r="F144" s="1769"/>
    </row>
    <row r="145" spans="1:6" ht="15" customHeight="1" thickBot="1">
      <c r="A145" s="317" t="s">
        <v>4166</v>
      </c>
      <c r="B145" s="373"/>
      <c r="C145" s="374" t="s">
        <v>1442</v>
      </c>
      <c r="D145" s="1763"/>
      <c r="E145" s="1620"/>
      <c r="F145" s="1770">
        <v>-132</v>
      </c>
    </row>
    <row r="146" spans="1:6" ht="15" customHeight="1" thickBot="1">
      <c r="A146" s="294" t="s">
        <v>4061</v>
      </c>
      <c r="B146" s="344"/>
      <c r="C146" s="1635" t="s">
        <v>1443</v>
      </c>
      <c r="D146" s="1776">
        <f>+D133+D139+D144+D145</f>
        <v>192812</v>
      </c>
      <c r="E146" s="1774">
        <f>+E133+E139+E144+E145</f>
        <v>177271</v>
      </c>
      <c r="F146" s="1771">
        <f>+F133+F139+F144+F145</f>
        <v>174823</v>
      </c>
    </row>
    <row r="147" spans="1:5" ht="15" customHeight="1" thickBot="1">
      <c r="A147" s="1636"/>
      <c r="B147" s="1637"/>
      <c r="C147" s="1637"/>
      <c r="D147" s="1638"/>
      <c r="E147" s="1781"/>
    </row>
    <row r="148" spans="1:6" ht="15" customHeight="1" thickBot="1">
      <c r="A148" s="1624" t="s">
        <v>1149</v>
      </c>
      <c r="B148" s="1625"/>
      <c r="C148" s="1639"/>
      <c r="D148" s="1777">
        <v>18</v>
      </c>
      <c r="E148" s="1620">
        <v>18</v>
      </c>
      <c r="F148" s="1770">
        <v>18</v>
      </c>
    </row>
    <row r="149" spans="1:6" ht="15" customHeight="1" thickBot="1">
      <c r="A149" s="1624" t="s">
        <v>1150</v>
      </c>
      <c r="B149" s="1625"/>
      <c r="C149" s="1639"/>
      <c r="D149" s="1778">
        <v>0</v>
      </c>
      <c r="E149" s="1620">
        <v>0</v>
      </c>
      <c r="F149" s="1770">
        <v>0</v>
      </c>
    </row>
    <row r="150" spans="1:4" ht="15" customHeight="1">
      <c r="A150" s="1640"/>
      <c r="B150" s="1641"/>
      <c r="C150" s="1641"/>
      <c r="D150" s="1641"/>
    </row>
    <row r="151" spans="1:4" ht="15" customHeight="1">
      <c r="A151" s="1594"/>
      <c r="B151" s="1594"/>
      <c r="C151" s="1594"/>
      <c r="D151" s="1594"/>
    </row>
    <row r="152" spans="1:6" ht="15" customHeight="1">
      <c r="A152" s="2026" t="s">
        <v>2793</v>
      </c>
      <c r="B152" s="2026"/>
      <c r="C152" s="2026"/>
      <c r="D152" s="2026"/>
      <c r="E152" s="2027"/>
      <c r="F152" s="2027"/>
    </row>
    <row r="153" spans="1:6" ht="27.75" customHeight="1">
      <c r="A153" s="2042" t="s">
        <v>2794</v>
      </c>
      <c r="B153" s="2042"/>
      <c r="C153" s="2042"/>
      <c r="D153" s="2042"/>
      <c r="E153" s="2027"/>
      <c r="F153" s="2027"/>
    </row>
    <row r="154" spans="1:6" ht="15" customHeight="1" thickBot="1">
      <c r="A154" s="1595"/>
      <c r="B154" s="1595"/>
      <c r="C154" s="1595"/>
      <c r="D154" s="2048" t="s">
        <v>1086</v>
      </c>
      <c r="E154" s="2048"/>
      <c r="F154" s="2048"/>
    </row>
    <row r="155" spans="1:6" ht="15" customHeight="1">
      <c r="A155" s="2030" t="s">
        <v>1087</v>
      </c>
      <c r="B155" s="2031"/>
      <c r="C155" s="1578" t="s">
        <v>1088</v>
      </c>
      <c r="D155" s="2032" t="s">
        <v>4025</v>
      </c>
      <c r="E155" s="2032"/>
      <c r="F155" s="2033"/>
    </row>
    <row r="156" spans="1:6" ht="30" customHeight="1" thickBot="1">
      <c r="A156" s="274"/>
      <c r="B156" s="1596"/>
      <c r="C156" s="1807" t="s">
        <v>1089</v>
      </c>
      <c r="D156" s="1598" t="s">
        <v>4027</v>
      </c>
      <c r="E156" s="1598" t="s">
        <v>4028</v>
      </c>
      <c r="F156" s="1599" t="s">
        <v>4220</v>
      </c>
    </row>
    <row r="157" spans="1:6" ht="15" customHeight="1" thickBot="1">
      <c r="A157" s="276" t="s">
        <v>4029</v>
      </c>
      <c r="B157" s="277"/>
      <c r="C157" s="347" t="s">
        <v>1151</v>
      </c>
      <c r="D157" s="1753">
        <f>SUM(D158:D165)</f>
        <v>0</v>
      </c>
      <c r="E157" s="1772">
        <f>SUM(E158:E165)</f>
        <v>14</v>
      </c>
      <c r="F157" s="1765">
        <f>SUM(F158:F165)</f>
        <v>14</v>
      </c>
    </row>
    <row r="158" spans="1:6" ht="15" customHeight="1">
      <c r="A158" s="285"/>
      <c r="B158" s="279" t="s">
        <v>4135</v>
      </c>
      <c r="C158" s="349" t="s">
        <v>4044</v>
      </c>
      <c r="D158" s="1754"/>
      <c r="E158" s="1642"/>
      <c r="F158" s="1766"/>
    </row>
    <row r="159" spans="1:6" ht="15" customHeight="1">
      <c r="A159" s="278"/>
      <c r="B159" s="279" t="s">
        <v>4137</v>
      </c>
      <c r="C159" s="351" t="s">
        <v>4046</v>
      </c>
      <c r="D159" s="1755"/>
      <c r="E159" s="387"/>
      <c r="F159" s="1767"/>
    </row>
    <row r="160" spans="1:6" ht="15" customHeight="1">
      <c r="A160" s="278"/>
      <c r="B160" s="279" t="s">
        <v>4139</v>
      </c>
      <c r="C160" s="351" t="s">
        <v>4048</v>
      </c>
      <c r="D160" s="1755"/>
      <c r="E160" s="387"/>
      <c r="F160" s="1767"/>
    </row>
    <row r="161" spans="1:6" ht="15" customHeight="1">
      <c r="A161" s="278"/>
      <c r="B161" s="279" t="s">
        <v>4141</v>
      </c>
      <c r="C161" s="351" t="s">
        <v>4050</v>
      </c>
      <c r="D161" s="1755"/>
      <c r="E161" s="387"/>
      <c r="F161" s="1767"/>
    </row>
    <row r="162" spans="1:6" ht="15" customHeight="1">
      <c r="A162" s="278"/>
      <c r="B162" s="279" t="s">
        <v>1152</v>
      </c>
      <c r="C162" s="353" t="s">
        <v>4052</v>
      </c>
      <c r="D162" s="1755"/>
      <c r="E162" s="387"/>
      <c r="F162" s="1767"/>
    </row>
    <row r="163" spans="1:6" ht="15" customHeight="1">
      <c r="A163" s="286"/>
      <c r="B163" s="279" t="s">
        <v>4145</v>
      </c>
      <c r="C163" s="351" t="s">
        <v>695</v>
      </c>
      <c r="D163" s="1756"/>
      <c r="E163" s="387"/>
      <c r="F163" s="1767"/>
    </row>
    <row r="164" spans="1:6" ht="15" customHeight="1">
      <c r="A164" s="278"/>
      <c r="B164" s="279" t="s">
        <v>4146</v>
      </c>
      <c r="C164" s="353" t="s">
        <v>1444</v>
      </c>
      <c r="D164" s="1755"/>
      <c r="E164" s="387">
        <v>14</v>
      </c>
      <c r="F164" s="1767">
        <v>14</v>
      </c>
    </row>
    <row r="165" spans="1:6" ht="15" customHeight="1" thickBot="1">
      <c r="A165" s="288"/>
      <c r="B165" s="289" t="s">
        <v>4147</v>
      </c>
      <c r="C165" s="353" t="s">
        <v>1445</v>
      </c>
      <c r="D165" s="1757"/>
      <c r="E165" s="1643"/>
      <c r="F165" s="1768"/>
    </row>
    <row r="166" spans="1:6" ht="15" customHeight="1" thickBot="1">
      <c r="A166" s="276" t="s">
        <v>4031</v>
      </c>
      <c r="B166" s="277"/>
      <c r="C166" s="347" t="s">
        <v>1155</v>
      </c>
      <c r="D166" s="1753">
        <f>SUM(D167:D170)</f>
        <v>0</v>
      </c>
      <c r="E166" s="1783"/>
      <c r="F166" s="1782"/>
    </row>
    <row r="167" spans="1:6" ht="15" customHeight="1">
      <c r="A167" s="278"/>
      <c r="B167" s="279" t="s">
        <v>4033</v>
      </c>
      <c r="C167" s="356" t="s">
        <v>1156</v>
      </c>
      <c r="D167" s="1755"/>
      <c r="E167" s="1642"/>
      <c r="F167" s="1766"/>
    </row>
    <row r="168" spans="1:6" ht="15" customHeight="1">
      <c r="A168" s="278"/>
      <c r="B168" s="279" t="s">
        <v>4035</v>
      </c>
      <c r="C168" s="351" t="s">
        <v>1157</v>
      </c>
      <c r="D168" s="1755"/>
      <c r="E168" s="387"/>
      <c r="F168" s="1767"/>
    </row>
    <row r="169" spans="1:6" ht="15" customHeight="1">
      <c r="A169" s="278"/>
      <c r="B169" s="279" t="s">
        <v>4037</v>
      </c>
      <c r="C169" s="351" t="s">
        <v>1158</v>
      </c>
      <c r="D169" s="1755"/>
      <c r="E169" s="387"/>
      <c r="F169" s="1767"/>
    </row>
    <row r="170" spans="1:6" ht="15" customHeight="1" thickBot="1">
      <c r="A170" s="278"/>
      <c r="B170" s="279" t="s">
        <v>4039</v>
      </c>
      <c r="C170" s="351" t="s">
        <v>1157</v>
      </c>
      <c r="D170" s="1755"/>
      <c r="E170" s="1643"/>
      <c r="F170" s="1768"/>
    </row>
    <row r="171" spans="1:6" ht="19.5" customHeight="1" thickBot="1">
      <c r="A171" s="294" t="s">
        <v>4041</v>
      </c>
      <c r="B171" s="357"/>
      <c r="C171" s="357" t="s">
        <v>1159</v>
      </c>
      <c r="D171" s="1753">
        <f>+D172+D173</f>
        <v>0</v>
      </c>
      <c r="E171" s="1772">
        <f>+E172+E173</f>
        <v>179</v>
      </c>
      <c r="F171" s="1765">
        <f>+F172+F173</f>
        <v>179</v>
      </c>
    </row>
    <row r="172" spans="1:6" ht="24.75" customHeight="1">
      <c r="A172" s="337"/>
      <c r="B172" s="358" t="s">
        <v>4043</v>
      </c>
      <c r="C172" s="359" t="s">
        <v>4092</v>
      </c>
      <c r="D172" s="1758"/>
      <c r="E172" s="1642">
        <v>179</v>
      </c>
      <c r="F172" s="1766">
        <v>179</v>
      </c>
    </row>
    <row r="173" spans="1:6" ht="15" customHeight="1" thickBot="1">
      <c r="A173" s="361"/>
      <c r="B173" s="362" t="s">
        <v>4045</v>
      </c>
      <c r="C173" s="363" t="s">
        <v>1160</v>
      </c>
      <c r="D173" s="1759"/>
      <c r="E173" s="1643"/>
      <c r="F173" s="1768"/>
    </row>
    <row r="174" spans="1:6" ht="15" customHeight="1" thickBot="1">
      <c r="A174" s="294" t="s">
        <v>4166</v>
      </c>
      <c r="B174" s="277"/>
      <c r="C174" s="357" t="s">
        <v>1161</v>
      </c>
      <c r="D174" s="381">
        <v>63590</v>
      </c>
      <c r="E174" s="1784">
        <v>68468</v>
      </c>
      <c r="F174" s="1785">
        <v>68468</v>
      </c>
    </row>
    <row r="175" spans="1:6" ht="15" customHeight="1" thickBot="1">
      <c r="A175" s="276" t="s">
        <v>4061</v>
      </c>
      <c r="B175" s="366"/>
      <c r="C175" s="357" t="s">
        <v>1162</v>
      </c>
      <c r="D175" s="1760">
        <f>D174</f>
        <v>63590</v>
      </c>
      <c r="E175" s="1791">
        <f>E157+E166+E171+E174</f>
        <v>68661</v>
      </c>
      <c r="F175" s="1792">
        <f>F157+F166+F171+F174</f>
        <v>68661</v>
      </c>
    </row>
    <row r="176" spans="1:6" ht="15" customHeight="1" thickBot="1">
      <c r="A176" s="367" t="s">
        <v>4074</v>
      </c>
      <c r="B176" s="1630"/>
      <c r="C176" s="368" t="s">
        <v>1163</v>
      </c>
      <c r="D176" s="1761">
        <f>+D177+D178</f>
        <v>0</v>
      </c>
      <c r="E176" s="1772">
        <f>+E177+E178</f>
        <v>10</v>
      </c>
      <c r="F176" s="1765">
        <f>+F177+F178</f>
        <v>10</v>
      </c>
    </row>
    <row r="177" spans="1:6" ht="15" customHeight="1">
      <c r="A177" s="285"/>
      <c r="B177" s="369" t="s">
        <v>4076</v>
      </c>
      <c r="C177" s="359" t="s">
        <v>1164</v>
      </c>
      <c r="D177" s="1758"/>
      <c r="E177" s="1787">
        <v>10</v>
      </c>
      <c r="F177" s="1788">
        <v>10</v>
      </c>
    </row>
    <row r="178" spans="1:6" ht="15" customHeight="1" thickBot="1">
      <c r="A178" s="1631"/>
      <c r="B178" s="370" t="s">
        <v>4083</v>
      </c>
      <c r="C178" s="371" t="s">
        <v>1165</v>
      </c>
      <c r="D178" s="1762"/>
      <c r="E178" s="1612"/>
      <c r="F178" s="1786"/>
    </row>
    <row r="179" spans="1:6" ht="15" customHeight="1" thickBot="1">
      <c r="A179" s="317" t="s">
        <v>4195</v>
      </c>
      <c r="B179" s="373"/>
      <c r="C179" s="374" t="s">
        <v>1166</v>
      </c>
      <c r="D179" s="1763"/>
      <c r="E179" s="1773"/>
      <c r="F179" s="1769"/>
    </row>
    <row r="180" spans="1:6" ht="15" customHeight="1" thickBot="1">
      <c r="A180" s="317" t="s">
        <v>4094</v>
      </c>
      <c r="B180" s="1632"/>
      <c r="C180" s="1633" t="s">
        <v>1437</v>
      </c>
      <c r="D180" s="1764">
        <f>+D175+D176+D179</f>
        <v>63590</v>
      </c>
      <c r="E180" s="1789">
        <f>+E175+E176+E179</f>
        <v>68671</v>
      </c>
      <c r="F180" s="1790">
        <f>+F175+F176+F179</f>
        <v>68671</v>
      </c>
    </row>
    <row r="181" spans="1:4" ht="15" customHeight="1" thickBot="1">
      <c r="A181" s="319"/>
      <c r="B181" s="319"/>
      <c r="C181" s="1634"/>
      <c r="D181" s="375"/>
    </row>
    <row r="182" spans="1:6" ht="15" customHeight="1" thickBot="1">
      <c r="A182" s="2043" t="s">
        <v>1087</v>
      </c>
      <c r="B182" s="2044"/>
      <c r="C182" s="346" t="s">
        <v>1088</v>
      </c>
      <c r="D182" s="2045" t="s">
        <v>4025</v>
      </c>
      <c r="E182" s="2046"/>
      <c r="F182" s="2047"/>
    </row>
    <row r="183" spans="1:6" ht="25.5" customHeight="1" thickBot="1">
      <c r="A183" s="323"/>
      <c r="B183" s="324"/>
      <c r="C183" s="324" t="s">
        <v>1119</v>
      </c>
      <c r="D183" s="1598" t="s">
        <v>4027</v>
      </c>
      <c r="E183" s="1598" t="s">
        <v>4028</v>
      </c>
      <c r="F183" s="1599" t="s">
        <v>4220</v>
      </c>
    </row>
    <row r="184" spans="1:6" ht="15" customHeight="1" thickBot="1">
      <c r="A184" s="294" t="s">
        <v>4029</v>
      </c>
      <c r="B184" s="377"/>
      <c r="C184" s="357" t="s">
        <v>1120</v>
      </c>
      <c r="D184" s="1772">
        <f>SUM(D185:D189)</f>
        <v>63590</v>
      </c>
      <c r="E184" s="1772">
        <f>SUM(E185:E189)</f>
        <v>67926</v>
      </c>
      <c r="F184" s="348">
        <f>SUM(F185:F189)</f>
        <v>67918</v>
      </c>
    </row>
    <row r="185" spans="1:6" ht="15" customHeight="1">
      <c r="A185" s="327"/>
      <c r="B185" s="378" t="s">
        <v>4135</v>
      </c>
      <c r="C185" s="356" t="s">
        <v>4136</v>
      </c>
      <c r="D185" s="1775">
        <v>44379</v>
      </c>
      <c r="E185" s="1804">
        <v>48606</v>
      </c>
      <c r="F185" s="1805">
        <v>48606</v>
      </c>
    </row>
    <row r="186" spans="1:6" ht="15" customHeight="1">
      <c r="A186" s="329"/>
      <c r="B186" s="379" t="s">
        <v>4137</v>
      </c>
      <c r="C186" s="351" t="s">
        <v>4138</v>
      </c>
      <c r="D186" s="383">
        <v>11963</v>
      </c>
      <c r="E186" s="430">
        <v>11900</v>
      </c>
      <c r="F186" s="1793">
        <v>11900</v>
      </c>
    </row>
    <row r="187" spans="1:6" ht="15" customHeight="1">
      <c r="A187" s="329"/>
      <c r="B187" s="379" t="s">
        <v>4139</v>
      </c>
      <c r="C187" s="351" t="s">
        <v>4140</v>
      </c>
      <c r="D187" s="383">
        <v>7248</v>
      </c>
      <c r="E187" s="430">
        <v>7420</v>
      </c>
      <c r="F187" s="1793">
        <v>7412</v>
      </c>
    </row>
    <row r="188" spans="1:6" ht="15" customHeight="1">
      <c r="A188" s="329"/>
      <c r="B188" s="379" t="s">
        <v>4141</v>
      </c>
      <c r="C188" s="351" t="s">
        <v>4142</v>
      </c>
      <c r="D188" s="383"/>
      <c r="E188" s="387"/>
      <c r="F188" s="386"/>
    </row>
    <row r="189" spans="1:6" ht="15" customHeight="1" thickBot="1">
      <c r="A189" s="329"/>
      <c r="B189" s="379" t="s">
        <v>4143</v>
      </c>
      <c r="C189" s="351" t="s">
        <v>4144</v>
      </c>
      <c r="D189" s="1794"/>
      <c r="E189" s="1612"/>
      <c r="F189" s="1613"/>
    </row>
    <row r="190" spans="1:6" ht="15" customHeight="1" thickBot="1">
      <c r="A190" s="294" t="s">
        <v>4031</v>
      </c>
      <c r="B190" s="377"/>
      <c r="C190" s="357" t="s">
        <v>1438</v>
      </c>
      <c r="D190" s="1772">
        <f>SUM(D191:D194)</f>
        <v>0</v>
      </c>
      <c r="E190" s="1507">
        <f>SUM(E191:E194)</f>
        <v>745</v>
      </c>
      <c r="F190" s="1797">
        <f>SUM(F191:F194)</f>
        <v>245</v>
      </c>
    </row>
    <row r="191" spans="1:6" ht="15" customHeight="1">
      <c r="A191" s="327"/>
      <c r="B191" s="378" t="s">
        <v>4033</v>
      </c>
      <c r="C191" s="356" t="s">
        <v>4153</v>
      </c>
      <c r="D191" s="1795"/>
      <c r="E191" s="1787">
        <v>245</v>
      </c>
      <c r="F191" s="1796">
        <v>245</v>
      </c>
    </row>
    <row r="192" spans="1:6" ht="15" customHeight="1">
      <c r="A192" s="329"/>
      <c r="B192" s="379" t="s">
        <v>4035</v>
      </c>
      <c r="C192" s="351" t="s">
        <v>4154</v>
      </c>
      <c r="D192" s="384"/>
      <c r="E192" s="387">
        <v>500</v>
      </c>
      <c r="F192" s="386"/>
    </row>
    <row r="193" spans="1:6" ht="15" customHeight="1">
      <c r="A193" s="329"/>
      <c r="B193" s="379" t="s">
        <v>4157</v>
      </c>
      <c r="C193" s="351" t="s">
        <v>1439</v>
      </c>
      <c r="D193" s="384"/>
      <c r="E193" s="387"/>
      <c r="F193" s="386"/>
    </row>
    <row r="194" spans="1:6" ht="15" customHeight="1" thickBot="1">
      <c r="A194" s="329"/>
      <c r="B194" s="379" t="s">
        <v>4159</v>
      </c>
      <c r="C194" s="351" t="s">
        <v>1440</v>
      </c>
      <c r="D194" s="1798"/>
      <c r="E194" s="1612"/>
      <c r="F194" s="1613"/>
    </row>
    <row r="195" spans="1:6" ht="15" customHeight="1" thickBot="1">
      <c r="A195" s="294" t="s">
        <v>4041</v>
      </c>
      <c r="B195" s="377"/>
      <c r="C195" s="377" t="s">
        <v>1441</v>
      </c>
      <c r="D195" s="381"/>
      <c r="E195" s="1620"/>
      <c r="F195" s="1560"/>
    </row>
    <row r="196" spans="1:6" ht="15" customHeight="1" thickBot="1">
      <c r="A196" s="317" t="s">
        <v>4166</v>
      </c>
      <c r="B196" s="373"/>
      <c r="C196" s="374" t="s">
        <v>1442</v>
      </c>
      <c r="D196" s="381"/>
      <c r="E196" s="1620"/>
      <c r="F196" s="1560"/>
    </row>
    <row r="197" spans="1:6" ht="15" customHeight="1" thickBot="1">
      <c r="A197" s="294" t="s">
        <v>4061</v>
      </c>
      <c r="B197" s="344"/>
      <c r="C197" s="1635" t="s">
        <v>1443</v>
      </c>
      <c r="D197" s="1774">
        <f>+D184+D190+D195+D196</f>
        <v>63590</v>
      </c>
      <c r="E197" s="1799">
        <f>+E184+E190+E195+E196</f>
        <v>68671</v>
      </c>
      <c r="F197" s="1790">
        <f>+F184+F190+F195+F196</f>
        <v>68163</v>
      </c>
    </row>
    <row r="198" spans="1:4" ht="15" customHeight="1" thickBot="1">
      <c r="A198" s="1636"/>
      <c r="B198" s="1637"/>
      <c r="C198" s="1637"/>
      <c r="D198" s="1638"/>
    </row>
    <row r="199" spans="1:6" ht="15" customHeight="1" thickBot="1">
      <c r="A199" s="1624" t="s">
        <v>1149</v>
      </c>
      <c r="B199" s="1625"/>
      <c r="C199" s="1626"/>
      <c r="D199" s="1803">
        <v>21.75</v>
      </c>
      <c r="E199" s="1620">
        <v>21.75</v>
      </c>
      <c r="F199" s="1560">
        <v>21.75</v>
      </c>
    </row>
    <row r="200" spans="1:6" ht="15" customHeight="1" thickBot="1">
      <c r="A200" s="1624" t="s">
        <v>1150</v>
      </c>
      <c r="B200" s="1625"/>
      <c r="C200" s="1626"/>
      <c r="D200" s="1800">
        <v>0</v>
      </c>
      <c r="E200" s="1801">
        <v>0</v>
      </c>
      <c r="F200" s="1802">
        <v>0</v>
      </c>
    </row>
    <row r="201" spans="1:4" ht="15" customHeight="1">
      <c r="A201" s="1594"/>
      <c r="B201" s="1594"/>
      <c r="C201" s="1594"/>
      <c r="D201" s="1594"/>
    </row>
    <row r="202" spans="1:4" ht="15" customHeight="1">
      <c r="A202" s="2026" t="s">
        <v>2795</v>
      </c>
      <c r="B202" s="2026"/>
      <c r="C202" s="2026"/>
      <c r="D202" s="2026"/>
    </row>
    <row r="203" spans="1:4" ht="24.75" customHeight="1">
      <c r="A203" s="2042" t="s">
        <v>962</v>
      </c>
      <c r="B203" s="2042"/>
      <c r="C203" s="2042"/>
      <c r="D203" s="2042"/>
    </row>
    <row r="204" spans="1:6" ht="13.5" customHeight="1" thickBot="1">
      <c r="A204" s="1806"/>
      <c r="B204" s="1806"/>
      <c r="C204" s="1806"/>
      <c r="D204" s="2048" t="s">
        <v>1086</v>
      </c>
      <c r="E204" s="2048"/>
      <c r="F204" s="2048"/>
    </row>
    <row r="205" spans="1:6" ht="15" customHeight="1">
      <c r="A205" s="2030" t="s">
        <v>1087</v>
      </c>
      <c r="B205" s="2031"/>
      <c r="C205" s="1578" t="s">
        <v>1088</v>
      </c>
      <c r="D205" s="2032" t="s">
        <v>4025</v>
      </c>
      <c r="E205" s="2032"/>
      <c r="F205" s="2033"/>
    </row>
    <row r="206" spans="1:6" ht="27.75" customHeight="1" thickBot="1">
      <c r="A206" s="274"/>
      <c r="B206" s="1597"/>
      <c r="C206" s="1846" t="s">
        <v>1089</v>
      </c>
      <c r="D206" s="1598" t="s">
        <v>4027</v>
      </c>
      <c r="E206" s="1598" t="s">
        <v>4028</v>
      </c>
      <c r="F206" s="1599" t="s">
        <v>4220</v>
      </c>
    </row>
    <row r="207" spans="1:6" ht="15" customHeight="1" thickBot="1">
      <c r="A207" s="276" t="s">
        <v>4029</v>
      </c>
      <c r="B207" s="277"/>
      <c r="C207" s="347" t="s">
        <v>1151</v>
      </c>
      <c r="D207" s="1772">
        <f>SUM(D208:D215)</f>
        <v>2070</v>
      </c>
      <c r="E207" s="1772">
        <f>SUM(E208:E215)</f>
        <v>9596</v>
      </c>
      <c r="F207" s="348">
        <f>SUM(F208:F215)</f>
        <v>9536</v>
      </c>
    </row>
    <row r="208" spans="1:6" ht="15" customHeight="1">
      <c r="A208" s="285"/>
      <c r="B208" s="279" t="s">
        <v>4135</v>
      </c>
      <c r="C208" s="349" t="s">
        <v>4044</v>
      </c>
      <c r="D208" s="1808"/>
      <c r="E208" s="1808">
        <v>3783</v>
      </c>
      <c r="F208" s="350">
        <v>3762</v>
      </c>
    </row>
    <row r="209" spans="1:6" ht="15" customHeight="1">
      <c r="A209" s="278"/>
      <c r="B209" s="279" t="s">
        <v>4137</v>
      </c>
      <c r="C209" s="351" t="s">
        <v>4046</v>
      </c>
      <c r="D209" s="1809"/>
      <c r="E209" s="1809">
        <v>151</v>
      </c>
      <c r="F209" s="352">
        <v>192</v>
      </c>
    </row>
    <row r="210" spans="1:6" ht="15" customHeight="1">
      <c r="A210" s="278"/>
      <c r="B210" s="279" t="s">
        <v>4139</v>
      </c>
      <c r="C210" s="351" t="s">
        <v>4048</v>
      </c>
      <c r="D210" s="1809"/>
      <c r="E210" s="1809"/>
      <c r="F210" s="352"/>
    </row>
    <row r="211" spans="1:6" ht="15" customHeight="1">
      <c r="A211" s="278"/>
      <c r="B211" s="279" t="s">
        <v>4141</v>
      </c>
      <c r="C211" s="351" t="s">
        <v>4050</v>
      </c>
      <c r="D211" s="1809"/>
      <c r="E211" s="1809"/>
      <c r="F211" s="352"/>
    </row>
    <row r="212" spans="1:6" ht="15" customHeight="1">
      <c r="A212" s="278"/>
      <c r="B212" s="279" t="s">
        <v>1152</v>
      </c>
      <c r="C212" s="353" t="s">
        <v>4052</v>
      </c>
      <c r="D212" s="1809"/>
      <c r="E212" s="1809"/>
      <c r="F212" s="352"/>
    </row>
    <row r="213" spans="1:6" ht="15" customHeight="1">
      <c r="A213" s="286"/>
      <c r="B213" s="279" t="s">
        <v>4145</v>
      </c>
      <c r="C213" s="351" t="s">
        <v>695</v>
      </c>
      <c r="D213" s="1810">
        <v>360</v>
      </c>
      <c r="E213" s="1810">
        <v>1285</v>
      </c>
      <c r="F213" s="354">
        <v>1259</v>
      </c>
    </row>
    <row r="214" spans="1:6" ht="15" customHeight="1">
      <c r="A214" s="278"/>
      <c r="B214" s="279" t="s">
        <v>4146</v>
      </c>
      <c r="C214" s="353" t="s">
        <v>1444</v>
      </c>
      <c r="D214" s="1809">
        <v>400</v>
      </c>
      <c r="E214" s="1809">
        <v>574</v>
      </c>
      <c r="F214" s="352">
        <v>574</v>
      </c>
    </row>
    <row r="215" spans="1:6" ht="15" customHeight="1" thickBot="1">
      <c r="A215" s="288"/>
      <c r="B215" s="289" t="s">
        <v>4147</v>
      </c>
      <c r="C215" s="353" t="s">
        <v>1445</v>
      </c>
      <c r="D215" s="1811">
        <v>1310</v>
      </c>
      <c r="E215" s="1811">
        <v>3803</v>
      </c>
      <c r="F215" s="355">
        <v>3749</v>
      </c>
    </row>
    <row r="216" spans="1:6" ht="15" customHeight="1" thickBot="1">
      <c r="A216" s="276" t="s">
        <v>4031</v>
      </c>
      <c r="B216" s="277"/>
      <c r="C216" s="347" t="s">
        <v>1155</v>
      </c>
      <c r="D216" s="1772">
        <f>SUM(D217:D220)</f>
        <v>11334</v>
      </c>
      <c r="E216" s="1772">
        <f>SUM(E217:E220)</f>
        <v>165906</v>
      </c>
      <c r="F216" s="348">
        <f>SUM(F217:F220)</f>
        <v>165906</v>
      </c>
    </row>
    <row r="217" spans="1:6" ht="15" customHeight="1">
      <c r="A217" s="278"/>
      <c r="B217" s="279" t="s">
        <v>4033</v>
      </c>
      <c r="C217" s="356" t="s">
        <v>1156</v>
      </c>
      <c r="D217" s="1809">
        <v>11334</v>
      </c>
      <c r="E217" s="1809">
        <v>140004</v>
      </c>
      <c r="F217" s="352">
        <v>140004</v>
      </c>
    </row>
    <row r="218" spans="1:6" ht="15" customHeight="1">
      <c r="A218" s="278"/>
      <c r="B218" s="279" t="s">
        <v>4035</v>
      </c>
      <c r="C218" s="351" t="s">
        <v>1157</v>
      </c>
      <c r="D218" s="1809"/>
      <c r="E218" s="1809"/>
      <c r="F218" s="352"/>
    </row>
    <row r="219" spans="1:6" ht="15" customHeight="1">
      <c r="A219" s="278"/>
      <c r="B219" s="279" t="s">
        <v>4037</v>
      </c>
      <c r="C219" s="351" t="s">
        <v>1158</v>
      </c>
      <c r="D219" s="1809"/>
      <c r="E219" s="1809">
        <v>25902</v>
      </c>
      <c r="F219" s="352">
        <v>25902</v>
      </c>
    </row>
    <row r="220" spans="1:6" ht="15" customHeight="1" thickBot="1">
      <c r="A220" s="278"/>
      <c r="B220" s="279" t="s">
        <v>4039</v>
      </c>
      <c r="C220" s="351" t="s">
        <v>1157</v>
      </c>
      <c r="D220" s="1809"/>
      <c r="E220" s="1809"/>
      <c r="F220" s="352"/>
    </row>
    <row r="221" spans="1:6" ht="15" customHeight="1" thickBot="1">
      <c r="A221" s="294" t="s">
        <v>4041</v>
      </c>
      <c r="B221" s="357"/>
      <c r="C221" s="357" t="s">
        <v>1159</v>
      </c>
      <c r="D221" s="1772">
        <f>+D222+D223</f>
        <v>0</v>
      </c>
      <c r="E221" s="1772">
        <f>+E222+E223</f>
        <v>0</v>
      </c>
      <c r="F221" s="348">
        <f>+F222+F223</f>
        <v>0</v>
      </c>
    </row>
    <row r="222" spans="1:6" ht="15" customHeight="1">
      <c r="A222" s="337"/>
      <c r="B222" s="358" t="s">
        <v>4043</v>
      </c>
      <c r="C222" s="359" t="s">
        <v>4092</v>
      </c>
      <c r="D222" s="1812"/>
      <c r="E222" s="1812"/>
      <c r="F222" s="360"/>
    </row>
    <row r="223" spans="1:6" ht="15" customHeight="1" thickBot="1">
      <c r="A223" s="361"/>
      <c r="B223" s="362" t="s">
        <v>4045</v>
      </c>
      <c r="C223" s="363" t="s">
        <v>1160</v>
      </c>
      <c r="D223" s="1813"/>
      <c r="E223" s="1813"/>
      <c r="F223" s="364"/>
    </row>
    <row r="224" spans="1:6" ht="15" customHeight="1" thickBot="1">
      <c r="A224" s="294" t="s">
        <v>4166</v>
      </c>
      <c r="B224" s="277"/>
      <c r="C224" s="357" t="s">
        <v>1161</v>
      </c>
      <c r="D224" s="1773">
        <v>58659</v>
      </c>
      <c r="E224" s="1773">
        <v>65491</v>
      </c>
      <c r="F224" s="365">
        <v>65491</v>
      </c>
    </row>
    <row r="225" spans="1:6" ht="15" customHeight="1" thickBot="1">
      <c r="A225" s="276" t="s">
        <v>4061</v>
      </c>
      <c r="B225" s="366"/>
      <c r="C225" s="357" t="s">
        <v>1162</v>
      </c>
      <c r="D225" s="1772">
        <f>SUM(D207+D216+D221+D224)</f>
        <v>72063</v>
      </c>
      <c r="E225" s="1772">
        <f>SUM(E207+E216+E221+E224)</f>
        <v>240993</v>
      </c>
      <c r="F225" s="348">
        <f>SUM(F207+F216+F221+F224)</f>
        <v>240933</v>
      </c>
    </row>
    <row r="226" spans="1:6" ht="15" customHeight="1" thickBot="1">
      <c r="A226" s="367" t="s">
        <v>4074</v>
      </c>
      <c r="B226" s="1630"/>
      <c r="C226" s="368" t="s">
        <v>1163</v>
      </c>
      <c r="D226" s="1814">
        <f>+D227+D228</f>
        <v>3436</v>
      </c>
      <c r="E226" s="1814">
        <f>E227+E228</f>
        <v>4139</v>
      </c>
      <c r="F226" s="382">
        <f>+F227+F228</f>
        <v>4139</v>
      </c>
    </row>
    <row r="227" spans="1:6" ht="15" customHeight="1">
      <c r="A227" s="285"/>
      <c r="B227" s="369" t="s">
        <v>4076</v>
      </c>
      <c r="C227" s="359" t="s">
        <v>1164</v>
      </c>
      <c r="D227" s="1812">
        <v>3436</v>
      </c>
      <c r="E227" s="1812">
        <v>4139</v>
      </c>
      <c r="F227" s="360">
        <v>4139</v>
      </c>
    </row>
    <row r="228" spans="1:6" ht="15" customHeight="1" thickBot="1">
      <c r="A228" s="1631"/>
      <c r="B228" s="370" t="s">
        <v>4083</v>
      </c>
      <c r="C228" s="371" t="s">
        <v>1165</v>
      </c>
      <c r="D228" s="1815"/>
      <c r="E228" s="1815"/>
      <c r="F228" s="372"/>
    </row>
    <row r="229" spans="1:6" ht="15" customHeight="1" thickBot="1">
      <c r="A229" s="317" t="s">
        <v>4195</v>
      </c>
      <c r="B229" s="373"/>
      <c r="C229" s="374" t="s">
        <v>1166</v>
      </c>
      <c r="D229" s="1773"/>
      <c r="E229" s="1773"/>
      <c r="F229" s="365">
        <v>10808</v>
      </c>
    </row>
    <row r="230" spans="1:6" ht="15" customHeight="1" thickBot="1">
      <c r="A230" s="317" t="s">
        <v>4094</v>
      </c>
      <c r="B230" s="1632"/>
      <c r="C230" s="1633" t="s">
        <v>1437</v>
      </c>
      <c r="D230" s="1774">
        <f>+D225+D226+D229</f>
        <v>75499</v>
      </c>
      <c r="E230" s="1774">
        <f>+E225+E226+E229</f>
        <v>245132</v>
      </c>
      <c r="F230" s="380">
        <f>+F225+F226+F229</f>
        <v>255880</v>
      </c>
    </row>
    <row r="231" spans="1:6" ht="15" customHeight="1">
      <c r="A231" s="319"/>
      <c r="B231" s="319"/>
      <c r="C231" s="1634"/>
      <c r="D231" s="375"/>
      <c r="E231" s="375"/>
      <c r="F231" s="375"/>
    </row>
    <row r="232" spans="1:6" ht="15" customHeight="1" thickBot="1">
      <c r="A232" s="321"/>
      <c r="B232" s="322"/>
      <c r="C232" s="322"/>
      <c r="D232" s="376"/>
      <c r="E232" s="376"/>
      <c r="F232" s="376"/>
    </row>
    <row r="233" spans="1:6" ht="15" customHeight="1" thickBot="1">
      <c r="A233" s="323"/>
      <c r="B233" s="324"/>
      <c r="C233" s="324" t="s">
        <v>1119</v>
      </c>
      <c r="D233" s="1764"/>
      <c r="E233" s="1774"/>
      <c r="F233" s="1771"/>
    </row>
    <row r="234" spans="1:6" ht="15" customHeight="1" thickBot="1">
      <c r="A234" s="294" t="s">
        <v>4029</v>
      </c>
      <c r="B234" s="377"/>
      <c r="C234" s="357" t="s">
        <v>1120</v>
      </c>
      <c r="D234" s="1753">
        <f>SUM(D235:D239)</f>
        <v>74926</v>
      </c>
      <c r="E234" s="1772">
        <f>SUM(E235:E239)</f>
        <v>221449</v>
      </c>
      <c r="F234" s="1765">
        <f>SUM(F235:F239)</f>
        <v>217008</v>
      </c>
    </row>
    <row r="235" spans="1:6" ht="15" customHeight="1">
      <c r="A235" s="327"/>
      <c r="B235" s="378" t="s">
        <v>4135</v>
      </c>
      <c r="C235" s="356" t="s">
        <v>4136</v>
      </c>
      <c r="D235" s="1775">
        <v>34551</v>
      </c>
      <c r="E235" s="1795">
        <v>141146</v>
      </c>
      <c r="F235" s="1817">
        <v>139871</v>
      </c>
    </row>
    <row r="236" spans="1:6" ht="15" customHeight="1">
      <c r="A236" s="329"/>
      <c r="B236" s="379" t="s">
        <v>4137</v>
      </c>
      <c r="C236" s="351" t="s">
        <v>4138</v>
      </c>
      <c r="D236" s="383">
        <v>8896</v>
      </c>
      <c r="E236" s="384">
        <v>22491</v>
      </c>
      <c r="F236" s="1818">
        <v>22412</v>
      </c>
    </row>
    <row r="237" spans="1:6" ht="15" customHeight="1">
      <c r="A237" s="329"/>
      <c r="B237" s="379" t="s">
        <v>4139</v>
      </c>
      <c r="C237" s="351" t="s">
        <v>4140</v>
      </c>
      <c r="D237" s="383">
        <v>31479</v>
      </c>
      <c r="E237" s="384">
        <v>57812</v>
      </c>
      <c r="F237" s="1818">
        <v>54725</v>
      </c>
    </row>
    <row r="238" spans="1:6" ht="15" customHeight="1">
      <c r="A238" s="329"/>
      <c r="B238" s="379" t="s">
        <v>4141</v>
      </c>
      <c r="C238" s="351" t="s">
        <v>4142</v>
      </c>
      <c r="D238" s="383"/>
      <c r="E238" s="384"/>
      <c r="F238" s="1818"/>
    </row>
    <row r="239" spans="1:6" ht="15" customHeight="1" thickBot="1">
      <c r="A239" s="329"/>
      <c r="B239" s="379" t="s">
        <v>4143</v>
      </c>
      <c r="C239" s="351" t="s">
        <v>4144</v>
      </c>
      <c r="D239" s="383"/>
      <c r="E239" s="384"/>
      <c r="F239" s="1818"/>
    </row>
    <row r="240" spans="1:6" ht="15" customHeight="1" thickBot="1">
      <c r="A240" s="294" t="s">
        <v>4031</v>
      </c>
      <c r="B240" s="377"/>
      <c r="C240" s="357" t="s">
        <v>1438</v>
      </c>
      <c r="D240" s="1753">
        <f>SUM(D241:D244)</f>
        <v>573</v>
      </c>
      <c r="E240" s="1772">
        <f>SUM(E241:E244)</f>
        <v>23683</v>
      </c>
      <c r="F240" s="1765">
        <f>SUM(F241:F244)</f>
        <v>23683</v>
      </c>
    </row>
    <row r="241" spans="1:6" ht="15" customHeight="1">
      <c r="A241" s="327"/>
      <c r="B241" s="378" t="s">
        <v>4033</v>
      </c>
      <c r="C241" s="356" t="s">
        <v>4153</v>
      </c>
      <c r="D241" s="1775">
        <v>573</v>
      </c>
      <c r="E241" s="1795">
        <v>23683</v>
      </c>
      <c r="F241" s="1817">
        <v>23683</v>
      </c>
    </row>
    <row r="242" spans="1:6" ht="15" customHeight="1">
      <c r="A242" s="329"/>
      <c r="B242" s="379" t="s">
        <v>4035</v>
      </c>
      <c r="C242" s="351" t="s">
        <v>4154</v>
      </c>
      <c r="D242" s="383"/>
      <c r="E242" s="384"/>
      <c r="F242" s="1818"/>
    </row>
    <row r="243" spans="1:6" ht="15" customHeight="1">
      <c r="A243" s="329"/>
      <c r="B243" s="379" t="s">
        <v>4157</v>
      </c>
      <c r="C243" s="351" t="s">
        <v>1439</v>
      </c>
      <c r="D243" s="383"/>
      <c r="E243" s="384"/>
      <c r="F243" s="1818"/>
    </row>
    <row r="244" spans="1:6" ht="15" customHeight="1" thickBot="1">
      <c r="A244" s="329"/>
      <c r="B244" s="379" t="s">
        <v>4159</v>
      </c>
      <c r="C244" s="351" t="s">
        <v>1440</v>
      </c>
      <c r="D244" s="383"/>
      <c r="E244" s="384"/>
      <c r="F244" s="1818"/>
    </row>
    <row r="245" spans="1:6" ht="15" customHeight="1" thickBot="1">
      <c r="A245" s="294" t="s">
        <v>4041</v>
      </c>
      <c r="B245" s="377"/>
      <c r="C245" s="377" t="s">
        <v>1441</v>
      </c>
      <c r="D245" s="381"/>
      <c r="E245" s="1773"/>
      <c r="F245" s="1769"/>
    </row>
    <row r="246" spans="1:6" ht="15" customHeight="1" thickBot="1">
      <c r="A246" s="317" t="s">
        <v>4166</v>
      </c>
      <c r="B246" s="373"/>
      <c r="C246" s="374" t="s">
        <v>1442</v>
      </c>
      <c r="D246" s="1763"/>
      <c r="E246" s="1773"/>
      <c r="F246" s="1769">
        <v>-1205</v>
      </c>
    </row>
    <row r="247" spans="1:6" ht="15" customHeight="1" thickBot="1">
      <c r="A247" s="294" t="s">
        <v>4061</v>
      </c>
      <c r="B247" s="344"/>
      <c r="C247" s="1635" t="s">
        <v>1443</v>
      </c>
      <c r="D247" s="1776">
        <f>+D234+D240+D245+D246</f>
        <v>75499</v>
      </c>
      <c r="E247" s="1774">
        <f>+E234+E240+E245+E246</f>
        <v>245132</v>
      </c>
      <c r="F247" s="1771">
        <f>+F234+F240+F245+F246</f>
        <v>239486</v>
      </c>
    </row>
    <row r="248" spans="1:6" ht="15" customHeight="1" thickBot="1">
      <c r="A248" s="1821"/>
      <c r="B248" s="1822"/>
      <c r="C248" s="1822"/>
      <c r="D248" s="1823"/>
      <c r="E248" s="1824"/>
      <c r="F248" s="1825"/>
    </row>
    <row r="249" spans="1:6" ht="15" customHeight="1" thickBot="1">
      <c r="A249" s="1624" t="s">
        <v>1149</v>
      </c>
      <c r="B249" s="1625"/>
      <c r="C249" s="1639"/>
      <c r="D249" s="1816">
        <f>1+19.25</f>
        <v>20.25</v>
      </c>
      <c r="E249" s="1803">
        <f>1+19.25</f>
        <v>20.25</v>
      </c>
      <c r="F249" s="1819">
        <f>1+19.25</f>
        <v>20.25</v>
      </c>
    </row>
    <row r="250" spans="1:6" ht="15" customHeight="1" thickBot="1">
      <c r="A250" s="1624" t="s">
        <v>1150</v>
      </c>
      <c r="B250" s="1625"/>
      <c r="C250" s="1639"/>
      <c r="D250" s="1816">
        <v>6.5</v>
      </c>
      <c r="E250" s="1803">
        <v>107</v>
      </c>
      <c r="F250" s="1819">
        <v>107</v>
      </c>
    </row>
    <row r="251" spans="1:4" ht="15" customHeight="1">
      <c r="A251" s="1594"/>
      <c r="B251" s="1594"/>
      <c r="C251" s="1594"/>
      <c r="D251" s="1594"/>
    </row>
    <row r="252" spans="1:4" ht="18" customHeight="1">
      <c r="A252" s="2026" t="s">
        <v>2796</v>
      </c>
      <c r="B252" s="2026"/>
      <c r="C252" s="2026"/>
      <c r="D252" s="2026"/>
    </row>
    <row r="253" spans="1:4" ht="33" customHeight="1">
      <c r="A253" s="2042" t="s">
        <v>1447</v>
      </c>
      <c r="B253" s="2042"/>
      <c r="C253" s="2042"/>
      <c r="D253" s="2042"/>
    </row>
    <row r="254" spans="1:6" ht="15" customHeight="1" thickBot="1">
      <c r="A254" s="1806"/>
      <c r="B254" s="1806"/>
      <c r="C254" s="2048" t="s">
        <v>1086</v>
      </c>
      <c r="D254" s="2048"/>
      <c r="E254" s="2048"/>
      <c r="F254" s="2048"/>
    </row>
    <row r="255" spans="1:6" ht="15" customHeight="1">
      <c r="A255" s="2030" t="s">
        <v>1087</v>
      </c>
      <c r="B255" s="2031"/>
      <c r="C255" s="1578" t="s">
        <v>1088</v>
      </c>
      <c r="D255" s="2032" t="s">
        <v>4025</v>
      </c>
      <c r="E255" s="2032"/>
      <c r="F255" s="2033"/>
    </row>
    <row r="256" spans="1:6" ht="24" customHeight="1" thickBot="1">
      <c r="A256" s="274"/>
      <c r="B256" s="1596"/>
      <c r="C256" s="1807" t="s">
        <v>1089</v>
      </c>
      <c r="D256" s="1598" t="s">
        <v>4027</v>
      </c>
      <c r="E256" s="1598" t="s">
        <v>4028</v>
      </c>
      <c r="F256" s="1599" t="s">
        <v>4220</v>
      </c>
    </row>
    <row r="257" spans="1:6" ht="15" customHeight="1" thickBot="1">
      <c r="A257" s="276" t="s">
        <v>4029</v>
      </c>
      <c r="B257" s="277"/>
      <c r="C257" s="347" t="s">
        <v>1151</v>
      </c>
      <c r="D257" s="1753">
        <f>SUM(D258:D265)</f>
        <v>51456</v>
      </c>
      <c r="E257" s="1772">
        <f>SUM(E258:E265)</f>
        <v>51323</v>
      </c>
      <c r="F257" s="1765">
        <f>SUM(F258:F265)</f>
        <v>51327</v>
      </c>
    </row>
    <row r="258" spans="1:6" ht="15" customHeight="1">
      <c r="A258" s="285"/>
      <c r="B258" s="279" t="s">
        <v>4135</v>
      </c>
      <c r="C258" s="349" t="s">
        <v>4044</v>
      </c>
      <c r="D258" s="1754"/>
      <c r="E258" s="1808"/>
      <c r="F258" s="1826"/>
    </row>
    <row r="259" spans="1:6" ht="15" customHeight="1">
      <c r="A259" s="278"/>
      <c r="B259" s="279" t="s">
        <v>4137</v>
      </c>
      <c r="C259" s="351" t="s">
        <v>4046</v>
      </c>
      <c r="D259" s="1755"/>
      <c r="E259" s="1809">
        <v>4757</v>
      </c>
      <c r="F259" s="1827">
        <v>4766</v>
      </c>
    </row>
    <row r="260" spans="1:6" ht="15" customHeight="1">
      <c r="A260" s="278"/>
      <c r="B260" s="279" t="s">
        <v>4139</v>
      </c>
      <c r="C260" s="351" t="s">
        <v>4048</v>
      </c>
      <c r="D260" s="1755"/>
      <c r="E260" s="1809"/>
      <c r="F260" s="1827"/>
    </row>
    <row r="261" spans="1:6" ht="15" customHeight="1">
      <c r="A261" s="278"/>
      <c r="B261" s="279" t="s">
        <v>4141</v>
      </c>
      <c r="C261" s="351" t="s">
        <v>4050</v>
      </c>
      <c r="D261" s="1755">
        <v>26000</v>
      </c>
      <c r="E261" s="1809">
        <v>41153</v>
      </c>
      <c r="F261" s="1827">
        <v>41209</v>
      </c>
    </row>
    <row r="262" spans="1:6" ht="15" customHeight="1">
      <c r="A262" s="278"/>
      <c r="B262" s="279" t="s">
        <v>1152</v>
      </c>
      <c r="C262" s="353" t="s">
        <v>4052</v>
      </c>
      <c r="D262" s="1755"/>
      <c r="E262" s="1809"/>
      <c r="F262" s="1827"/>
    </row>
    <row r="263" spans="1:6" ht="15" customHeight="1">
      <c r="A263" s="286"/>
      <c r="B263" s="279" t="s">
        <v>4145</v>
      </c>
      <c r="C263" s="351" t="s">
        <v>695</v>
      </c>
      <c r="D263" s="1756"/>
      <c r="E263" s="1810">
        <v>5102</v>
      </c>
      <c r="F263" s="1828">
        <v>5101</v>
      </c>
    </row>
    <row r="264" spans="1:6" ht="15" customHeight="1">
      <c r="A264" s="278"/>
      <c r="B264" s="279" t="s">
        <v>4146</v>
      </c>
      <c r="C264" s="353" t="s">
        <v>1444</v>
      </c>
      <c r="D264" s="1755"/>
      <c r="E264" s="1809">
        <v>25</v>
      </c>
      <c r="F264" s="1827">
        <v>25</v>
      </c>
    </row>
    <row r="265" spans="1:6" ht="15" customHeight="1" thickBot="1">
      <c r="A265" s="288"/>
      <c r="B265" s="289" t="s">
        <v>4147</v>
      </c>
      <c r="C265" s="353" t="s">
        <v>1445</v>
      </c>
      <c r="D265" s="1757">
        <v>25456</v>
      </c>
      <c r="E265" s="1811">
        <v>286</v>
      </c>
      <c r="F265" s="1829">
        <v>226</v>
      </c>
    </row>
    <row r="266" spans="1:6" ht="15" customHeight="1" thickBot="1">
      <c r="A266" s="276" t="s">
        <v>4031</v>
      </c>
      <c r="B266" s="277"/>
      <c r="C266" s="347" t="s">
        <v>1155</v>
      </c>
      <c r="D266" s="1753">
        <f>SUM(D267:D270)</f>
        <v>0</v>
      </c>
      <c r="E266" s="1772">
        <f>SUM(E267:E270)</f>
        <v>0</v>
      </c>
      <c r="F266" s="1765">
        <f>SUM(F267:F270)</f>
        <v>0</v>
      </c>
    </row>
    <row r="267" spans="1:6" ht="15" customHeight="1">
      <c r="A267" s="278"/>
      <c r="B267" s="279" t="s">
        <v>4033</v>
      </c>
      <c r="C267" s="356" t="s">
        <v>1156</v>
      </c>
      <c r="D267" s="1755"/>
      <c r="E267" s="1809"/>
      <c r="F267" s="1827"/>
    </row>
    <row r="268" spans="1:6" ht="15" customHeight="1">
      <c r="A268" s="278"/>
      <c r="B268" s="279" t="s">
        <v>4035</v>
      </c>
      <c r="C268" s="351" t="s">
        <v>1157</v>
      </c>
      <c r="D268" s="1755"/>
      <c r="E268" s="1809"/>
      <c r="F268" s="1827"/>
    </row>
    <row r="269" spans="1:6" ht="15" customHeight="1">
      <c r="A269" s="278"/>
      <c r="B269" s="279" t="s">
        <v>4037</v>
      </c>
      <c r="C269" s="351" t="s">
        <v>1158</v>
      </c>
      <c r="D269" s="1755"/>
      <c r="E269" s="1809"/>
      <c r="F269" s="1827"/>
    </row>
    <row r="270" spans="1:6" ht="15" customHeight="1" thickBot="1">
      <c r="A270" s="278"/>
      <c r="B270" s="279" t="s">
        <v>4039</v>
      </c>
      <c r="C270" s="351" t="s">
        <v>1157</v>
      </c>
      <c r="D270" s="1755"/>
      <c r="E270" s="1809"/>
      <c r="F270" s="1827"/>
    </row>
    <row r="271" spans="1:6" ht="15" customHeight="1" thickBot="1">
      <c r="A271" s="294" t="s">
        <v>4041</v>
      </c>
      <c r="B271" s="357"/>
      <c r="C271" s="357" t="s">
        <v>1159</v>
      </c>
      <c r="D271" s="1753">
        <f>+D272+D273</f>
        <v>0</v>
      </c>
      <c r="E271" s="1772">
        <f>+E272+E273</f>
        <v>0</v>
      </c>
      <c r="F271" s="1765">
        <f>+F272+F273</f>
        <v>0</v>
      </c>
    </row>
    <row r="272" spans="1:6" ht="15" customHeight="1">
      <c r="A272" s="337"/>
      <c r="B272" s="358" t="s">
        <v>4043</v>
      </c>
      <c r="C272" s="359" t="s">
        <v>4092</v>
      </c>
      <c r="D272" s="1758"/>
      <c r="E272" s="1812"/>
      <c r="F272" s="1830"/>
    </row>
    <row r="273" spans="1:6" ht="15" customHeight="1" thickBot="1">
      <c r="A273" s="361"/>
      <c r="B273" s="362" t="s">
        <v>4045</v>
      </c>
      <c r="C273" s="363" t="s">
        <v>1160</v>
      </c>
      <c r="D273" s="1759"/>
      <c r="E273" s="1813"/>
      <c r="F273" s="1831"/>
    </row>
    <row r="274" spans="1:6" ht="15" customHeight="1" thickBot="1">
      <c r="A274" s="294" t="s">
        <v>4166</v>
      </c>
      <c r="B274" s="277"/>
      <c r="C274" s="357" t="s">
        <v>1161</v>
      </c>
      <c r="D274" s="381">
        <v>111809</v>
      </c>
      <c r="E274" s="1773">
        <v>113183</v>
      </c>
      <c r="F274" s="1769">
        <v>113183</v>
      </c>
    </row>
    <row r="275" spans="1:6" ht="15" customHeight="1" thickBot="1">
      <c r="A275" s="276" t="s">
        <v>4061</v>
      </c>
      <c r="B275" s="366"/>
      <c r="C275" s="357" t="s">
        <v>1162</v>
      </c>
      <c r="D275" s="1760">
        <f>D257+D266+D271+D274</f>
        <v>163265</v>
      </c>
      <c r="E275" s="1772">
        <f>E257+E266+E271+E274</f>
        <v>164506</v>
      </c>
      <c r="F275" s="1765">
        <f>F257+F266+F271+F274</f>
        <v>164510</v>
      </c>
    </row>
    <row r="276" spans="1:6" ht="15" customHeight="1" thickBot="1">
      <c r="A276" s="367" t="s">
        <v>4074</v>
      </c>
      <c r="B276" s="1630"/>
      <c r="C276" s="368" t="s">
        <v>1163</v>
      </c>
      <c r="D276" s="1761">
        <f>+D277+D278</f>
        <v>305</v>
      </c>
      <c r="E276" s="1814">
        <f>+E277+E278</f>
        <v>318</v>
      </c>
      <c r="F276" s="1832">
        <f>+F277+F278</f>
        <v>318</v>
      </c>
    </row>
    <row r="277" spans="1:6" ht="15" customHeight="1">
      <c r="A277" s="285"/>
      <c r="B277" s="369" t="s">
        <v>4076</v>
      </c>
      <c r="C277" s="359" t="s">
        <v>1164</v>
      </c>
      <c r="D277" s="1758">
        <v>305</v>
      </c>
      <c r="E277" s="1812">
        <v>318</v>
      </c>
      <c r="F277" s="1830">
        <v>318</v>
      </c>
    </row>
    <row r="278" spans="1:6" ht="15" customHeight="1" thickBot="1">
      <c r="A278" s="1631"/>
      <c r="B278" s="370" t="s">
        <v>4083</v>
      </c>
      <c r="C278" s="371" t="s">
        <v>1165</v>
      </c>
      <c r="D278" s="1762"/>
      <c r="E278" s="1815"/>
      <c r="F278" s="1833"/>
    </row>
    <row r="279" spans="1:6" ht="15" customHeight="1" thickBot="1">
      <c r="A279" s="317" t="s">
        <v>4195</v>
      </c>
      <c r="B279" s="373"/>
      <c r="C279" s="374" t="s">
        <v>1166</v>
      </c>
      <c r="D279" s="1763"/>
      <c r="E279" s="1773"/>
      <c r="F279" s="1769"/>
    </row>
    <row r="280" spans="1:6" ht="15" customHeight="1" thickBot="1">
      <c r="A280" s="317" t="s">
        <v>4094</v>
      </c>
      <c r="B280" s="1632"/>
      <c r="C280" s="1633" t="s">
        <v>1437</v>
      </c>
      <c r="D280" s="1764">
        <f>+D275+D276+D279</f>
        <v>163570</v>
      </c>
      <c r="E280" s="1774">
        <f>+E275+E276+E279</f>
        <v>164824</v>
      </c>
      <c r="F280" s="1771">
        <f>+F275+F276+F279</f>
        <v>164828</v>
      </c>
    </row>
    <row r="281" spans="1:6" ht="15" customHeight="1">
      <c r="A281" s="319"/>
      <c r="B281" s="319"/>
      <c r="C281" s="1634"/>
      <c r="D281" s="375"/>
      <c r="E281" s="375"/>
      <c r="F281" s="375"/>
    </row>
    <row r="282" spans="1:6" ht="15" customHeight="1" thickBot="1">
      <c r="A282" s="321"/>
      <c r="B282" s="322"/>
      <c r="C282" s="322"/>
      <c r="D282" s="376"/>
      <c r="E282" s="376"/>
      <c r="F282" s="376"/>
    </row>
    <row r="283" spans="1:6" ht="15" customHeight="1" thickBot="1">
      <c r="A283" s="323"/>
      <c r="B283" s="324"/>
      <c r="C283" s="324" t="s">
        <v>1119</v>
      </c>
      <c r="D283" s="1764"/>
      <c r="E283" s="1774"/>
      <c r="F283" s="1771"/>
    </row>
    <row r="284" spans="1:6" ht="15" customHeight="1" thickBot="1">
      <c r="A284" s="294" t="s">
        <v>4029</v>
      </c>
      <c r="B284" s="377"/>
      <c r="C284" s="357" t="s">
        <v>1120</v>
      </c>
      <c r="D284" s="1753">
        <f>SUM(D285:D289)</f>
        <v>162681</v>
      </c>
      <c r="E284" s="1772">
        <f>SUM(E285:E289)</f>
        <v>164493</v>
      </c>
      <c r="F284" s="1765">
        <f>SUM(F285:F289)</f>
        <v>163434</v>
      </c>
    </row>
    <row r="285" spans="1:6" ht="15" customHeight="1">
      <c r="A285" s="327"/>
      <c r="B285" s="378" t="s">
        <v>4135</v>
      </c>
      <c r="C285" s="356" t="s">
        <v>4136</v>
      </c>
      <c r="D285" s="1775">
        <v>57767</v>
      </c>
      <c r="E285" s="1795">
        <v>58255</v>
      </c>
      <c r="F285" s="1817">
        <v>58118</v>
      </c>
    </row>
    <row r="286" spans="1:6" ht="15" customHeight="1">
      <c r="A286" s="329"/>
      <c r="B286" s="379" t="s">
        <v>4137</v>
      </c>
      <c r="C286" s="351" t="s">
        <v>4138</v>
      </c>
      <c r="D286" s="383">
        <v>15545</v>
      </c>
      <c r="E286" s="384">
        <v>14153</v>
      </c>
      <c r="F286" s="1818">
        <v>13862</v>
      </c>
    </row>
    <row r="287" spans="1:6" ht="15" customHeight="1">
      <c r="A287" s="329"/>
      <c r="B287" s="379" t="s">
        <v>4139</v>
      </c>
      <c r="C287" s="351" t="s">
        <v>4140</v>
      </c>
      <c r="D287" s="383">
        <v>89369</v>
      </c>
      <c r="E287" s="384">
        <v>92085</v>
      </c>
      <c r="F287" s="1818">
        <v>91454</v>
      </c>
    </row>
    <row r="288" spans="1:6" ht="15" customHeight="1">
      <c r="A288" s="329"/>
      <c r="B288" s="379" t="s">
        <v>4141</v>
      </c>
      <c r="C288" s="351" t="s">
        <v>4142</v>
      </c>
      <c r="D288" s="383"/>
      <c r="E288" s="384"/>
      <c r="F288" s="1818"/>
    </row>
    <row r="289" spans="1:6" ht="15" customHeight="1" thickBot="1">
      <c r="A289" s="329"/>
      <c r="B289" s="379" t="s">
        <v>4143</v>
      </c>
      <c r="C289" s="351" t="s">
        <v>4144</v>
      </c>
      <c r="D289" s="383"/>
      <c r="E289" s="384"/>
      <c r="F289" s="1818"/>
    </row>
    <row r="290" spans="1:6" ht="15" customHeight="1" thickBot="1">
      <c r="A290" s="294" t="s">
        <v>4031</v>
      </c>
      <c r="B290" s="377"/>
      <c r="C290" s="357" t="s">
        <v>1438</v>
      </c>
      <c r="D290" s="1753">
        <f>SUM(D291:D294)</f>
        <v>889</v>
      </c>
      <c r="E290" s="1772">
        <f>SUM(E291:E294)</f>
        <v>331</v>
      </c>
      <c r="F290" s="1765">
        <f>SUM(F291:F294)</f>
        <v>331</v>
      </c>
    </row>
    <row r="291" spans="1:6" ht="15" customHeight="1">
      <c r="A291" s="327"/>
      <c r="B291" s="378" t="s">
        <v>4033</v>
      </c>
      <c r="C291" s="356" t="s">
        <v>4153</v>
      </c>
      <c r="D291" s="1775">
        <v>889</v>
      </c>
      <c r="E291" s="1795">
        <v>331</v>
      </c>
      <c r="F291" s="1817">
        <v>331</v>
      </c>
    </row>
    <row r="292" spans="1:6" ht="15" customHeight="1">
      <c r="A292" s="329"/>
      <c r="B292" s="379" t="s">
        <v>4035</v>
      </c>
      <c r="C292" s="351" t="s">
        <v>4154</v>
      </c>
      <c r="D292" s="383"/>
      <c r="E292" s="384"/>
      <c r="F292" s="1818"/>
    </row>
    <row r="293" spans="1:6" ht="15" customHeight="1">
      <c r="A293" s="329"/>
      <c r="B293" s="379" t="s">
        <v>4157</v>
      </c>
      <c r="C293" s="351" t="s">
        <v>1439</v>
      </c>
      <c r="D293" s="383"/>
      <c r="E293" s="384"/>
      <c r="F293" s="1818"/>
    </row>
    <row r="294" spans="1:6" ht="15" customHeight="1" thickBot="1">
      <c r="A294" s="329"/>
      <c r="B294" s="379" t="s">
        <v>4159</v>
      </c>
      <c r="C294" s="351" t="s">
        <v>1440</v>
      </c>
      <c r="D294" s="383"/>
      <c r="E294" s="384"/>
      <c r="F294" s="1818"/>
    </row>
    <row r="295" spans="1:6" ht="15" customHeight="1" thickBot="1">
      <c r="A295" s="294" t="s">
        <v>4041</v>
      </c>
      <c r="B295" s="377"/>
      <c r="C295" s="377" t="s">
        <v>1441</v>
      </c>
      <c r="D295" s="381"/>
      <c r="E295" s="1773"/>
      <c r="F295" s="1769"/>
    </row>
    <row r="296" spans="1:6" ht="15" customHeight="1" thickBot="1">
      <c r="A296" s="317" t="s">
        <v>4166</v>
      </c>
      <c r="B296" s="373"/>
      <c r="C296" s="374" t="s">
        <v>1442</v>
      </c>
      <c r="D296" s="1763"/>
      <c r="E296" s="1773"/>
      <c r="F296" s="1769"/>
    </row>
    <row r="297" spans="1:6" ht="15" customHeight="1" thickBot="1">
      <c r="A297" s="294" t="s">
        <v>4061</v>
      </c>
      <c r="B297" s="344"/>
      <c r="C297" s="1635" t="s">
        <v>1443</v>
      </c>
      <c r="D297" s="1776">
        <f>+D284+D290+D295+D296</f>
        <v>163570</v>
      </c>
      <c r="E297" s="1774">
        <f>+E284+E290+E295+E296</f>
        <v>164824</v>
      </c>
      <c r="F297" s="1771">
        <f>+F284+F290+F295+F296</f>
        <v>163765</v>
      </c>
    </row>
    <row r="298" spans="1:6" ht="15" customHeight="1" thickBot="1">
      <c r="A298" s="1636"/>
      <c r="B298" s="1637"/>
      <c r="C298" s="1637"/>
      <c r="D298" s="1638"/>
      <c r="E298" s="1820"/>
      <c r="F298" s="1638"/>
    </row>
    <row r="299" spans="1:6" ht="15" customHeight="1" thickBot="1">
      <c r="A299" s="1624" t="s">
        <v>1149</v>
      </c>
      <c r="B299" s="1625"/>
      <c r="C299" s="1639"/>
      <c r="D299" s="1777">
        <v>34.5</v>
      </c>
      <c r="E299" s="1836">
        <v>34.5</v>
      </c>
      <c r="F299" s="1834">
        <v>34.5</v>
      </c>
    </row>
    <row r="300" spans="1:6" ht="15" customHeight="1" thickBot="1">
      <c r="A300" s="1624" t="s">
        <v>1150</v>
      </c>
      <c r="B300" s="1625"/>
      <c r="C300" s="1639"/>
      <c r="D300" s="1778">
        <v>0</v>
      </c>
      <c r="E300" s="1837">
        <v>0</v>
      </c>
      <c r="F300" s="1835">
        <v>0</v>
      </c>
    </row>
    <row r="301" spans="1:6" ht="15" customHeight="1">
      <c r="A301" s="1847"/>
      <c r="B301" s="1848"/>
      <c r="C301" s="1849"/>
      <c r="D301" s="1850"/>
      <c r="E301" s="1850"/>
      <c r="F301" s="1850"/>
    </row>
    <row r="302" spans="1:6" ht="15" customHeight="1">
      <c r="A302" s="1847"/>
      <c r="B302" s="1848"/>
      <c r="C302" s="1849"/>
      <c r="D302" s="1850"/>
      <c r="E302" s="1850"/>
      <c r="F302" s="1850"/>
    </row>
    <row r="303" spans="1:4" ht="15" customHeight="1">
      <c r="A303" s="2026" t="s">
        <v>2797</v>
      </c>
      <c r="B303" s="2026"/>
      <c r="C303" s="2026"/>
      <c r="D303" s="2026"/>
    </row>
    <row r="304" spans="1:4" ht="22.5" customHeight="1">
      <c r="A304" s="2042" t="s">
        <v>1448</v>
      </c>
      <c r="B304" s="2042"/>
      <c r="C304" s="2042"/>
      <c r="D304" s="2042"/>
    </row>
    <row r="305" spans="1:6" ht="11.25" customHeight="1" thickBot="1">
      <c r="A305" s="1838"/>
      <c r="B305" s="1838"/>
      <c r="C305" s="2048" t="s">
        <v>1086</v>
      </c>
      <c r="D305" s="2048"/>
      <c r="E305" s="2048"/>
      <c r="F305" s="2048"/>
    </row>
    <row r="306" spans="1:6" ht="11.25" customHeight="1">
      <c r="A306" s="2030" t="s">
        <v>1087</v>
      </c>
      <c r="B306" s="2031"/>
      <c r="C306" s="1578" t="s">
        <v>1088</v>
      </c>
      <c r="D306" s="2032" t="s">
        <v>4025</v>
      </c>
      <c r="E306" s="2032"/>
      <c r="F306" s="2033"/>
    </row>
    <row r="307" spans="1:6" ht="24" customHeight="1" thickBot="1">
      <c r="A307" s="274"/>
      <c r="B307" s="1596"/>
      <c r="C307" s="1807" t="s">
        <v>1089</v>
      </c>
      <c r="D307" s="1629" t="s">
        <v>4027</v>
      </c>
      <c r="E307" s="1629" t="s">
        <v>4028</v>
      </c>
      <c r="F307" s="1750" t="s">
        <v>4220</v>
      </c>
    </row>
    <row r="308" spans="1:6" ht="15" customHeight="1" thickBot="1">
      <c r="A308" s="276" t="s">
        <v>4029</v>
      </c>
      <c r="B308" s="277"/>
      <c r="C308" s="347" t="s">
        <v>1151</v>
      </c>
      <c r="D308" s="1753">
        <f>SUM(D309:D316)</f>
        <v>3069</v>
      </c>
      <c r="E308" s="1772">
        <f>SUM(E309:E316)</f>
        <v>4472</v>
      </c>
      <c r="F308" s="1765">
        <f>SUM(F309:F316)</f>
        <v>4449</v>
      </c>
    </row>
    <row r="309" spans="1:6" ht="15" customHeight="1">
      <c r="A309" s="285"/>
      <c r="B309" s="279" t="s">
        <v>4135</v>
      </c>
      <c r="C309" s="349" t="s">
        <v>4044</v>
      </c>
      <c r="D309" s="1754"/>
      <c r="E309" s="1808"/>
      <c r="F309" s="1826"/>
    </row>
    <row r="310" spans="1:6" ht="15" customHeight="1">
      <c r="A310" s="278"/>
      <c r="B310" s="279" t="s">
        <v>4137</v>
      </c>
      <c r="C310" s="351" t="s">
        <v>4046</v>
      </c>
      <c r="D310" s="1755"/>
      <c r="E310" s="1809">
        <v>1126</v>
      </c>
      <c r="F310" s="1827">
        <v>1122</v>
      </c>
    </row>
    <row r="311" spans="1:6" ht="15" customHeight="1">
      <c r="A311" s="278"/>
      <c r="B311" s="279" t="s">
        <v>4139</v>
      </c>
      <c r="C311" s="351" t="s">
        <v>4048</v>
      </c>
      <c r="D311" s="1755"/>
      <c r="E311" s="1809">
        <v>1738</v>
      </c>
      <c r="F311" s="1827">
        <v>1734</v>
      </c>
    </row>
    <row r="312" spans="1:6" ht="15" customHeight="1">
      <c r="A312" s="278"/>
      <c r="B312" s="279" t="s">
        <v>4141</v>
      </c>
      <c r="C312" s="351" t="s">
        <v>4050</v>
      </c>
      <c r="D312" s="1755"/>
      <c r="E312" s="1809"/>
      <c r="F312" s="1827"/>
    </row>
    <row r="313" spans="1:6" ht="15" customHeight="1">
      <c r="A313" s="278"/>
      <c r="B313" s="279" t="s">
        <v>1152</v>
      </c>
      <c r="C313" s="353" t="s">
        <v>4052</v>
      </c>
      <c r="D313" s="1755"/>
      <c r="E313" s="1809"/>
      <c r="F313" s="1827"/>
    </row>
    <row r="314" spans="1:6" ht="15" customHeight="1">
      <c r="A314" s="286"/>
      <c r="B314" s="279" t="s">
        <v>4145</v>
      </c>
      <c r="C314" s="351" t="s">
        <v>695</v>
      </c>
      <c r="D314" s="1756">
        <v>359</v>
      </c>
      <c r="E314" s="1810">
        <v>513</v>
      </c>
      <c r="F314" s="1828">
        <v>567</v>
      </c>
    </row>
    <row r="315" spans="1:6" ht="15" customHeight="1">
      <c r="A315" s="278"/>
      <c r="B315" s="279" t="s">
        <v>4146</v>
      </c>
      <c r="C315" s="353" t="s">
        <v>1444</v>
      </c>
      <c r="D315" s="1755"/>
      <c r="E315" s="1809">
        <v>8</v>
      </c>
      <c r="F315" s="1827">
        <v>8</v>
      </c>
    </row>
    <row r="316" spans="1:6" ht="15" customHeight="1" thickBot="1">
      <c r="A316" s="288"/>
      <c r="B316" s="289" t="s">
        <v>4147</v>
      </c>
      <c r="C316" s="353" t="s">
        <v>1445</v>
      </c>
      <c r="D316" s="1757">
        <v>2710</v>
      </c>
      <c r="E316" s="1811">
        <v>1087</v>
      </c>
      <c r="F316" s="1829">
        <v>1018</v>
      </c>
    </row>
    <row r="317" spans="1:6" ht="15" customHeight="1" thickBot="1">
      <c r="A317" s="276" t="s">
        <v>4031</v>
      </c>
      <c r="B317" s="277"/>
      <c r="C317" s="347" t="s">
        <v>1155</v>
      </c>
      <c r="D317" s="1753">
        <f>SUM(D318:D321)</f>
        <v>0</v>
      </c>
      <c r="E317" s="1772">
        <f>SUM(E318:E321)</f>
        <v>500</v>
      </c>
      <c r="F317" s="1765">
        <f>SUM(F318:F321)</f>
        <v>500</v>
      </c>
    </row>
    <row r="318" spans="1:6" ht="15" customHeight="1">
      <c r="A318" s="278"/>
      <c r="B318" s="279" t="s">
        <v>4033</v>
      </c>
      <c r="C318" s="356" t="s">
        <v>1156</v>
      </c>
      <c r="D318" s="1755"/>
      <c r="E318" s="1809">
        <v>500</v>
      </c>
      <c r="F318" s="1827">
        <v>500</v>
      </c>
    </row>
    <row r="319" spans="1:6" ht="15" customHeight="1">
      <c r="A319" s="278"/>
      <c r="B319" s="279" t="s">
        <v>4035</v>
      </c>
      <c r="C319" s="351" t="s">
        <v>1157</v>
      </c>
      <c r="D319" s="1755"/>
      <c r="E319" s="1809"/>
      <c r="F319" s="1827"/>
    </row>
    <row r="320" spans="1:6" ht="15" customHeight="1">
      <c r="A320" s="278"/>
      <c r="B320" s="279" t="s">
        <v>4037</v>
      </c>
      <c r="C320" s="351" t="s">
        <v>1158</v>
      </c>
      <c r="D320" s="1755"/>
      <c r="E320" s="1809"/>
      <c r="F320" s="1827"/>
    </row>
    <row r="321" spans="1:6" ht="15" customHeight="1" thickBot="1">
      <c r="A321" s="278"/>
      <c r="B321" s="279" t="s">
        <v>4039</v>
      </c>
      <c r="C321" s="351" t="s">
        <v>1157</v>
      </c>
      <c r="D321" s="1755"/>
      <c r="E321" s="1809"/>
      <c r="F321" s="1827"/>
    </row>
    <row r="322" spans="1:6" ht="15" customHeight="1" thickBot="1">
      <c r="A322" s="294" t="s">
        <v>4041</v>
      </c>
      <c r="B322" s="357"/>
      <c r="C322" s="357" t="s">
        <v>1159</v>
      </c>
      <c r="D322" s="1753">
        <f>+D323+D324</f>
        <v>0</v>
      </c>
      <c r="E322" s="1772">
        <f>+E323+E324</f>
        <v>0</v>
      </c>
      <c r="F322" s="1765">
        <f>+F323+F324</f>
        <v>0</v>
      </c>
    </row>
    <row r="323" spans="1:6" ht="15" customHeight="1">
      <c r="A323" s="337"/>
      <c r="B323" s="358" t="s">
        <v>4043</v>
      </c>
      <c r="C323" s="359" t="s">
        <v>4092</v>
      </c>
      <c r="D323" s="1758"/>
      <c r="E323" s="1812"/>
      <c r="F323" s="1830"/>
    </row>
    <row r="324" spans="1:6" ht="15" customHeight="1" thickBot="1">
      <c r="A324" s="361"/>
      <c r="B324" s="362" t="s">
        <v>4045</v>
      </c>
      <c r="C324" s="363" t="s">
        <v>1160</v>
      </c>
      <c r="D324" s="1759"/>
      <c r="E324" s="1813"/>
      <c r="F324" s="1831"/>
    </row>
    <row r="325" spans="1:6" ht="15" customHeight="1" thickBot="1">
      <c r="A325" s="294" t="s">
        <v>4166</v>
      </c>
      <c r="B325" s="277"/>
      <c r="C325" s="357" t="s">
        <v>1161</v>
      </c>
      <c r="D325" s="381">
        <v>34725</v>
      </c>
      <c r="E325" s="1773">
        <v>37356</v>
      </c>
      <c r="F325" s="1769">
        <v>37356</v>
      </c>
    </row>
    <row r="326" spans="1:6" ht="15" customHeight="1" thickBot="1">
      <c r="A326" s="276" t="s">
        <v>4061</v>
      </c>
      <c r="B326" s="366"/>
      <c r="C326" s="357" t="s">
        <v>1162</v>
      </c>
      <c r="D326" s="1760">
        <f>D308+D325+D322+D317</f>
        <v>37794</v>
      </c>
      <c r="E326" s="1772">
        <f>E308+E325+E322+E317</f>
        <v>42328</v>
      </c>
      <c r="F326" s="1765">
        <f>F308+F325+F322+F317</f>
        <v>42305</v>
      </c>
    </row>
    <row r="327" spans="1:6" ht="15" customHeight="1" thickBot="1">
      <c r="A327" s="367" t="s">
        <v>4074</v>
      </c>
      <c r="B327" s="1630"/>
      <c r="C327" s="368" t="s">
        <v>1163</v>
      </c>
      <c r="D327" s="1761">
        <f>+D328+D329</f>
        <v>140</v>
      </c>
      <c r="E327" s="1814">
        <f>+E328+E329</f>
        <v>165</v>
      </c>
      <c r="F327" s="1832">
        <f>+F328+F329</f>
        <v>165</v>
      </c>
    </row>
    <row r="328" spans="1:6" ht="15" customHeight="1">
      <c r="A328" s="285"/>
      <c r="B328" s="369" t="s">
        <v>4076</v>
      </c>
      <c r="C328" s="359" t="s">
        <v>1164</v>
      </c>
      <c r="D328" s="1758">
        <v>140</v>
      </c>
      <c r="E328" s="1812">
        <v>165</v>
      </c>
      <c r="F328" s="1830">
        <v>165</v>
      </c>
    </row>
    <row r="329" spans="1:6" ht="15" customHeight="1" thickBot="1">
      <c r="A329" s="1631"/>
      <c r="B329" s="370" t="s">
        <v>4083</v>
      </c>
      <c r="C329" s="371" t="s">
        <v>1165</v>
      </c>
      <c r="D329" s="1762"/>
      <c r="E329" s="1815"/>
      <c r="F329" s="1833"/>
    </row>
    <row r="330" spans="1:6" ht="15" customHeight="1" thickBot="1">
      <c r="A330" s="317" t="s">
        <v>4195</v>
      </c>
      <c r="B330" s="373"/>
      <c r="C330" s="374" t="s">
        <v>1166</v>
      </c>
      <c r="D330" s="1763"/>
      <c r="E330" s="1773"/>
      <c r="F330" s="1769"/>
    </row>
    <row r="331" spans="1:6" ht="15" customHeight="1" thickBot="1">
      <c r="A331" s="317" t="s">
        <v>4094</v>
      </c>
      <c r="B331" s="1632"/>
      <c r="C331" s="1633" t="s">
        <v>1437</v>
      </c>
      <c r="D331" s="1764">
        <f>+D326+D327+D330</f>
        <v>37934</v>
      </c>
      <c r="E331" s="1774">
        <f>+E326+E327+E330</f>
        <v>42493</v>
      </c>
      <c r="F331" s="1771">
        <f>+F326+F327+F330</f>
        <v>42470</v>
      </c>
    </row>
    <row r="332" spans="1:6" ht="11.25" customHeight="1">
      <c r="A332" s="1843"/>
      <c r="B332" s="1843"/>
      <c r="C332" s="1844"/>
      <c r="D332" s="1845"/>
      <c r="E332" s="1845"/>
      <c r="F332" s="1845"/>
    </row>
    <row r="333" spans="1:6" ht="15" customHeight="1" thickBot="1">
      <c r="A333" s="1840"/>
      <c r="B333" s="1841"/>
      <c r="C333" s="1841" t="s">
        <v>1119</v>
      </c>
      <c r="D333" s="1842"/>
      <c r="E333" s="1789"/>
      <c r="F333" s="1790"/>
    </row>
    <row r="334" spans="1:6" ht="15" customHeight="1" thickBot="1">
      <c r="A334" s="294" t="s">
        <v>4029</v>
      </c>
      <c r="B334" s="377"/>
      <c r="C334" s="357" t="s">
        <v>1120</v>
      </c>
      <c r="D334" s="1753">
        <f>SUM(D335:D339)</f>
        <v>37934</v>
      </c>
      <c r="E334" s="1772">
        <f>SUM(E335:E339)</f>
        <v>41993</v>
      </c>
      <c r="F334" s="1765">
        <f>SUM(F335:F339)</f>
        <v>41619</v>
      </c>
    </row>
    <row r="335" spans="1:6" ht="15" customHeight="1">
      <c r="A335" s="327"/>
      <c r="B335" s="378" t="s">
        <v>4135</v>
      </c>
      <c r="C335" s="356" t="s">
        <v>4136</v>
      </c>
      <c r="D335" s="1775">
        <v>18411</v>
      </c>
      <c r="E335" s="1795">
        <v>19167</v>
      </c>
      <c r="F335" s="1817">
        <v>19137</v>
      </c>
    </row>
    <row r="336" spans="1:6" ht="15" customHeight="1">
      <c r="A336" s="329"/>
      <c r="B336" s="379" t="s">
        <v>4137</v>
      </c>
      <c r="C336" s="351" t="s">
        <v>4138</v>
      </c>
      <c r="D336" s="383">
        <v>4767</v>
      </c>
      <c r="E336" s="384">
        <v>4655</v>
      </c>
      <c r="F336" s="1818">
        <v>4655</v>
      </c>
    </row>
    <row r="337" spans="1:6" ht="15" customHeight="1">
      <c r="A337" s="329"/>
      <c r="B337" s="379" t="s">
        <v>4139</v>
      </c>
      <c r="C337" s="351" t="s">
        <v>4140</v>
      </c>
      <c r="D337" s="383">
        <v>14756</v>
      </c>
      <c r="E337" s="384">
        <v>18171</v>
      </c>
      <c r="F337" s="1818">
        <v>17827</v>
      </c>
    </row>
    <row r="338" spans="1:6" ht="15" customHeight="1">
      <c r="A338" s="329"/>
      <c r="B338" s="379" t="s">
        <v>4141</v>
      </c>
      <c r="C338" s="351" t="s">
        <v>4142</v>
      </c>
      <c r="D338" s="383"/>
      <c r="E338" s="384"/>
      <c r="F338" s="1818"/>
    </row>
    <row r="339" spans="1:6" ht="15" customHeight="1" thickBot="1">
      <c r="A339" s="329"/>
      <c r="B339" s="379" t="s">
        <v>4143</v>
      </c>
      <c r="C339" s="351" t="s">
        <v>4144</v>
      </c>
      <c r="D339" s="383"/>
      <c r="E339" s="384"/>
      <c r="F339" s="1818"/>
    </row>
    <row r="340" spans="1:6" ht="15" customHeight="1" thickBot="1">
      <c r="A340" s="294" t="s">
        <v>4031</v>
      </c>
      <c r="B340" s="377"/>
      <c r="C340" s="357" t="s">
        <v>1438</v>
      </c>
      <c r="D340" s="1753">
        <f>SUM(D341:D344)</f>
        <v>0</v>
      </c>
      <c r="E340" s="1772">
        <f>SUM(E341:E344)</f>
        <v>500</v>
      </c>
      <c r="F340" s="1765">
        <f>SUM(F341:F344)</f>
        <v>500</v>
      </c>
    </row>
    <row r="341" spans="1:6" ht="15" customHeight="1">
      <c r="A341" s="327"/>
      <c r="B341" s="378" t="s">
        <v>4033</v>
      </c>
      <c r="C341" s="356" t="s">
        <v>4153</v>
      </c>
      <c r="D341" s="1775"/>
      <c r="E341" s="1795"/>
      <c r="F341" s="1817"/>
    </row>
    <row r="342" spans="1:6" ht="12.75" customHeight="1">
      <c r="A342" s="329"/>
      <c r="B342" s="379" t="s">
        <v>4035</v>
      </c>
      <c r="C342" s="351" t="s">
        <v>4154</v>
      </c>
      <c r="D342" s="383"/>
      <c r="E342" s="384">
        <v>500</v>
      </c>
      <c r="F342" s="1818">
        <v>500</v>
      </c>
    </row>
    <row r="343" spans="1:6" ht="15" customHeight="1">
      <c r="A343" s="329"/>
      <c r="B343" s="379" t="s">
        <v>4157</v>
      </c>
      <c r="C343" s="351" t="s">
        <v>1439</v>
      </c>
      <c r="D343" s="383"/>
      <c r="E343" s="384"/>
      <c r="F343" s="1818"/>
    </row>
    <row r="344" spans="1:6" ht="16.5" customHeight="1" thickBot="1">
      <c r="A344" s="329"/>
      <c r="B344" s="379" t="s">
        <v>4159</v>
      </c>
      <c r="C344" s="351" t="s">
        <v>1440</v>
      </c>
      <c r="D344" s="383"/>
      <c r="E344" s="384"/>
      <c r="F344" s="1818"/>
    </row>
    <row r="345" spans="1:6" ht="15" customHeight="1" thickBot="1">
      <c r="A345" s="294" t="s">
        <v>4041</v>
      </c>
      <c r="B345" s="377"/>
      <c r="C345" s="377" t="s">
        <v>1441</v>
      </c>
      <c r="D345" s="381"/>
      <c r="E345" s="1773"/>
      <c r="F345" s="1769"/>
    </row>
    <row r="346" spans="1:6" ht="15" customHeight="1" thickBot="1">
      <c r="A346" s="317" t="s">
        <v>4166</v>
      </c>
      <c r="B346" s="373"/>
      <c r="C346" s="374" t="s">
        <v>1442</v>
      </c>
      <c r="D346" s="1763"/>
      <c r="E346" s="1773"/>
      <c r="F346" s="1839">
        <v>56</v>
      </c>
    </row>
    <row r="347" spans="1:6" ht="15" customHeight="1" thickBot="1">
      <c r="A347" s="294" t="s">
        <v>4061</v>
      </c>
      <c r="B347" s="344"/>
      <c r="C347" s="1635" t="s">
        <v>1443</v>
      </c>
      <c r="D347" s="1776">
        <f>+D334+D340+D345+D346</f>
        <v>37934</v>
      </c>
      <c r="E347" s="1774">
        <f>+E334+E340+E345+E346</f>
        <v>42493</v>
      </c>
      <c r="F347" s="1771">
        <f>+F334+F340+F345+F346</f>
        <v>42175</v>
      </c>
    </row>
    <row r="348" spans="1:6" ht="11.25" customHeight="1" thickBot="1">
      <c r="A348" s="1636"/>
      <c r="B348" s="1637"/>
      <c r="C348" s="1637"/>
      <c r="D348" s="1638"/>
      <c r="E348" s="1820"/>
      <c r="F348" s="1638"/>
    </row>
    <row r="349" spans="1:6" ht="15" customHeight="1" thickBot="1">
      <c r="A349" s="1624" t="s">
        <v>1149</v>
      </c>
      <c r="B349" s="1625"/>
      <c r="C349" s="1639"/>
      <c r="D349" s="1778">
        <v>9</v>
      </c>
      <c r="E349" s="1837">
        <v>9</v>
      </c>
      <c r="F349" s="1835">
        <v>9</v>
      </c>
    </row>
    <row r="350" spans="1:6" ht="15" customHeight="1" thickBot="1">
      <c r="A350" s="1624" t="s">
        <v>1150</v>
      </c>
      <c r="B350" s="1625"/>
      <c r="C350" s="1639"/>
      <c r="D350" s="1778">
        <v>0</v>
      </c>
      <c r="E350" s="1837">
        <v>0</v>
      </c>
      <c r="F350" s="1835">
        <v>0</v>
      </c>
    </row>
    <row r="351" spans="1:4" ht="15" customHeight="1">
      <c r="A351" s="1594"/>
      <c r="B351" s="1594"/>
      <c r="C351" s="1594"/>
      <c r="D351" s="1594"/>
    </row>
    <row r="352" spans="1:4" ht="15" customHeight="1">
      <c r="A352" s="1594"/>
      <c r="B352" s="1594"/>
      <c r="C352" s="1594"/>
      <c r="D352" s="1594"/>
    </row>
    <row r="353" spans="1:4" ht="15" customHeight="1">
      <c r="A353" s="1594"/>
      <c r="B353" s="1594"/>
      <c r="C353" s="1594"/>
      <c r="D353" s="1594"/>
    </row>
    <row r="354" spans="1:4" ht="15" customHeight="1">
      <c r="A354" s="1594"/>
      <c r="B354" s="1594"/>
      <c r="C354" s="1594"/>
      <c r="D354" s="1594"/>
    </row>
    <row r="355" spans="1:4" ht="15" customHeight="1">
      <c r="A355" s="1594"/>
      <c r="B355" s="1594"/>
      <c r="C355" s="1594"/>
      <c r="D355" s="1594"/>
    </row>
    <row r="356" spans="1:4" ht="15" customHeight="1">
      <c r="A356" s="1594"/>
      <c r="B356" s="1594"/>
      <c r="C356" s="1594"/>
      <c r="D356" s="1594"/>
    </row>
    <row r="357" spans="1:4" ht="15" customHeight="1">
      <c r="A357" s="1594"/>
      <c r="B357" s="1594"/>
      <c r="C357" s="1594"/>
      <c r="D357" s="1594"/>
    </row>
    <row r="358" spans="1:4" ht="15" customHeight="1">
      <c r="A358" s="1594"/>
      <c r="B358" s="1594"/>
      <c r="C358" s="1594"/>
      <c r="D358" s="1594"/>
    </row>
    <row r="359" spans="1:4" ht="15" customHeight="1">
      <c r="A359" s="1594"/>
      <c r="B359" s="1594"/>
      <c r="C359" s="1594"/>
      <c r="D359" s="1594"/>
    </row>
    <row r="360" spans="1:4" ht="15" customHeight="1">
      <c r="A360" s="1594"/>
      <c r="B360" s="1594"/>
      <c r="C360" s="1594"/>
      <c r="D360" s="1594"/>
    </row>
    <row r="361" spans="1:4" ht="15" customHeight="1">
      <c r="A361" s="1594"/>
      <c r="B361" s="1594"/>
      <c r="C361" s="1594"/>
      <c r="D361" s="1594"/>
    </row>
    <row r="362" spans="1:4" ht="15" customHeight="1">
      <c r="A362" s="1594"/>
      <c r="B362" s="1594"/>
      <c r="C362" s="1594"/>
      <c r="D362" s="1594"/>
    </row>
    <row r="363" spans="1:4" ht="15" customHeight="1">
      <c r="A363" s="1594"/>
      <c r="B363" s="1594"/>
      <c r="C363" s="1594"/>
      <c r="D363" s="1594"/>
    </row>
    <row r="364" spans="1:4" ht="15" customHeight="1">
      <c r="A364" s="1594"/>
      <c r="B364" s="1594"/>
      <c r="C364" s="1594"/>
      <c r="D364" s="1594"/>
    </row>
    <row r="365" spans="1:4" ht="15" customHeight="1">
      <c r="A365" s="1594"/>
      <c r="B365" s="1594"/>
      <c r="C365" s="1594"/>
      <c r="D365" s="1594"/>
    </row>
    <row r="366" spans="1:4" ht="15" customHeight="1">
      <c r="A366" s="1594"/>
      <c r="B366" s="1594"/>
      <c r="C366" s="1594"/>
      <c r="D366" s="1594"/>
    </row>
    <row r="367" spans="1:4" ht="15" customHeight="1">
      <c r="A367" s="1594"/>
      <c r="B367" s="1594"/>
      <c r="C367" s="1594"/>
      <c r="D367" s="1594"/>
    </row>
    <row r="368" spans="1:4" ht="15" customHeight="1">
      <c r="A368" s="1594"/>
      <c r="B368" s="1594"/>
      <c r="C368" s="1594"/>
      <c r="D368" s="1594"/>
    </row>
    <row r="369" spans="1:4" ht="15" customHeight="1">
      <c r="A369" s="1594"/>
      <c r="B369" s="1594"/>
      <c r="C369" s="1594"/>
      <c r="D369" s="1594"/>
    </row>
    <row r="370" spans="1:4" ht="15" customHeight="1">
      <c r="A370" s="1594"/>
      <c r="B370" s="1594"/>
      <c r="C370" s="1594"/>
      <c r="D370" s="1594"/>
    </row>
    <row r="371" spans="1:4" ht="15" customHeight="1">
      <c r="A371" s="1594"/>
      <c r="B371" s="1594"/>
      <c r="C371" s="1594"/>
      <c r="D371" s="1594"/>
    </row>
    <row r="372" spans="1:4" ht="15" customHeight="1">
      <c r="A372" s="1594"/>
      <c r="B372" s="1594"/>
      <c r="C372" s="1594"/>
      <c r="D372" s="1594"/>
    </row>
    <row r="373" spans="1:4" ht="15" customHeight="1">
      <c r="A373" s="1594"/>
      <c r="B373" s="1594"/>
      <c r="C373" s="1594"/>
      <c r="D373" s="1594"/>
    </row>
    <row r="374" spans="1:4" ht="15" customHeight="1">
      <c r="A374" s="1594"/>
      <c r="B374" s="1594"/>
      <c r="C374" s="1594"/>
      <c r="D374" s="1594"/>
    </row>
    <row r="375" spans="1:4" ht="15" customHeight="1">
      <c r="A375" s="1594"/>
      <c r="B375" s="1594"/>
      <c r="C375" s="1594"/>
      <c r="D375" s="1594"/>
    </row>
    <row r="376" spans="1:4" ht="11.25">
      <c r="A376" s="1594"/>
      <c r="B376" s="1594"/>
      <c r="C376" s="1594"/>
      <c r="D376" s="1594"/>
    </row>
    <row r="377" spans="1:4" ht="11.25">
      <c r="A377" s="1594"/>
      <c r="B377" s="1594"/>
      <c r="C377" s="1594"/>
      <c r="D377" s="1594"/>
    </row>
    <row r="378" spans="1:4" ht="11.25">
      <c r="A378" s="1594"/>
      <c r="B378" s="1594"/>
      <c r="C378" s="1594"/>
      <c r="D378" s="1594"/>
    </row>
    <row r="379" spans="1:4" ht="11.25">
      <c r="A379" s="1594"/>
      <c r="B379" s="1594"/>
      <c r="C379" s="1594"/>
      <c r="D379" s="1594"/>
    </row>
    <row r="380" spans="1:4" ht="11.25">
      <c r="A380" s="1594"/>
      <c r="B380" s="1594"/>
      <c r="C380" s="1594"/>
      <c r="D380" s="1594"/>
    </row>
    <row r="381" spans="1:4" ht="11.25">
      <c r="A381" s="1594"/>
      <c r="B381" s="1594"/>
      <c r="C381" s="1594"/>
      <c r="D381" s="1594"/>
    </row>
    <row r="382" spans="1:4" ht="11.25">
      <c r="A382" s="1594"/>
      <c r="B382" s="1594"/>
      <c r="C382" s="1594"/>
      <c r="D382" s="1594"/>
    </row>
    <row r="383" spans="1:4" ht="11.25">
      <c r="A383" s="1594"/>
      <c r="B383" s="1594"/>
      <c r="C383" s="1594"/>
      <c r="D383" s="1594"/>
    </row>
    <row r="384" spans="1:4" ht="11.25">
      <c r="A384" s="1594"/>
      <c r="B384" s="1594"/>
      <c r="C384" s="1594"/>
      <c r="D384" s="1594"/>
    </row>
    <row r="385" spans="1:4" ht="11.25">
      <c r="A385" s="1594"/>
      <c r="B385" s="1594"/>
      <c r="C385" s="1594"/>
      <c r="D385" s="1594"/>
    </row>
    <row r="386" spans="1:4" ht="11.25">
      <c r="A386" s="1594"/>
      <c r="B386" s="1594"/>
      <c r="C386" s="1594"/>
      <c r="D386" s="1594"/>
    </row>
    <row r="387" spans="1:4" ht="11.25">
      <c r="A387" s="1594"/>
      <c r="B387" s="1594"/>
      <c r="C387" s="1594"/>
      <c r="D387" s="1594"/>
    </row>
    <row r="388" spans="1:4" ht="11.25">
      <c r="A388" s="1594"/>
      <c r="B388" s="1594"/>
      <c r="C388" s="1594"/>
      <c r="D388" s="1594"/>
    </row>
    <row r="389" spans="1:4" ht="11.25">
      <c r="A389" s="1594"/>
      <c r="B389" s="1594"/>
      <c r="C389" s="1594"/>
      <c r="D389" s="1594"/>
    </row>
    <row r="390" spans="1:4" ht="11.25">
      <c r="A390" s="1594"/>
      <c r="B390" s="1594"/>
      <c r="C390" s="1594"/>
      <c r="D390" s="1594"/>
    </row>
    <row r="391" spans="1:4" ht="11.25">
      <c r="A391" s="1594"/>
      <c r="B391" s="1594"/>
      <c r="C391" s="1594"/>
      <c r="D391" s="1594"/>
    </row>
    <row r="392" spans="1:4" ht="11.25">
      <c r="A392" s="1594"/>
      <c r="B392" s="1594"/>
      <c r="C392" s="1594"/>
      <c r="D392" s="1594"/>
    </row>
  </sheetData>
  <sheetProtection/>
  <mergeCells count="32">
    <mergeCell ref="D154:F154"/>
    <mergeCell ref="D204:F204"/>
    <mergeCell ref="D205:F205"/>
    <mergeCell ref="C254:F254"/>
    <mergeCell ref="A306:B306"/>
    <mergeCell ref="A253:D253"/>
    <mergeCell ref="A255:B255"/>
    <mergeCell ref="A303:D303"/>
    <mergeCell ref="A304:D304"/>
    <mergeCell ref="D255:F255"/>
    <mergeCell ref="D306:F306"/>
    <mergeCell ref="C305:F305"/>
    <mergeCell ref="A155:B155"/>
    <mergeCell ref="D155:F155"/>
    <mergeCell ref="A182:B182"/>
    <mergeCell ref="D182:F182"/>
    <mergeCell ref="A205:B205"/>
    <mergeCell ref="A252:D252"/>
    <mergeCell ref="A202:D202"/>
    <mergeCell ref="A203:D203"/>
    <mergeCell ref="A101:F101"/>
    <mergeCell ref="A102:F102"/>
    <mergeCell ref="A104:B104"/>
    <mergeCell ref="D104:F104"/>
    <mergeCell ref="A152:F152"/>
    <mergeCell ref="A153:F153"/>
    <mergeCell ref="A1:F1"/>
    <mergeCell ref="A2:F2"/>
    <mergeCell ref="A4:B4"/>
    <mergeCell ref="D4:F4"/>
    <mergeCell ref="B55:C55"/>
    <mergeCell ref="B93:C9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A1" sqref="A1:P1"/>
    </sheetView>
  </sheetViews>
  <sheetFormatPr defaultColWidth="9.00390625" defaultRowHeight="12.75"/>
  <cols>
    <col min="1" max="1" width="6.25390625" style="169" customWidth="1"/>
    <col min="2" max="2" width="13.875" style="169" customWidth="1"/>
    <col min="3" max="3" width="8.00390625" style="169" customWidth="1"/>
    <col min="4" max="4" width="7.25390625" style="169" customWidth="1"/>
    <col min="5" max="5" width="8.375" style="169" customWidth="1"/>
    <col min="6" max="6" width="9.125" style="169" customWidth="1"/>
    <col min="7" max="7" width="7.875" style="169" customWidth="1"/>
    <col min="8" max="9" width="8.125" style="169" customWidth="1"/>
    <col min="10" max="10" width="7.625" style="169" customWidth="1"/>
    <col min="11" max="11" width="6.625" style="169" customWidth="1"/>
    <col min="12" max="12" width="9.125" style="169" customWidth="1"/>
    <col min="13" max="13" width="7.875" style="169" customWidth="1"/>
    <col min="14" max="14" width="9.125" style="169" customWidth="1"/>
    <col min="15" max="15" width="6.125" style="169" customWidth="1"/>
    <col min="16" max="16" width="7.25390625" style="169" customWidth="1"/>
    <col min="17" max="16384" width="9.125" style="169" customWidth="1"/>
  </cols>
  <sheetData>
    <row r="1" spans="1:16" ht="12.75">
      <c r="A1" s="2049" t="s">
        <v>5276</v>
      </c>
      <c r="B1" s="2049"/>
      <c r="C1" s="2049"/>
      <c r="D1" s="2049"/>
      <c r="E1" s="2049"/>
      <c r="F1" s="2049"/>
      <c r="G1" s="2049"/>
      <c r="H1" s="2049"/>
      <c r="I1" s="2049"/>
      <c r="J1" s="2049"/>
      <c r="K1" s="2049"/>
      <c r="L1" s="2049"/>
      <c r="M1" s="2049"/>
      <c r="N1" s="2049"/>
      <c r="O1" s="2049"/>
      <c r="P1" s="2049"/>
    </row>
    <row r="2" spans="1:16" ht="12.75">
      <c r="A2" s="2050" t="s">
        <v>2798</v>
      </c>
      <c r="B2" s="2050"/>
      <c r="C2" s="2050"/>
      <c r="D2" s="2050"/>
      <c r="E2" s="2050"/>
      <c r="F2" s="2050"/>
      <c r="G2" s="2050"/>
      <c r="H2" s="2050"/>
      <c r="I2" s="2050"/>
      <c r="J2" s="2050"/>
      <c r="K2" s="2050"/>
      <c r="L2" s="2050"/>
      <c r="M2" s="2050"/>
      <c r="N2" s="2050"/>
      <c r="O2" s="2050"/>
      <c r="P2" s="2050"/>
    </row>
    <row r="3" spans="1:16" ht="12.75">
      <c r="A3" s="2051" t="s">
        <v>1449</v>
      </c>
      <c r="B3" s="2052"/>
      <c r="C3" s="388" t="s">
        <v>1450</v>
      </c>
      <c r="D3" s="388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</row>
    <row r="4" spans="1:16" ht="12.75">
      <c r="A4" s="389"/>
      <c r="B4" s="390"/>
      <c r="C4" s="388" t="s">
        <v>1075</v>
      </c>
      <c r="D4" s="391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</row>
    <row r="5" spans="1:16" ht="52.5">
      <c r="A5" s="392" t="s">
        <v>1451</v>
      </c>
      <c r="B5" s="392" t="s">
        <v>1452</v>
      </c>
      <c r="C5" s="393" t="s">
        <v>3694</v>
      </c>
      <c r="D5" s="393" t="s">
        <v>1453</v>
      </c>
      <c r="E5" s="393" t="s">
        <v>1454</v>
      </c>
      <c r="F5" s="393" t="s">
        <v>1455</v>
      </c>
      <c r="G5" s="393" t="s">
        <v>1456</v>
      </c>
      <c r="H5" s="393" t="s">
        <v>1457</v>
      </c>
      <c r="I5" s="393" t="s">
        <v>1458</v>
      </c>
      <c r="J5" s="393" t="s">
        <v>1459</v>
      </c>
      <c r="K5" s="393" t="s">
        <v>1460</v>
      </c>
      <c r="L5" s="393" t="s">
        <v>1461</v>
      </c>
      <c r="M5" s="393" t="s">
        <v>1462</v>
      </c>
      <c r="N5" s="394" t="s">
        <v>1463</v>
      </c>
      <c r="O5" s="393" t="s">
        <v>1464</v>
      </c>
      <c r="P5" s="395" t="s">
        <v>1465</v>
      </c>
    </row>
    <row r="6" spans="1:16" ht="24" customHeight="1">
      <c r="A6" s="396">
        <v>360000</v>
      </c>
      <c r="B6" s="397" t="s">
        <v>1466</v>
      </c>
      <c r="C6" s="388">
        <f>-4430+5690</f>
        <v>1260</v>
      </c>
      <c r="D6" s="388"/>
      <c r="E6" s="388">
        <f>515+4147</f>
        <v>4662</v>
      </c>
      <c r="F6" s="388"/>
      <c r="G6" s="388"/>
      <c r="H6" s="388"/>
      <c r="I6" s="388">
        <v>4430</v>
      </c>
      <c r="J6" s="388">
        <f>3837+16559</f>
        <v>20396</v>
      </c>
      <c r="K6" s="388"/>
      <c r="L6" s="388"/>
      <c r="M6" s="388"/>
      <c r="N6" s="388"/>
      <c r="O6" s="388"/>
      <c r="P6" s="388">
        <f aca="true" t="shared" si="0" ref="P6:P28">SUM(C6:O6)</f>
        <v>30748</v>
      </c>
    </row>
    <row r="7" spans="1:16" ht="12.75">
      <c r="A7" s="398"/>
      <c r="B7" s="399"/>
      <c r="C7" s="391">
        <v>1341</v>
      </c>
      <c r="D7" s="391">
        <f>-992+992</f>
        <v>0</v>
      </c>
      <c r="E7" s="391">
        <f>515+4147</f>
        <v>4662</v>
      </c>
      <c r="F7" s="391"/>
      <c r="G7" s="391"/>
      <c r="H7" s="391"/>
      <c r="I7" s="391"/>
      <c r="J7" s="391">
        <f>3837+18264</f>
        <v>22101</v>
      </c>
      <c r="K7" s="391"/>
      <c r="L7" s="391"/>
      <c r="M7" s="391"/>
      <c r="N7" s="391"/>
      <c r="O7" s="391"/>
      <c r="P7" s="391">
        <f t="shared" si="0"/>
        <v>28104</v>
      </c>
    </row>
    <row r="8" spans="1:16" ht="32.25" customHeight="1">
      <c r="A8" s="396">
        <v>370000</v>
      </c>
      <c r="B8" s="397" t="s">
        <v>1467</v>
      </c>
      <c r="C8" s="388"/>
      <c r="D8" s="388"/>
      <c r="E8" s="388">
        <v>1895</v>
      </c>
      <c r="F8" s="388"/>
      <c r="G8" s="388"/>
      <c r="H8" s="388"/>
      <c r="I8" s="388">
        <v>17767</v>
      </c>
      <c r="J8" s="388"/>
      <c r="K8" s="388"/>
      <c r="L8" s="388"/>
      <c r="M8" s="388"/>
      <c r="N8" s="388"/>
      <c r="O8" s="388"/>
      <c r="P8" s="388">
        <f t="shared" si="0"/>
        <v>19662</v>
      </c>
    </row>
    <row r="9" spans="1:17" ht="12.75">
      <c r="A9" s="398"/>
      <c r="B9" s="399"/>
      <c r="C9" s="391"/>
      <c r="D9" s="391"/>
      <c r="E9" s="391">
        <v>1895</v>
      </c>
      <c r="F9" s="391"/>
      <c r="G9" s="391"/>
      <c r="H9" s="391"/>
      <c r="I9" s="391">
        <v>17767</v>
      </c>
      <c r="J9" s="391"/>
      <c r="K9" s="391"/>
      <c r="L9" s="391"/>
      <c r="M9" s="391"/>
      <c r="N9" s="391"/>
      <c r="O9" s="391"/>
      <c r="P9" s="391">
        <f t="shared" si="0"/>
        <v>19662</v>
      </c>
      <c r="Q9" s="400"/>
    </row>
    <row r="10" spans="1:16" ht="22.5" customHeight="1">
      <c r="A10" s="402">
        <v>522003</v>
      </c>
      <c r="B10" s="403" t="s">
        <v>1469</v>
      </c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388">
        <f t="shared" si="0"/>
        <v>0</v>
      </c>
    </row>
    <row r="11" spans="1:16" ht="12.75">
      <c r="A11" s="398"/>
      <c r="B11" s="405"/>
      <c r="C11" s="391">
        <v>221</v>
      </c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>
        <f t="shared" si="0"/>
        <v>221</v>
      </c>
    </row>
    <row r="12" spans="1:16" ht="27">
      <c r="A12" s="401">
        <v>680001</v>
      </c>
      <c r="B12" s="397" t="s">
        <v>1470</v>
      </c>
      <c r="C12" s="388">
        <v>4444</v>
      </c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>
        <f t="shared" si="0"/>
        <v>4444</v>
      </c>
    </row>
    <row r="13" spans="1:16" ht="12.75">
      <c r="A13" s="398"/>
      <c r="B13" s="399"/>
      <c r="C13" s="391">
        <v>4367</v>
      </c>
      <c r="D13" s="391">
        <f>-2018+2018</f>
        <v>0</v>
      </c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>
        <f t="shared" si="0"/>
        <v>4367</v>
      </c>
    </row>
    <row r="14" spans="1:16" ht="29.25">
      <c r="A14" s="401">
        <v>680002</v>
      </c>
      <c r="B14" s="406" t="s">
        <v>1471</v>
      </c>
      <c r="C14" s="388">
        <v>2044</v>
      </c>
      <c r="D14" s="388"/>
      <c r="E14" s="388"/>
      <c r="F14" s="388">
        <v>-4463</v>
      </c>
      <c r="G14" s="388"/>
      <c r="H14" s="388"/>
      <c r="I14" s="388"/>
      <c r="J14" s="388">
        <f>28363</f>
        <v>28363</v>
      </c>
      <c r="K14" s="388"/>
      <c r="L14" s="388"/>
      <c r="M14" s="388"/>
      <c r="N14" s="388"/>
      <c r="O14" s="388"/>
      <c r="P14" s="388">
        <f t="shared" si="0"/>
        <v>25944</v>
      </c>
    </row>
    <row r="15" spans="1:17" ht="15">
      <c r="A15" s="398"/>
      <c r="B15" s="405"/>
      <c r="C15" s="391">
        <v>6117</v>
      </c>
      <c r="D15" s="391">
        <f>1646+2009-3655</f>
        <v>0</v>
      </c>
      <c r="E15" s="391"/>
      <c r="F15" s="391"/>
      <c r="G15" s="391"/>
      <c r="H15" s="391"/>
      <c r="I15" s="391"/>
      <c r="J15" s="391">
        <f>24954</f>
        <v>24954</v>
      </c>
      <c r="K15" s="391"/>
      <c r="L15" s="391"/>
      <c r="M15" s="391"/>
      <c r="N15" s="391"/>
      <c r="O15" s="391"/>
      <c r="P15" s="391">
        <f t="shared" si="0"/>
        <v>31071</v>
      </c>
      <c r="Q15" s="407"/>
    </row>
    <row r="16" spans="1:16" ht="12.75" customHeight="1">
      <c r="A16" s="401">
        <v>813000</v>
      </c>
      <c r="B16" s="406" t="s">
        <v>1472</v>
      </c>
      <c r="C16" s="388"/>
      <c r="D16" s="388">
        <v>1890</v>
      </c>
      <c r="E16" s="388"/>
      <c r="F16" s="388">
        <v>600</v>
      </c>
      <c r="G16" s="388"/>
      <c r="H16" s="388"/>
      <c r="I16" s="388">
        <v>20</v>
      </c>
      <c r="J16" s="388"/>
      <c r="K16" s="388"/>
      <c r="L16" s="388"/>
      <c r="M16" s="388"/>
      <c r="N16" s="388"/>
      <c r="O16" s="388"/>
      <c r="P16" s="388">
        <f t="shared" si="0"/>
        <v>2510</v>
      </c>
    </row>
    <row r="17" spans="1:16" ht="12.75">
      <c r="A17" s="398"/>
      <c r="B17" s="405"/>
      <c r="C17" s="391">
        <v>5</v>
      </c>
      <c r="D17" s="391">
        <v>2379</v>
      </c>
      <c r="E17" s="391"/>
      <c r="F17" s="391">
        <v>600</v>
      </c>
      <c r="G17" s="391"/>
      <c r="H17" s="391"/>
      <c r="I17" s="391">
        <v>20</v>
      </c>
      <c r="J17" s="391"/>
      <c r="K17" s="391"/>
      <c r="L17" s="391"/>
      <c r="M17" s="391"/>
      <c r="N17" s="391"/>
      <c r="O17" s="391"/>
      <c r="P17" s="391">
        <f t="shared" si="0"/>
        <v>3004</v>
      </c>
    </row>
    <row r="18" spans="1:16" ht="34.5" customHeight="1">
      <c r="A18" s="401">
        <v>841126</v>
      </c>
      <c r="B18" s="397" t="s">
        <v>1473</v>
      </c>
      <c r="C18" s="388">
        <v>4229</v>
      </c>
      <c r="D18" s="388">
        <v>520</v>
      </c>
      <c r="E18" s="388"/>
      <c r="F18" s="388">
        <f>11839</f>
        <v>11839</v>
      </c>
      <c r="G18" s="388">
        <f>9640+1500-2160</f>
        <v>8980</v>
      </c>
      <c r="H18" s="388"/>
      <c r="I18" s="388">
        <v>18</v>
      </c>
      <c r="J18" s="388">
        <f>2160+7999</f>
        <v>10159</v>
      </c>
      <c r="K18" s="388"/>
      <c r="L18" s="388"/>
      <c r="M18" s="388"/>
      <c r="N18" s="388"/>
      <c r="O18" s="388">
        <v>58587</v>
      </c>
      <c r="P18" s="388">
        <f t="shared" si="0"/>
        <v>94332</v>
      </c>
    </row>
    <row r="19" spans="1:16" ht="12.75">
      <c r="A19" s="398"/>
      <c r="B19" s="408"/>
      <c r="C19" s="391">
        <v>20068</v>
      </c>
      <c r="D19" s="391">
        <v>3624</v>
      </c>
      <c r="E19" s="391"/>
      <c r="F19" s="391">
        <v>16403</v>
      </c>
      <c r="G19" s="391">
        <f>5783+36</f>
        <v>5819</v>
      </c>
      <c r="H19" s="391"/>
      <c r="I19" s="391">
        <v>18</v>
      </c>
      <c r="J19" s="391">
        <v>6400</v>
      </c>
      <c r="K19" s="391"/>
      <c r="L19" s="391"/>
      <c r="M19" s="391"/>
      <c r="N19" s="391"/>
      <c r="O19" s="391">
        <v>58587</v>
      </c>
      <c r="P19" s="391">
        <f t="shared" si="0"/>
        <v>110919</v>
      </c>
    </row>
    <row r="20" spans="1:16" ht="27">
      <c r="A20" s="401">
        <v>841154</v>
      </c>
      <c r="B20" s="409" t="s">
        <v>1474</v>
      </c>
      <c r="C20" s="388"/>
      <c r="D20" s="388"/>
      <c r="E20" s="388"/>
      <c r="F20" s="388"/>
      <c r="G20" s="388"/>
      <c r="H20" s="388"/>
      <c r="I20" s="388">
        <v>11021</v>
      </c>
      <c r="J20" s="388"/>
      <c r="K20" s="388"/>
      <c r="L20" s="388"/>
      <c r="M20" s="388"/>
      <c r="N20" s="388"/>
      <c r="O20" s="388"/>
      <c r="P20" s="388">
        <f t="shared" si="0"/>
        <v>11021</v>
      </c>
    </row>
    <row r="21" spans="1:16" ht="12.75">
      <c r="A21" s="410"/>
      <c r="B21" s="408"/>
      <c r="C21" s="391"/>
      <c r="D21" s="391"/>
      <c r="E21" s="391"/>
      <c r="F21" s="391"/>
      <c r="G21" s="391"/>
      <c r="H21" s="391"/>
      <c r="I21" s="391">
        <v>11076</v>
      </c>
      <c r="J21" s="391"/>
      <c r="K21" s="391"/>
      <c r="L21" s="391"/>
      <c r="M21" s="391"/>
      <c r="N21" s="391"/>
      <c r="O21" s="391"/>
      <c r="P21" s="391">
        <f t="shared" si="0"/>
        <v>11076</v>
      </c>
    </row>
    <row r="22" spans="1:16" ht="56.25" customHeight="1">
      <c r="A22" s="392" t="s">
        <v>1451</v>
      </c>
      <c r="B22" s="392" t="s">
        <v>1452</v>
      </c>
      <c r="C22" s="393" t="s">
        <v>3694</v>
      </c>
      <c r="D22" s="393" t="s">
        <v>1453</v>
      </c>
      <c r="E22" s="393" t="s">
        <v>1454</v>
      </c>
      <c r="F22" s="393" t="s">
        <v>1455</v>
      </c>
      <c r="G22" s="393" t="s">
        <v>1456</v>
      </c>
      <c r="H22" s="393" t="s">
        <v>1457</v>
      </c>
      <c r="I22" s="393" t="s">
        <v>1458</v>
      </c>
      <c r="J22" s="393" t="s">
        <v>1459</v>
      </c>
      <c r="K22" s="393" t="s">
        <v>1460</v>
      </c>
      <c r="L22" s="393" t="s">
        <v>1461</v>
      </c>
      <c r="M22" s="393" t="s">
        <v>1462</v>
      </c>
      <c r="N22" s="394" t="s">
        <v>1463</v>
      </c>
      <c r="O22" s="393" t="s">
        <v>1464</v>
      </c>
      <c r="P22" s="395" t="s">
        <v>1465</v>
      </c>
    </row>
    <row r="23" spans="1:16" ht="19.5">
      <c r="A23" s="401">
        <v>841192</v>
      </c>
      <c r="B23" s="411" t="s">
        <v>1475</v>
      </c>
      <c r="C23" s="388"/>
      <c r="D23" s="388"/>
      <c r="E23" s="388"/>
      <c r="F23" s="388">
        <v>1328</v>
      </c>
      <c r="G23" s="388"/>
      <c r="H23" s="388"/>
      <c r="I23" s="388"/>
      <c r="J23" s="388"/>
      <c r="K23" s="388"/>
      <c r="L23" s="388"/>
      <c r="M23" s="388"/>
      <c r="N23" s="388"/>
      <c r="O23" s="388"/>
      <c r="P23" s="388">
        <f t="shared" si="0"/>
        <v>1328</v>
      </c>
    </row>
    <row r="24" spans="1:16" ht="12.75">
      <c r="A24" s="398"/>
      <c r="B24" s="412"/>
      <c r="C24" s="391"/>
      <c r="D24" s="391"/>
      <c r="E24" s="391"/>
      <c r="F24" s="391">
        <v>1328</v>
      </c>
      <c r="G24" s="391">
        <v>50</v>
      </c>
      <c r="H24" s="391"/>
      <c r="I24" s="391"/>
      <c r="J24" s="391"/>
      <c r="K24" s="391"/>
      <c r="L24" s="391"/>
      <c r="M24" s="391"/>
      <c r="N24" s="391"/>
      <c r="O24" s="391"/>
      <c r="P24" s="391">
        <f t="shared" si="0"/>
        <v>1378</v>
      </c>
    </row>
    <row r="25" spans="1:16" ht="18">
      <c r="A25" s="401">
        <v>841403</v>
      </c>
      <c r="B25" s="397" t="s">
        <v>1477</v>
      </c>
      <c r="C25" s="388">
        <v>1306</v>
      </c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>
        <f t="shared" si="0"/>
        <v>1306</v>
      </c>
    </row>
    <row r="26" spans="1:16" ht="12.75">
      <c r="A26" s="398"/>
      <c r="B26" s="399"/>
      <c r="C26" s="391">
        <v>1969</v>
      </c>
      <c r="D26" s="391">
        <v>490</v>
      </c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>
        <f t="shared" si="0"/>
        <v>2459</v>
      </c>
    </row>
    <row r="27" spans="1:16" ht="18">
      <c r="A27" s="401">
        <v>841901</v>
      </c>
      <c r="B27" s="397" t="s">
        <v>1478</v>
      </c>
      <c r="C27" s="388"/>
      <c r="D27" s="388">
        <f>12000+114000</f>
        <v>126000</v>
      </c>
      <c r="E27" s="388">
        <f>1+367833</f>
        <v>367834</v>
      </c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>
        <f t="shared" si="0"/>
        <v>493834</v>
      </c>
    </row>
    <row r="28" spans="1:16" ht="10.5" customHeight="1">
      <c r="A28" s="398"/>
      <c r="B28" s="399"/>
      <c r="C28" s="391"/>
      <c r="D28" s="391">
        <v>126612</v>
      </c>
      <c r="E28" s="391">
        <v>367834</v>
      </c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>
        <f t="shared" si="0"/>
        <v>494446</v>
      </c>
    </row>
    <row r="29" spans="1:16" ht="18">
      <c r="A29" s="396">
        <v>862301</v>
      </c>
      <c r="B29" s="397" t="s">
        <v>1481</v>
      </c>
      <c r="C29" s="388"/>
      <c r="D29" s="388"/>
      <c r="E29" s="388"/>
      <c r="F29" s="388">
        <v>5755</v>
      </c>
      <c r="G29" s="388"/>
      <c r="H29" s="388"/>
      <c r="I29" s="388"/>
      <c r="J29" s="388"/>
      <c r="K29" s="388"/>
      <c r="L29" s="388"/>
      <c r="M29" s="388"/>
      <c r="N29" s="388"/>
      <c r="O29" s="388"/>
      <c r="P29" s="388">
        <f aca="true" t="shared" si="1" ref="P29:P55">SUM(C29:O29)</f>
        <v>5755</v>
      </c>
    </row>
    <row r="30" spans="1:16" ht="12.75">
      <c r="A30" s="398"/>
      <c r="B30" s="399"/>
      <c r="C30" s="391">
        <v>1</v>
      </c>
      <c r="D30" s="391"/>
      <c r="E30" s="391"/>
      <c r="F30" s="391">
        <v>5755</v>
      </c>
      <c r="G30" s="391"/>
      <c r="H30" s="391"/>
      <c r="I30" s="391"/>
      <c r="J30" s="391"/>
      <c r="K30" s="391"/>
      <c r="L30" s="391"/>
      <c r="M30" s="391"/>
      <c r="N30" s="391"/>
      <c r="O30" s="391"/>
      <c r="P30" s="391">
        <f t="shared" si="1"/>
        <v>5756</v>
      </c>
    </row>
    <row r="31" spans="1:16" ht="27">
      <c r="A31" s="396">
        <v>852011</v>
      </c>
      <c r="B31" s="397" t="s">
        <v>1482</v>
      </c>
      <c r="C31" s="388">
        <v>480</v>
      </c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>
        <f t="shared" si="1"/>
        <v>480</v>
      </c>
    </row>
    <row r="32" spans="1:16" ht="12.75">
      <c r="A32" s="398"/>
      <c r="B32" s="399"/>
      <c r="C32" s="391">
        <v>83</v>
      </c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>
        <f t="shared" si="1"/>
        <v>83</v>
      </c>
    </row>
    <row r="33" spans="1:16" ht="27">
      <c r="A33" s="396">
        <v>852021</v>
      </c>
      <c r="B33" s="397" t="s">
        <v>1483</v>
      </c>
      <c r="C33" s="388">
        <v>520</v>
      </c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>
        <f t="shared" si="1"/>
        <v>520</v>
      </c>
    </row>
    <row r="34" spans="1:16" ht="12.75">
      <c r="A34" s="398"/>
      <c r="B34" s="399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>
        <f t="shared" si="1"/>
        <v>0</v>
      </c>
    </row>
    <row r="35" spans="1:16" ht="12.75">
      <c r="A35" s="402">
        <v>854314</v>
      </c>
      <c r="B35" s="413" t="s">
        <v>1484</v>
      </c>
      <c r="C35" s="404"/>
      <c r="D35" s="404"/>
      <c r="E35" s="404"/>
      <c r="F35" s="404">
        <v>179</v>
      </c>
      <c r="G35" s="404"/>
      <c r="H35" s="404"/>
      <c r="I35" s="404"/>
      <c r="J35" s="404"/>
      <c r="K35" s="404"/>
      <c r="L35" s="404"/>
      <c r="M35" s="404"/>
      <c r="N35" s="404"/>
      <c r="O35" s="404"/>
      <c r="P35" s="388">
        <f t="shared" si="1"/>
        <v>179</v>
      </c>
    </row>
    <row r="36" spans="1:16" ht="12.75">
      <c r="A36" s="398"/>
      <c r="B36" s="399"/>
      <c r="C36" s="391"/>
      <c r="D36" s="391"/>
      <c r="E36" s="391"/>
      <c r="F36" s="391">
        <v>194</v>
      </c>
      <c r="G36" s="391"/>
      <c r="H36" s="391"/>
      <c r="I36" s="391"/>
      <c r="J36" s="391"/>
      <c r="K36" s="391"/>
      <c r="L36" s="391"/>
      <c r="M36" s="391"/>
      <c r="N36" s="391"/>
      <c r="O36" s="391"/>
      <c r="P36" s="391">
        <f t="shared" si="1"/>
        <v>194</v>
      </c>
    </row>
    <row r="37" spans="1:16" ht="18">
      <c r="A37" s="402">
        <v>882111</v>
      </c>
      <c r="B37" s="413" t="s">
        <v>1485</v>
      </c>
      <c r="C37" s="404"/>
      <c r="D37" s="404"/>
      <c r="E37" s="404">
        <v>69386</v>
      </c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388">
        <f t="shared" si="1"/>
        <v>69386</v>
      </c>
    </row>
    <row r="38" spans="1:16" ht="12.75">
      <c r="A38" s="398"/>
      <c r="B38" s="399"/>
      <c r="C38" s="391"/>
      <c r="D38" s="391"/>
      <c r="E38" s="391">
        <v>69386</v>
      </c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>
        <f t="shared" si="1"/>
        <v>69386</v>
      </c>
    </row>
    <row r="39" spans="1:16" ht="18">
      <c r="A39" s="402">
        <v>882112</v>
      </c>
      <c r="B39" s="413" t="s">
        <v>1486</v>
      </c>
      <c r="C39" s="404"/>
      <c r="D39" s="404"/>
      <c r="E39" s="404">
        <f>1+408</f>
        <v>409</v>
      </c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388">
        <f t="shared" si="1"/>
        <v>409</v>
      </c>
    </row>
    <row r="40" spans="1:16" ht="12.75">
      <c r="A40" s="398"/>
      <c r="B40" s="399"/>
      <c r="C40" s="391"/>
      <c r="D40" s="391"/>
      <c r="E40" s="391">
        <v>409</v>
      </c>
      <c r="F40" s="391"/>
      <c r="G40" s="391">
        <v>25</v>
      </c>
      <c r="H40" s="391"/>
      <c r="I40" s="391"/>
      <c r="J40" s="391"/>
      <c r="K40" s="391"/>
      <c r="L40" s="391"/>
      <c r="M40" s="391"/>
      <c r="N40" s="391"/>
      <c r="O40" s="391"/>
      <c r="P40" s="391">
        <f t="shared" si="1"/>
        <v>434</v>
      </c>
    </row>
    <row r="41" spans="1:16" ht="18">
      <c r="A41" s="402">
        <v>882113</v>
      </c>
      <c r="B41" s="413" t="s">
        <v>1487</v>
      </c>
      <c r="C41" s="404"/>
      <c r="D41" s="404"/>
      <c r="E41" s="404">
        <f>1+17213</f>
        <v>17214</v>
      </c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388">
        <f t="shared" si="1"/>
        <v>17214</v>
      </c>
    </row>
    <row r="42" spans="1:16" ht="12.75">
      <c r="A42" s="398"/>
      <c r="B42" s="399"/>
      <c r="C42" s="391"/>
      <c r="D42" s="391"/>
      <c r="E42" s="391">
        <f>1+17213</f>
        <v>17214</v>
      </c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>
        <f t="shared" si="1"/>
        <v>17214</v>
      </c>
    </row>
    <row r="43" spans="1:16" ht="12.75">
      <c r="A43" s="396">
        <v>882115</v>
      </c>
      <c r="B43" s="397" t="s">
        <v>1488</v>
      </c>
      <c r="C43" s="388"/>
      <c r="D43" s="388"/>
      <c r="E43" s="388">
        <v>742</v>
      </c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8">
        <f t="shared" si="1"/>
        <v>742</v>
      </c>
    </row>
    <row r="44" spans="1:16" ht="12.75">
      <c r="A44" s="398"/>
      <c r="B44" s="399"/>
      <c r="C44" s="391"/>
      <c r="D44" s="391"/>
      <c r="E44" s="391">
        <v>743</v>
      </c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>
        <f t="shared" si="1"/>
        <v>743</v>
      </c>
    </row>
    <row r="45" spans="1:16" ht="19.5">
      <c r="A45" s="862">
        <v>882118</v>
      </c>
      <c r="B45" s="863" t="s">
        <v>401</v>
      </c>
      <c r="C45" s="404"/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388">
        <f t="shared" si="1"/>
        <v>0</v>
      </c>
    </row>
    <row r="46" spans="1:16" ht="12.75">
      <c r="A46" s="398"/>
      <c r="B46" s="399"/>
      <c r="C46" s="391"/>
      <c r="D46" s="391"/>
      <c r="E46" s="391"/>
      <c r="F46" s="391">
        <v>154</v>
      </c>
      <c r="G46" s="391"/>
      <c r="H46" s="391"/>
      <c r="I46" s="391"/>
      <c r="J46" s="391"/>
      <c r="K46" s="391"/>
      <c r="L46" s="391"/>
      <c r="M46" s="391"/>
      <c r="N46" s="391"/>
      <c r="O46" s="391"/>
      <c r="P46" s="391">
        <f t="shared" si="1"/>
        <v>154</v>
      </c>
    </row>
    <row r="47" spans="1:16" ht="19.5">
      <c r="A47" s="414">
        <v>882119</v>
      </c>
      <c r="B47" s="406" t="s">
        <v>1489</v>
      </c>
      <c r="C47" s="388"/>
      <c r="D47" s="388"/>
      <c r="E47" s="388">
        <v>260</v>
      </c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>
        <f t="shared" si="1"/>
        <v>260</v>
      </c>
    </row>
    <row r="48" spans="1:16" ht="12.75">
      <c r="A48" s="415"/>
      <c r="B48" s="405"/>
      <c r="C48" s="391"/>
      <c r="D48" s="391"/>
      <c r="E48" s="391">
        <v>260</v>
      </c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>
        <f t="shared" si="1"/>
        <v>260</v>
      </c>
    </row>
    <row r="49" spans="1:16" ht="52.5">
      <c r="A49" s="392" t="s">
        <v>1451</v>
      </c>
      <c r="B49" s="392" t="s">
        <v>1452</v>
      </c>
      <c r="C49" s="393" t="s">
        <v>3694</v>
      </c>
      <c r="D49" s="393" t="s">
        <v>1453</v>
      </c>
      <c r="E49" s="393" t="s">
        <v>1454</v>
      </c>
      <c r="F49" s="393" t="s">
        <v>1455</v>
      </c>
      <c r="G49" s="393" t="s">
        <v>1456</v>
      </c>
      <c r="H49" s="393" t="s">
        <v>1457</v>
      </c>
      <c r="I49" s="393" t="s">
        <v>1458</v>
      </c>
      <c r="J49" s="393" t="s">
        <v>1459</v>
      </c>
      <c r="K49" s="393" t="s">
        <v>1460</v>
      </c>
      <c r="L49" s="393" t="s">
        <v>1461</v>
      </c>
      <c r="M49" s="393" t="s">
        <v>1462</v>
      </c>
      <c r="N49" s="394" t="s">
        <v>1463</v>
      </c>
      <c r="O49" s="393" t="s">
        <v>1464</v>
      </c>
      <c r="P49" s="395" t="s">
        <v>1465</v>
      </c>
    </row>
    <row r="50" spans="1:16" ht="12.75">
      <c r="A50" s="414">
        <v>882122</v>
      </c>
      <c r="B50" s="406" t="s">
        <v>1490</v>
      </c>
      <c r="C50" s="388"/>
      <c r="D50" s="388"/>
      <c r="E50" s="388"/>
      <c r="F50" s="388"/>
      <c r="G50" s="388">
        <v>400</v>
      </c>
      <c r="H50" s="388"/>
      <c r="I50" s="388"/>
      <c r="J50" s="388"/>
      <c r="K50" s="388"/>
      <c r="L50" s="388"/>
      <c r="M50" s="388"/>
      <c r="N50" s="388"/>
      <c r="O50" s="388"/>
      <c r="P50" s="388">
        <f t="shared" si="1"/>
        <v>400</v>
      </c>
    </row>
    <row r="51" spans="1:16" ht="12.75">
      <c r="A51" s="415"/>
      <c r="B51" s="405"/>
      <c r="C51" s="391"/>
      <c r="D51" s="391"/>
      <c r="E51" s="391"/>
      <c r="F51" s="391"/>
      <c r="G51" s="391">
        <v>398</v>
      </c>
      <c r="H51" s="391"/>
      <c r="I51" s="391"/>
      <c r="J51" s="391"/>
      <c r="K51" s="391"/>
      <c r="L51" s="391"/>
      <c r="M51" s="391"/>
      <c r="N51" s="391"/>
      <c r="O51" s="391"/>
      <c r="P51" s="391">
        <f t="shared" si="1"/>
        <v>398</v>
      </c>
    </row>
    <row r="52" spans="1:16" ht="12.75">
      <c r="A52" s="414">
        <v>882123</v>
      </c>
      <c r="B52" s="406" t="s">
        <v>1491</v>
      </c>
      <c r="C52" s="388"/>
      <c r="D52" s="388"/>
      <c r="E52" s="388"/>
      <c r="F52" s="388"/>
      <c r="G52" s="388"/>
      <c r="H52" s="388"/>
      <c r="I52" s="388"/>
      <c r="J52" s="388"/>
      <c r="K52" s="388"/>
      <c r="L52" s="388"/>
      <c r="M52" s="388"/>
      <c r="N52" s="388"/>
      <c r="O52" s="388"/>
      <c r="P52" s="388">
        <f t="shared" si="1"/>
        <v>0</v>
      </c>
    </row>
    <row r="53" spans="1:16" ht="12.75">
      <c r="A53" s="415"/>
      <c r="B53" s="405"/>
      <c r="C53" s="391"/>
      <c r="D53" s="391"/>
      <c r="E53" s="391"/>
      <c r="F53" s="391"/>
      <c r="G53" s="391">
        <v>92</v>
      </c>
      <c r="H53" s="391"/>
      <c r="I53" s="391"/>
      <c r="J53" s="391"/>
      <c r="K53" s="391"/>
      <c r="L53" s="391"/>
      <c r="M53" s="391"/>
      <c r="N53" s="391"/>
      <c r="O53" s="391"/>
      <c r="P53" s="391">
        <f t="shared" si="1"/>
        <v>92</v>
      </c>
    </row>
    <row r="54" spans="1:16" ht="19.5">
      <c r="A54" s="414">
        <v>882201</v>
      </c>
      <c r="B54" s="406" t="s">
        <v>1493</v>
      </c>
      <c r="C54" s="388"/>
      <c r="D54" s="388"/>
      <c r="E54" s="388">
        <v>321</v>
      </c>
      <c r="F54" s="388">
        <v>579</v>
      </c>
      <c r="G54" s="388"/>
      <c r="H54" s="388"/>
      <c r="I54" s="388"/>
      <c r="J54" s="388"/>
      <c r="K54" s="388"/>
      <c r="L54" s="388"/>
      <c r="M54" s="388"/>
      <c r="N54" s="388"/>
      <c r="O54" s="388"/>
      <c r="P54" s="388">
        <f t="shared" si="1"/>
        <v>900</v>
      </c>
    </row>
    <row r="55" spans="1:16" ht="12.75">
      <c r="A55" s="415"/>
      <c r="B55" s="405"/>
      <c r="C55" s="391"/>
      <c r="D55" s="391"/>
      <c r="E55" s="391">
        <v>321</v>
      </c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>
        <f t="shared" si="1"/>
        <v>321</v>
      </c>
    </row>
    <row r="57" spans="1:16" ht="19.5">
      <c r="A57" s="414">
        <v>890111</v>
      </c>
      <c r="B57" s="406" t="s">
        <v>1496</v>
      </c>
      <c r="C57" s="388"/>
      <c r="D57" s="388"/>
      <c r="E57" s="388"/>
      <c r="F57" s="388">
        <v>4624</v>
      </c>
      <c r="G57" s="388"/>
      <c r="H57" s="388"/>
      <c r="I57" s="388"/>
      <c r="J57" s="388"/>
      <c r="K57" s="388"/>
      <c r="L57" s="388"/>
      <c r="M57" s="388"/>
      <c r="N57" s="388"/>
      <c r="O57" s="388">
        <v>315</v>
      </c>
      <c r="P57" s="388">
        <f aca="true" t="shared" si="2" ref="P57:P64">SUM(C57:O57)</f>
        <v>4939</v>
      </c>
    </row>
    <row r="58" spans="1:16" ht="12.75">
      <c r="A58" s="415"/>
      <c r="B58" s="405"/>
      <c r="C58" s="391">
        <v>1477</v>
      </c>
      <c r="D58" s="391"/>
      <c r="E58" s="391"/>
      <c r="F58" s="391">
        <v>3067</v>
      </c>
      <c r="G58" s="391"/>
      <c r="H58" s="391"/>
      <c r="I58" s="391"/>
      <c r="J58" s="391"/>
      <c r="K58" s="391"/>
      <c r="L58" s="391"/>
      <c r="M58" s="391"/>
      <c r="N58" s="391"/>
      <c r="O58" s="391">
        <v>315</v>
      </c>
      <c r="P58" s="391">
        <f t="shared" si="2"/>
        <v>4859</v>
      </c>
    </row>
    <row r="59" spans="1:16" ht="12.75">
      <c r="A59" s="416">
        <v>890441</v>
      </c>
      <c r="B59" s="417"/>
      <c r="C59" s="418"/>
      <c r="D59" s="418"/>
      <c r="E59" s="418"/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>
        <f t="shared" si="2"/>
        <v>0</v>
      </c>
    </row>
    <row r="60" spans="1:16" ht="12.75">
      <c r="A60" s="415"/>
      <c r="B60" s="405"/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391"/>
      <c r="O60" s="391"/>
      <c r="P60" s="391">
        <f t="shared" si="2"/>
        <v>0</v>
      </c>
    </row>
    <row r="61" spans="1:16" ht="12.75">
      <c r="A61" s="414">
        <v>890442</v>
      </c>
      <c r="B61" s="406" t="s">
        <v>1497</v>
      </c>
      <c r="C61" s="388"/>
      <c r="D61" s="388"/>
      <c r="E61" s="388"/>
      <c r="F61" s="388">
        <v>4463</v>
      </c>
      <c r="G61" s="388"/>
      <c r="H61" s="388"/>
      <c r="I61" s="388"/>
      <c r="J61" s="388"/>
      <c r="K61" s="388"/>
      <c r="L61" s="388"/>
      <c r="M61" s="388"/>
      <c r="N61" s="388"/>
      <c r="O61" s="388"/>
      <c r="P61" s="388">
        <f t="shared" si="2"/>
        <v>4463</v>
      </c>
    </row>
    <row r="62" spans="1:16" ht="12.75">
      <c r="A62" s="415"/>
      <c r="B62" s="405"/>
      <c r="C62" s="391"/>
      <c r="D62" s="391"/>
      <c r="E62" s="391"/>
      <c r="F62" s="391">
        <v>1351</v>
      </c>
      <c r="G62" s="391"/>
      <c r="H62" s="391"/>
      <c r="I62" s="391"/>
      <c r="J62" s="391"/>
      <c r="K62" s="391"/>
      <c r="L62" s="391"/>
      <c r="M62" s="391"/>
      <c r="N62" s="391"/>
      <c r="O62" s="391"/>
      <c r="P62" s="391">
        <f t="shared" si="2"/>
        <v>1351</v>
      </c>
    </row>
    <row r="63" spans="1:16" ht="29.25">
      <c r="A63" s="414">
        <v>960302</v>
      </c>
      <c r="B63" s="406" t="s">
        <v>1498</v>
      </c>
      <c r="C63" s="388">
        <v>42</v>
      </c>
      <c r="D63" s="388"/>
      <c r="E63" s="388"/>
      <c r="F63" s="388"/>
      <c r="G63" s="388"/>
      <c r="H63" s="388"/>
      <c r="I63" s="388"/>
      <c r="J63" s="388"/>
      <c r="K63" s="388"/>
      <c r="L63" s="388"/>
      <c r="M63" s="388"/>
      <c r="N63" s="388"/>
      <c r="O63" s="388"/>
      <c r="P63" s="388">
        <f t="shared" si="2"/>
        <v>42</v>
      </c>
    </row>
    <row r="64" spans="1:16" ht="12.75">
      <c r="A64" s="415"/>
      <c r="B64" s="405"/>
      <c r="C64" s="391"/>
      <c r="D64" s="391"/>
      <c r="E64" s="391"/>
      <c r="F64" s="391"/>
      <c r="G64" s="391"/>
      <c r="H64" s="391"/>
      <c r="I64" s="391"/>
      <c r="J64" s="391"/>
      <c r="K64" s="391"/>
      <c r="L64" s="391"/>
      <c r="M64" s="391"/>
      <c r="N64" s="391"/>
      <c r="O64" s="391"/>
      <c r="P64" s="391">
        <f t="shared" si="2"/>
        <v>0</v>
      </c>
    </row>
    <row r="65" spans="1:16" ht="12.75">
      <c r="A65" s="864"/>
      <c r="B65" s="417" t="s">
        <v>1117</v>
      </c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</row>
    <row r="66" spans="1:16" ht="12.75">
      <c r="A66" s="415"/>
      <c r="B66" s="405"/>
      <c r="C66" s="391"/>
      <c r="D66" s="391"/>
      <c r="E66" s="391"/>
      <c r="F66" s="391"/>
      <c r="G66" s="391"/>
      <c r="H66" s="391"/>
      <c r="I66" s="391"/>
      <c r="J66" s="391"/>
      <c r="K66" s="391"/>
      <c r="L66" s="391"/>
      <c r="M66" s="391"/>
      <c r="N66" s="391"/>
      <c r="O66" s="391"/>
      <c r="P66" s="391">
        <v>-3974</v>
      </c>
    </row>
    <row r="67" spans="1:16" ht="12.75">
      <c r="A67" s="416"/>
      <c r="B67" s="419" t="s">
        <v>1499</v>
      </c>
      <c r="C67" s="388">
        <f aca="true" t="shared" si="3" ref="C67:P67">C6+C8+C10+C12+C14+C16+C18+C20+C23+C25+C27+C29+C31+C33+C35+C37+C39+C41+C43+C45+C47+C50+C52+C54+C57+C61+C63</f>
        <v>14325</v>
      </c>
      <c r="D67" s="388">
        <f t="shared" si="3"/>
        <v>128410</v>
      </c>
      <c r="E67" s="388">
        <f t="shared" si="3"/>
        <v>462723</v>
      </c>
      <c r="F67" s="388">
        <f t="shared" si="3"/>
        <v>24904</v>
      </c>
      <c r="G67" s="388">
        <f t="shared" si="3"/>
        <v>9380</v>
      </c>
      <c r="H67" s="388">
        <f t="shared" si="3"/>
        <v>0</v>
      </c>
      <c r="I67" s="388">
        <f t="shared" si="3"/>
        <v>33256</v>
      </c>
      <c r="J67" s="388">
        <f t="shared" si="3"/>
        <v>58918</v>
      </c>
      <c r="K67" s="388">
        <f t="shared" si="3"/>
        <v>0</v>
      </c>
      <c r="L67" s="388">
        <f t="shared" si="3"/>
        <v>0</v>
      </c>
      <c r="M67" s="388">
        <f t="shared" si="3"/>
        <v>0</v>
      </c>
      <c r="N67" s="388">
        <f t="shared" si="3"/>
        <v>0</v>
      </c>
      <c r="O67" s="388">
        <f t="shared" si="3"/>
        <v>58902</v>
      </c>
      <c r="P67" s="388">
        <f t="shared" si="3"/>
        <v>790818</v>
      </c>
    </row>
    <row r="68" spans="1:16" ht="12.75">
      <c r="A68" s="420"/>
      <c r="B68" s="391"/>
      <c r="C68" s="391">
        <f aca="true" t="shared" si="4" ref="C68:O68">C7+C9+C11+C13+C15+C17+C19+C21+C24+C26+C28+C30+C32+C34+C36+C38+C40+C42+C44+C46+C48+C51+C53+C55+C58+C60+C62+C64</f>
        <v>35649</v>
      </c>
      <c r="D68" s="391">
        <f t="shared" si="4"/>
        <v>133105</v>
      </c>
      <c r="E68" s="391">
        <f t="shared" si="4"/>
        <v>462724</v>
      </c>
      <c r="F68" s="391">
        <f t="shared" si="4"/>
        <v>28852</v>
      </c>
      <c r="G68" s="391">
        <f t="shared" si="4"/>
        <v>6384</v>
      </c>
      <c r="H68" s="391">
        <f t="shared" si="4"/>
        <v>0</v>
      </c>
      <c r="I68" s="391">
        <f t="shared" si="4"/>
        <v>28881</v>
      </c>
      <c r="J68" s="391">
        <f t="shared" si="4"/>
        <v>53455</v>
      </c>
      <c r="K68" s="391">
        <f t="shared" si="4"/>
        <v>0</v>
      </c>
      <c r="L68" s="391">
        <f t="shared" si="4"/>
        <v>0</v>
      </c>
      <c r="M68" s="391">
        <f t="shared" si="4"/>
        <v>0</v>
      </c>
      <c r="N68" s="391">
        <f t="shared" si="4"/>
        <v>0</v>
      </c>
      <c r="O68" s="391">
        <f t="shared" si="4"/>
        <v>58902</v>
      </c>
      <c r="P68" s="391">
        <f>P7+P9+P11+P13+P15+P17+P19+P21+P24+P26+P28+P30+P32+P34+P36+P38+P40+P42+P44+P46+P48+P51+P53+P55+P58+P60+P62+P64+P66</f>
        <v>803978</v>
      </c>
    </row>
  </sheetData>
  <sheetProtection/>
  <mergeCells count="3">
    <mergeCell ref="A1:P1"/>
    <mergeCell ref="A2:P2"/>
    <mergeCell ref="A3:B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9.125" style="169" customWidth="1"/>
    <col min="2" max="2" width="20.625" style="169" customWidth="1"/>
    <col min="3" max="16384" width="9.125" style="169" customWidth="1"/>
  </cols>
  <sheetData>
    <row r="1" spans="1:16" ht="12.75">
      <c r="A1" s="2049" t="s">
        <v>5277</v>
      </c>
      <c r="B1" s="2049"/>
      <c r="C1" s="2049"/>
      <c r="D1" s="2049"/>
      <c r="E1" s="2049"/>
      <c r="F1" s="2049"/>
      <c r="G1" s="2049"/>
      <c r="H1" s="2049"/>
      <c r="I1" s="2049"/>
      <c r="J1" s="2049"/>
      <c r="K1" s="2049"/>
      <c r="L1" s="2049"/>
      <c r="M1" s="2049"/>
      <c r="N1" s="1521"/>
      <c r="O1" s="1521"/>
      <c r="P1" s="1521"/>
    </row>
    <row r="2" spans="1:13" ht="12.75">
      <c r="A2" s="2053" t="s">
        <v>2799</v>
      </c>
      <c r="B2" s="2053"/>
      <c r="C2" s="2053"/>
      <c r="D2" s="2053"/>
      <c r="E2" s="2053"/>
      <c r="F2" s="2053"/>
      <c r="G2" s="2053"/>
      <c r="H2" s="2053"/>
      <c r="I2" s="2053"/>
      <c r="J2" s="2053"/>
      <c r="K2" s="2053"/>
      <c r="L2" s="2053"/>
      <c r="M2" s="2053"/>
    </row>
    <row r="3" spans="1:13" ht="12.75">
      <c r="A3" s="421"/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</row>
    <row r="4" spans="1:13" ht="56.25">
      <c r="A4" s="422" t="s">
        <v>1451</v>
      </c>
      <c r="B4" s="423" t="s">
        <v>1452</v>
      </c>
      <c r="C4" s="424" t="s">
        <v>1500</v>
      </c>
      <c r="D4" s="424" t="s">
        <v>1501</v>
      </c>
      <c r="E4" s="424" t="s">
        <v>1454</v>
      </c>
      <c r="F4" s="424" t="s">
        <v>1455</v>
      </c>
      <c r="G4" s="424" t="s">
        <v>1456</v>
      </c>
      <c r="H4" s="424" t="s">
        <v>1502</v>
      </c>
      <c r="I4" s="424" t="s">
        <v>1503</v>
      </c>
      <c r="J4" s="424" t="s">
        <v>1459</v>
      </c>
      <c r="K4" s="424" t="s">
        <v>1504</v>
      </c>
      <c r="L4" s="424" t="s">
        <v>1464</v>
      </c>
      <c r="M4" s="425" t="s">
        <v>1465</v>
      </c>
    </row>
    <row r="5" spans="1:13" ht="12.75">
      <c r="A5" s="422">
        <v>680002</v>
      </c>
      <c r="B5" s="423" t="s">
        <v>1505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5">
        <f>SUM(C5:L5)</f>
        <v>0</v>
      </c>
    </row>
    <row r="6" spans="1:13" ht="12.75">
      <c r="A6" s="426"/>
      <c r="B6" s="427"/>
      <c r="C6" s="426">
        <v>5</v>
      </c>
      <c r="D6" s="426"/>
      <c r="E6" s="426"/>
      <c r="F6" s="426"/>
      <c r="G6" s="426"/>
      <c r="H6" s="426"/>
      <c r="I6" s="426"/>
      <c r="J6" s="426"/>
      <c r="K6" s="426"/>
      <c r="L6" s="426"/>
      <c r="M6" s="426">
        <f aca="true" t="shared" si="0" ref="M6:M22">SUM(C6:L6)</f>
        <v>5</v>
      </c>
    </row>
    <row r="7" spans="1:13" ht="22.5">
      <c r="A7" s="428">
        <v>841126</v>
      </c>
      <c r="B7" s="429" t="s">
        <v>1506</v>
      </c>
      <c r="C7" s="430">
        <v>699</v>
      </c>
      <c r="D7" s="430"/>
      <c r="E7" s="430"/>
      <c r="F7" s="430">
        <v>63</v>
      </c>
      <c r="G7" s="430"/>
      <c r="H7" s="430"/>
      <c r="I7" s="430"/>
      <c r="J7" s="430"/>
      <c r="K7" s="430"/>
      <c r="L7" s="430">
        <v>557</v>
      </c>
      <c r="M7" s="425">
        <f t="shared" si="0"/>
        <v>1319</v>
      </c>
    </row>
    <row r="8" spans="1:13" ht="12.75">
      <c r="A8" s="431"/>
      <c r="B8" s="432"/>
      <c r="C8" s="433">
        <v>1068</v>
      </c>
      <c r="D8" s="433"/>
      <c r="E8" s="433"/>
      <c r="F8" s="433">
        <v>63</v>
      </c>
      <c r="G8" s="433"/>
      <c r="H8" s="433"/>
      <c r="I8" s="433"/>
      <c r="J8" s="433"/>
      <c r="K8" s="433"/>
      <c r="L8" s="433">
        <v>557</v>
      </c>
      <c r="M8" s="426">
        <f t="shared" si="0"/>
        <v>1688</v>
      </c>
    </row>
    <row r="9" spans="1:13" ht="12.75">
      <c r="A9" s="428">
        <v>841913</v>
      </c>
      <c r="B9" s="429" t="s">
        <v>723</v>
      </c>
      <c r="C9" s="430"/>
      <c r="D9" s="430"/>
      <c r="E9" s="430"/>
      <c r="F9" s="430"/>
      <c r="G9" s="430"/>
      <c r="H9" s="430">
        <v>173365</v>
      </c>
      <c r="I9" s="430"/>
      <c r="J9" s="430"/>
      <c r="K9" s="430"/>
      <c r="L9" s="430"/>
      <c r="M9" s="425">
        <f t="shared" si="0"/>
        <v>173365</v>
      </c>
    </row>
    <row r="10" spans="1:13" ht="12.75">
      <c r="A10" s="431"/>
      <c r="B10" s="432"/>
      <c r="C10" s="433"/>
      <c r="D10" s="433"/>
      <c r="E10" s="433"/>
      <c r="F10" s="433"/>
      <c r="G10" s="433"/>
      <c r="H10" s="433">
        <v>173365</v>
      </c>
      <c r="I10" s="433"/>
      <c r="J10" s="433"/>
      <c r="K10" s="433"/>
      <c r="L10" s="433"/>
      <c r="M10" s="426">
        <f t="shared" si="0"/>
        <v>173365</v>
      </c>
    </row>
    <row r="11" spans="1:13" ht="12.75">
      <c r="A11" s="434">
        <v>882111</v>
      </c>
      <c r="B11" s="435" t="s">
        <v>1507</v>
      </c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25">
        <f t="shared" si="0"/>
        <v>0</v>
      </c>
    </row>
    <row r="12" spans="1:13" ht="12.75">
      <c r="A12" s="436"/>
      <c r="B12" s="437"/>
      <c r="C12" s="433"/>
      <c r="D12" s="433"/>
      <c r="E12" s="433"/>
      <c r="F12" s="433"/>
      <c r="G12" s="433">
        <v>503</v>
      </c>
      <c r="H12" s="433"/>
      <c r="I12" s="433"/>
      <c r="J12" s="433"/>
      <c r="K12" s="433"/>
      <c r="L12" s="433"/>
      <c r="M12" s="426">
        <f t="shared" si="0"/>
        <v>503</v>
      </c>
    </row>
    <row r="13" spans="1:13" ht="12.75">
      <c r="A13" s="438">
        <v>882112</v>
      </c>
      <c r="B13" s="385" t="s">
        <v>1486</v>
      </c>
      <c r="C13" s="430"/>
      <c r="D13" s="430"/>
      <c r="E13" s="430"/>
      <c r="F13" s="430">
        <v>3</v>
      </c>
      <c r="G13" s="430"/>
      <c r="H13" s="430"/>
      <c r="I13" s="430"/>
      <c r="J13" s="430"/>
      <c r="K13" s="430"/>
      <c r="L13" s="430"/>
      <c r="M13" s="425">
        <f t="shared" si="0"/>
        <v>3</v>
      </c>
    </row>
    <row r="14" spans="1:13" ht="12.75">
      <c r="A14" s="439"/>
      <c r="B14" s="440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26">
        <f t="shared" si="0"/>
        <v>0</v>
      </c>
    </row>
    <row r="15" spans="1:13" ht="22.5">
      <c r="A15" s="438">
        <v>882113</v>
      </c>
      <c r="B15" s="435" t="s">
        <v>1508</v>
      </c>
      <c r="C15" s="430"/>
      <c r="D15" s="430"/>
      <c r="E15" s="430"/>
      <c r="F15" s="430">
        <v>2584</v>
      </c>
      <c r="G15" s="430"/>
      <c r="H15" s="430"/>
      <c r="I15" s="430"/>
      <c r="J15" s="430"/>
      <c r="K15" s="430"/>
      <c r="L15" s="430"/>
      <c r="M15" s="425">
        <f t="shared" si="0"/>
        <v>2584</v>
      </c>
    </row>
    <row r="16" spans="1:13" ht="12.75">
      <c r="A16" s="439"/>
      <c r="B16" s="437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26">
        <f t="shared" si="0"/>
        <v>0</v>
      </c>
    </row>
    <row r="17" spans="1:13" ht="12.75">
      <c r="A17" s="438">
        <v>882115</v>
      </c>
      <c r="B17" s="385" t="s">
        <v>1509</v>
      </c>
      <c r="C17" s="430"/>
      <c r="D17" s="430"/>
      <c r="E17" s="430"/>
      <c r="F17" s="430">
        <v>0</v>
      </c>
      <c r="G17" s="430"/>
      <c r="H17" s="430"/>
      <c r="I17" s="430"/>
      <c r="J17" s="430"/>
      <c r="K17" s="430"/>
      <c r="L17" s="430"/>
      <c r="M17" s="425">
        <f t="shared" si="0"/>
        <v>0</v>
      </c>
    </row>
    <row r="18" spans="1:13" ht="12.75">
      <c r="A18" s="441"/>
      <c r="B18" s="442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26">
        <f t="shared" si="0"/>
        <v>0</v>
      </c>
    </row>
    <row r="19" spans="1:13" ht="12.75">
      <c r="A19" s="443">
        <v>882122</v>
      </c>
      <c r="B19" s="444" t="s">
        <v>1490</v>
      </c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25">
        <f t="shared" si="0"/>
        <v>0</v>
      </c>
    </row>
    <row r="20" spans="1:13" ht="12.75">
      <c r="A20" s="439"/>
      <c r="B20" s="440"/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26">
        <f t="shared" si="0"/>
        <v>0</v>
      </c>
    </row>
    <row r="21" spans="1:13" ht="22.5">
      <c r="A21" s="443">
        <v>890442</v>
      </c>
      <c r="B21" s="446" t="s">
        <v>1510</v>
      </c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25">
        <f t="shared" si="0"/>
        <v>0</v>
      </c>
    </row>
    <row r="22" spans="1:13" ht="12.75">
      <c r="A22" s="439"/>
      <c r="B22" s="440"/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26">
        <f t="shared" si="0"/>
        <v>0</v>
      </c>
    </row>
    <row r="23" spans="1:13" ht="12.75">
      <c r="A23" s="2054" t="s">
        <v>1511</v>
      </c>
      <c r="B23" s="2055"/>
      <c r="C23" s="430">
        <f>C5+C7+C9+C11+C13+C15+C17+C19+C21</f>
        <v>699</v>
      </c>
      <c r="D23" s="430">
        <f aca="true" t="shared" si="1" ref="D23:M24">D5+D7+D9+D11+D13+D15+D17+D19+D21</f>
        <v>0</v>
      </c>
      <c r="E23" s="430">
        <f t="shared" si="1"/>
        <v>0</v>
      </c>
      <c r="F23" s="430">
        <f t="shared" si="1"/>
        <v>2650</v>
      </c>
      <c r="G23" s="430">
        <f t="shared" si="1"/>
        <v>0</v>
      </c>
      <c r="H23" s="430">
        <f t="shared" si="1"/>
        <v>173365</v>
      </c>
      <c r="I23" s="430">
        <f t="shared" si="1"/>
        <v>0</v>
      </c>
      <c r="J23" s="430">
        <f t="shared" si="1"/>
        <v>0</v>
      </c>
      <c r="K23" s="430">
        <f t="shared" si="1"/>
        <v>0</v>
      </c>
      <c r="L23" s="430">
        <f t="shared" si="1"/>
        <v>557</v>
      </c>
      <c r="M23" s="430">
        <f t="shared" si="1"/>
        <v>177271</v>
      </c>
    </row>
    <row r="24" spans="1:13" ht="12.75">
      <c r="A24" s="447"/>
      <c r="B24" s="448"/>
      <c r="C24" s="449">
        <f>C6+C8+C10+C12+C14+C16+C18+C20+C22</f>
        <v>1073</v>
      </c>
      <c r="D24" s="449">
        <f t="shared" si="1"/>
        <v>0</v>
      </c>
      <c r="E24" s="449">
        <f t="shared" si="1"/>
        <v>0</v>
      </c>
      <c r="F24" s="449">
        <f t="shared" si="1"/>
        <v>63</v>
      </c>
      <c r="G24" s="449">
        <f t="shared" si="1"/>
        <v>503</v>
      </c>
      <c r="H24" s="449">
        <f t="shared" si="1"/>
        <v>173365</v>
      </c>
      <c r="I24" s="449">
        <f t="shared" si="1"/>
        <v>0</v>
      </c>
      <c r="J24" s="449">
        <f t="shared" si="1"/>
        <v>0</v>
      </c>
      <c r="K24" s="449">
        <f t="shared" si="1"/>
        <v>0</v>
      </c>
      <c r="L24" s="449">
        <f t="shared" si="1"/>
        <v>557</v>
      </c>
      <c r="M24" s="449">
        <f t="shared" si="1"/>
        <v>175561</v>
      </c>
    </row>
    <row r="26" spans="2:5" ht="12.75">
      <c r="B26" s="2051" t="s">
        <v>1449</v>
      </c>
      <c r="C26" s="2052"/>
      <c r="D26" s="388" t="s">
        <v>1512</v>
      </c>
      <c r="E26" s="388"/>
    </row>
    <row r="27" spans="2:5" ht="12.75">
      <c r="B27" s="389"/>
      <c r="C27" s="390"/>
      <c r="D27" s="388" t="s">
        <v>1075</v>
      </c>
      <c r="E27" s="391"/>
    </row>
  </sheetData>
  <sheetProtection/>
  <mergeCells count="4">
    <mergeCell ref="A1:M1"/>
    <mergeCell ref="A2:M2"/>
    <mergeCell ref="A23:B23"/>
    <mergeCell ref="B26:C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16384" width="9.125" style="169" customWidth="1"/>
  </cols>
  <sheetData>
    <row r="1" spans="1:14" ht="12.75">
      <c r="A1" s="2004" t="s">
        <v>5278</v>
      </c>
      <c r="B1" s="2004"/>
      <c r="C1" s="2004"/>
      <c r="D1" s="2004"/>
      <c r="E1" s="2004"/>
      <c r="F1" s="2004"/>
      <c r="G1" s="2004"/>
      <c r="H1" s="2004"/>
      <c r="I1" s="2004"/>
      <c r="J1" s="2004"/>
      <c r="K1" s="2004"/>
      <c r="L1" s="2004"/>
      <c r="M1" s="2004"/>
      <c r="N1" s="2004"/>
    </row>
    <row r="2" spans="1:14" ht="12.75">
      <c r="A2" s="2053" t="s">
        <v>2800</v>
      </c>
      <c r="B2" s="2053"/>
      <c r="C2" s="2053"/>
      <c r="D2" s="2053"/>
      <c r="E2" s="2053"/>
      <c r="F2" s="2053"/>
      <c r="G2" s="2053"/>
      <c r="H2" s="2053"/>
      <c r="I2" s="2053"/>
      <c r="J2" s="2053"/>
      <c r="K2" s="2053"/>
      <c r="L2" s="2053"/>
      <c r="M2" s="2053"/>
      <c r="N2" s="2053"/>
    </row>
    <row r="3" spans="1:14" ht="12.7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42">
      <c r="A4" s="450" t="s">
        <v>1451</v>
      </c>
      <c r="B4" s="451" t="s">
        <v>1452</v>
      </c>
      <c r="C4" s="393" t="s">
        <v>3694</v>
      </c>
      <c r="D4" s="393" t="s">
        <v>1513</v>
      </c>
      <c r="E4" s="393" t="s">
        <v>1514</v>
      </c>
      <c r="F4" s="393" t="s">
        <v>1455</v>
      </c>
      <c r="G4" s="393" t="s">
        <v>1456</v>
      </c>
      <c r="H4" s="393" t="s">
        <v>723</v>
      </c>
      <c r="I4" s="394" t="s">
        <v>1515</v>
      </c>
      <c r="J4" s="393" t="s">
        <v>1503</v>
      </c>
      <c r="K4" s="393" t="s">
        <v>1459</v>
      </c>
      <c r="L4" s="394" t="s">
        <v>1516</v>
      </c>
      <c r="M4" s="393" t="s">
        <v>1464</v>
      </c>
      <c r="N4" s="395" t="s">
        <v>4491</v>
      </c>
    </row>
    <row r="5" spans="1:14" ht="22.5">
      <c r="A5" s="457">
        <v>851011</v>
      </c>
      <c r="B5" s="160" t="s">
        <v>4492</v>
      </c>
      <c r="C5" s="430">
        <v>14</v>
      </c>
      <c r="D5" s="430"/>
      <c r="E5" s="430"/>
      <c r="F5" s="430"/>
      <c r="G5" s="430">
        <v>179</v>
      </c>
      <c r="H5" s="430"/>
      <c r="I5" s="430">
        <f aca="true" t="shared" si="0" ref="I5:I10">SUM(C5:H5)</f>
        <v>193</v>
      </c>
      <c r="J5" s="430"/>
      <c r="K5" s="430"/>
      <c r="L5" s="430"/>
      <c r="M5" s="430">
        <v>10</v>
      </c>
      <c r="N5" s="430">
        <f aca="true" t="shared" si="1" ref="N5:N10">I5+L5+M5</f>
        <v>203</v>
      </c>
    </row>
    <row r="6" spans="1:14" ht="12.75">
      <c r="A6" s="1856"/>
      <c r="B6" s="436"/>
      <c r="C6" s="433">
        <v>14</v>
      </c>
      <c r="D6" s="433"/>
      <c r="E6" s="433"/>
      <c r="F6" s="433"/>
      <c r="G6" s="433">
        <v>179</v>
      </c>
      <c r="H6" s="433"/>
      <c r="I6" s="433">
        <f t="shared" si="0"/>
        <v>193</v>
      </c>
      <c r="J6" s="433"/>
      <c r="K6" s="433"/>
      <c r="L6" s="433"/>
      <c r="M6" s="433">
        <v>10</v>
      </c>
      <c r="N6" s="433">
        <f t="shared" si="1"/>
        <v>203</v>
      </c>
    </row>
    <row r="7" spans="1:14" ht="22.5">
      <c r="A7" s="457">
        <v>841913</v>
      </c>
      <c r="B7" s="160" t="s">
        <v>4493</v>
      </c>
      <c r="C7" s="430"/>
      <c r="D7" s="430"/>
      <c r="E7" s="430"/>
      <c r="F7" s="430"/>
      <c r="G7" s="430"/>
      <c r="H7" s="430">
        <v>68468</v>
      </c>
      <c r="I7" s="430">
        <f t="shared" si="0"/>
        <v>68468</v>
      </c>
      <c r="J7" s="430"/>
      <c r="K7" s="430"/>
      <c r="L7" s="430"/>
      <c r="M7" s="430"/>
      <c r="N7" s="430">
        <f t="shared" si="1"/>
        <v>68468</v>
      </c>
    </row>
    <row r="8" spans="1:14" ht="12.75">
      <c r="A8" s="1857"/>
      <c r="B8" s="436"/>
      <c r="C8" s="433"/>
      <c r="D8" s="433"/>
      <c r="E8" s="433"/>
      <c r="F8" s="433"/>
      <c r="G8" s="433"/>
      <c r="H8" s="433">
        <v>68468</v>
      </c>
      <c r="I8" s="433">
        <f t="shared" si="0"/>
        <v>68468</v>
      </c>
      <c r="J8" s="433"/>
      <c r="K8" s="433"/>
      <c r="L8" s="433"/>
      <c r="M8" s="433"/>
      <c r="N8" s="433">
        <f t="shared" si="1"/>
        <v>68468</v>
      </c>
    </row>
    <row r="9" spans="1:14" ht="12.75">
      <c r="A9" s="2056" t="s">
        <v>1511</v>
      </c>
      <c r="B9" s="2057"/>
      <c r="C9" s="430">
        <f>SUM(C5,C7)</f>
        <v>14</v>
      </c>
      <c r="D9" s="430">
        <f aca="true" t="shared" si="2" ref="D9:M10">SUM(D5,D7)</f>
        <v>0</v>
      </c>
      <c r="E9" s="430">
        <f t="shared" si="2"/>
        <v>0</v>
      </c>
      <c r="F9" s="430">
        <f t="shared" si="2"/>
        <v>0</v>
      </c>
      <c r="G9" s="430">
        <f t="shared" si="2"/>
        <v>179</v>
      </c>
      <c r="H9" s="430">
        <f t="shared" si="2"/>
        <v>68468</v>
      </c>
      <c r="I9" s="430">
        <f t="shared" si="0"/>
        <v>68661</v>
      </c>
      <c r="J9" s="430">
        <f t="shared" si="2"/>
        <v>0</v>
      </c>
      <c r="K9" s="430">
        <f t="shared" si="2"/>
        <v>0</v>
      </c>
      <c r="L9" s="430">
        <f t="shared" si="2"/>
        <v>0</v>
      </c>
      <c r="M9" s="430">
        <f t="shared" si="2"/>
        <v>10</v>
      </c>
      <c r="N9" s="430">
        <f t="shared" si="1"/>
        <v>68671</v>
      </c>
    </row>
    <row r="10" spans="1:14" ht="12.75">
      <c r="A10" s="1855"/>
      <c r="B10" s="1854"/>
      <c r="C10" s="1854">
        <f>SUM(C6,C8)</f>
        <v>14</v>
      </c>
      <c r="D10" s="1854">
        <f t="shared" si="2"/>
        <v>0</v>
      </c>
      <c r="E10" s="1854">
        <f t="shared" si="2"/>
        <v>0</v>
      </c>
      <c r="F10" s="1854">
        <f t="shared" si="2"/>
        <v>0</v>
      </c>
      <c r="G10" s="1854">
        <f t="shared" si="2"/>
        <v>179</v>
      </c>
      <c r="H10" s="1854">
        <f t="shared" si="2"/>
        <v>68468</v>
      </c>
      <c r="I10" s="433">
        <f t="shared" si="0"/>
        <v>68661</v>
      </c>
      <c r="J10" s="1854">
        <f t="shared" si="2"/>
        <v>0</v>
      </c>
      <c r="K10" s="1854">
        <f t="shared" si="2"/>
        <v>0</v>
      </c>
      <c r="L10" s="1854">
        <f t="shared" si="2"/>
        <v>0</v>
      </c>
      <c r="M10" s="1854">
        <f t="shared" si="2"/>
        <v>10</v>
      </c>
      <c r="N10" s="433">
        <f t="shared" si="1"/>
        <v>68671</v>
      </c>
    </row>
    <row r="13" spans="2:5" ht="12.75">
      <c r="B13" s="2051" t="s">
        <v>1449</v>
      </c>
      <c r="C13" s="2052"/>
      <c r="D13" s="388" t="s">
        <v>1512</v>
      </c>
      <c r="E13" s="388"/>
    </row>
    <row r="14" spans="2:5" ht="12.75">
      <c r="B14" s="389"/>
      <c r="C14" s="390"/>
      <c r="D14" s="388" t="s">
        <v>1075</v>
      </c>
      <c r="E14" s="391"/>
    </row>
  </sheetData>
  <sheetProtection/>
  <mergeCells count="4">
    <mergeCell ref="A1:N1"/>
    <mergeCell ref="A2:N2"/>
    <mergeCell ref="A9:B9"/>
    <mergeCell ref="B13:C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3"/>
  <sheetViews>
    <sheetView zoomScale="125" zoomScaleNormal="125" zoomScalePageLayoutView="0" workbookViewId="0" topLeftCell="A1">
      <selection activeCell="A1" sqref="A1:N1"/>
    </sheetView>
  </sheetViews>
  <sheetFormatPr defaultColWidth="9.00390625" defaultRowHeight="12.75"/>
  <cols>
    <col min="1" max="1" width="6.875" style="169" customWidth="1"/>
    <col min="2" max="2" width="14.125" style="169" customWidth="1"/>
    <col min="3" max="3" width="7.625" style="169" customWidth="1"/>
    <col min="4" max="4" width="9.125" style="169" customWidth="1"/>
    <col min="5" max="5" width="9.00390625" style="169" customWidth="1"/>
    <col min="6" max="6" width="7.875" style="169" customWidth="1"/>
    <col min="7" max="7" width="7.75390625" style="169" customWidth="1"/>
    <col min="8" max="8" width="9.125" style="169" customWidth="1"/>
    <col min="9" max="9" width="8.25390625" style="169" customWidth="1"/>
    <col min="10" max="10" width="9.125" style="169" customWidth="1"/>
    <col min="11" max="11" width="7.625" style="169" customWidth="1"/>
    <col min="12" max="13" width="9.125" style="169" customWidth="1"/>
    <col min="14" max="14" width="7.125" style="169" customWidth="1"/>
    <col min="15" max="15" width="8.25390625" style="169" customWidth="1"/>
    <col min="16" max="16384" width="9.125" style="169" customWidth="1"/>
  </cols>
  <sheetData>
    <row r="1" spans="1:15" s="1858" customFormat="1" ht="10.5">
      <c r="A1" s="2004" t="s">
        <v>5279</v>
      </c>
      <c r="B1" s="2004"/>
      <c r="C1" s="2004"/>
      <c r="D1" s="2004"/>
      <c r="E1" s="2004"/>
      <c r="F1" s="2004"/>
      <c r="G1" s="2004"/>
      <c r="H1" s="2004"/>
      <c r="I1" s="2004"/>
      <c r="J1" s="2004"/>
      <c r="K1" s="2004"/>
      <c r="L1" s="2004"/>
      <c r="M1" s="2004"/>
      <c r="N1" s="2004"/>
      <c r="O1" s="208"/>
    </row>
    <row r="2" spans="1:15" s="1858" customFormat="1" ht="10.5">
      <c r="A2" s="2053" t="s">
        <v>963</v>
      </c>
      <c r="B2" s="2053"/>
      <c r="C2" s="2053"/>
      <c r="D2" s="2053"/>
      <c r="E2" s="2053"/>
      <c r="F2" s="2053"/>
      <c r="G2" s="2053"/>
      <c r="H2" s="2053"/>
      <c r="I2" s="2053"/>
      <c r="J2" s="2053"/>
      <c r="K2" s="2053"/>
      <c r="L2" s="2053"/>
      <c r="M2" s="2053"/>
      <c r="N2" s="2053"/>
      <c r="O2" s="208"/>
    </row>
    <row r="3" spans="1:15" s="1858" customFormat="1" ht="10.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 s="1858" customFormat="1" ht="42">
      <c r="A4" s="450" t="s">
        <v>1451</v>
      </c>
      <c r="B4" s="451" t="s">
        <v>1452</v>
      </c>
      <c r="C4" s="393" t="s">
        <v>3694</v>
      </c>
      <c r="D4" s="393" t="s">
        <v>1513</v>
      </c>
      <c r="E4" s="393" t="s">
        <v>1514</v>
      </c>
      <c r="F4" s="393" t="s">
        <v>1455</v>
      </c>
      <c r="G4" s="393" t="s">
        <v>1456</v>
      </c>
      <c r="H4" s="393" t="s">
        <v>964</v>
      </c>
      <c r="I4" s="394" t="s">
        <v>1515</v>
      </c>
      <c r="J4" s="393" t="s">
        <v>1503</v>
      </c>
      <c r="K4" s="393" t="s">
        <v>1459</v>
      </c>
      <c r="L4" s="393" t="s">
        <v>1504</v>
      </c>
      <c r="M4" s="394" t="s">
        <v>1516</v>
      </c>
      <c r="N4" s="393" t="s">
        <v>965</v>
      </c>
      <c r="O4" s="395" t="s">
        <v>4491</v>
      </c>
    </row>
    <row r="5" spans="1:15" s="1858" customFormat="1" ht="10.5">
      <c r="A5" s="2058">
        <v>813000</v>
      </c>
      <c r="B5" s="2060" t="s">
        <v>966</v>
      </c>
      <c r="C5" s="959">
        <v>200</v>
      </c>
      <c r="D5" s="959"/>
      <c r="E5" s="959"/>
      <c r="F5" s="959"/>
      <c r="G5" s="959"/>
      <c r="H5" s="959"/>
      <c r="I5" s="959">
        <f>SUM(C5:H5)</f>
        <v>200</v>
      </c>
      <c r="J5" s="959"/>
      <c r="K5" s="959"/>
      <c r="L5" s="959"/>
      <c r="M5" s="959">
        <f>J5+K5+L5</f>
        <v>0</v>
      </c>
      <c r="N5" s="959"/>
      <c r="O5" s="959">
        <f>SUM(I5+M5+N5)</f>
        <v>200</v>
      </c>
    </row>
    <row r="6" spans="1:15" s="1858" customFormat="1" ht="10.5">
      <c r="A6" s="2059"/>
      <c r="B6" s="2061"/>
      <c r="C6" s="172">
        <v>191</v>
      </c>
      <c r="D6" s="172"/>
      <c r="E6" s="172"/>
      <c r="F6" s="172"/>
      <c r="G6" s="172"/>
      <c r="H6" s="172"/>
      <c r="I6" s="172">
        <f>SUM(C6:H6)</f>
        <v>191</v>
      </c>
      <c r="J6" s="172"/>
      <c r="K6" s="172"/>
      <c r="L6" s="172"/>
      <c r="M6" s="172"/>
      <c r="N6" s="172"/>
      <c r="O6" s="194">
        <f>SUM(I6+M6+N6)</f>
        <v>191</v>
      </c>
    </row>
    <row r="7" spans="1:15" s="1858" customFormat="1" ht="10.5">
      <c r="A7" s="2058">
        <v>841172</v>
      </c>
      <c r="B7" s="2058" t="s">
        <v>967</v>
      </c>
      <c r="C7" s="959">
        <v>750</v>
      </c>
      <c r="D7" s="959"/>
      <c r="E7" s="959"/>
      <c r="F7" s="959"/>
      <c r="G7" s="959"/>
      <c r="H7" s="959"/>
      <c r="I7" s="959">
        <f aca="true" t="shared" si="0" ref="I7:I25">SUM(C7:H7)</f>
        <v>750</v>
      </c>
      <c r="J7" s="959"/>
      <c r="K7" s="959"/>
      <c r="L7" s="959"/>
      <c r="M7" s="959">
        <f aca="true" t="shared" si="1" ref="M7:M27">J7+K7+L7</f>
        <v>0</v>
      </c>
      <c r="N7" s="959">
        <v>3436</v>
      </c>
      <c r="O7" s="959">
        <f aca="true" t="shared" si="2" ref="O7:O27">SUM(I7+M7+N7)</f>
        <v>4186</v>
      </c>
    </row>
    <row r="8" spans="1:15" s="1858" customFormat="1" ht="10.5">
      <c r="A8" s="2059"/>
      <c r="B8" s="2062"/>
      <c r="C8" s="172">
        <v>678</v>
      </c>
      <c r="D8" s="172"/>
      <c r="E8" s="172"/>
      <c r="F8" s="172"/>
      <c r="G8" s="172"/>
      <c r="H8" s="172"/>
      <c r="I8" s="172">
        <f>SUM(C8:H8)</f>
        <v>678</v>
      </c>
      <c r="J8" s="172"/>
      <c r="K8" s="172"/>
      <c r="L8" s="172"/>
      <c r="M8" s="172"/>
      <c r="N8" s="172">
        <v>3436</v>
      </c>
      <c r="O8" s="194">
        <f>SUM(I8+M8+N8)</f>
        <v>4114</v>
      </c>
    </row>
    <row r="9" spans="1:15" s="1858" customFormat="1" ht="10.5">
      <c r="A9" s="2058">
        <v>841403</v>
      </c>
      <c r="B9" s="2058" t="s">
        <v>968</v>
      </c>
      <c r="C9" s="959">
        <v>760</v>
      </c>
      <c r="D9" s="959"/>
      <c r="E9" s="959"/>
      <c r="F9" s="959"/>
      <c r="G9" s="959"/>
      <c r="H9" s="959"/>
      <c r="I9" s="959">
        <f t="shared" si="0"/>
        <v>760</v>
      </c>
      <c r="J9" s="959"/>
      <c r="K9" s="959"/>
      <c r="L9" s="959"/>
      <c r="M9" s="959">
        <f t="shared" si="1"/>
        <v>0</v>
      </c>
      <c r="N9" s="959"/>
      <c r="O9" s="959">
        <f t="shared" si="2"/>
        <v>760</v>
      </c>
    </row>
    <row r="10" spans="1:15" s="1858" customFormat="1" ht="10.5">
      <c r="A10" s="2059"/>
      <c r="B10" s="2059"/>
      <c r="C10" s="172">
        <v>760</v>
      </c>
      <c r="D10" s="172"/>
      <c r="E10" s="172"/>
      <c r="F10" s="172"/>
      <c r="G10" s="172"/>
      <c r="H10" s="172"/>
      <c r="I10" s="172">
        <f>SUM(C10:H10)</f>
        <v>760</v>
      </c>
      <c r="J10" s="172"/>
      <c r="K10" s="172"/>
      <c r="L10" s="172"/>
      <c r="M10" s="172"/>
      <c r="N10" s="172"/>
      <c r="O10" s="194">
        <f>SUM(I10+M10+N10)</f>
        <v>760</v>
      </c>
    </row>
    <row r="11" spans="1:15" s="1858" customFormat="1" ht="10.5">
      <c r="A11" s="2058">
        <v>841913</v>
      </c>
      <c r="B11" s="2063" t="s">
        <v>969</v>
      </c>
      <c r="C11" s="959"/>
      <c r="D11" s="959"/>
      <c r="E11" s="959"/>
      <c r="F11" s="959"/>
      <c r="G11" s="959"/>
      <c r="H11" s="959">
        <v>65041</v>
      </c>
      <c r="I11" s="959">
        <f t="shared" si="0"/>
        <v>65041</v>
      </c>
      <c r="J11" s="959"/>
      <c r="K11" s="959"/>
      <c r="L11" s="959">
        <v>450</v>
      </c>
      <c r="M11" s="959">
        <f t="shared" si="1"/>
        <v>450</v>
      </c>
      <c r="N11" s="959"/>
      <c r="O11" s="959">
        <f t="shared" si="2"/>
        <v>65491</v>
      </c>
    </row>
    <row r="12" spans="1:15" s="1858" customFormat="1" ht="10.5">
      <c r="A12" s="2059"/>
      <c r="B12" s="2062"/>
      <c r="C12" s="172"/>
      <c r="D12" s="172"/>
      <c r="E12" s="172"/>
      <c r="F12" s="172"/>
      <c r="G12" s="172"/>
      <c r="H12" s="172">
        <v>65042</v>
      </c>
      <c r="I12" s="172">
        <f>SUM(C12:H12)</f>
        <v>65042</v>
      </c>
      <c r="J12" s="172"/>
      <c r="K12" s="172"/>
      <c r="L12" s="172">
        <v>449</v>
      </c>
      <c r="M12" s="172">
        <f>J12+K12+L12</f>
        <v>449</v>
      </c>
      <c r="N12" s="172"/>
      <c r="O12" s="194">
        <f>SUM(I12+M12+N12)</f>
        <v>65491</v>
      </c>
    </row>
    <row r="13" spans="1:15" s="1858" customFormat="1" ht="10.5">
      <c r="A13" s="2058">
        <v>862101</v>
      </c>
      <c r="B13" s="2058" t="s">
        <v>970</v>
      </c>
      <c r="C13" s="959">
        <v>927</v>
      </c>
      <c r="D13" s="959"/>
      <c r="E13" s="959"/>
      <c r="F13" s="959"/>
      <c r="G13" s="959"/>
      <c r="H13" s="959"/>
      <c r="I13" s="959">
        <f t="shared" si="0"/>
        <v>927</v>
      </c>
      <c r="J13" s="959"/>
      <c r="K13" s="959"/>
      <c r="L13" s="959"/>
      <c r="M13" s="959">
        <f t="shared" si="1"/>
        <v>0</v>
      </c>
      <c r="N13" s="959"/>
      <c r="O13" s="959">
        <f t="shared" si="2"/>
        <v>927</v>
      </c>
    </row>
    <row r="14" spans="1:15" s="1858" customFormat="1" ht="10.5">
      <c r="A14" s="2059"/>
      <c r="B14" s="2059"/>
      <c r="C14" s="172">
        <v>942</v>
      </c>
      <c r="D14" s="172"/>
      <c r="E14" s="172"/>
      <c r="F14" s="172"/>
      <c r="G14" s="172"/>
      <c r="H14" s="172"/>
      <c r="I14" s="172">
        <f>SUM(C14:H14)</f>
        <v>942</v>
      </c>
      <c r="J14" s="172"/>
      <c r="K14" s="172"/>
      <c r="L14" s="172"/>
      <c r="M14" s="172"/>
      <c r="N14" s="172"/>
      <c r="O14" s="194">
        <f>SUM(I14+M14+N14)</f>
        <v>942</v>
      </c>
    </row>
    <row r="15" spans="1:15" s="1858" customFormat="1" ht="10.5">
      <c r="A15" s="2058">
        <v>862102</v>
      </c>
      <c r="B15" s="2058" t="s">
        <v>971</v>
      </c>
      <c r="C15" s="959"/>
      <c r="D15" s="959"/>
      <c r="E15" s="959"/>
      <c r="F15" s="959">
        <v>4685</v>
      </c>
      <c r="G15" s="959"/>
      <c r="H15" s="959"/>
      <c r="I15" s="959">
        <f t="shared" si="0"/>
        <v>4685</v>
      </c>
      <c r="J15" s="959"/>
      <c r="K15" s="959"/>
      <c r="L15" s="959"/>
      <c r="M15" s="959">
        <f t="shared" si="1"/>
        <v>0</v>
      </c>
      <c r="N15" s="959">
        <v>703</v>
      </c>
      <c r="O15" s="959">
        <f t="shared" si="2"/>
        <v>5388</v>
      </c>
    </row>
    <row r="16" spans="1:15" s="1858" customFormat="1" ht="10.5">
      <c r="A16" s="2059"/>
      <c r="B16" s="2059"/>
      <c r="C16" s="172"/>
      <c r="D16" s="172"/>
      <c r="E16" s="172"/>
      <c r="F16" s="172">
        <v>4685</v>
      </c>
      <c r="G16" s="172"/>
      <c r="H16" s="172"/>
      <c r="I16" s="172">
        <f>SUM(C16:H16)</f>
        <v>4685</v>
      </c>
      <c r="J16" s="172"/>
      <c r="K16" s="172"/>
      <c r="L16" s="172"/>
      <c r="M16" s="172"/>
      <c r="N16" s="172">
        <v>703</v>
      </c>
      <c r="O16" s="194">
        <f>SUM(I16+M16+N16)</f>
        <v>5388</v>
      </c>
    </row>
    <row r="17" spans="1:15" s="1858" customFormat="1" ht="10.5">
      <c r="A17" s="2058">
        <v>862240</v>
      </c>
      <c r="B17" s="2058" t="s">
        <v>972</v>
      </c>
      <c r="C17" s="959"/>
      <c r="D17" s="959"/>
      <c r="E17" s="959"/>
      <c r="F17" s="959"/>
      <c r="G17" s="959"/>
      <c r="H17" s="959"/>
      <c r="I17" s="959">
        <f t="shared" si="0"/>
        <v>0</v>
      </c>
      <c r="J17" s="959"/>
      <c r="K17" s="959"/>
      <c r="L17" s="959"/>
      <c r="M17" s="959">
        <f t="shared" si="1"/>
        <v>0</v>
      </c>
      <c r="N17" s="959"/>
      <c r="O17" s="959">
        <f t="shared" si="2"/>
        <v>0</v>
      </c>
    </row>
    <row r="18" spans="1:15" s="1858" customFormat="1" ht="10.5">
      <c r="A18" s="2059"/>
      <c r="B18" s="2059"/>
      <c r="C18" s="172"/>
      <c r="D18" s="172"/>
      <c r="E18" s="172"/>
      <c r="F18" s="172"/>
      <c r="G18" s="172"/>
      <c r="H18" s="172"/>
      <c r="I18" s="172">
        <f>SUM(C18:H18)</f>
        <v>0</v>
      </c>
      <c r="J18" s="172"/>
      <c r="K18" s="172"/>
      <c r="L18" s="172"/>
      <c r="M18" s="172"/>
      <c r="N18" s="172"/>
      <c r="O18" s="194">
        <f>SUM(I18+M18+N18)</f>
        <v>0</v>
      </c>
    </row>
    <row r="19" spans="1:15" s="1858" customFormat="1" ht="10.5">
      <c r="A19" s="2058">
        <v>869041</v>
      </c>
      <c r="B19" s="2058" t="s">
        <v>973</v>
      </c>
      <c r="C19" s="959"/>
      <c r="D19" s="959"/>
      <c r="E19" s="959"/>
      <c r="F19" s="959">
        <v>5672</v>
      </c>
      <c r="G19" s="959"/>
      <c r="H19" s="959"/>
      <c r="I19" s="959">
        <f t="shared" si="0"/>
        <v>5672</v>
      </c>
      <c r="J19" s="959"/>
      <c r="K19" s="959"/>
      <c r="L19" s="959"/>
      <c r="M19" s="959">
        <f t="shared" si="1"/>
        <v>0</v>
      </c>
      <c r="N19" s="959"/>
      <c r="O19" s="959">
        <f t="shared" si="2"/>
        <v>5672</v>
      </c>
    </row>
    <row r="20" spans="1:15" s="1858" customFormat="1" ht="10.5">
      <c r="A20" s="2059"/>
      <c r="B20" s="2059"/>
      <c r="C20" s="172"/>
      <c r="D20" s="172"/>
      <c r="E20" s="172"/>
      <c r="F20" s="172">
        <v>5673</v>
      </c>
      <c r="G20" s="172"/>
      <c r="H20" s="172"/>
      <c r="I20" s="172">
        <f>SUM(C20:H20)</f>
        <v>5673</v>
      </c>
      <c r="J20" s="172"/>
      <c r="K20" s="172"/>
      <c r="L20" s="172"/>
      <c r="M20" s="172"/>
      <c r="N20" s="172"/>
      <c r="O20" s="194">
        <f>SUM(I20+M20+N20)</f>
        <v>5673</v>
      </c>
    </row>
    <row r="21" spans="1:15" s="1858" customFormat="1" ht="10.5">
      <c r="A21" s="2058">
        <v>869042</v>
      </c>
      <c r="B21" s="2058" t="s">
        <v>974</v>
      </c>
      <c r="C21" s="959"/>
      <c r="D21" s="959"/>
      <c r="E21" s="959"/>
      <c r="F21" s="959">
        <v>1419</v>
      </c>
      <c r="G21" s="959"/>
      <c r="H21" s="959"/>
      <c r="I21" s="959">
        <f t="shared" si="0"/>
        <v>1419</v>
      </c>
      <c r="J21" s="959"/>
      <c r="K21" s="959"/>
      <c r="L21" s="959"/>
      <c r="M21" s="959">
        <f t="shared" si="1"/>
        <v>0</v>
      </c>
      <c r="N21" s="959"/>
      <c r="O21" s="959">
        <f t="shared" si="2"/>
        <v>1419</v>
      </c>
    </row>
    <row r="22" spans="1:15" s="1858" customFormat="1" ht="10.5">
      <c r="A22" s="2059"/>
      <c r="B22" s="2059"/>
      <c r="C22" s="172"/>
      <c r="D22" s="172"/>
      <c r="E22" s="172"/>
      <c r="F22" s="172">
        <v>1418</v>
      </c>
      <c r="G22" s="172"/>
      <c r="H22" s="172"/>
      <c r="I22" s="172">
        <f>SUM(C22:H22)</f>
        <v>1418</v>
      </c>
      <c r="J22" s="172"/>
      <c r="K22" s="172"/>
      <c r="L22" s="172"/>
      <c r="M22" s="172"/>
      <c r="N22" s="172"/>
      <c r="O22" s="194">
        <f>SUM(I22+M22+N22)</f>
        <v>1418</v>
      </c>
    </row>
    <row r="23" spans="1:15" s="1858" customFormat="1" ht="10.5">
      <c r="A23" s="2060">
        <v>890443</v>
      </c>
      <c r="B23" s="2064" t="s">
        <v>975</v>
      </c>
      <c r="C23" s="959">
        <v>6835</v>
      </c>
      <c r="D23" s="959"/>
      <c r="E23" s="959"/>
      <c r="F23" s="959">
        <v>124944</v>
      </c>
      <c r="G23" s="959"/>
      <c r="H23" s="959"/>
      <c r="I23" s="959">
        <f t="shared" si="0"/>
        <v>131779</v>
      </c>
      <c r="J23" s="959"/>
      <c r="K23" s="959">
        <v>25902</v>
      </c>
      <c r="L23" s="959"/>
      <c r="M23" s="959">
        <f t="shared" si="1"/>
        <v>25902</v>
      </c>
      <c r="N23" s="959"/>
      <c r="O23" s="959">
        <f t="shared" si="2"/>
        <v>157681</v>
      </c>
    </row>
    <row r="24" spans="1:15" s="1858" customFormat="1" ht="10.5">
      <c r="A24" s="2061"/>
      <c r="B24" s="2065"/>
      <c r="C24" s="172">
        <v>6841</v>
      </c>
      <c r="D24" s="172"/>
      <c r="E24" s="172"/>
      <c r="F24" s="172">
        <v>124944</v>
      </c>
      <c r="G24" s="172"/>
      <c r="H24" s="172"/>
      <c r="I24" s="172">
        <f>SUM(C24:H24)</f>
        <v>131785</v>
      </c>
      <c r="J24" s="172"/>
      <c r="K24" s="172">
        <v>25902</v>
      </c>
      <c r="L24" s="172"/>
      <c r="M24" s="172">
        <f>SUM(J24:L24)</f>
        <v>25902</v>
      </c>
      <c r="N24" s="172"/>
      <c r="O24" s="194">
        <f>SUM(I24+M24+N24)</f>
        <v>157687</v>
      </c>
    </row>
    <row r="25" spans="1:15" s="1858" customFormat="1" ht="10.5">
      <c r="A25" s="2060">
        <v>862301</v>
      </c>
      <c r="B25" s="2064" t="s">
        <v>976</v>
      </c>
      <c r="C25" s="959">
        <v>124</v>
      </c>
      <c r="D25" s="959"/>
      <c r="E25" s="959"/>
      <c r="F25" s="959"/>
      <c r="G25" s="959"/>
      <c r="H25" s="959"/>
      <c r="I25" s="959">
        <f t="shared" si="0"/>
        <v>124</v>
      </c>
      <c r="J25" s="959"/>
      <c r="K25" s="959"/>
      <c r="L25" s="959"/>
      <c r="M25" s="959">
        <f t="shared" si="1"/>
        <v>0</v>
      </c>
      <c r="N25" s="959"/>
      <c r="O25" s="959">
        <f t="shared" si="2"/>
        <v>124</v>
      </c>
    </row>
    <row r="26" spans="1:15" s="1858" customFormat="1" ht="10.5">
      <c r="A26" s="2061"/>
      <c r="B26" s="2065"/>
      <c r="C26" s="172">
        <v>124</v>
      </c>
      <c r="D26" s="172"/>
      <c r="E26" s="172"/>
      <c r="F26" s="172"/>
      <c r="G26" s="172"/>
      <c r="H26" s="172"/>
      <c r="I26" s="172">
        <f>SUM(C26:H26)</f>
        <v>124</v>
      </c>
      <c r="J26" s="172"/>
      <c r="K26" s="172"/>
      <c r="L26" s="172"/>
      <c r="M26" s="172"/>
      <c r="N26" s="172"/>
      <c r="O26" s="194">
        <f>SUM(I26+M26+N26)</f>
        <v>124</v>
      </c>
    </row>
    <row r="27" spans="1:15" s="1858" customFormat="1" ht="10.5">
      <c r="A27" s="2060">
        <v>890444</v>
      </c>
      <c r="B27" s="2066" t="s">
        <v>977</v>
      </c>
      <c r="C27" s="959"/>
      <c r="D27" s="959"/>
      <c r="E27" s="959"/>
      <c r="F27" s="959">
        <v>3284</v>
      </c>
      <c r="G27" s="959"/>
      <c r="H27" s="959"/>
      <c r="I27" s="959">
        <f>SUM(C27:H27)</f>
        <v>3284</v>
      </c>
      <c r="J27" s="959"/>
      <c r="K27" s="959"/>
      <c r="L27" s="959"/>
      <c r="M27" s="959">
        <f t="shared" si="1"/>
        <v>0</v>
      </c>
      <c r="N27" s="959"/>
      <c r="O27" s="959">
        <f t="shared" si="2"/>
        <v>3284</v>
      </c>
    </row>
    <row r="28" spans="1:15" s="1858" customFormat="1" ht="10.5">
      <c r="A28" s="2061"/>
      <c r="B28" s="2061"/>
      <c r="C28" s="172"/>
      <c r="D28" s="172"/>
      <c r="E28" s="172"/>
      <c r="F28" s="172">
        <v>3284</v>
      </c>
      <c r="G28" s="172"/>
      <c r="H28" s="172"/>
      <c r="I28" s="172">
        <f>SUM(C28:H28)</f>
        <v>3284</v>
      </c>
      <c r="J28" s="172"/>
      <c r="K28" s="172"/>
      <c r="L28" s="172"/>
      <c r="M28" s="172"/>
      <c r="N28" s="172"/>
      <c r="O28" s="194">
        <f>SUM(I28+M28+N28)</f>
        <v>3284</v>
      </c>
    </row>
    <row r="29" spans="1:15" s="1858" customFormat="1" ht="10.5">
      <c r="A29" s="2067" t="s">
        <v>978</v>
      </c>
      <c r="B29" s="2068"/>
      <c r="C29" s="959">
        <f>SUM(C5,C7,C9,C11,C13,C15,C17,C19,C21,C23,C25,C27,)</f>
        <v>9596</v>
      </c>
      <c r="D29" s="959">
        <f aca="true" t="shared" si="3" ref="D29:O29">SUM(D5,D7,D9,D11,D13,D15,D17,D19,D21,D23,D25,D27,)</f>
        <v>0</v>
      </c>
      <c r="E29" s="959">
        <f t="shared" si="3"/>
        <v>0</v>
      </c>
      <c r="F29" s="959">
        <f t="shared" si="3"/>
        <v>140004</v>
      </c>
      <c r="G29" s="959">
        <f t="shared" si="3"/>
        <v>0</v>
      </c>
      <c r="H29" s="959">
        <f t="shared" si="3"/>
        <v>65041</v>
      </c>
      <c r="I29" s="959">
        <f t="shared" si="3"/>
        <v>214641</v>
      </c>
      <c r="J29" s="959">
        <f t="shared" si="3"/>
        <v>0</v>
      </c>
      <c r="K29" s="959">
        <f t="shared" si="3"/>
        <v>25902</v>
      </c>
      <c r="L29" s="959">
        <f t="shared" si="3"/>
        <v>450</v>
      </c>
      <c r="M29" s="959">
        <f t="shared" si="3"/>
        <v>26352</v>
      </c>
      <c r="N29" s="959">
        <f t="shared" si="3"/>
        <v>4139</v>
      </c>
      <c r="O29" s="959">
        <f t="shared" si="3"/>
        <v>245132</v>
      </c>
    </row>
    <row r="30" spans="1:15" s="1858" customFormat="1" ht="10.5">
      <c r="A30" s="2067" t="s">
        <v>979</v>
      </c>
      <c r="B30" s="2068"/>
      <c r="C30" s="194">
        <f>SUM(C6,C8,C10,C12,C14,C16,C18,C20,C22,C24,C26,C28)</f>
        <v>9536</v>
      </c>
      <c r="D30" s="194">
        <f aca="true" t="shared" si="4" ref="D30:O30">SUM(D6,D8,D10,D12,D14,D16,D18,D20,D22,D24,D26,D28)</f>
        <v>0</v>
      </c>
      <c r="E30" s="194">
        <f t="shared" si="4"/>
        <v>0</v>
      </c>
      <c r="F30" s="194">
        <f t="shared" si="4"/>
        <v>140004</v>
      </c>
      <c r="G30" s="194">
        <f t="shared" si="4"/>
        <v>0</v>
      </c>
      <c r="H30" s="194">
        <f t="shared" si="4"/>
        <v>65042</v>
      </c>
      <c r="I30" s="194">
        <f t="shared" si="4"/>
        <v>214582</v>
      </c>
      <c r="J30" s="194">
        <f t="shared" si="4"/>
        <v>0</v>
      </c>
      <c r="K30" s="194">
        <f t="shared" si="4"/>
        <v>25902</v>
      </c>
      <c r="L30" s="194">
        <f t="shared" si="4"/>
        <v>449</v>
      </c>
      <c r="M30" s="194">
        <f t="shared" si="4"/>
        <v>26351</v>
      </c>
      <c r="N30" s="194">
        <f t="shared" si="4"/>
        <v>4139</v>
      </c>
      <c r="O30" s="194">
        <f t="shared" si="4"/>
        <v>245072</v>
      </c>
    </row>
    <row r="31" spans="1:15" s="1858" customFormat="1" ht="10.5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</row>
    <row r="32" spans="1:15" s="1858" customFormat="1" ht="10.5">
      <c r="A32" s="208"/>
      <c r="B32" s="2051" t="s">
        <v>1449</v>
      </c>
      <c r="C32" s="2051"/>
      <c r="D32" s="388" t="s">
        <v>1512</v>
      </c>
      <c r="E32" s="970"/>
      <c r="F32" s="208"/>
      <c r="G32" s="208"/>
      <c r="H32" s="208"/>
      <c r="I32" s="208"/>
      <c r="J32" s="208"/>
      <c r="K32" s="208"/>
      <c r="L32" s="208"/>
      <c r="M32" s="208"/>
      <c r="N32" s="208"/>
      <c r="O32" s="208"/>
    </row>
    <row r="33" spans="2:5" s="1858" customFormat="1" ht="9.75">
      <c r="B33" s="389"/>
      <c r="C33" s="390"/>
      <c r="D33" s="388" t="s">
        <v>1075</v>
      </c>
      <c r="E33" s="418"/>
    </row>
    <row r="34" s="1858" customFormat="1" ht="9.75"/>
  </sheetData>
  <sheetProtection/>
  <mergeCells count="29">
    <mergeCell ref="B32:C32"/>
    <mergeCell ref="A27:A28"/>
    <mergeCell ref="B27:B28"/>
    <mergeCell ref="A29:B29"/>
    <mergeCell ref="A30:B30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1:N1"/>
    <mergeCell ref="A2:N2"/>
    <mergeCell ref="A5:A6"/>
    <mergeCell ref="B5:B6"/>
    <mergeCell ref="A7:A8"/>
    <mergeCell ref="B7:B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7.375" style="169" customWidth="1"/>
    <col min="2" max="2" width="9.75390625" style="169" customWidth="1"/>
    <col min="3" max="3" width="8.00390625" style="180" customWidth="1"/>
    <col min="4" max="6" width="9.125" style="180" customWidth="1"/>
    <col min="7" max="7" width="6.25390625" style="180" customWidth="1"/>
    <col min="8" max="13" width="9.125" style="180" customWidth="1"/>
    <col min="14" max="14" width="7.875" style="180" customWidth="1"/>
    <col min="15" max="15" width="8.25390625" style="180" customWidth="1"/>
    <col min="16" max="16384" width="9.125" style="169" customWidth="1"/>
  </cols>
  <sheetData>
    <row r="1" spans="1:15" ht="12.75">
      <c r="A1" s="2004" t="s">
        <v>5280</v>
      </c>
      <c r="B1" s="2004"/>
      <c r="C1" s="2004"/>
      <c r="D1" s="2004"/>
      <c r="E1" s="2004"/>
      <c r="F1" s="2004"/>
      <c r="G1" s="2004"/>
      <c r="H1" s="2004"/>
      <c r="I1" s="2004"/>
      <c r="J1" s="2004"/>
      <c r="K1" s="2004"/>
      <c r="L1" s="2004"/>
      <c r="M1" s="2004"/>
      <c r="N1" s="2004"/>
      <c r="O1" s="2004"/>
    </row>
    <row r="2" spans="1:15" ht="12.75">
      <c r="A2" s="2053" t="s">
        <v>980</v>
      </c>
      <c r="B2" s="2053"/>
      <c r="C2" s="2053"/>
      <c r="D2" s="2053"/>
      <c r="E2" s="2053"/>
      <c r="F2" s="2053"/>
      <c r="G2" s="2053"/>
      <c r="H2" s="2053"/>
      <c r="I2" s="2053"/>
      <c r="J2" s="2053"/>
      <c r="K2" s="2053"/>
      <c r="L2" s="2053"/>
      <c r="M2" s="2053"/>
      <c r="N2" s="2053"/>
      <c r="O2" s="2053"/>
    </row>
    <row r="3" spans="1:15" ht="12.75">
      <c r="A3" s="389"/>
      <c r="B3" s="389"/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</row>
    <row r="4" spans="1:15" ht="45">
      <c r="A4" s="392" t="s">
        <v>1451</v>
      </c>
      <c r="B4" s="494" t="s">
        <v>1452</v>
      </c>
      <c r="C4" s="961" t="s">
        <v>3694</v>
      </c>
      <c r="D4" s="961" t="s">
        <v>1513</v>
      </c>
      <c r="E4" s="961" t="s">
        <v>1514</v>
      </c>
      <c r="F4" s="961" t="s">
        <v>1455</v>
      </c>
      <c r="G4" s="961" t="s">
        <v>981</v>
      </c>
      <c r="H4" s="961" t="s">
        <v>723</v>
      </c>
      <c r="I4" s="962" t="s">
        <v>1515</v>
      </c>
      <c r="J4" s="961" t="s">
        <v>1503</v>
      </c>
      <c r="K4" s="961" t="s">
        <v>1459</v>
      </c>
      <c r="L4" s="963" t="s">
        <v>1504</v>
      </c>
      <c r="M4" s="962" t="s">
        <v>1516</v>
      </c>
      <c r="N4" s="961" t="s">
        <v>982</v>
      </c>
      <c r="O4" s="964" t="s">
        <v>4491</v>
      </c>
    </row>
    <row r="5" spans="1:15" ht="12.75">
      <c r="A5" s="2069">
        <v>562912</v>
      </c>
      <c r="B5" s="2071" t="s">
        <v>983</v>
      </c>
      <c r="C5" s="965">
        <v>1966</v>
      </c>
      <c r="D5" s="965"/>
      <c r="E5" s="965"/>
      <c r="F5" s="965"/>
      <c r="G5" s="965"/>
      <c r="H5" s="965"/>
      <c r="I5" s="965">
        <f>SUM(C5:H5)</f>
        <v>1966</v>
      </c>
      <c r="J5" s="965"/>
      <c r="K5" s="965"/>
      <c r="L5" s="965"/>
      <c r="M5" s="965"/>
      <c r="N5" s="965"/>
      <c r="O5" s="965">
        <f>I5+M5+N5</f>
        <v>1966</v>
      </c>
    </row>
    <row r="6" spans="1:15" ht="12.75">
      <c r="A6" s="2070"/>
      <c r="B6" s="2072"/>
      <c r="C6" s="502">
        <v>1966</v>
      </c>
      <c r="D6" s="502"/>
      <c r="E6" s="502"/>
      <c r="F6" s="502"/>
      <c r="G6" s="502"/>
      <c r="H6" s="502"/>
      <c r="I6" s="502">
        <f aca="true" t="shared" si="0" ref="I6:I26">SUM(C6:H6)</f>
        <v>1966</v>
      </c>
      <c r="J6" s="502"/>
      <c r="K6" s="502"/>
      <c r="L6" s="502"/>
      <c r="M6" s="502"/>
      <c r="N6" s="502"/>
      <c r="O6" s="502">
        <f aca="true" t="shared" si="1" ref="O6:O26">I6+M6+N6</f>
        <v>1966</v>
      </c>
    </row>
    <row r="7" spans="1:15" ht="12.75">
      <c r="A7" s="2069">
        <v>562913</v>
      </c>
      <c r="B7" s="2071" t="s">
        <v>984</v>
      </c>
      <c r="C7" s="965">
        <v>3380</v>
      </c>
      <c r="D7" s="965"/>
      <c r="E7" s="965"/>
      <c r="F7" s="965"/>
      <c r="G7" s="965"/>
      <c r="H7" s="965"/>
      <c r="I7" s="965">
        <f t="shared" si="0"/>
        <v>3380</v>
      </c>
      <c r="J7" s="965"/>
      <c r="K7" s="965"/>
      <c r="L7" s="965"/>
      <c r="M7" s="965"/>
      <c r="N7" s="965"/>
      <c r="O7" s="965">
        <f t="shared" si="1"/>
        <v>3380</v>
      </c>
    </row>
    <row r="8" spans="1:15" ht="12.75">
      <c r="A8" s="2070"/>
      <c r="B8" s="2072"/>
      <c r="C8" s="502">
        <v>3381</v>
      </c>
      <c r="D8" s="502"/>
      <c r="E8" s="502"/>
      <c r="F8" s="502"/>
      <c r="G8" s="502"/>
      <c r="H8" s="502"/>
      <c r="I8" s="502">
        <f t="shared" si="0"/>
        <v>3381</v>
      </c>
      <c r="J8" s="502"/>
      <c r="K8" s="502"/>
      <c r="L8" s="502"/>
      <c r="M8" s="502"/>
      <c r="N8" s="502"/>
      <c r="O8" s="502">
        <f t="shared" si="1"/>
        <v>3381</v>
      </c>
    </row>
    <row r="9" spans="1:15" ht="12.75">
      <c r="A9" s="2069">
        <v>561000</v>
      </c>
      <c r="B9" s="2071" t="s">
        <v>985</v>
      </c>
      <c r="C9" s="965">
        <v>6073</v>
      </c>
      <c r="D9" s="965"/>
      <c r="E9" s="965"/>
      <c r="F9" s="965"/>
      <c r="G9" s="965"/>
      <c r="H9" s="965"/>
      <c r="I9" s="965">
        <f t="shared" si="0"/>
        <v>6073</v>
      </c>
      <c r="J9" s="965"/>
      <c r="K9" s="965"/>
      <c r="L9" s="965"/>
      <c r="M9" s="965"/>
      <c r="N9" s="965"/>
      <c r="O9" s="965">
        <f t="shared" si="1"/>
        <v>6073</v>
      </c>
    </row>
    <row r="10" spans="1:15" ht="12.75">
      <c r="A10" s="2070"/>
      <c r="B10" s="2073"/>
      <c r="C10" s="502">
        <v>6073</v>
      </c>
      <c r="D10" s="502"/>
      <c r="E10" s="502"/>
      <c r="F10" s="502"/>
      <c r="G10" s="502"/>
      <c r="H10" s="502"/>
      <c r="I10" s="502">
        <f t="shared" si="0"/>
        <v>6073</v>
      </c>
      <c r="J10" s="502"/>
      <c r="K10" s="502"/>
      <c r="L10" s="502"/>
      <c r="M10" s="502"/>
      <c r="N10" s="502"/>
      <c r="O10" s="502">
        <f t="shared" si="1"/>
        <v>6073</v>
      </c>
    </row>
    <row r="11" spans="1:15" ht="15" customHeight="1">
      <c r="A11" s="2074">
        <v>841913</v>
      </c>
      <c r="B11" s="2063" t="s">
        <v>969</v>
      </c>
      <c r="C11" s="965"/>
      <c r="D11" s="965"/>
      <c r="E11" s="965"/>
      <c r="F11" s="965"/>
      <c r="G11" s="965"/>
      <c r="H11" s="965">
        <v>112852</v>
      </c>
      <c r="I11" s="965">
        <f t="shared" si="0"/>
        <v>112852</v>
      </c>
      <c r="J11" s="965"/>
      <c r="K11" s="965"/>
      <c r="L11" s="965">
        <v>331</v>
      </c>
      <c r="M11" s="965">
        <f>L11</f>
        <v>331</v>
      </c>
      <c r="N11" s="965"/>
      <c r="O11" s="965">
        <f t="shared" si="1"/>
        <v>113183</v>
      </c>
    </row>
    <row r="12" spans="1:15" ht="12.75">
      <c r="A12" s="2075"/>
      <c r="B12" s="2073"/>
      <c r="C12" s="502"/>
      <c r="D12" s="502"/>
      <c r="E12" s="502"/>
      <c r="F12" s="502"/>
      <c r="G12" s="502"/>
      <c r="H12" s="502">
        <v>112852</v>
      </c>
      <c r="I12" s="502">
        <f t="shared" si="0"/>
        <v>112852</v>
      </c>
      <c r="J12" s="502"/>
      <c r="K12" s="502"/>
      <c r="L12" s="502">
        <v>331</v>
      </c>
      <c r="M12" s="966">
        <f>L12</f>
        <v>331</v>
      </c>
      <c r="N12" s="502"/>
      <c r="O12" s="502">
        <f t="shared" si="1"/>
        <v>113183</v>
      </c>
    </row>
    <row r="13" spans="1:15" ht="12.75">
      <c r="A13" s="2069">
        <v>873011</v>
      </c>
      <c r="B13" s="2071" t="s">
        <v>986</v>
      </c>
      <c r="C13" s="965">
        <v>26514</v>
      </c>
      <c r="D13" s="965"/>
      <c r="E13" s="965"/>
      <c r="F13" s="965"/>
      <c r="G13" s="965"/>
      <c r="H13" s="965"/>
      <c r="I13" s="965">
        <f t="shared" si="0"/>
        <v>26514</v>
      </c>
      <c r="J13" s="965"/>
      <c r="K13" s="965"/>
      <c r="L13" s="965"/>
      <c r="M13" s="965"/>
      <c r="N13" s="965">
        <v>305</v>
      </c>
      <c r="O13" s="965">
        <f t="shared" si="1"/>
        <v>26819</v>
      </c>
    </row>
    <row r="14" spans="1:15" ht="12.75">
      <c r="A14" s="2070"/>
      <c r="B14" s="2072"/>
      <c r="C14" s="502">
        <v>26514</v>
      </c>
      <c r="D14" s="502"/>
      <c r="E14" s="502"/>
      <c r="F14" s="502"/>
      <c r="G14" s="502"/>
      <c r="H14" s="502"/>
      <c r="I14" s="502">
        <f t="shared" si="0"/>
        <v>26514</v>
      </c>
      <c r="J14" s="502"/>
      <c r="K14" s="502"/>
      <c r="L14" s="502"/>
      <c r="M14" s="502"/>
      <c r="N14" s="502">
        <v>305</v>
      </c>
      <c r="O14" s="502">
        <f t="shared" si="1"/>
        <v>26819</v>
      </c>
    </row>
    <row r="15" spans="1:15" ht="12.75">
      <c r="A15" s="2069">
        <v>881011</v>
      </c>
      <c r="B15" s="2071" t="s">
        <v>987</v>
      </c>
      <c r="C15" s="965">
        <v>888</v>
      </c>
      <c r="D15" s="965"/>
      <c r="E15" s="965"/>
      <c r="F15" s="965"/>
      <c r="G15" s="965"/>
      <c r="H15" s="965"/>
      <c r="I15" s="965">
        <f t="shared" si="0"/>
        <v>888</v>
      </c>
      <c r="J15" s="965"/>
      <c r="K15" s="965"/>
      <c r="L15" s="965"/>
      <c r="M15" s="965"/>
      <c r="N15" s="965"/>
      <c r="O15" s="965">
        <f t="shared" si="1"/>
        <v>888</v>
      </c>
    </row>
    <row r="16" spans="1:15" ht="12.75">
      <c r="A16" s="2070"/>
      <c r="B16" s="2072"/>
      <c r="C16" s="502">
        <v>885</v>
      </c>
      <c r="D16" s="502"/>
      <c r="E16" s="502"/>
      <c r="F16" s="502"/>
      <c r="G16" s="502"/>
      <c r="H16" s="502"/>
      <c r="I16" s="502">
        <f t="shared" si="0"/>
        <v>885</v>
      </c>
      <c r="J16" s="502"/>
      <c r="K16" s="502"/>
      <c r="L16" s="502"/>
      <c r="M16" s="502"/>
      <c r="N16" s="502"/>
      <c r="O16" s="502">
        <f t="shared" si="1"/>
        <v>885</v>
      </c>
    </row>
    <row r="17" spans="1:15" ht="12.75">
      <c r="A17" s="2069">
        <v>889921</v>
      </c>
      <c r="B17" s="2071" t="s">
        <v>988</v>
      </c>
      <c r="C17" s="965">
        <v>12392</v>
      </c>
      <c r="D17" s="965"/>
      <c r="E17" s="965"/>
      <c r="F17" s="965"/>
      <c r="G17" s="965"/>
      <c r="H17" s="965"/>
      <c r="I17" s="965">
        <f t="shared" si="0"/>
        <v>12392</v>
      </c>
      <c r="J17" s="965"/>
      <c r="K17" s="965"/>
      <c r="L17" s="965"/>
      <c r="M17" s="965"/>
      <c r="N17" s="965"/>
      <c r="O17" s="965">
        <f t="shared" si="1"/>
        <v>12392</v>
      </c>
    </row>
    <row r="18" spans="1:15" ht="12.75">
      <c r="A18" s="2070"/>
      <c r="B18" s="2072"/>
      <c r="C18" s="502">
        <v>12473</v>
      </c>
      <c r="D18" s="502"/>
      <c r="E18" s="502"/>
      <c r="F18" s="502"/>
      <c r="G18" s="502"/>
      <c r="H18" s="502"/>
      <c r="I18" s="502">
        <f t="shared" si="0"/>
        <v>12473</v>
      </c>
      <c r="J18" s="502"/>
      <c r="K18" s="502"/>
      <c r="L18" s="502"/>
      <c r="M18" s="502"/>
      <c r="N18" s="502"/>
      <c r="O18" s="502">
        <f t="shared" si="1"/>
        <v>12473</v>
      </c>
    </row>
    <row r="19" spans="1:15" ht="12.75">
      <c r="A19" s="2069">
        <v>889922</v>
      </c>
      <c r="B19" s="2071" t="s">
        <v>989</v>
      </c>
      <c r="C19" s="965">
        <v>87</v>
      </c>
      <c r="D19" s="965"/>
      <c r="E19" s="965"/>
      <c r="F19" s="965"/>
      <c r="G19" s="965"/>
      <c r="H19" s="965"/>
      <c r="I19" s="965">
        <f t="shared" si="0"/>
        <v>87</v>
      </c>
      <c r="J19" s="965"/>
      <c r="K19" s="965"/>
      <c r="L19" s="965"/>
      <c r="M19" s="965"/>
      <c r="N19" s="965"/>
      <c r="O19" s="965">
        <f t="shared" si="1"/>
        <v>87</v>
      </c>
    </row>
    <row r="20" spans="1:15" ht="12.75">
      <c r="A20" s="2070"/>
      <c r="B20" s="2072"/>
      <c r="C20" s="502">
        <v>4</v>
      </c>
      <c r="D20" s="502"/>
      <c r="E20" s="502"/>
      <c r="F20" s="502"/>
      <c r="G20" s="502"/>
      <c r="H20" s="502"/>
      <c r="I20" s="502">
        <f t="shared" si="0"/>
        <v>4</v>
      </c>
      <c r="J20" s="502"/>
      <c r="K20" s="502"/>
      <c r="L20" s="502"/>
      <c r="M20" s="502"/>
      <c r="N20" s="502"/>
      <c r="O20" s="502">
        <f t="shared" si="1"/>
        <v>4</v>
      </c>
    </row>
    <row r="21" spans="1:15" ht="12.75">
      <c r="A21" s="2069">
        <v>889928</v>
      </c>
      <c r="B21" s="2071" t="s">
        <v>990</v>
      </c>
      <c r="C21" s="965"/>
      <c r="D21" s="965"/>
      <c r="E21" s="965"/>
      <c r="F21" s="965"/>
      <c r="G21" s="965"/>
      <c r="H21" s="965"/>
      <c r="I21" s="965">
        <f t="shared" si="0"/>
        <v>0</v>
      </c>
      <c r="J21" s="965"/>
      <c r="K21" s="965"/>
      <c r="L21" s="965"/>
      <c r="M21" s="965"/>
      <c r="N21" s="965">
        <v>13</v>
      </c>
      <c r="O21" s="965">
        <f t="shared" si="1"/>
        <v>13</v>
      </c>
    </row>
    <row r="22" spans="1:15" ht="12.75">
      <c r="A22" s="2070"/>
      <c r="B22" s="2072"/>
      <c r="C22" s="502"/>
      <c r="D22" s="502"/>
      <c r="E22" s="502"/>
      <c r="F22" s="502"/>
      <c r="G22" s="502"/>
      <c r="H22" s="502"/>
      <c r="I22" s="502">
        <f t="shared" si="0"/>
        <v>0</v>
      </c>
      <c r="J22" s="502"/>
      <c r="K22" s="502"/>
      <c r="L22" s="502"/>
      <c r="M22" s="502"/>
      <c r="N22" s="502">
        <v>13</v>
      </c>
      <c r="O22" s="502">
        <f t="shared" si="1"/>
        <v>13</v>
      </c>
    </row>
    <row r="23" spans="1:15" ht="12.75">
      <c r="A23" s="2069">
        <v>889201</v>
      </c>
      <c r="B23" s="2071" t="s">
        <v>991</v>
      </c>
      <c r="C23" s="965">
        <v>23</v>
      </c>
      <c r="D23" s="965"/>
      <c r="E23" s="965"/>
      <c r="F23" s="965"/>
      <c r="G23" s="965"/>
      <c r="H23" s="965"/>
      <c r="I23" s="965">
        <f t="shared" si="0"/>
        <v>23</v>
      </c>
      <c r="J23" s="965"/>
      <c r="K23" s="965"/>
      <c r="L23" s="965"/>
      <c r="M23" s="965"/>
      <c r="N23" s="965"/>
      <c r="O23" s="965">
        <f t="shared" si="1"/>
        <v>23</v>
      </c>
    </row>
    <row r="24" spans="1:15" ht="12.75">
      <c r="A24" s="2078"/>
      <c r="B24" s="2073"/>
      <c r="C24" s="502">
        <v>22</v>
      </c>
      <c r="D24" s="502"/>
      <c r="E24" s="502"/>
      <c r="F24" s="502"/>
      <c r="G24" s="502"/>
      <c r="H24" s="502"/>
      <c r="I24" s="502">
        <f t="shared" si="0"/>
        <v>22</v>
      </c>
      <c r="J24" s="502"/>
      <c r="K24" s="502"/>
      <c r="L24" s="502"/>
      <c r="M24" s="502"/>
      <c r="N24" s="502"/>
      <c r="O24" s="502">
        <f t="shared" si="1"/>
        <v>22</v>
      </c>
    </row>
    <row r="25" spans="1:15" ht="12.75">
      <c r="A25" s="2079">
        <v>889924</v>
      </c>
      <c r="B25" s="2081" t="s">
        <v>992</v>
      </c>
      <c r="C25" s="965"/>
      <c r="D25" s="965"/>
      <c r="E25" s="965"/>
      <c r="F25" s="965"/>
      <c r="G25" s="965"/>
      <c r="H25" s="965"/>
      <c r="I25" s="965">
        <f t="shared" si="0"/>
        <v>0</v>
      </c>
      <c r="J25" s="965"/>
      <c r="K25" s="965"/>
      <c r="L25" s="965"/>
      <c r="M25" s="965"/>
      <c r="N25" s="965"/>
      <c r="O25" s="965">
        <f t="shared" si="1"/>
        <v>0</v>
      </c>
    </row>
    <row r="26" spans="1:15" ht="12.75">
      <c r="A26" s="2080"/>
      <c r="B26" s="2082"/>
      <c r="C26" s="502">
        <v>9</v>
      </c>
      <c r="D26" s="502"/>
      <c r="E26" s="502"/>
      <c r="F26" s="502"/>
      <c r="G26" s="502"/>
      <c r="H26" s="502"/>
      <c r="I26" s="502">
        <f t="shared" si="0"/>
        <v>9</v>
      </c>
      <c r="J26" s="502"/>
      <c r="K26" s="502"/>
      <c r="L26" s="502"/>
      <c r="M26" s="502"/>
      <c r="N26" s="502"/>
      <c r="O26" s="502">
        <f t="shared" si="1"/>
        <v>9</v>
      </c>
    </row>
    <row r="27" spans="1:15" s="968" customFormat="1" ht="15">
      <c r="A27" s="2076" t="s">
        <v>978</v>
      </c>
      <c r="B27" s="2077"/>
      <c r="C27" s="967">
        <f>SUM(C5,C7,C9,C11,C13,C15,C17,C19,C21,C23,C25,)</f>
        <v>51323</v>
      </c>
      <c r="D27" s="967">
        <f aca="true" t="shared" si="2" ref="D27:O28">SUM(D5,D7,D9,D11,D13,D15,D17,D19,D21,D23,D25,)</f>
        <v>0</v>
      </c>
      <c r="E27" s="967">
        <f t="shared" si="2"/>
        <v>0</v>
      </c>
      <c r="F27" s="967">
        <f t="shared" si="2"/>
        <v>0</v>
      </c>
      <c r="G27" s="967">
        <f t="shared" si="2"/>
        <v>0</v>
      </c>
      <c r="H27" s="967">
        <f t="shared" si="2"/>
        <v>112852</v>
      </c>
      <c r="I27" s="967">
        <f t="shared" si="2"/>
        <v>164175</v>
      </c>
      <c r="J27" s="967">
        <f t="shared" si="2"/>
        <v>0</v>
      </c>
      <c r="K27" s="967">
        <f t="shared" si="2"/>
        <v>0</v>
      </c>
      <c r="L27" s="967">
        <f t="shared" si="2"/>
        <v>331</v>
      </c>
      <c r="M27" s="967">
        <f t="shared" si="2"/>
        <v>331</v>
      </c>
      <c r="N27" s="967">
        <f t="shared" si="2"/>
        <v>318</v>
      </c>
      <c r="O27" s="967">
        <f t="shared" si="2"/>
        <v>164824</v>
      </c>
    </row>
    <row r="28" spans="1:15" s="968" customFormat="1" ht="15">
      <c r="A28" s="2076" t="s">
        <v>979</v>
      </c>
      <c r="B28" s="2077"/>
      <c r="C28" s="969">
        <f>SUM(C6,C8,C10,C12,C14,C16,C18,C20,C22,C24,C26,)</f>
        <v>51327</v>
      </c>
      <c r="D28" s="969">
        <f t="shared" si="2"/>
        <v>0</v>
      </c>
      <c r="E28" s="969">
        <f t="shared" si="2"/>
        <v>0</v>
      </c>
      <c r="F28" s="969">
        <f t="shared" si="2"/>
        <v>0</v>
      </c>
      <c r="G28" s="969">
        <f t="shared" si="2"/>
        <v>0</v>
      </c>
      <c r="H28" s="969">
        <f t="shared" si="2"/>
        <v>112852</v>
      </c>
      <c r="I28" s="969">
        <f t="shared" si="2"/>
        <v>164179</v>
      </c>
      <c r="J28" s="969">
        <f t="shared" si="2"/>
        <v>0</v>
      </c>
      <c r="K28" s="969">
        <f t="shared" si="2"/>
        <v>0</v>
      </c>
      <c r="L28" s="969">
        <f t="shared" si="2"/>
        <v>331</v>
      </c>
      <c r="M28" s="969">
        <f t="shared" si="2"/>
        <v>331</v>
      </c>
      <c r="N28" s="969">
        <f t="shared" si="2"/>
        <v>318</v>
      </c>
      <c r="O28" s="969">
        <f t="shared" si="2"/>
        <v>164828</v>
      </c>
    </row>
    <row r="30" spans="2:5" ht="12.75">
      <c r="B30" s="2051" t="s">
        <v>1449</v>
      </c>
      <c r="C30" s="2051"/>
      <c r="D30" s="388" t="s">
        <v>1512</v>
      </c>
      <c r="E30" s="970"/>
    </row>
    <row r="31" spans="2:5" ht="12.75">
      <c r="B31" s="389"/>
      <c r="C31" s="390"/>
      <c r="D31" s="388" t="s">
        <v>1075</v>
      </c>
      <c r="E31" s="418"/>
    </row>
  </sheetData>
  <sheetProtection/>
  <mergeCells count="27">
    <mergeCell ref="A21:A22"/>
    <mergeCell ref="B21:B22"/>
    <mergeCell ref="B30:C30"/>
    <mergeCell ref="A27:B27"/>
    <mergeCell ref="A28:B28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1:O1"/>
    <mergeCell ref="A2:O2"/>
    <mergeCell ref="A5:A6"/>
    <mergeCell ref="B5:B6"/>
    <mergeCell ref="A7:A8"/>
    <mergeCell ref="B7:B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1" width="7.625" style="169" customWidth="1"/>
    <col min="2" max="2" width="21.125" style="972" customWidth="1"/>
    <col min="3" max="3" width="7.00390625" style="169" bestFit="1" customWidth="1"/>
    <col min="4" max="4" width="8.875" style="169" bestFit="1" customWidth="1"/>
    <col min="5" max="5" width="8.25390625" style="169" customWidth="1"/>
    <col min="6" max="6" width="9.125" style="169" customWidth="1"/>
    <col min="7" max="7" width="7.875" style="169" customWidth="1"/>
    <col min="8" max="8" width="9.125" style="169" customWidth="1"/>
    <col min="9" max="9" width="7.875" style="169" customWidth="1"/>
    <col min="10" max="12" width="9.125" style="169" customWidth="1"/>
    <col min="13" max="13" width="8.25390625" style="169" customWidth="1"/>
    <col min="14" max="14" width="9.00390625" style="169" customWidth="1"/>
    <col min="15" max="16384" width="9.125" style="169" customWidth="1"/>
  </cols>
  <sheetData>
    <row r="1" spans="1:14" ht="12.75">
      <c r="A1" s="2004" t="s">
        <v>5281</v>
      </c>
      <c r="B1" s="2004"/>
      <c r="C1" s="2004"/>
      <c r="D1" s="2004"/>
      <c r="E1" s="2004"/>
      <c r="F1" s="2004"/>
      <c r="G1" s="2004"/>
      <c r="H1" s="2004"/>
      <c r="I1" s="2004"/>
      <c r="J1" s="2004"/>
      <c r="K1" s="2004"/>
      <c r="L1" s="2004"/>
      <c r="M1" s="2004"/>
      <c r="N1" s="2004"/>
    </row>
    <row r="2" spans="1:14" ht="12.75">
      <c r="A2" s="2053" t="s">
        <v>993</v>
      </c>
      <c r="B2" s="2053"/>
      <c r="C2" s="2053"/>
      <c r="D2" s="2053"/>
      <c r="E2" s="2053"/>
      <c r="F2" s="2053"/>
      <c r="G2" s="2053"/>
      <c r="H2" s="2053"/>
      <c r="I2" s="2053"/>
      <c r="J2" s="2053"/>
      <c r="K2" s="2053"/>
      <c r="L2" s="2053"/>
      <c r="M2" s="2053"/>
      <c r="N2" s="2053"/>
    </row>
    <row r="3" spans="1:14" ht="42">
      <c r="A3" s="392" t="s">
        <v>1451</v>
      </c>
      <c r="B3" s="392" t="s">
        <v>1452</v>
      </c>
      <c r="C3" s="393" t="s">
        <v>3694</v>
      </c>
      <c r="D3" s="393" t="s">
        <v>1513</v>
      </c>
      <c r="E3" s="393" t="s">
        <v>1514</v>
      </c>
      <c r="F3" s="393" t="s">
        <v>1455</v>
      </c>
      <c r="G3" s="393" t="s">
        <v>1456</v>
      </c>
      <c r="H3" s="393" t="s">
        <v>723</v>
      </c>
      <c r="I3" s="394" t="s">
        <v>1515</v>
      </c>
      <c r="J3" s="393" t="s">
        <v>1503</v>
      </c>
      <c r="K3" s="393" t="s">
        <v>1459</v>
      </c>
      <c r="L3" s="394" t="s">
        <v>1516</v>
      </c>
      <c r="M3" s="393" t="s">
        <v>1464</v>
      </c>
      <c r="N3" s="395" t="s">
        <v>4491</v>
      </c>
    </row>
    <row r="4" spans="1:14" ht="12.75">
      <c r="A4" s="2069">
        <v>581400</v>
      </c>
      <c r="B4" s="2071" t="s">
        <v>994</v>
      </c>
      <c r="C4" s="970"/>
      <c r="D4" s="970"/>
      <c r="E4" s="970"/>
      <c r="F4" s="970"/>
      <c r="G4" s="970"/>
      <c r="H4" s="970"/>
      <c r="I4" s="970">
        <f>SUM(C4:H4)</f>
        <v>0</v>
      </c>
      <c r="J4" s="970"/>
      <c r="K4" s="970"/>
      <c r="L4" s="970"/>
      <c r="M4" s="970"/>
      <c r="N4" s="970">
        <f>I4+L4+M4</f>
        <v>0</v>
      </c>
    </row>
    <row r="5" spans="1:14" ht="12.75">
      <c r="A5" s="2070"/>
      <c r="B5" s="2072"/>
      <c r="C5" s="388"/>
      <c r="D5" s="388"/>
      <c r="E5" s="388"/>
      <c r="F5" s="388"/>
      <c r="G5" s="388"/>
      <c r="H5" s="388"/>
      <c r="I5" s="388">
        <f>SUM(C5:H5)</f>
        <v>0</v>
      </c>
      <c r="J5" s="388"/>
      <c r="K5" s="388"/>
      <c r="L5" s="388"/>
      <c r="M5" s="388"/>
      <c r="N5" s="418">
        <f>I5+L5+M5</f>
        <v>0</v>
      </c>
    </row>
    <row r="6" spans="1:14" ht="12.75">
      <c r="A6" s="2074">
        <v>841913</v>
      </c>
      <c r="B6" s="2063" t="s">
        <v>969</v>
      </c>
      <c r="C6" s="970"/>
      <c r="D6" s="970"/>
      <c r="E6" s="970"/>
      <c r="F6" s="970"/>
      <c r="G6" s="970"/>
      <c r="H6" s="970">
        <v>37356</v>
      </c>
      <c r="I6" s="970">
        <f aca="true" t="shared" si="0" ref="I6:I16">SUM(C6:H6)</f>
        <v>37356</v>
      </c>
      <c r="J6" s="970"/>
      <c r="K6" s="970"/>
      <c r="L6" s="970"/>
      <c r="M6" s="970">
        <v>140</v>
      </c>
      <c r="N6" s="970">
        <f aca="true" t="shared" si="1" ref="N6:N17">I6+L6+M6</f>
        <v>37496</v>
      </c>
    </row>
    <row r="7" spans="1:14" ht="12.75">
      <c r="A7" s="2075"/>
      <c r="B7" s="2073"/>
      <c r="C7" s="388"/>
      <c r="D7" s="388"/>
      <c r="E7" s="388"/>
      <c r="F7" s="388"/>
      <c r="G7" s="388"/>
      <c r="H7" s="388">
        <v>37356</v>
      </c>
      <c r="I7" s="388">
        <f>SUM(C7:H7)</f>
        <v>37356</v>
      </c>
      <c r="J7" s="388"/>
      <c r="K7" s="388"/>
      <c r="L7" s="388"/>
      <c r="M7" s="388">
        <v>140</v>
      </c>
      <c r="N7" s="418">
        <f t="shared" si="1"/>
        <v>37496</v>
      </c>
    </row>
    <row r="8" spans="1:14" ht="12.75">
      <c r="A8" s="2069">
        <v>910121</v>
      </c>
      <c r="B8" s="2071" t="s">
        <v>995</v>
      </c>
      <c r="C8" s="970"/>
      <c r="D8" s="970"/>
      <c r="E8" s="970"/>
      <c r="F8" s="970"/>
      <c r="G8" s="970"/>
      <c r="H8" s="970"/>
      <c r="I8" s="970">
        <f t="shared" si="0"/>
        <v>0</v>
      </c>
      <c r="J8" s="970"/>
      <c r="K8" s="970"/>
      <c r="L8" s="970"/>
      <c r="M8" s="970"/>
      <c r="N8" s="970">
        <f t="shared" si="1"/>
        <v>0</v>
      </c>
    </row>
    <row r="9" spans="1:14" ht="12.75">
      <c r="A9" s="2070"/>
      <c r="B9" s="2072"/>
      <c r="C9" s="388"/>
      <c r="D9" s="388"/>
      <c r="E9" s="388"/>
      <c r="F9" s="388"/>
      <c r="G9" s="388"/>
      <c r="H9" s="388"/>
      <c r="I9" s="388">
        <f>SUM(C9:H9)</f>
        <v>0</v>
      </c>
      <c r="J9" s="388"/>
      <c r="K9" s="388"/>
      <c r="L9" s="388"/>
      <c r="M9" s="388"/>
      <c r="N9" s="418">
        <f t="shared" si="1"/>
        <v>0</v>
      </c>
    </row>
    <row r="10" spans="1:14" ht="12.75">
      <c r="A10" s="2069">
        <v>910123</v>
      </c>
      <c r="B10" s="2071" t="s">
        <v>996</v>
      </c>
      <c r="C10" s="970">
        <v>982</v>
      </c>
      <c r="D10" s="970"/>
      <c r="E10" s="970"/>
      <c r="F10" s="970"/>
      <c r="G10" s="970"/>
      <c r="H10" s="970"/>
      <c r="I10" s="970">
        <f t="shared" si="0"/>
        <v>982</v>
      </c>
      <c r="J10" s="970"/>
      <c r="K10" s="970"/>
      <c r="L10" s="970"/>
      <c r="M10" s="970">
        <v>25</v>
      </c>
      <c r="N10" s="970">
        <f t="shared" si="1"/>
        <v>1007</v>
      </c>
    </row>
    <row r="11" spans="1:14" ht="12.75">
      <c r="A11" s="2070"/>
      <c r="B11" s="2072"/>
      <c r="C11" s="388">
        <v>978</v>
      </c>
      <c r="D11" s="388"/>
      <c r="E11" s="388"/>
      <c r="F11" s="388"/>
      <c r="G11" s="388"/>
      <c r="H11" s="388"/>
      <c r="I11" s="388">
        <f>SUM(C11:H11)</f>
        <v>978</v>
      </c>
      <c r="J11" s="388"/>
      <c r="K11" s="388"/>
      <c r="L11" s="388"/>
      <c r="M11" s="388">
        <v>25</v>
      </c>
      <c r="N11" s="418">
        <f t="shared" si="1"/>
        <v>1003</v>
      </c>
    </row>
    <row r="12" spans="1:14" ht="12.75">
      <c r="A12" s="2069">
        <v>910501</v>
      </c>
      <c r="B12" s="2071" t="s">
        <v>997</v>
      </c>
      <c r="C12" s="970">
        <v>211</v>
      </c>
      <c r="D12" s="970"/>
      <c r="E12" s="970"/>
      <c r="F12" s="970"/>
      <c r="G12" s="970"/>
      <c r="H12" s="970"/>
      <c r="I12" s="970">
        <f t="shared" si="0"/>
        <v>211</v>
      </c>
      <c r="J12" s="970"/>
      <c r="K12" s="970"/>
      <c r="L12" s="970"/>
      <c r="M12" s="970"/>
      <c r="N12" s="970">
        <f t="shared" si="1"/>
        <v>211</v>
      </c>
    </row>
    <row r="13" spans="1:14" ht="12.75">
      <c r="A13" s="2070"/>
      <c r="B13" s="2072"/>
      <c r="C13" s="388">
        <v>211</v>
      </c>
      <c r="D13" s="388"/>
      <c r="E13" s="388"/>
      <c r="F13" s="388"/>
      <c r="G13" s="388"/>
      <c r="H13" s="388"/>
      <c r="I13" s="388">
        <f>SUM(C13:H13)</f>
        <v>211</v>
      </c>
      <c r="J13" s="388"/>
      <c r="K13" s="388"/>
      <c r="L13" s="388"/>
      <c r="M13" s="388"/>
      <c r="N13" s="418">
        <f t="shared" si="1"/>
        <v>211</v>
      </c>
    </row>
    <row r="14" spans="1:14" ht="12.75">
      <c r="A14" s="2069">
        <v>910502</v>
      </c>
      <c r="B14" s="2071" t="s">
        <v>998</v>
      </c>
      <c r="C14" s="970">
        <v>2015</v>
      </c>
      <c r="D14" s="970"/>
      <c r="E14" s="970"/>
      <c r="F14" s="970">
        <v>500</v>
      </c>
      <c r="G14" s="970"/>
      <c r="H14" s="970"/>
      <c r="I14" s="970">
        <f t="shared" si="0"/>
        <v>2515</v>
      </c>
      <c r="J14" s="970"/>
      <c r="K14" s="970"/>
      <c r="L14" s="970"/>
      <c r="M14" s="970"/>
      <c r="N14" s="970">
        <f t="shared" si="1"/>
        <v>2515</v>
      </c>
    </row>
    <row r="15" spans="1:14" ht="12.75">
      <c r="A15" s="2070"/>
      <c r="B15" s="2072"/>
      <c r="C15" s="388">
        <v>2000</v>
      </c>
      <c r="D15" s="388"/>
      <c r="E15" s="388"/>
      <c r="F15" s="388">
        <v>500</v>
      </c>
      <c r="G15" s="388"/>
      <c r="H15" s="388"/>
      <c r="I15" s="388">
        <f>SUM(C15:H15)</f>
        <v>2500</v>
      </c>
      <c r="J15" s="388"/>
      <c r="K15" s="388"/>
      <c r="L15" s="388"/>
      <c r="M15" s="388"/>
      <c r="N15" s="418">
        <f t="shared" si="1"/>
        <v>2500</v>
      </c>
    </row>
    <row r="16" spans="1:14" ht="12.75">
      <c r="A16" s="2079">
        <v>931102</v>
      </c>
      <c r="B16" s="2081" t="s">
        <v>999</v>
      </c>
      <c r="C16" s="970">
        <v>1264</v>
      </c>
      <c r="D16" s="970"/>
      <c r="E16" s="970"/>
      <c r="F16" s="970"/>
      <c r="G16" s="970"/>
      <c r="H16" s="970"/>
      <c r="I16" s="970">
        <f t="shared" si="0"/>
        <v>1264</v>
      </c>
      <c r="J16" s="970"/>
      <c r="K16" s="970"/>
      <c r="L16" s="970"/>
      <c r="M16" s="970"/>
      <c r="N16" s="970">
        <f t="shared" si="1"/>
        <v>1264</v>
      </c>
    </row>
    <row r="17" spans="1:14" ht="12.75">
      <c r="A17" s="2080"/>
      <c r="B17" s="2082"/>
      <c r="C17" s="388">
        <v>1260</v>
      </c>
      <c r="D17" s="388"/>
      <c r="E17" s="388"/>
      <c r="F17" s="388"/>
      <c r="G17" s="388"/>
      <c r="H17" s="388"/>
      <c r="I17" s="388">
        <f>SUM(C17:H17)</f>
        <v>1260</v>
      </c>
      <c r="J17" s="388"/>
      <c r="K17" s="388"/>
      <c r="L17" s="388"/>
      <c r="M17" s="388"/>
      <c r="N17" s="418">
        <f t="shared" si="1"/>
        <v>1260</v>
      </c>
    </row>
    <row r="18" spans="1:14" s="968" customFormat="1" ht="15">
      <c r="A18" s="2083" t="s">
        <v>1000</v>
      </c>
      <c r="B18" s="2084"/>
      <c r="C18" s="971">
        <f>SUM(C4,C6,C8,C10,C12,C14,C16)</f>
        <v>4472</v>
      </c>
      <c r="D18" s="971">
        <f aca="true" t="shared" si="2" ref="D18:N19">SUM(D4,D6,D8,D10,D12,D14,D16)</f>
        <v>0</v>
      </c>
      <c r="E18" s="971">
        <f t="shared" si="2"/>
        <v>0</v>
      </c>
      <c r="F18" s="971">
        <f t="shared" si="2"/>
        <v>500</v>
      </c>
      <c r="G18" s="971">
        <f t="shared" si="2"/>
        <v>0</v>
      </c>
      <c r="H18" s="971">
        <f t="shared" si="2"/>
        <v>37356</v>
      </c>
      <c r="I18" s="971">
        <f t="shared" si="2"/>
        <v>42328</v>
      </c>
      <c r="J18" s="971">
        <f t="shared" si="2"/>
        <v>0</v>
      </c>
      <c r="K18" s="971">
        <f t="shared" si="2"/>
        <v>0</v>
      </c>
      <c r="L18" s="971">
        <f t="shared" si="2"/>
        <v>0</v>
      </c>
      <c r="M18" s="971">
        <f t="shared" si="2"/>
        <v>165</v>
      </c>
      <c r="N18" s="971">
        <f t="shared" si="2"/>
        <v>42493</v>
      </c>
    </row>
    <row r="19" spans="1:14" s="968" customFormat="1" ht="15">
      <c r="A19" s="2083" t="s">
        <v>1001</v>
      </c>
      <c r="B19" s="2084"/>
      <c r="C19" s="456">
        <f>SUM(C5,C7,C9,C11,C13,C15,C17)</f>
        <v>4449</v>
      </c>
      <c r="D19" s="456">
        <f t="shared" si="2"/>
        <v>0</v>
      </c>
      <c r="E19" s="456">
        <f t="shared" si="2"/>
        <v>0</v>
      </c>
      <c r="F19" s="456">
        <f t="shared" si="2"/>
        <v>500</v>
      </c>
      <c r="G19" s="456">
        <f t="shared" si="2"/>
        <v>0</v>
      </c>
      <c r="H19" s="456">
        <f t="shared" si="2"/>
        <v>37356</v>
      </c>
      <c r="I19" s="456">
        <f t="shared" si="2"/>
        <v>42305</v>
      </c>
      <c r="J19" s="456">
        <f t="shared" si="2"/>
        <v>0</v>
      </c>
      <c r="K19" s="456">
        <f t="shared" si="2"/>
        <v>0</v>
      </c>
      <c r="L19" s="456">
        <f t="shared" si="2"/>
        <v>0</v>
      </c>
      <c r="M19" s="456">
        <f t="shared" si="2"/>
        <v>165</v>
      </c>
      <c r="N19" s="456">
        <f t="shared" si="2"/>
        <v>42470</v>
      </c>
    </row>
    <row r="22" spans="2:5" ht="12.75">
      <c r="B22" s="2051" t="s">
        <v>1449</v>
      </c>
      <c r="C22" s="2051"/>
      <c r="D22" s="388" t="s">
        <v>1512</v>
      </c>
      <c r="E22" s="970"/>
    </row>
    <row r="23" spans="2:5" ht="12.75">
      <c r="B23" s="389"/>
      <c r="C23" s="390"/>
      <c r="D23" s="388" t="s">
        <v>1075</v>
      </c>
      <c r="E23" s="418"/>
    </row>
  </sheetData>
  <sheetProtection/>
  <mergeCells count="19">
    <mergeCell ref="B22:C22"/>
    <mergeCell ref="A18:B18"/>
    <mergeCell ref="A19:B19"/>
    <mergeCell ref="A14:A15"/>
    <mergeCell ref="B14:B15"/>
    <mergeCell ref="A16:A17"/>
    <mergeCell ref="B16:B17"/>
    <mergeCell ref="A8:A9"/>
    <mergeCell ref="B8:B9"/>
    <mergeCell ref="A10:A11"/>
    <mergeCell ref="B10:B11"/>
    <mergeCell ref="A12:A13"/>
    <mergeCell ref="B12:B13"/>
    <mergeCell ref="A1:N1"/>
    <mergeCell ref="A2:N2"/>
    <mergeCell ref="A4:A5"/>
    <mergeCell ref="B4:B5"/>
    <mergeCell ref="A6:A7"/>
    <mergeCell ref="B6:B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A1" sqref="A1:P1"/>
    </sheetView>
  </sheetViews>
  <sheetFormatPr defaultColWidth="9.00390625" defaultRowHeight="12.75"/>
  <cols>
    <col min="1" max="1" width="5.875" style="169" customWidth="1"/>
    <col min="2" max="2" width="25.625" style="169" customWidth="1"/>
    <col min="3" max="3" width="6.00390625" style="169" customWidth="1"/>
    <col min="4" max="4" width="9.125" style="169" customWidth="1"/>
    <col min="5" max="5" width="6.625" style="169" customWidth="1"/>
    <col min="6" max="7" width="7.25390625" style="169" customWidth="1"/>
    <col min="8" max="8" width="6.875" style="169" customWidth="1"/>
    <col min="9" max="9" width="6.75390625" style="169" customWidth="1"/>
    <col min="10" max="10" width="6.25390625" style="169" customWidth="1"/>
    <col min="11" max="11" width="5.75390625" style="169" customWidth="1"/>
    <col min="12" max="12" width="6.00390625" style="169" customWidth="1"/>
    <col min="13" max="13" width="6.25390625" style="169" customWidth="1"/>
    <col min="14" max="14" width="6.75390625" style="169" customWidth="1"/>
    <col min="15" max="15" width="8.00390625" style="169" customWidth="1"/>
    <col min="16" max="16" width="8.625" style="169" customWidth="1"/>
    <col min="17" max="16384" width="9.125" style="169" customWidth="1"/>
  </cols>
  <sheetData>
    <row r="1" spans="1:16" ht="12.75">
      <c r="A1" s="2085" t="s">
        <v>5282</v>
      </c>
      <c r="B1" s="2085"/>
      <c r="C1" s="2085"/>
      <c r="D1" s="2085"/>
      <c r="E1" s="2085"/>
      <c r="F1" s="2085"/>
      <c r="G1" s="2085"/>
      <c r="H1" s="2085"/>
      <c r="I1" s="2085"/>
      <c r="J1" s="2085"/>
      <c r="K1" s="2085"/>
      <c r="L1" s="2085"/>
      <c r="M1" s="2085"/>
      <c r="N1" s="2085"/>
      <c r="O1" s="2085"/>
      <c r="P1" s="2085"/>
    </row>
    <row r="2" spans="1:16" ht="12.75">
      <c r="A2" s="2086" t="s">
        <v>2801</v>
      </c>
      <c r="B2" s="2086"/>
      <c r="C2" s="2086"/>
      <c r="D2" s="2086"/>
      <c r="E2" s="2086"/>
      <c r="F2" s="2086"/>
      <c r="G2" s="2086"/>
      <c r="H2" s="2086"/>
      <c r="I2" s="2086"/>
      <c r="J2" s="2086"/>
      <c r="K2" s="2086"/>
      <c r="L2" s="2086"/>
      <c r="M2" s="2086"/>
      <c r="N2" s="2086"/>
      <c r="O2" s="2086"/>
      <c r="P2" s="2086"/>
    </row>
    <row r="3" spans="1:16" ht="39">
      <c r="A3" s="392" t="s">
        <v>1451</v>
      </c>
      <c r="B3" s="494" t="s">
        <v>1452</v>
      </c>
      <c r="C3" s="392" t="s">
        <v>4496</v>
      </c>
      <c r="D3" s="392">
        <f>-100</f>
        <v>-100</v>
      </c>
      <c r="E3" s="392" t="s">
        <v>4498</v>
      </c>
      <c r="F3" s="392" t="s">
        <v>4519</v>
      </c>
      <c r="G3" s="392" t="s">
        <v>4499</v>
      </c>
      <c r="H3" s="392" t="s">
        <v>4501</v>
      </c>
      <c r="I3" s="392" t="s">
        <v>4520</v>
      </c>
      <c r="J3" s="392" t="s">
        <v>4502</v>
      </c>
      <c r="K3" s="392" t="s">
        <v>4503</v>
      </c>
      <c r="L3" s="392" t="s">
        <v>4505</v>
      </c>
      <c r="M3" s="392" t="s">
        <v>4164</v>
      </c>
      <c r="N3" s="392" t="s">
        <v>4521</v>
      </c>
      <c r="O3" s="392" t="s">
        <v>4522</v>
      </c>
      <c r="P3" s="494" t="s">
        <v>4507</v>
      </c>
    </row>
    <row r="4" spans="1:16" ht="12.75">
      <c r="A4" s="396">
        <v>360000</v>
      </c>
      <c r="B4" s="397" t="s">
        <v>1466</v>
      </c>
      <c r="C4" s="388"/>
      <c r="D4" s="388"/>
      <c r="E4" s="388">
        <v>829</v>
      </c>
      <c r="F4" s="388"/>
      <c r="G4" s="388">
        <v>4147</v>
      </c>
      <c r="H4" s="388"/>
      <c r="I4" s="388">
        <v>100</v>
      </c>
      <c r="J4" s="388">
        <v>20835</v>
      </c>
      <c r="K4" s="388"/>
      <c r="L4" s="388">
        <v>3837</v>
      </c>
      <c r="M4" s="388"/>
      <c r="N4" s="388"/>
      <c r="O4" s="388"/>
      <c r="P4" s="388">
        <f aca="true" t="shared" si="0" ref="P4:P57">SUM(C4:O4)</f>
        <v>29748</v>
      </c>
    </row>
    <row r="5" spans="1:16" ht="12.75">
      <c r="A5" s="398"/>
      <c r="B5" s="399"/>
      <c r="C5" s="391"/>
      <c r="D5" s="391"/>
      <c r="E5" s="391">
        <v>593</v>
      </c>
      <c r="F5" s="391"/>
      <c r="G5" s="391">
        <v>4203</v>
      </c>
      <c r="H5" s="391"/>
      <c r="I5" s="391">
        <v>100</v>
      </c>
      <c r="J5" s="391">
        <f>-100+21049</f>
        <v>20949</v>
      </c>
      <c r="K5" s="391"/>
      <c r="L5" s="391"/>
      <c r="M5" s="391"/>
      <c r="N5" s="391"/>
      <c r="O5" s="391"/>
      <c r="P5" s="391">
        <f t="shared" si="0"/>
        <v>25845</v>
      </c>
    </row>
    <row r="6" spans="1:16" ht="18">
      <c r="A6" s="396">
        <v>370000</v>
      </c>
      <c r="B6" s="397" t="s">
        <v>1467</v>
      </c>
      <c r="C6" s="388"/>
      <c r="D6" s="388"/>
      <c r="E6" s="388">
        <v>30</v>
      </c>
      <c r="F6" s="388"/>
      <c r="G6" s="388"/>
      <c r="H6" s="388"/>
      <c r="I6" s="388"/>
      <c r="J6" s="388">
        <v>2513</v>
      </c>
      <c r="K6" s="388"/>
      <c r="L6" s="388"/>
      <c r="M6" s="388"/>
      <c r="N6" s="388"/>
      <c r="O6" s="388"/>
      <c r="P6" s="388">
        <f t="shared" si="0"/>
        <v>2543</v>
      </c>
    </row>
    <row r="7" spans="1:16" ht="12.75">
      <c r="A7" s="398"/>
      <c r="B7" s="399"/>
      <c r="C7" s="391"/>
      <c r="D7" s="391"/>
      <c r="E7" s="391">
        <v>30</v>
      </c>
      <c r="F7" s="391"/>
      <c r="G7" s="391"/>
      <c r="H7" s="391"/>
      <c r="I7" s="391"/>
      <c r="J7" s="391">
        <v>1908</v>
      </c>
      <c r="K7" s="391"/>
      <c r="L7" s="391"/>
      <c r="M7" s="391"/>
      <c r="N7" s="391"/>
      <c r="O7" s="391"/>
      <c r="P7" s="391">
        <f t="shared" si="0"/>
        <v>1938</v>
      </c>
    </row>
    <row r="8" spans="1:16" ht="12.75">
      <c r="A8" s="401">
        <v>421100</v>
      </c>
      <c r="B8" s="397" t="s">
        <v>1468</v>
      </c>
      <c r="C8" s="388"/>
      <c r="D8" s="388"/>
      <c r="E8" s="388"/>
      <c r="F8" s="388"/>
      <c r="G8" s="388"/>
      <c r="H8" s="388"/>
      <c r="I8" s="388"/>
      <c r="J8" s="388">
        <v>250</v>
      </c>
      <c r="K8" s="388"/>
      <c r="L8" s="388"/>
      <c r="M8" s="388"/>
      <c r="N8" s="388"/>
      <c r="O8" s="388"/>
      <c r="P8" s="388">
        <f t="shared" si="0"/>
        <v>250</v>
      </c>
    </row>
    <row r="9" spans="1:16" ht="12.75">
      <c r="A9" s="398"/>
      <c r="B9" s="399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>
        <f t="shared" si="0"/>
        <v>0</v>
      </c>
    </row>
    <row r="10" spans="1:16" ht="19.5">
      <c r="A10" s="401">
        <v>522011</v>
      </c>
      <c r="B10" s="406" t="s">
        <v>4523</v>
      </c>
      <c r="C10" s="388"/>
      <c r="D10" s="388"/>
      <c r="E10" s="388">
        <v>4321</v>
      </c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>
        <f t="shared" si="0"/>
        <v>4321</v>
      </c>
    </row>
    <row r="11" spans="1:16" ht="12.75">
      <c r="A11" s="398"/>
      <c r="B11" s="405"/>
      <c r="C11" s="391"/>
      <c r="D11" s="391"/>
      <c r="E11" s="391">
        <v>4505</v>
      </c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>
        <f t="shared" si="0"/>
        <v>4505</v>
      </c>
    </row>
    <row r="12" spans="1:16" ht="12.75">
      <c r="A12" s="402">
        <v>581400</v>
      </c>
      <c r="B12" s="403" t="s">
        <v>4524</v>
      </c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388">
        <f t="shared" si="0"/>
        <v>0</v>
      </c>
    </row>
    <row r="13" spans="1:16" ht="12.75">
      <c r="A13" s="398"/>
      <c r="B13" s="405"/>
      <c r="C13" s="391"/>
      <c r="D13" s="391"/>
      <c r="E13" s="391">
        <v>234</v>
      </c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>
        <f t="shared" si="0"/>
        <v>234</v>
      </c>
    </row>
    <row r="14" spans="1:16" ht="18">
      <c r="A14" s="401">
        <v>680001</v>
      </c>
      <c r="B14" s="397" t="s">
        <v>1470</v>
      </c>
      <c r="C14" s="388"/>
      <c r="D14" s="388"/>
      <c r="E14" s="388">
        <v>2700</v>
      </c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>
        <f t="shared" si="0"/>
        <v>2700</v>
      </c>
    </row>
    <row r="15" spans="1:16" ht="12.75">
      <c r="A15" s="398"/>
      <c r="B15" s="399"/>
      <c r="C15" s="391"/>
      <c r="D15" s="391"/>
      <c r="E15" s="391">
        <v>1131</v>
      </c>
      <c r="F15" s="391"/>
      <c r="G15" s="391"/>
      <c r="H15" s="391"/>
      <c r="I15" s="391"/>
      <c r="J15" s="391">
        <v>76</v>
      </c>
      <c r="K15" s="391"/>
      <c r="L15" s="391"/>
      <c r="M15" s="391"/>
      <c r="N15" s="391"/>
      <c r="O15" s="391"/>
      <c r="P15" s="391">
        <f t="shared" si="0"/>
        <v>1207</v>
      </c>
    </row>
    <row r="16" spans="1:16" ht="19.5">
      <c r="A16" s="401">
        <v>680002</v>
      </c>
      <c r="B16" s="406" t="s">
        <v>1471</v>
      </c>
      <c r="C16" s="388"/>
      <c r="D16" s="388"/>
      <c r="E16" s="388">
        <v>9128</v>
      </c>
      <c r="F16" s="388"/>
      <c r="G16" s="388"/>
      <c r="H16" s="388"/>
      <c r="I16" s="388"/>
      <c r="J16" s="388">
        <v>12402</v>
      </c>
      <c r="K16" s="388">
        <v>15189</v>
      </c>
      <c r="L16" s="388"/>
      <c r="M16" s="388"/>
      <c r="N16" s="388"/>
      <c r="O16" s="388"/>
      <c r="P16" s="388">
        <f t="shared" si="0"/>
        <v>36719</v>
      </c>
    </row>
    <row r="17" spans="1:16" ht="12.75">
      <c r="A17" s="398"/>
      <c r="B17" s="405"/>
      <c r="C17" s="391"/>
      <c r="D17" s="391"/>
      <c r="E17" s="391">
        <v>8532</v>
      </c>
      <c r="F17" s="391"/>
      <c r="G17" s="391"/>
      <c r="H17" s="391"/>
      <c r="I17" s="391"/>
      <c r="J17" s="391">
        <v>11041</v>
      </c>
      <c r="K17" s="391">
        <v>8190</v>
      </c>
      <c r="L17" s="391"/>
      <c r="M17" s="391"/>
      <c r="N17" s="391"/>
      <c r="O17" s="391"/>
      <c r="P17" s="391">
        <f t="shared" si="0"/>
        <v>27763</v>
      </c>
    </row>
    <row r="18" spans="1:16" ht="12.75">
      <c r="A18" s="401">
        <v>813000</v>
      </c>
      <c r="B18" s="406" t="s">
        <v>1472</v>
      </c>
      <c r="C18" s="388">
        <v>2111</v>
      </c>
      <c r="D18" s="388">
        <v>321</v>
      </c>
      <c r="E18" s="388">
        <v>1844</v>
      </c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>
        <f t="shared" si="0"/>
        <v>4276</v>
      </c>
    </row>
    <row r="19" spans="1:16" ht="12.75">
      <c r="A19" s="398"/>
      <c r="B19" s="405"/>
      <c r="C19" s="391">
        <v>1882</v>
      </c>
      <c r="D19" s="391">
        <v>305</v>
      </c>
      <c r="E19" s="391">
        <v>1190</v>
      </c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>
        <f t="shared" si="0"/>
        <v>3377</v>
      </c>
    </row>
    <row r="20" spans="1:16" ht="23.25" customHeight="1">
      <c r="A20" s="401">
        <v>841126</v>
      </c>
      <c r="B20" s="397" t="s">
        <v>1473</v>
      </c>
      <c r="C20" s="388">
        <v>15954</v>
      </c>
      <c r="D20" s="388">
        <v>5359</v>
      </c>
      <c r="E20" s="388">
        <v>27147</v>
      </c>
      <c r="F20" s="388"/>
      <c r="G20" s="388">
        <v>1063</v>
      </c>
      <c r="H20" s="388">
        <v>6165</v>
      </c>
      <c r="I20" s="388"/>
      <c r="J20" s="388">
        <v>7500</v>
      </c>
      <c r="K20" s="388"/>
      <c r="L20" s="388">
        <v>11390</v>
      </c>
      <c r="M20" s="388"/>
      <c r="N20" s="388"/>
      <c r="O20" s="388"/>
      <c r="P20" s="388">
        <f t="shared" si="0"/>
        <v>74578</v>
      </c>
    </row>
    <row r="21" spans="1:16" ht="12.75">
      <c r="A21" s="398"/>
      <c r="B21" s="408"/>
      <c r="C21" s="391">
        <v>14602</v>
      </c>
      <c r="D21" s="391">
        <v>4753</v>
      </c>
      <c r="E21" s="391">
        <v>33443</v>
      </c>
      <c r="F21" s="391"/>
      <c r="G21" s="391">
        <f>200+1569</f>
        <v>1769</v>
      </c>
      <c r="H21" s="391">
        <v>5178</v>
      </c>
      <c r="I21" s="391"/>
      <c r="J21" s="391">
        <f>-133+7406</f>
        <v>7273</v>
      </c>
      <c r="K21" s="391">
        <v>133</v>
      </c>
      <c r="L21" s="391">
        <f>1+11389</f>
        <v>11390</v>
      </c>
      <c r="M21" s="391"/>
      <c r="N21" s="391"/>
      <c r="O21" s="391"/>
      <c r="P21" s="391">
        <f t="shared" si="0"/>
        <v>78541</v>
      </c>
    </row>
    <row r="22" spans="1:16" ht="12.75">
      <c r="A22" s="401">
        <v>841154</v>
      </c>
      <c r="B22" s="409" t="s">
        <v>4525</v>
      </c>
      <c r="C22" s="388"/>
      <c r="D22" s="388"/>
      <c r="E22" s="388"/>
      <c r="F22" s="388"/>
      <c r="G22" s="388"/>
      <c r="H22" s="388"/>
      <c r="I22" s="388"/>
      <c r="J22" s="388">
        <v>1000</v>
      </c>
      <c r="K22" s="388"/>
      <c r="L22" s="388"/>
      <c r="M22" s="388"/>
      <c r="N22" s="388"/>
      <c r="O22" s="388"/>
      <c r="P22" s="388">
        <f t="shared" si="0"/>
        <v>1000</v>
      </c>
    </row>
    <row r="23" spans="1:16" ht="12.75">
      <c r="A23" s="398"/>
      <c r="B23" s="408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>
        <f t="shared" si="0"/>
        <v>0</v>
      </c>
    </row>
    <row r="24" spans="1:16" ht="12.75">
      <c r="A24" s="402">
        <v>841172</v>
      </c>
      <c r="B24" s="413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388">
        <f t="shared" si="0"/>
        <v>0</v>
      </c>
    </row>
    <row r="25" spans="1:16" ht="12.75">
      <c r="A25" s="398"/>
      <c r="B25" s="399"/>
      <c r="C25" s="391"/>
      <c r="D25" s="391"/>
      <c r="E25" s="391">
        <v>933</v>
      </c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>
        <f t="shared" si="0"/>
        <v>933</v>
      </c>
    </row>
    <row r="26" spans="1:16" ht="12.75">
      <c r="A26" s="495">
        <v>841901</v>
      </c>
      <c r="B26" s="496" t="s">
        <v>1478</v>
      </c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388">
        <f t="shared" si="0"/>
        <v>0</v>
      </c>
    </row>
    <row r="27" spans="1:16" ht="12.75">
      <c r="A27" s="498"/>
      <c r="B27" s="1861"/>
      <c r="C27" s="499"/>
      <c r="D27" s="499"/>
      <c r="E27" s="391">
        <v>125</v>
      </c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391">
        <f t="shared" si="0"/>
        <v>125</v>
      </c>
    </row>
    <row r="28" spans="1:16" ht="12.75">
      <c r="A28" s="401">
        <v>841191</v>
      </c>
      <c r="B28" s="1859" t="s">
        <v>1475</v>
      </c>
      <c r="C28" s="388"/>
      <c r="D28" s="388"/>
      <c r="E28" s="388">
        <v>770</v>
      </c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>
        <f t="shared" si="0"/>
        <v>770</v>
      </c>
    </row>
    <row r="29" spans="1:16" ht="12.75">
      <c r="A29" s="498"/>
      <c r="B29" s="1860"/>
      <c r="C29" s="499"/>
      <c r="D29" s="499"/>
      <c r="E29" s="391">
        <v>1232</v>
      </c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391">
        <f t="shared" si="0"/>
        <v>1232</v>
      </c>
    </row>
    <row r="30" spans="1:16" ht="39">
      <c r="A30" s="392" t="s">
        <v>1451</v>
      </c>
      <c r="B30" s="494" t="s">
        <v>1452</v>
      </c>
      <c r="C30" s="392" t="s">
        <v>4496</v>
      </c>
      <c r="D30" s="392" t="s">
        <v>4497</v>
      </c>
      <c r="E30" s="392" t="s">
        <v>4498</v>
      </c>
      <c r="F30" s="392" t="s">
        <v>4519</v>
      </c>
      <c r="G30" s="392" t="s">
        <v>4499</v>
      </c>
      <c r="H30" s="392" t="s">
        <v>4501</v>
      </c>
      <c r="I30" s="392" t="s">
        <v>4520</v>
      </c>
      <c r="J30" s="392" t="s">
        <v>4502</v>
      </c>
      <c r="K30" s="392" t="s">
        <v>4503</v>
      </c>
      <c r="L30" s="392" t="s">
        <v>4505</v>
      </c>
      <c r="M30" s="392" t="s">
        <v>4164</v>
      </c>
      <c r="N30" s="392" t="s">
        <v>4521</v>
      </c>
      <c r="O30" s="392" t="s">
        <v>4522</v>
      </c>
      <c r="P30" s="494" t="s">
        <v>4507</v>
      </c>
    </row>
    <row r="31" spans="1:16" ht="12.75">
      <c r="A31" s="401">
        <v>841402</v>
      </c>
      <c r="B31" s="406" t="s">
        <v>1476</v>
      </c>
      <c r="C31" s="388"/>
      <c r="D31" s="388"/>
      <c r="E31" s="388">
        <v>16328</v>
      </c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>
        <f t="shared" si="0"/>
        <v>16328</v>
      </c>
    </row>
    <row r="32" spans="1:16" ht="12.75">
      <c r="A32" s="498"/>
      <c r="B32" s="500"/>
      <c r="C32" s="499"/>
      <c r="D32" s="499"/>
      <c r="E32" s="391">
        <v>16946</v>
      </c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>
        <f t="shared" si="0"/>
        <v>16946</v>
      </c>
    </row>
    <row r="33" spans="1:16" ht="12.75">
      <c r="A33" s="401">
        <v>841403</v>
      </c>
      <c r="B33" s="397" t="s">
        <v>1477</v>
      </c>
      <c r="C33" s="388">
        <v>1321</v>
      </c>
      <c r="D33" s="388">
        <v>328</v>
      </c>
      <c r="E33" s="388">
        <v>4965</v>
      </c>
      <c r="F33" s="388"/>
      <c r="G33" s="388"/>
      <c r="H33" s="388"/>
      <c r="I33" s="388"/>
      <c r="J33" s="388">
        <v>17476</v>
      </c>
      <c r="K33" s="388"/>
      <c r="L33" s="388"/>
      <c r="M33" s="388"/>
      <c r="N33" s="388"/>
      <c r="O33" s="388"/>
      <c r="P33" s="388">
        <f t="shared" si="0"/>
        <v>24090</v>
      </c>
    </row>
    <row r="34" spans="1:16" ht="12.75">
      <c r="A34" s="498"/>
      <c r="B34" s="501"/>
      <c r="C34" s="391">
        <v>947</v>
      </c>
      <c r="D34" s="391">
        <v>269</v>
      </c>
      <c r="E34" s="391">
        <v>4964</v>
      </c>
      <c r="F34" s="391"/>
      <c r="G34" s="391"/>
      <c r="H34" s="391"/>
      <c r="I34" s="391"/>
      <c r="J34" s="391">
        <v>18757</v>
      </c>
      <c r="K34" s="391"/>
      <c r="L34" s="391"/>
      <c r="M34" s="391"/>
      <c r="N34" s="391"/>
      <c r="O34" s="391"/>
      <c r="P34" s="391">
        <f t="shared" si="0"/>
        <v>24937</v>
      </c>
    </row>
    <row r="35" spans="1:16" ht="19.5">
      <c r="A35" s="396">
        <v>841913</v>
      </c>
      <c r="B35" s="406" t="s">
        <v>1479</v>
      </c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502">
        <v>457863</v>
      </c>
      <c r="P35" s="388">
        <f t="shared" si="0"/>
        <v>457863</v>
      </c>
    </row>
    <row r="36" spans="1:16" ht="12.75">
      <c r="A36" s="398"/>
      <c r="B36" s="405"/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503">
        <v>457863</v>
      </c>
      <c r="P36" s="391">
        <f t="shared" si="0"/>
        <v>457863</v>
      </c>
    </row>
    <row r="37" spans="1:16" ht="19.5">
      <c r="A37" s="396">
        <v>841908</v>
      </c>
      <c r="B37" s="406" t="s">
        <v>4526</v>
      </c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418">
        <v>59441</v>
      </c>
      <c r="N37" s="388">
        <v>7807</v>
      </c>
      <c r="O37" s="502"/>
      <c r="P37" s="388">
        <f t="shared" si="0"/>
        <v>67248</v>
      </c>
    </row>
    <row r="38" spans="1:16" ht="12.75">
      <c r="A38" s="398"/>
      <c r="B38" s="405"/>
      <c r="C38" s="391"/>
      <c r="D38" s="391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503"/>
      <c r="P38" s="391">
        <f t="shared" si="0"/>
        <v>0</v>
      </c>
    </row>
    <row r="39" spans="1:16" ht="18">
      <c r="A39" s="396">
        <v>842542</v>
      </c>
      <c r="B39" s="397" t="s">
        <v>1480</v>
      </c>
      <c r="C39" s="388"/>
      <c r="D39" s="388"/>
      <c r="E39" s="388">
        <v>39</v>
      </c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>
        <f t="shared" si="0"/>
        <v>39</v>
      </c>
    </row>
    <row r="40" spans="1:16" ht="12.75">
      <c r="A40" s="398"/>
      <c r="B40" s="399"/>
      <c r="C40" s="391"/>
      <c r="D40" s="391"/>
      <c r="E40" s="391">
        <v>151</v>
      </c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>
        <f t="shared" si="0"/>
        <v>151</v>
      </c>
    </row>
    <row r="41" spans="1:16" ht="12.75">
      <c r="A41" s="396">
        <v>862301</v>
      </c>
      <c r="B41" s="397" t="s">
        <v>1481</v>
      </c>
      <c r="C41" s="388"/>
      <c r="D41" s="388"/>
      <c r="E41" s="388"/>
      <c r="F41" s="388"/>
      <c r="G41" s="388"/>
      <c r="H41" s="388">
        <v>6295</v>
      </c>
      <c r="I41" s="388"/>
      <c r="J41" s="388"/>
      <c r="K41" s="388"/>
      <c r="L41" s="388"/>
      <c r="M41" s="388"/>
      <c r="N41" s="388"/>
      <c r="O41" s="388"/>
      <c r="P41" s="388">
        <f t="shared" si="0"/>
        <v>6295</v>
      </c>
    </row>
    <row r="42" spans="1:16" ht="12.75">
      <c r="A42" s="398"/>
      <c r="B42" s="399"/>
      <c r="C42" s="391"/>
      <c r="D42" s="391"/>
      <c r="E42" s="391">
        <v>142</v>
      </c>
      <c r="F42" s="391"/>
      <c r="G42" s="391"/>
      <c r="H42" s="391">
        <v>6295</v>
      </c>
      <c r="I42" s="391"/>
      <c r="J42" s="391"/>
      <c r="K42" s="391"/>
      <c r="L42" s="391"/>
      <c r="M42" s="391"/>
      <c r="N42" s="391"/>
      <c r="O42" s="391"/>
      <c r="P42" s="391">
        <f t="shared" si="0"/>
        <v>6437</v>
      </c>
    </row>
    <row r="43" spans="1:16" ht="18">
      <c r="A43" s="396">
        <v>852011</v>
      </c>
      <c r="B43" s="397" t="s">
        <v>1482</v>
      </c>
      <c r="C43" s="388">
        <v>3142</v>
      </c>
      <c r="D43" s="388">
        <v>787</v>
      </c>
      <c r="E43" s="388">
        <v>10592</v>
      </c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8">
        <f t="shared" si="0"/>
        <v>14521</v>
      </c>
    </row>
    <row r="44" spans="1:16" ht="12.75">
      <c r="A44" s="398"/>
      <c r="B44" s="399"/>
      <c r="C44" s="391">
        <v>3014</v>
      </c>
      <c r="D44" s="391">
        <v>716</v>
      </c>
      <c r="E44" s="391">
        <v>9513</v>
      </c>
      <c r="F44" s="391"/>
      <c r="G44" s="391"/>
      <c r="H44" s="391"/>
      <c r="I44" s="391"/>
      <c r="J44" s="391"/>
      <c r="K44" s="391">
        <v>444</v>
      </c>
      <c r="L44" s="391"/>
      <c r="M44" s="391"/>
      <c r="N44" s="391"/>
      <c r="O44" s="391"/>
      <c r="P44" s="391">
        <f t="shared" si="0"/>
        <v>13687</v>
      </c>
    </row>
    <row r="45" spans="1:16" ht="18">
      <c r="A45" s="396">
        <v>852021</v>
      </c>
      <c r="B45" s="397" t="s">
        <v>1483</v>
      </c>
      <c r="C45" s="388">
        <v>2809</v>
      </c>
      <c r="D45" s="388">
        <v>738</v>
      </c>
      <c r="E45" s="388">
        <v>11940</v>
      </c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>
        <f t="shared" si="0"/>
        <v>15487</v>
      </c>
    </row>
    <row r="46" spans="1:16" ht="12.75">
      <c r="A46" s="398"/>
      <c r="B46" s="399"/>
      <c r="C46" s="391">
        <v>2600</v>
      </c>
      <c r="D46" s="391">
        <v>642</v>
      </c>
      <c r="E46" s="391">
        <v>10179</v>
      </c>
      <c r="F46" s="391"/>
      <c r="G46" s="391"/>
      <c r="H46" s="391"/>
      <c r="I46" s="391"/>
      <c r="J46" s="391"/>
      <c r="K46" s="391">
        <v>482</v>
      </c>
      <c r="L46" s="391"/>
      <c r="M46" s="391"/>
      <c r="N46" s="391"/>
      <c r="O46" s="391"/>
      <c r="P46" s="391">
        <f t="shared" si="0"/>
        <v>13903</v>
      </c>
    </row>
    <row r="47" spans="1:16" ht="12.75">
      <c r="A47" s="414">
        <v>854314</v>
      </c>
      <c r="B47" s="504" t="s">
        <v>4527</v>
      </c>
      <c r="C47" s="504"/>
      <c r="D47" s="477"/>
      <c r="E47" s="477"/>
      <c r="F47" s="477"/>
      <c r="G47" s="388"/>
      <c r="H47" s="388"/>
      <c r="I47" s="388"/>
      <c r="J47" s="388"/>
      <c r="K47" s="388"/>
      <c r="L47" s="388"/>
      <c r="M47" s="388"/>
      <c r="N47" s="388"/>
      <c r="O47" s="388"/>
      <c r="P47" s="388">
        <f t="shared" si="0"/>
        <v>0</v>
      </c>
    </row>
    <row r="48" spans="1:16" ht="12.75">
      <c r="A48" s="415"/>
      <c r="B48" s="505"/>
      <c r="C48" s="505"/>
      <c r="D48" s="469"/>
      <c r="E48" s="469"/>
      <c r="F48" s="469"/>
      <c r="G48" s="391">
        <v>995</v>
      </c>
      <c r="H48" s="391"/>
      <c r="I48" s="391"/>
      <c r="J48" s="391"/>
      <c r="K48" s="391"/>
      <c r="L48" s="391"/>
      <c r="M48" s="391"/>
      <c r="N48" s="391"/>
      <c r="O48" s="391"/>
      <c r="P48" s="391">
        <f t="shared" si="0"/>
        <v>995</v>
      </c>
    </row>
    <row r="49" spans="1:16" ht="12.75">
      <c r="A49" s="414">
        <v>862101</v>
      </c>
      <c r="B49" s="504" t="s">
        <v>3010</v>
      </c>
      <c r="C49" s="504"/>
      <c r="D49" s="477"/>
      <c r="E49" s="477"/>
      <c r="F49" s="477"/>
      <c r="G49" s="388"/>
      <c r="H49" s="388"/>
      <c r="I49" s="388"/>
      <c r="J49" s="388"/>
      <c r="K49" s="388"/>
      <c r="L49" s="388"/>
      <c r="M49" s="388"/>
      <c r="N49" s="388"/>
      <c r="O49" s="388"/>
      <c r="P49" s="388">
        <f t="shared" si="0"/>
        <v>0</v>
      </c>
    </row>
    <row r="50" spans="1:16" ht="12.75">
      <c r="A50" s="415"/>
      <c r="B50" s="505"/>
      <c r="C50" s="505"/>
      <c r="D50" s="469"/>
      <c r="E50" s="469"/>
      <c r="F50" s="469"/>
      <c r="G50" s="391"/>
      <c r="H50" s="391"/>
      <c r="I50" s="391"/>
      <c r="J50" s="391"/>
      <c r="K50" s="391"/>
      <c r="L50" s="391"/>
      <c r="M50" s="391"/>
      <c r="N50" s="391"/>
      <c r="O50" s="391"/>
      <c r="P50" s="391">
        <f t="shared" si="0"/>
        <v>0</v>
      </c>
    </row>
    <row r="51" spans="1:16" ht="12.75">
      <c r="A51" s="506">
        <v>882117</v>
      </c>
      <c r="B51" s="507" t="s">
        <v>4528</v>
      </c>
      <c r="C51" s="507"/>
      <c r="D51" s="508"/>
      <c r="E51" s="508"/>
      <c r="F51" s="508">
        <f>-1+2323</f>
        <v>2322</v>
      </c>
      <c r="G51" s="404"/>
      <c r="H51" s="404"/>
      <c r="I51" s="404"/>
      <c r="J51" s="404"/>
      <c r="K51" s="404"/>
      <c r="L51" s="404"/>
      <c r="M51" s="404"/>
      <c r="N51" s="404"/>
      <c r="O51" s="404"/>
      <c r="P51" s="388">
        <f t="shared" si="0"/>
        <v>2322</v>
      </c>
    </row>
    <row r="52" spans="1:16" ht="12.75">
      <c r="A52" s="415"/>
      <c r="B52" s="505"/>
      <c r="C52" s="505"/>
      <c r="D52" s="469"/>
      <c r="E52" s="469"/>
      <c r="F52" s="469"/>
      <c r="G52" s="391"/>
      <c r="H52" s="391"/>
      <c r="I52" s="391"/>
      <c r="J52" s="391"/>
      <c r="K52" s="391"/>
      <c r="L52" s="391"/>
      <c r="M52" s="391"/>
      <c r="N52" s="391"/>
      <c r="O52" s="391"/>
      <c r="P52" s="391">
        <f t="shared" si="0"/>
        <v>0</v>
      </c>
    </row>
    <row r="53" spans="1:16" s="867" customFormat="1" ht="12.75">
      <c r="A53" s="416">
        <v>882118</v>
      </c>
      <c r="B53" s="865" t="s">
        <v>3012</v>
      </c>
      <c r="C53" s="865"/>
      <c r="D53" s="866"/>
      <c r="E53" s="866"/>
      <c r="F53" s="866">
        <v>5633</v>
      </c>
      <c r="G53" s="418"/>
      <c r="H53" s="418"/>
      <c r="I53" s="418"/>
      <c r="J53" s="418"/>
      <c r="K53" s="418"/>
      <c r="L53" s="418"/>
      <c r="M53" s="418"/>
      <c r="N53" s="418"/>
      <c r="O53" s="418"/>
      <c r="P53" s="418">
        <v>5633</v>
      </c>
    </row>
    <row r="54" spans="1:16" ht="12.75">
      <c r="A54" s="415"/>
      <c r="B54" s="505"/>
      <c r="C54" s="505"/>
      <c r="D54" s="469"/>
      <c r="E54" s="469"/>
      <c r="F54" s="469">
        <v>7954</v>
      </c>
      <c r="G54" s="391"/>
      <c r="H54" s="391"/>
      <c r="I54" s="391"/>
      <c r="J54" s="391"/>
      <c r="K54" s="391"/>
      <c r="L54" s="391"/>
      <c r="M54" s="391"/>
      <c r="N54" s="391"/>
      <c r="O54" s="391"/>
      <c r="P54" s="391">
        <v>7954</v>
      </c>
    </row>
    <row r="55" spans="1:16" ht="12.75">
      <c r="A55" s="414">
        <v>882122</v>
      </c>
      <c r="B55" s="504" t="s">
        <v>1490</v>
      </c>
      <c r="C55" s="509"/>
      <c r="D55" s="477"/>
      <c r="E55" s="477"/>
      <c r="F55" s="477">
        <v>9906</v>
      </c>
      <c r="G55" s="388"/>
      <c r="H55" s="388"/>
      <c r="I55" s="388"/>
      <c r="J55" s="388"/>
      <c r="K55" s="388"/>
      <c r="L55" s="388"/>
      <c r="M55" s="388"/>
      <c r="N55" s="388"/>
      <c r="O55" s="388"/>
      <c r="P55" s="388">
        <f t="shared" si="0"/>
        <v>9906</v>
      </c>
    </row>
    <row r="56" spans="1:16" ht="12.75">
      <c r="A56" s="415"/>
      <c r="B56" s="505"/>
      <c r="C56" s="510"/>
      <c r="D56" s="469"/>
      <c r="E56" s="469"/>
      <c r="F56" s="469">
        <v>7729</v>
      </c>
      <c r="G56" s="391"/>
      <c r="H56" s="391"/>
      <c r="I56" s="391"/>
      <c r="J56" s="391"/>
      <c r="K56" s="391"/>
      <c r="L56" s="391"/>
      <c r="M56" s="391"/>
      <c r="N56" s="391"/>
      <c r="O56" s="391"/>
      <c r="P56" s="391">
        <f t="shared" si="0"/>
        <v>7729</v>
      </c>
    </row>
    <row r="57" spans="1:16" ht="12.75">
      <c r="A57" s="414">
        <v>882123</v>
      </c>
      <c r="B57" s="504" t="s">
        <v>1491</v>
      </c>
      <c r="C57" s="509"/>
      <c r="D57" s="477"/>
      <c r="E57" s="477"/>
      <c r="F57" s="477">
        <v>500</v>
      </c>
      <c r="G57" s="388"/>
      <c r="H57" s="388"/>
      <c r="I57" s="388"/>
      <c r="J57" s="388"/>
      <c r="K57" s="388"/>
      <c r="L57" s="388"/>
      <c r="M57" s="388"/>
      <c r="N57" s="388"/>
      <c r="O57" s="388"/>
      <c r="P57" s="388">
        <f t="shared" si="0"/>
        <v>500</v>
      </c>
    </row>
    <row r="58" spans="1:16" ht="12.75">
      <c r="A58" s="415"/>
      <c r="B58" s="505"/>
      <c r="C58" s="510"/>
      <c r="D58" s="469"/>
      <c r="E58" s="469"/>
      <c r="F58" s="469">
        <v>330</v>
      </c>
      <c r="G58" s="391"/>
      <c r="H58" s="391"/>
      <c r="I58" s="391"/>
      <c r="J58" s="391"/>
      <c r="K58" s="391"/>
      <c r="L58" s="391"/>
      <c r="M58" s="391"/>
      <c r="N58" s="391"/>
      <c r="O58" s="391"/>
      <c r="P58" s="391">
        <f aca="true" t="shared" si="1" ref="P58:P79">SUM(C58:O58)</f>
        <v>330</v>
      </c>
    </row>
    <row r="59" spans="1:16" ht="12.75">
      <c r="A59" s="414">
        <v>882124</v>
      </c>
      <c r="B59" s="504" t="s">
        <v>1492</v>
      </c>
      <c r="C59" s="504"/>
      <c r="D59" s="477"/>
      <c r="E59" s="477"/>
      <c r="F59" s="477"/>
      <c r="G59" s="388"/>
      <c r="H59" s="388"/>
      <c r="I59" s="388"/>
      <c r="J59" s="388"/>
      <c r="K59" s="388"/>
      <c r="L59" s="388"/>
      <c r="M59" s="388"/>
      <c r="N59" s="388"/>
      <c r="O59" s="388"/>
      <c r="P59" s="388">
        <f t="shared" si="1"/>
        <v>0</v>
      </c>
    </row>
    <row r="60" spans="1:16" ht="12.75">
      <c r="A60" s="415"/>
      <c r="B60" s="505"/>
      <c r="C60" s="505"/>
      <c r="D60" s="469"/>
      <c r="E60" s="469"/>
      <c r="F60" s="469">
        <v>26</v>
      </c>
      <c r="G60" s="391"/>
      <c r="H60" s="391"/>
      <c r="I60" s="391"/>
      <c r="J60" s="391"/>
      <c r="K60" s="391"/>
      <c r="L60" s="391"/>
      <c r="M60" s="391"/>
      <c r="N60" s="391"/>
      <c r="O60" s="391"/>
      <c r="P60" s="391">
        <f t="shared" si="1"/>
        <v>26</v>
      </c>
    </row>
    <row r="61" spans="1:16" ht="39">
      <c r="A61" s="392" t="s">
        <v>1451</v>
      </c>
      <c r="B61" s="494" t="s">
        <v>1452</v>
      </c>
      <c r="C61" s="392" t="s">
        <v>4496</v>
      </c>
      <c r="D61" s="392" t="s">
        <v>4497</v>
      </c>
      <c r="E61" s="392" t="s">
        <v>4498</v>
      </c>
      <c r="F61" s="392" t="s">
        <v>4519</v>
      </c>
      <c r="G61" s="392" t="s">
        <v>4499</v>
      </c>
      <c r="H61" s="392" t="s">
        <v>4501</v>
      </c>
      <c r="I61" s="392" t="s">
        <v>4520</v>
      </c>
      <c r="J61" s="392" t="s">
        <v>4502</v>
      </c>
      <c r="K61" s="392" t="s">
        <v>4503</v>
      </c>
      <c r="L61" s="392" t="s">
        <v>4505</v>
      </c>
      <c r="M61" s="392" t="s">
        <v>4164</v>
      </c>
      <c r="N61" s="392" t="s">
        <v>4521</v>
      </c>
      <c r="O61" s="392" t="s">
        <v>4522</v>
      </c>
      <c r="P61" s="494" t="s">
        <v>4507</v>
      </c>
    </row>
    <row r="62" spans="1:16" ht="12.75">
      <c r="A62" s="506">
        <v>882129</v>
      </c>
      <c r="B62" s="507" t="s">
        <v>3011</v>
      </c>
      <c r="C62" s="507"/>
      <c r="D62" s="508"/>
      <c r="E62" s="508"/>
      <c r="F62" s="508"/>
      <c r="G62" s="404"/>
      <c r="H62" s="404"/>
      <c r="I62" s="404"/>
      <c r="J62" s="404"/>
      <c r="K62" s="404"/>
      <c r="L62" s="404"/>
      <c r="M62" s="404"/>
      <c r="N62" s="404"/>
      <c r="O62" s="404"/>
      <c r="P62" s="388">
        <f t="shared" si="1"/>
        <v>0</v>
      </c>
    </row>
    <row r="63" spans="1:16" ht="12.75">
      <c r="A63" s="415"/>
      <c r="B63" s="505"/>
      <c r="C63" s="505"/>
      <c r="D63" s="469"/>
      <c r="E63" s="469"/>
      <c r="F63" s="469">
        <v>90</v>
      </c>
      <c r="G63" s="391"/>
      <c r="H63" s="391"/>
      <c r="I63" s="391"/>
      <c r="J63" s="391"/>
      <c r="K63" s="391"/>
      <c r="L63" s="391"/>
      <c r="M63" s="391"/>
      <c r="N63" s="391"/>
      <c r="O63" s="391"/>
      <c r="P63" s="391">
        <f t="shared" si="1"/>
        <v>90</v>
      </c>
    </row>
    <row r="64" spans="1:16" ht="12.75">
      <c r="A64" s="414">
        <v>882201</v>
      </c>
      <c r="B64" s="504" t="s">
        <v>1493</v>
      </c>
      <c r="C64" s="504"/>
      <c r="D64" s="504"/>
      <c r="E64" s="504"/>
      <c r="F64" s="504">
        <v>1200</v>
      </c>
      <c r="G64" s="388"/>
      <c r="H64" s="388"/>
      <c r="I64" s="388"/>
      <c r="J64" s="388"/>
      <c r="K64" s="388"/>
      <c r="L64" s="388"/>
      <c r="M64" s="388"/>
      <c r="N64" s="388"/>
      <c r="O64" s="388"/>
      <c r="P64" s="388">
        <f t="shared" si="1"/>
        <v>1200</v>
      </c>
    </row>
    <row r="65" spans="1:16" ht="12.75">
      <c r="A65" s="415"/>
      <c r="B65" s="505"/>
      <c r="C65" s="505"/>
      <c r="D65" s="505"/>
      <c r="E65" s="505"/>
      <c r="F65" s="505">
        <v>168</v>
      </c>
      <c r="G65" s="391"/>
      <c r="H65" s="391"/>
      <c r="I65" s="391"/>
      <c r="J65" s="391"/>
      <c r="K65" s="391"/>
      <c r="L65" s="391"/>
      <c r="M65" s="391"/>
      <c r="N65" s="391"/>
      <c r="O65" s="391"/>
      <c r="P65" s="391">
        <f t="shared" si="1"/>
        <v>168</v>
      </c>
    </row>
    <row r="66" spans="1:16" ht="12.75">
      <c r="A66" s="414">
        <v>882202</v>
      </c>
      <c r="B66" s="504" t="s">
        <v>1494</v>
      </c>
      <c r="C66" s="509"/>
      <c r="D66" s="504"/>
      <c r="E66" s="504"/>
      <c r="F66" s="504">
        <v>800</v>
      </c>
      <c r="G66" s="388"/>
      <c r="H66" s="388"/>
      <c r="I66" s="388"/>
      <c r="J66" s="388"/>
      <c r="K66" s="388"/>
      <c r="L66" s="388"/>
      <c r="M66" s="388"/>
      <c r="N66" s="388"/>
      <c r="O66" s="388"/>
      <c r="P66" s="388">
        <f t="shared" si="1"/>
        <v>800</v>
      </c>
    </row>
    <row r="67" spans="1:16" ht="12.75">
      <c r="A67" s="415"/>
      <c r="B67" s="505"/>
      <c r="C67" s="510"/>
      <c r="D67" s="505"/>
      <c r="E67" s="505"/>
      <c r="F67" s="505"/>
      <c r="G67" s="391"/>
      <c r="H67" s="391"/>
      <c r="I67" s="391"/>
      <c r="J67" s="391"/>
      <c r="K67" s="391"/>
      <c r="L67" s="391"/>
      <c r="M67" s="391"/>
      <c r="N67" s="391"/>
      <c r="O67" s="391"/>
      <c r="P67" s="391">
        <f t="shared" si="1"/>
        <v>0</v>
      </c>
    </row>
    <row r="68" spans="1:16" ht="12.75">
      <c r="A68" s="414">
        <v>882203</v>
      </c>
      <c r="B68" s="504" t="s">
        <v>1495</v>
      </c>
      <c r="C68" s="509"/>
      <c r="D68" s="504"/>
      <c r="E68" s="504"/>
      <c r="F68" s="504"/>
      <c r="G68" s="388"/>
      <c r="H68" s="388"/>
      <c r="I68" s="388"/>
      <c r="J68" s="388"/>
      <c r="K68" s="388"/>
      <c r="L68" s="388"/>
      <c r="M68" s="388"/>
      <c r="N68" s="388"/>
      <c r="O68" s="388"/>
      <c r="P68" s="388">
        <f t="shared" si="1"/>
        <v>0</v>
      </c>
    </row>
    <row r="69" spans="1:16" ht="12.75">
      <c r="A69" s="415"/>
      <c r="B69" s="505"/>
      <c r="C69" s="510"/>
      <c r="D69" s="505"/>
      <c r="E69" s="505"/>
      <c r="F69" s="505">
        <v>78</v>
      </c>
      <c r="G69" s="391"/>
      <c r="H69" s="391"/>
      <c r="I69" s="391"/>
      <c r="J69" s="391"/>
      <c r="K69" s="391"/>
      <c r="L69" s="391"/>
      <c r="M69" s="391"/>
      <c r="N69" s="391"/>
      <c r="O69" s="391"/>
      <c r="P69" s="391">
        <f t="shared" si="1"/>
        <v>78</v>
      </c>
    </row>
    <row r="70" spans="1:16" ht="12.75">
      <c r="A70" s="506">
        <v>890111</v>
      </c>
      <c r="B70" s="507" t="s">
        <v>4529</v>
      </c>
      <c r="C70" s="511">
        <v>2536</v>
      </c>
      <c r="D70" s="507">
        <v>893</v>
      </c>
      <c r="E70" s="507">
        <v>1816</v>
      </c>
      <c r="F70" s="507"/>
      <c r="G70" s="404"/>
      <c r="H70" s="404"/>
      <c r="I70" s="404"/>
      <c r="J70" s="404"/>
      <c r="K70" s="404"/>
      <c r="L70" s="404"/>
      <c r="M70" s="404"/>
      <c r="N70" s="404"/>
      <c r="O70" s="404"/>
      <c r="P70" s="388">
        <f t="shared" si="1"/>
        <v>5245</v>
      </c>
    </row>
    <row r="71" spans="1:16" ht="12.75">
      <c r="A71" s="415"/>
      <c r="B71" s="505"/>
      <c r="C71" s="510">
        <v>2229</v>
      </c>
      <c r="D71" s="505">
        <v>893</v>
      </c>
      <c r="E71" s="505">
        <v>1927</v>
      </c>
      <c r="F71" s="505"/>
      <c r="G71" s="391"/>
      <c r="H71" s="391"/>
      <c r="I71" s="391"/>
      <c r="J71" s="391"/>
      <c r="K71" s="391"/>
      <c r="L71" s="391"/>
      <c r="M71" s="391"/>
      <c r="N71" s="391"/>
      <c r="O71" s="391"/>
      <c r="P71" s="391">
        <f t="shared" si="1"/>
        <v>5049</v>
      </c>
    </row>
    <row r="72" spans="1:16" ht="12.75">
      <c r="A72" s="414">
        <v>890301</v>
      </c>
      <c r="B72" s="504" t="s">
        <v>4530</v>
      </c>
      <c r="C72" s="504"/>
      <c r="D72" s="504"/>
      <c r="E72" s="504">
        <v>250</v>
      </c>
      <c r="F72" s="504"/>
      <c r="G72" s="388"/>
      <c r="H72" s="388">
        <v>2750</v>
      </c>
      <c r="I72" s="388"/>
      <c r="J72" s="388"/>
      <c r="K72" s="388"/>
      <c r="L72" s="388"/>
      <c r="M72" s="388"/>
      <c r="N72" s="388"/>
      <c r="O72" s="388"/>
      <c r="P72" s="388">
        <f t="shared" si="1"/>
        <v>3000</v>
      </c>
    </row>
    <row r="73" spans="1:16" ht="12.75">
      <c r="A73" s="415"/>
      <c r="B73" s="505"/>
      <c r="C73" s="505"/>
      <c r="D73" s="505"/>
      <c r="E73" s="505"/>
      <c r="F73" s="505"/>
      <c r="G73" s="391"/>
      <c r="H73" s="391">
        <v>3710</v>
      </c>
      <c r="I73" s="391"/>
      <c r="J73" s="391"/>
      <c r="K73" s="391"/>
      <c r="L73" s="391"/>
      <c r="M73" s="391"/>
      <c r="N73" s="391"/>
      <c r="O73" s="391"/>
      <c r="P73" s="391">
        <f t="shared" si="1"/>
        <v>3710</v>
      </c>
    </row>
    <row r="74" spans="1:16" ht="12.75">
      <c r="A74" s="506">
        <v>890441</v>
      </c>
      <c r="B74" s="507"/>
      <c r="C74" s="507"/>
      <c r="D74" s="507"/>
      <c r="E74" s="507"/>
      <c r="F74" s="507"/>
      <c r="G74" s="404"/>
      <c r="H74" s="404"/>
      <c r="I74" s="404"/>
      <c r="J74" s="404"/>
      <c r="K74" s="404"/>
      <c r="L74" s="404"/>
      <c r="M74" s="404"/>
      <c r="N74" s="404"/>
      <c r="O74" s="404"/>
      <c r="P74" s="388">
        <f t="shared" si="1"/>
        <v>0</v>
      </c>
    </row>
    <row r="75" spans="1:16" ht="12.75">
      <c r="A75" s="415"/>
      <c r="B75" s="505"/>
      <c r="C75" s="505"/>
      <c r="D75" s="505"/>
      <c r="E75" s="505"/>
      <c r="F75" s="505"/>
      <c r="G75" s="391"/>
      <c r="H75" s="391"/>
      <c r="I75" s="391"/>
      <c r="J75" s="391"/>
      <c r="K75" s="391"/>
      <c r="L75" s="391"/>
      <c r="M75" s="391"/>
      <c r="N75" s="391"/>
      <c r="O75" s="391"/>
      <c r="P75" s="391">
        <f t="shared" si="1"/>
        <v>0</v>
      </c>
    </row>
    <row r="76" spans="1:16" ht="12.75">
      <c r="A76" s="506">
        <v>890442</v>
      </c>
      <c r="B76" s="507" t="s">
        <v>4531</v>
      </c>
      <c r="C76" s="507">
        <v>1434</v>
      </c>
      <c r="D76" s="507">
        <v>194</v>
      </c>
      <c r="E76" s="507"/>
      <c r="F76" s="507"/>
      <c r="G76" s="404"/>
      <c r="H76" s="404"/>
      <c r="I76" s="404"/>
      <c r="J76" s="404"/>
      <c r="K76" s="404"/>
      <c r="L76" s="404"/>
      <c r="M76" s="404"/>
      <c r="N76" s="404"/>
      <c r="O76" s="404"/>
      <c r="P76" s="388">
        <f t="shared" si="1"/>
        <v>1628</v>
      </c>
    </row>
    <row r="77" spans="1:16" ht="12.75">
      <c r="A77" s="415"/>
      <c r="B77" s="505"/>
      <c r="C77" s="505">
        <f>-1+1493</f>
        <v>1492</v>
      </c>
      <c r="D77" s="505">
        <f>1+204</f>
        <v>205</v>
      </c>
      <c r="E77" s="505">
        <v>28</v>
      </c>
      <c r="F77" s="505"/>
      <c r="G77" s="391"/>
      <c r="H77" s="391"/>
      <c r="I77" s="391"/>
      <c r="J77" s="391"/>
      <c r="K77" s="391"/>
      <c r="L77" s="391"/>
      <c r="M77" s="391"/>
      <c r="N77" s="391"/>
      <c r="O77" s="391"/>
      <c r="P77" s="391">
        <f t="shared" si="1"/>
        <v>1725</v>
      </c>
    </row>
    <row r="78" spans="1:16" ht="12.75">
      <c r="A78" s="414">
        <v>960302</v>
      </c>
      <c r="B78" s="504" t="s">
        <v>1498</v>
      </c>
      <c r="C78" s="504"/>
      <c r="D78" s="504"/>
      <c r="E78" s="504"/>
      <c r="F78" s="504"/>
      <c r="G78" s="388"/>
      <c r="H78" s="388">
        <v>1808</v>
      </c>
      <c r="I78" s="388"/>
      <c r="J78" s="388"/>
      <c r="K78" s="388"/>
      <c r="L78" s="388"/>
      <c r="M78" s="388"/>
      <c r="N78" s="388"/>
      <c r="O78" s="388"/>
      <c r="P78" s="388">
        <f t="shared" si="1"/>
        <v>1808</v>
      </c>
    </row>
    <row r="79" spans="1:16" ht="12.75">
      <c r="A79" s="415"/>
      <c r="B79" s="505"/>
      <c r="C79" s="505"/>
      <c r="D79" s="505"/>
      <c r="E79" s="505"/>
      <c r="F79" s="505"/>
      <c r="G79" s="391"/>
      <c r="H79" s="391">
        <v>1409</v>
      </c>
      <c r="I79" s="391"/>
      <c r="J79" s="391"/>
      <c r="K79" s="391"/>
      <c r="L79" s="391"/>
      <c r="M79" s="391"/>
      <c r="N79" s="391"/>
      <c r="O79" s="391"/>
      <c r="P79" s="391">
        <f t="shared" si="1"/>
        <v>1409</v>
      </c>
    </row>
    <row r="80" spans="1:16" ht="12.75">
      <c r="A80" s="506"/>
      <c r="B80" s="512" t="s">
        <v>1499</v>
      </c>
      <c r="C80" s="404">
        <f>C4+C6+C8+C10+C12+C14+C16+C18+C20+C22+C24+C26+C28+C31+C33+C35+C37+C39+C43+C41+C45+C47+C51+C55+C57+C59+C64+C66+C68+C70+C72+C76+C78+C49</f>
        <v>29307</v>
      </c>
      <c r="D80" s="404">
        <f>D4+D6+D8+D10+D12+D14+D16+D18+D20+D22+D24+D26+D28+D31+D33+D35+D37+D39+D43+D41+D45+D47+D51+D55+D57+D59+D64+D66+D68+D70+D72+D76+D78+D49</f>
        <v>8620</v>
      </c>
      <c r="E80" s="404">
        <f>E4+E6+E8+E10+E12+E14+E16+E18+E20+E22+E24+E26+E28+E31+E33+E35+E37+E39+E43+E41+E45+E47+E51+E55+E57+E59+E64+E66+E68+E70+E72+E76+E78+E49</f>
        <v>92699</v>
      </c>
      <c r="F80" s="404">
        <f>F4+F6+F8+F10+F12+F14+F16+F18+F20+F22+F24+F26+F28+F31+F33+F35+F37+F39+F43+F41+F45+F47+F51+F55+F57+F59+F64+F66+F68+F70+F72+F76+F78+F49+F53</f>
        <v>20361</v>
      </c>
      <c r="G80" s="404">
        <f aca="true" t="shared" si="2" ref="G80:P80">G4+G6+G8+G10+G12+G14+G16+G18+G20+G22+G24+G26+G28+G31+G33+G35+G37+G39+G43+G41+G45+G47+G51+G55+G57+G59+G64+G66+G68+G70+G72+G76+G78+G49+G53</f>
        <v>5210</v>
      </c>
      <c r="H80" s="404">
        <f t="shared" si="2"/>
        <v>17018</v>
      </c>
      <c r="I80" s="404">
        <f t="shared" si="2"/>
        <v>100</v>
      </c>
      <c r="J80" s="404">
        <f t="shared" si="2"/>
        <v>61976</v>
      </c>
      <c r="K80" s="404">
        <f t="shared" si="2"/>
        <v>15189</v>
      </c>
      <c r="L80" s="404">
        <f t="shared" si="2"/>
        <v>15227</v>
      </c>
      <c r="M80" s="404">
        <f t="shared" si="2"/>
        <v>59441</v>
      </c>
      <c r="N80" s="404">
        <f t="shared" si="2"/>
        <v>7807</v>
      </c>
      <c r="O80" s="404">
        <f t="shared" si="2"/>
        <v>457863</v>
      </c>
      <c r="P80" s="404">
        <f t="shared" si="2"/>
        <v>790818</v>
      </c>
    </row>
    <row r="81" spans="1:16" ht="12.75">
      <c r="A81" s="420"/>
      <c r="B81" s="420"/>
      <c r="C81" s="513">
        <f>C5+C7+C9+C11+C13+C15+C17+C19+C21+C23+C25+C27+C29+C32+C34+C36+C38+C40+C42+C44+C46+C50+C52+C56+C58+C60+C63+C65+C67+C69+C71+C73+C75+C77+C79+C48</f>
        <v>26766</v>
      </c>
      <c r="D81" s="513">
        <f>D5+D7+D9+D11+D13+D15+D17+D19+D21+D23+D25+D27+D29+D32+D34+D36+D38+D40+D42+D44+D46+D50+D52+D56+D58+D60+D63+D65+D67+D69+D71+D73+D75+D77+D79+D48</f>
        <v>7783</v>
      </c>
      <c r="E81" s="513">
        <f>E5+E7+E9+E11+E13+E15+E17+E19+E21+E23+E25+E27+E29+E32+E34+E36+E38+E40+E42+E44+E46+E50+E52+E56+E58+E60+E63+E65+E67+E69+E71+E73+E75+E77+E79+E48</f>
        <v>95798</v>
      </c>
      <c r="F81" s="513">
        <f>F5+F7+F9+F11+F13+F15+F17+F19+F21+F23+F25+F27+F29+F32+F34+F36+F38+F40+F42+F44+F46+F50+F52+F56+F58+F60+F63+F65+F67+F69+F71+F73+F75+F77+F79+F48+F54</f>
        <v>16375</v>
      </c>
      <c r="G81" s="513">
        <f aca="true" t="shared" si="3" ref="G81:P81">G5+G7+G9+G11+G13+G15+G17+G19+G21+G23+G25+G27+G29+G32+G34+G36+G38+G40+G42+G44+G46+G50+G52+G56+G58+G60+G63+G65+G67+G69+G71+G73+G75+G77+G79+G48+G54</f>
        <v>6967</v>
      </c>
      <c r="H81" s="513">
        <f t="shared" si="3"/>
        <v>16592</v>
      </c>
      <c r="I81" s="513">
        <f t="shared" si="3"/>
        <v>100</v>
      </c>
      <c r="J81" s="513">
        <f t="shared" si="3"/>
        <v>60004</v>
      </c>
      <c r="K81" s="513">
        <f t="shared" si="3"/>
        <v>9249</v>
      </c>
      <c r="L81" s="513">
        <f t="shared" si="3"/>
        <v>11390</v>
      </c>
      <c r="M81" s="513">
        <f t="shared" si="3"/>
        <v>0</v>
      </c>
      <c r="N81" s="513">
        <f t="shared" si="3"/>
        <v>0</v>
      </c>
      <c r="O81" s="513">
        <f t="shared" si="3"/>
        <v>457863</v>
      </c>
      <c r="P81" s="513">
        <f t="shared" si="3"/>
        <v>708887</v>
      </c>
    </row>
    <row r="83" spans="2:5" ht="12.75">
      <c r="B83" s="2051" t="s">
        <v>1449</v>
      </c>
      <c r="C83" s="2052"/>
      <c r="D83" s="388" t="s">
        <v>1512</v>
      </c>
      <c r="E83" s="388"/>
    </row>
    <row r="84" spans="2:5" ht="12.75">
      <c r="B84" s="389"/>
      <c r="C84" s="390"/>
      <c r="D84" s="388" t="s">
        <v>1075</v>
      </c>
      <c r="E84" s="391"/>
    </row>
  </sheetData>
  <sheetProtection/>
  <mergeCells count="3">
    <mergeCell ref="A1:P1"/>
    <mergeCell ref="A2:P2"/>
    <mergeCell ref="B83:C8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6.375" style="169" customWidth="1"/>
    <col min="2" max="2" width="26.875" style="169" customWidth="1"/>
    <col min="3" max="3" width="7.75390625" style="169" customWidth="1"/>
    <col min="4" max="4" width="7.625" style="169" customWidth="1"/>
    <col min="5" max="5" width="5.875" style="169" customWidth="1"/>
    <col min="6" max="6" width="9.125" style="169" customWidth="1"/>
    <col min="7" max="7" width="6.00390625" style="169" customWidth="1"/>
    <col min="8" max="8" width="7.125" style="169" customWidth="1"/>
    <col min="9" max="9" width="7.875" style="489" customWidth="1"/>
    <col min="10" max="16384" width="9.125" style="169" customWidth="1"/>
  </cols>
  <sheetData>
    <row r="1" spans="1:16" ht="12.75">
      <c r="A1" s="2085" t="s">
        <v>5283</v>
      </c>
      <c r="B1" s="2085"/>
      <c r="C1" s="2085"/>
      <c r="D1" s="2085"/>
      <c r="E1" s="2085"/>
      <c r="F1" s="2085"/>
      <c r="G1" s="2085"/>
      <c r="H1" s="2085"/>
      <c r="I1" s="2085"/>
      <c r="J1" s="1862"/>
      <c r="K1" s="1862"/>
      <c r="L1" s="1862"/>
      <c r="M1" s="1862"/>
      <c r="N1" s="1862"/>
      <c r="O1" s="1862"/>
      <c r="P1" s="1862"/>
    </row>
    <row r="2" spans="1:9" ht="12.75">
      <c r="A2" s="2087" t="s">
        <v>2802</v>
      </c>
      <c r="B2" s="2087"/>
      <c r="C2" s="2087"/>
      <c r="D2" s="2087"/>
      <c r="E2" s="2087"/>
      <c r="F2" s="2087"/>
      <c r="G2" s="2087"/>
      <c r="H2" s="2087"/>
      <c r="I2" s="2087"/>
    </row>
    <row r="3" spans="1:9" ht="31.5">
      <c r="A3" s="450" t="s">
        <v>1451</v>
      </c>
      <c r="B3" s="451" t="s">
        <v>1452</v>
      </c>
      <c r="C3" s="450" t="s">
        <v>4496</v>
      </c>
      <c r="D3" s="450" t="s">
        <v>4497</v>
      </c>
      <c r="E3" s="450" t="s">
        <v>4498</v>
      </c>
      <c r="F3" s="450" t="s">
        <v>4506</v>
      </c>
      <c r="G3" s="450" t="s">
        <v>4502</v>
      </c>
      <c r="H3" s="450" t="s">
        <v>4503</v>
      </c>
      <c r="I3" s="458" t="s">
        <v>4507</v>
      </c>
    </row>
    <row r="4" spans="1:9" ht="12.75">
      <c r="A4" s="450">
        <v>680002</v>
      </c>
      <c r="B4" s="451"/>
      <c r="C4" s="450"/>
      <c r="D4" s="450"/>
      <c r="E4" s="450"/>
      <c r="F4" s="450"/>
      <c r="G4" s="450"/>
      <c r="H4" s="450"/>
      <c r="I4" s="458">
        <f>SUM(C4:H4)</f>
        <v>0</v>
      </c>
    </row>
    <row r="5" spans="1:9" ht="12.75">
      <c r="A5" s="459"/>
      <c r="B5" s="460"/>
      <c r="C5" s="459"/>
      <c r="D5" s="459"/>
      <c r="E5" s="459">
        <v>88</v>
      </c>
      <c r="F5" s="459"/>
      <c r="G5" s="459"/>
      <c r="H5" s="459"/>
      <c r="I5" s="461">
        <f aca="true" t="shared" si="0" ref="I5:I43">SUM(C5:H5)</f>
        <v>88</v>
      </c>
    </row>
    <row r="6" spans="1:9" ht="15" customHeight="1">
      <c r="A6" s="462">
        <v>692000</v>
      </c>
      <c r="B6" s="463" t="s">
        <v>4508</v>
      </c>
      <c r="C6" s="464">
        <v>12112</v>
      </c>
      <c r="D6" s="464">
        <v>3121</v>
      </c>
      <c r="E6" s="464">
        <v>319</v>
      </c>
      <c r="F6" s="450"/>
      <c r="G6" s="450"/>
      <c r="H6" s="450"/>
      <c r="I6" s="458">
        <f t="shared" si="0"/>
        <v>15552</v>
      </c>
    </row>
    <row r="7" spans="1:9" ht="15" customHeight="1">
      <c r="A7" s="465"/>
      <c r="B7" s="466"/>
      <c r="C7" s="467">
        <v>11325</v>
      </c>
      <c r="D7" s="467">
        <v>2700</v>
      </c>
      <c r="E7" s="467">
        <v>845</v>
      </c>
      <c r="F7" s="459"/>
      <c r="G7" s="459">
        <v>357</v>
      </c>
      <c r="H7" s="459"/>
      <c r="I7" s="461">
        <f t="shared" si="0"/>
        <v>15227</v>
      </c>
    </row>
    <row r="8" spans="1:9" ht="15" customHeight="1">
      <c r="A8" s="471">
        <v>774000</v>
      </c>
      <c r="B8" s="472" t="s">
        <v>4509</v>
      </c>
      <c r="C8" s="194"/>
      <c r="D8" s="194"/>
      <c r="E8" s="194"/>
      <c r="F8" s="194"/>
      <c r="G8" s="194"/>
      <c r="H8" s="194"/>
      <c r="I8" s="473">
        <f t="shared" si="0"/>
        <v>0</v>
      </c>
    </row>
    <row r="9" spans="1:9" ht="15" customHeight="1">
      <c r="A9" s="465"/>
      <c r="B9" s="469"/>
      <c r="C9" s="470"/>
      <c r="D9" s="470"/>
      <c r="E9" s="470">
        <v>122</v>
      </c>
      <c r="F9" s="470"/>
      <c r="G9" s="470"/>
      <c r="H9" s="470"/>
      <c r="I9" s="461">
        <f t="shared" si="0"/>
        <v>122</v>
      </c>
    </row>
    <row r="10" spans="1:9" ht="15" customHeight="1">
      <c r="A10" s="474">
        <v>813000</v>
      </c>
      <c r="B10" s="475" t="s">
        <v>4510</v>
      </c>
      <c r="C10" s="202">
        <v>172</v>
      </c>
      <c r="D10" s="202"/>
      <c r="E10" s="202"/>
      <c r="F10" s="202"/>
      <c r="G10" s="202"/>
      <c r="H10" s="202"/>
      <c r="I10" s="458">
        <f t="shared" si="0"/>
        <v>172</v>
      </c>
    </row>
    <row r="11" spans="1:9" ht="15" customHeight="1">
      <c r="A11" s="465"/>
      <c r="B11" s="476"/>
      <c r="C11" s="470">
        <v>172</v>
      </c>
      <c r="D11" s="470"/>
      <c r="E11" s="470"/>
      <c r="F11" s="470"/>
      <c r="G11" s="470"/>
      <c r="H11" s="470"/>
      <c r="I11" s="461">
        <f t="shared" si="0"/>
        <v>172</v>
      </c>
    </row>
    <row r="12" spans="1:9" ht="15" customHeight="1">
      <c r="A12" s="468">
        <v>841112</v>
      </c>
      <c r="B12" s="477" t="s">
        <v>4511</v>
      </c>
      <c r="C12" s="172">
        <v>11291</v>
      </c>
      <c r="D12" s="172">
        <v>2879</v>
      </c>
      <c r="E12" s="172">
        <v>102</v>
      </c>
      <c r="F12" s="172"/>
      <c r="G12" s="172"/>
      <c r="H12" s="172"/>
      <c r="I12" s="458">
        <f t="shared" si="0"/>
        <v>14272</v>
      </c>
    </row>
    <row r="13" spans="1:9" ht="15" customHeight="1">
      <c r="A13" s="465"/>
      <c r="B13" s="469"/>
      <c r="C13" s="470">
        <v>9725</v>
      </c>
      <c r="D13" s="470">
        <v>2419</v>
      </c>
      <c r="E13" s="470">
        <v>217</v>
      </c>
      <c r="F13" s="470"/>
      <c r="G13" s="470"/>
      <c r="H13" s="470"/>
      <c r="I13" s="461">
        <f t="shared" si="0"/>
        <v>12361</v>
      </c>
    </row>
    <row r="14" spans="1:9" ht="15" customHeight="1">
      <c r="A14" s="468">
        <v>841126</v>
      </c>
      <c r="B14" s="478" t="s">
        <v>1506</v>
      </c>
      <c r="C14" s="172">
        <v>14847</v>
      </c>
      <c r="D14" s="172">
        <v>3879</v>
      </c>
      <c r="E14" s="172">
        <v>12091</v>
      </c>
      <c r="F14" s="172"/>
      <c r="G14" s="172">
        <v>1123</v>
      </c>
      <c r="H14" s="172"/>
      <c r="I14" s="458">
        <f t="shared" si="0"/>
        <v>31940</v>
      </c>
    </row>
    <row r="15" spans="1:9" ht="15" customHeight="1">
      <c r="A15" s="465"/>
      <c r="B15" s="476"/>
      <c r="C15" s="470">
        <v>17146</v>
      </c>
      <c r="D15" s="470">
        <v>3879</v>
      </c>
      <c r="E15" s="470">
        <v>10327</v>
      </c>
      <c r="F15" s="470"/>
      <c r="G15" s="470">
        <v>767</v>
      </c>
      <c r="H15" s="470"/>
      <c r="I15" s="461">
        <f t="shared" si="0"/>
        <v>32119</v>
      </c>
    </row>
    <row r="16" spans="1:9" ht="15" customHeight="1">
      <c r="A16" s="468">
        <v>841133</v>
      </c>
      <c r="B16" s="477" t="s">
        <v>4512</v>
      </c>
      <c r="C16" s="172">
        <v>4953</v>
      </c>
      <c r="D16" s="172">
        <v>1353</v>
      </c>
      <c r="E16" s="172"/>
      <c r="F16" s="172"/>
      <c r="G16" s="172"/>
      <c r="H16" s="172"/>
      <c r="I16" s="458">
        <f t="shared" si="0"/>
        <v>6306</v>
      </c>
    </row>
    <row r="17" spans="1:9" ht="15" customHeight="1">
      <c r="A17" s="465"/>
      <c r="B17" s="469"/>
      <c r="C17" s="470">
        <v>4954</v>
      </c>
      <c r="D17" s="470">
        <v>1305</v>
      </c>
      <c r="E17" s="470">
        <v>53</v>
      </c>
      <c r="F17" s="470"/>
      <c r="G17" s="470"/>
      <c r="H17" s="470"/>
      <c r="I17" s="461">
        <f t="shared" si="0"/>
        <v>6312</v>
      </c>
    </row>
    <row r="18" spans="1:9" ht="15" customHeight="1">
      <c r="A18" s="474">
        <v>841403</v>
      </c>
      <c r="B18" s="475" t="s">
        <v>4513</v>
      </c>
      <c r="C18" s="202"/>
      <c r="D18" s="202"/>
      <c r="E18" s="202"/>
      <c r="F18" s="202"/>
      <c r="G18" s="202"/>
      <c r="H18" s="202"/>
      <c r="I18" s="479">
        <f t="shared" si="0"/>
        <v>0</v>
      </c>
    </row>
    <row r="19" spans="1:9" ht="15" customHeight="1">
      <c r="A19" s="465"/>
      <c r="B19" s="476"/>
      <c r="C19" s="470"/>
      <c r="D19" s="470"/>
      <c r="E19" s="470">
        <v>27</v>
      </c>
      <c r="F19" s="470"/>
      <c r="G19" s="470"/>
      <c r="H19" s="470"/>
      <c r="I19" s="461">
        <f t="shared" si="0"/>
        <v>27</v>
      </c>
    </row>
    <row r="20" spans="1:9" ht="15" customHeight="1">
      <c r="A20" s="491">
        <v>842542</v>
      </c>
      <c r="B20" s="492" t="s">
        <v>4518</v>
      </c>
      <c r="C20" s="454"/>
      <c r="D20" s="454"/>
      <c r="E20" s="454">
        <v>63</v>
      </c>
      <c r="F20" s="454"/>
      <c r="G20" s="454"/>
      <c r="H20" s="454"/>
      <c r="I20" s="493">
        <f t="shared" si="0"/>
        <v>63</v>
      </c>
    </row>
    <row r="21" spans="1:9" ht="15" customHeight="1">
      <c r="A21" s="465"/>
      <c r="B21" s="476"/>
      <c r="C21" s="470"/>
      <c r="D21" s="470"/>
      <c r="E21" s="470"/>
      <c r="F21" s="470"/>
      <c r="G21" s="470"/>
      <c r="H21" s="470"/>
      <c r="I21" s="461"/>
    </row>
    <row r="22" spans="1:9" ht="15" customHeight="1">
      <c r="A22" s="480">
        <v>882111</v>
      </c>
      <c r="B22" s="477" t="s">
        <v>1507</v>
      </c>
      <c r="C22" s="172"/>
      <c r="D22" s="172"/>
      <c r="E22" s="172"/>
      <c r="F22" s="172">
        <v>88215</v>
      </c>
      <c r="G22" s="172"/>
      <c r="H22" s="172"/>
      <c r="I22" s="458">
        <f t="shared" si="0"/>
        <v>88215</v>
      </c>
    </row>
    <row r="23" spans="1:9" ht="15" customHeight="1">
      <c r="A23" s="481"/>
      <c r="B23" s="469"/>
      <c r="C23" s="470"/>
      <c r="D23" s="470"/>
      <c r="E23" s="470"/>
      <c r="F23" s="470">
        <v>86852</v>
      </c>
      <c r="G23" s="470"/>
      <c r="H23" s="470"/>
      <c r="I23" s="461">
        <f t="shared" si="0"/>
        <v>86852</v>
      </c>
    </row>
    <row r="24" spans="1:9" ht="15" customHeight="1">
      <c r="A24" s="177">
        <v>882112</v>
      </c>
      <c r="B24" s="482" t="s">
        <v>1486</v>
      </c>
      <c r="C24" s="172"/>
      <c r="D24" s="172"/>
      <c r="E24" s="172"/>
      <c r="F24" s="172">
        <v>458</v>
      </c>
      <c r="G24" s="172"/>
      <c r="H24" s="172"/>
      <c r="I24" s="458">
        <f t="shared" si="0"/>
        <v>458</v>
      </c>
    </row>
    <row r="25" spans="1:9" ht="15" customHeight="1">
      <c r="A25" s="483"/>
      <c r="B25" s="484"/>
      <c r="C25" s="470"/>
      <c r="D25" s="470"/>
      <c r="E25" s="470"/>
      <c r="F25" s="470">
        <v>454</v>
      </c>
      <c r="G25" s="470"/>
      <c r="H25" s="470"/>
      <c r="I25" s="461">
        <f t="shared" si="0"/>
        <v>454</v>
      </c>
    </row>
    <row r="26" spans="1:9" ht="15" customHeight="1">
      <c r="A26" s="177">
        <v>882113</v>
      </c>
      <c r="B26" s="482" t="s">
        <v>1508</v>
      </c>
      <c r="C26" s="172"/>
      <c r="D26" s="172"/>
      <c r="E26" s="172"/>
      <c r="F26" s="172">
        <v>19200</v>
      </c>
      <c r="G26" s="172"/>
      <c r="H26" s="172"/>
      <c r="I26" s="458">
        <f t="shared" si="0"/>
        <v>19200</v>
      </c>
    </row>
    <row r="27" spans="1:9" ht="15" customHeight="1">
      <c r="A27" s="483"/>
      <c r="B27" s="484"/>
      <c r="C27" s="470"/>
      <c r="D27" s="470"/>
      <c r="E27" s="470"/>
      <c r="F27" s="470">
        <v>19508</v>
      </c>
      <c r="G27" s="470"/>
      <c r="H27" s="470"/>
      <c r="I27" s="461">
        <f t="shared" si="0"/>
        <v>19508</v>
      </c>
    </row>
    <row r="28" spans="1:9" ht="15" customHeight="1">
      <c r="A28" s="177">
        <v>882115</v>
      </c>
      <c r="B28" s="482" t="s">
        <v>1509</v>
      </c>
      <c r="C28" s="172"/>
      <c r="D28" s="172"/>
      <c r="E28" s="172"/>
      <c r="F28" s="172">
        <v>833</v>
      </c>
      <c r="G28" s="172"/>
      <c r="H28" s="172"/>
      <c r="I28" s="458">
        <f t="shared" si="0"/>
        <v>833</v>
      </c>
    </row>
    <row r="29" spans="1:9" ht="15" customHeight="1">
      <c r="A29" s="483"/>
      <c r="B29" s="484"/>
      <c r="C29" s="470"/>
      <c r="D29" s="470"/>
      <c r="E29" s="470"/>
      <c r="F29" s="470">
        <v>968</v>
      </c>
      <c r="G29" s="470"/>
      <c r="H29" s="470"/>
      <c r="I29" s="461">
        <f t="shared" si="0"/>
        <v>968</v>
      </c>
    </row>
    <row r="30" spans="1:9" ht="15" customHeight="1">
      <c r="A30" s="485">
        <v>882118</v>
      </c>
      <c r="B30" s="486" t="s">
        <v>4517</v>
      </c>
      <c r="C30" s="202"/>
      <c r="D30" s="202"/>
      <c r="E30" s="202"/>
      <c r="F30" s="202"/>
      <c r="G30" s="202"/>
      <c r="H30" s="202"/>
      <c r="I30" s="458">
        <f t="shared" si="0"/>
        <v>0</v>
      </c>
    </row>
    <row r="31" spans="1:9" ht="15" customHeight="1">
      <c r="A31" s="483"/>
      <c r="B31" s="484"/>
      <c r="C31" s="470"/>
      <c r="D31" s="470"/>
      <c r="E31" s="470"/>
      <c r="F31" s="470">
        <v>154</v>
      </c>
      <c r="G31" s="470"/>
      <c r="H31" s="470"/>
      <c r="I31" s="461">
        <f t="shared" si="0"/>
        <v>154</v>
      </c>
    </row>
    <row r="32" spans="1:9" ht="15" customHeight="1">
      <c r="A32" s="177">
        <v>882119</v>
      </c>
      <c r="B32" s="482" t="s">
        <v>4514</v>
      </c>
      <c r="C32" s="172"/>
      <c r="D32" s="172"/>
      <c r="E32" s="172"/>
      <c r="F32" s="172">
        <v>260</v>
      </c>
      <c r="G32" s="172"/>
      <c r="H32" s="172"/>
      <c r="I32" s="458">
        <f t="shared" si="0"/>
        <v>260</v>
      </c>
    </row>
    <row r="33" spans="1:9" ht="15" customHeight="1">
      <c r="A33" s="483"/>
      <c r="B33" s="484"/>
      <c r="C33" s="470"/>
      <c r="D33" s="470"/>
      <c r="E33" s="470"/>
      <c r="F33" s="470">
        <v>260</v>
      </c>
      <c r="G33" s="470"/>
      <c r="H33" s="470"/>
      <c r="I33" s="461">
        <f t="shared" si="0"/>
        <v>260</v>
      </c>
    </row>
    <row r="34" spans="1:9" ht="15" customHeight="1">
      <c r="A34" s="485">
        <v>882201</v>
      </c>
      <c r="B34" s="486" t="s">
        <v>4515</v>
      </c>
      <c r="C34" s="202"/>
      <c r="D34" s="202"/>
      <c r="E34" s="202"/>
      <c r="F34" s="202"/>
      <c r="G34" s="202"/>
      <c r="H34" s="202"/>
      <c r="I34" s="458">
        <f t="shared" si="0"/>
        <v>0</v>
      </c>
    </row>
    <row r="35" spans="1:9" ht="15" customHeight="1">
      <c r="A35" s="483"/>
      <c r="B35" s="484"/>
      <c r="C35" s="470"/>
      <c r="D35" s="470"/>
      <c r="E35" s="470"/>
      <c r="F35" s="470">
        <v>13</v>
      </c>
      <c r="G35" s="470"/>
      <c r="H35" s="470"/>
      <c r="I35" s="461">
        <f t="shared" si="0"/>
        <v>13</v>
      </c>
    </row>
    <row r="36" spans="1:9" ht="15" customHeight="1">
      <c r="A36" s="485">
        <v>882202</v>
      </c>
      <c r="B36" s="486" t="s">
        <v>1494</v>
      </c>
      <c r="C36" s="202"/>
      <c r="D36" s="202"/>
      <c r="E36" s="202"/>
      <c r="F36" s="202"/>
      <c r="G36" s="202"/>
      <c r="H36" s="202"/>
      <c r="I36" s="458">
        <f t="shared" si="0"/>
        <v>0</v>
      </c>
    </row>
    <row r="37" spans="1:9" ht="15" customHeight="1">
      <c r="A37" s="483"/>
      <c r="B37" s="484"/>
      <c r="C37" s="470"/>
      <c r="D37" s="470"/>
      <c r="E37" s="470">
        <v>6</v>
      </c>
      <c r="F37" s="470">
        <v>306</v>
      </c>
      <c r="G37" s="470"/>
      <c r="H37" s="470"/>
      <c r="I37" s="461">
        <f t="shared" si="0"/>
        <v>312</v>
      </c>
    </row>
    <row r="38" spans="1:9" ht="20.25" customHeight="1">
      <c r="A38" s="462">
        <v>852011</v>
      </c>
      <c r="B38" s="478" t="s">
        <v>1482</v>
      </c>
      <c r="C38" s="172"/>
      <c r="D38" s="172"/>
      <c r="E38" s="172"/>
      <c r="F38" s="172"/>
      <c r="G38" s="172"/>
      <c r="H38" s="172"/>
      <c r="I38" s="458">
        <f t="shared" si="0"/>
        <v>0</v>
      </c>
    </row>
    <row r="39" spans="1:9" ht="14.25" customHeight="1">
      <c r="A39" s="465"/>
      <c r="B39" s="476"/>
      <c r="C39" s="470"/>
      <c r="D39" s="470"/>
      <c r="E39" s="470">
        <v>3</v>
      </c>
      <c r="F39" s="470"/>
      <c r="G39" s="470"/>
      <c r="H39" s="470"/>
      <c r="I39" s="461">
        <f t="shared" si="0"/>
        <v>3</v>
      </c>
    </row>
    <row r="40" spans="1:9" ht="21">
      <c r="A40" s="462">
        <v>852021</v>
      </c>
      <c r="B40" s="478" t="s">
        <v>1483</v>
      </c>
      <c r="C40" s="172"/>
      <c r="D40" s="172"/>
      <c r="E40" s="172"/>
      <c r="F40" s="172"/>
      <c r="G40" s="172"/>
      <c r="H40" s="172"/>
      <c r="I40" s="458">
        <f t="shared" si="0"/>
        <v>0</v>
      </c>
    </row>
    <row r="41" spans="1:9" ht="12.75">
      <c r="A41" s="465"/>
      <c r="B41" s="476"/>
      <c r="C41" s="470"/>
      <c r="D41" s="470"/>
      <c r="E41" s="470">
        <v>3</v>
      </c>
      <c r="F41" s="470"/>
      <c r="G41" s="470"/>
      <c r="H41" s="470"/>
      <c r="I41" s="461">
        <f t="shared" si="0"/>
        <v>3</v>
      </c>
    </row>
    <row r="42" spans="1:9" ht="12.75">
      <c r="A42" s="474">
        <v>890442</v>
      </c>
      <c r="B42" s="475" t="s">
        <v>4516</v>
      </c>
      <c r="C42" s="202"/>
      <c r="D42" s="202"/>
      <c r="E42" s="202"/>
      <c r="F42" s="202"/>
      <c r="G42" s="202"/>
      <c r="H42" s="202"/>
      <c r="I42" s="479">
        <f t="shared" si="0"/>
        <v>0</v>
      </c>
    </row>
    <row r="43" spans="1:9" ht="12.75">
      <c r="A43" s="465"/>
      <c r="B43" s="476"/>
      <c r="C43" s="470"/>
      <c r="D43" s="470"/>
      <c r="E43" s="470"/>
      <c r="F43" s="470"/>
      <c r="G43" s="470"/>
      <c r="H43" s="470"/>
      <c r="I43" s="461">
        <f t="shared" si="0"/>
        <v>0</v>
      </c>
    </row>
    <row r="44" spans="1:9" ht="12.75">
      <c r="A44" s="487"/>
      <c r="B44" s="488" t="s">
        <v>1499</v>
      </c>
      <c r="C44" s="490">
        <f>C4+C6+C10+C12+C14+C16+C22+C24+C26+C28+C32+C34+C36+C38+C40+C20</f>
        <v>43375</v>
      </c>
      <c r="D44" s="490">
        <f aca="true" t="shared" si="1" ref="D44:I44">D4+D6+D10+D12+D14+D16+D22+D24+D26+D28+D32+D34+D36+D38+D40+D20</f>
        <v>11232</v>
      </c>
      <c r="E44" s="490">
        <f t="shared" si="1"/>
        <v>12575</v>
      </c>
      <c r="F44" s="490">
        <f t="shared" si="1"/>
        <v>108966</v>
      </c>
      <c r="G44" s="490">
        <f t="shared" si="1"/>
        <v>1123</v>
      </c>
      <c r="H44" s="490">
        <f t="shared" si="1"/>
        <v>0</v>
      </c>
      <c r="I44" s="490">
        <f t="shared" si="1"/>
        <v>177271</v>
      </c>
    </row>
    <row r="45" spans="1:9" ht="12.75">
      <c r="A45" s="420"/>
      <c r="B45" s="420"/>
      <c r="C45" s="420">
        <f>C5+C7+C9+C11+C13+C15+C17+C19+C23+C25+C27+C29+C31+C33+C35+C37+C39+C41+C43</f>
        <v>43322</v>
      </c>
      <c r="D45" s="420">
        <f aca="true" t="shared" si="2" ref="D45:I45">D5+D7+D9+D11+D13+D15+D17+D19+D23+D25+D27+D29+D31+D33+D35+D37+D39+D41+D43</f>
        <v>10303</v>
      </c>
      <c r="E45" s="420">
        <f t="shared" si="2"/>
        <v>11691</v>
      </c>
      <c r="F45" s="420">
        <f t="shared" si="2"/>
        <v>108515</v>
      </c>
      <c r="G45" s="420">
        <f t="shared" si="2"/>
        <v>1124</v>
      </c>
      <c r="H45" s="420">
        <f t="shared" si="2"/>
        <v>0</v>
      </c>
      <c r="I45" s="420">
        <f t="shared" si="2"/>
        <v>174955</v>
      </c>
    </row>
    <row r="47" spans="2:5" ht="12.75">
      <c r="B47" s="2051" t="s">
        <v>1449</v>
      </c>
      <c r="C47" s="2052"/>
      <c r="D47" s="388" t="s">
        <v>1512</v>
      </c>
      <c r="E47" s="388"/>
    </row>
    <row r="48" spans="2:5" ht="12.75">
      <c r="B48" s="389"/>
      <c r="C48" s="390"/>
      <c r="D48" s="388" t="s">
        <v>1075</v>
      </c>
      <c r="E48" s="391"/>
    </row>
  </sheetData>
  <sheetProtection/>
  <mergeCells count="3">
    <mergeCell ref="A1:I1"/>
    <mergeCell ref="A2:I2"/>
    <mergeCell ref="B47:C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33.875" style="169" customWidth="1"/>
    <col min="2" max="16384" width="9.125" style="169" customWidth="1"/>
  </cols>
  <sheetData>
    <row r="1" spans="1:9" ht="12.75">
      <c r="A1" s="2085" t="s">
        <v>5284</v>
      </c>
      <c r="B1" s="2085"/>
      <c r="C1" s="2085"/>
      <c r="D1" s="1862"/>
      <c r="E1" s="1862"/>
      <c r="F1" s="1862"/>
      <c r="G1" s="1862"/>
      <c r="H1" s="1862"/>
      <c r="I1" s="1862"/>
    </row>
    <row r="2" spans="1:3" ht="12.75">
      <c r="A2" s="2053" t="s">
        <v>2803</v>
      </c>
      <c r="B2" s="2053"/>
      <c r="C2" s="2053"/>
    </row>
    <row r="3" spans="1:3" ht="12.75">
      <c r="A3" s="389"/>
      <c r="B3" s="389"/>
      <c r="C3" s="389"/>
    </row>
    <row r="4" spans="1:3" ht="12.75">
      <c r="A4" s="389"/>
      <c r="B4" s="389"/>
      <c r="C4" s="389"/>
    </row>
    <row r="5" spans="1:3" ht="12.75">
      <c r="A5" s="2088" t="s">
        <v>4494</v>
      </c>
      <c r="B5" s="2090" t="s">
        <v>4495</v>
      </c>
      <c r="C5" s="2091"/>
    </row>
    <row r="6" spans="1:3" ht="19.5">
      <c r="A6" s="2089"/>
      <c r="B6" s="392" t="s">
        <v>673</v>
      </c>
      <c r="C6" s="452" t="s">
        <v>1075</v>
      </c>
    </row>
    <row r="7" spans="1:3" ht="12.75">
      <c r="A7" s="453" t="s">
        <v>4496</v>
      </c>
      <c r="B7" s="172">
        <v>48606</v>
      </c>
      <c r="C7" s="454">
        <v>48606</v>
      </c>
    </row>
    <row r="8" spans="1:3" ht="12.75">
      <c r="A8" s="453" t="s">
        <v>4497</v>
      </c>
      <c r="B8" s="172">
        <v>11900</v>
      </c>
      <c r="C8" s="454">
        <v>11900</v>
      </c>
    </row>
    <row r="9" spans="1:3" ht="12.75">
      <c r="A9" s="453" t="s">
        <v>4498</v>
      </c>
      <c r="B9" s="172">
        <v>7420</v>
      </c>
      <c r="C9" s="454">
        <v>7412</v>
      </c>
    </row>
    <row r="10" spans="1:3" ht="12.75">
      <c r="A10" s="453" t="s">
        <v>4499</v>
      </c>
      <c r="B10" s="388"/>
      <c r="C10" s="418">
        <f aca="true" t="shared" si="0" ref="C10:C16">B10</f>
        <v>0</v>
      </c>
    </row>
    <row r="11" spans="1:3" ht="12.75">
      <c r="A11" s="453" t="s">
        <v>4500</v>
      </c>
      <c r="B11" s="388"/>
      <c r="C11" s="418"/>
    </row>
    <row r="12" spans="1:3" ht="12.75">
      <c r="A12" s="453" t="s">
        <v>4501</v>
      </c>
      <c r="B12" s="388"/>
      <c r="C12" s="418">
        <f t="shared" si="0"/>
        <v>0</v>
      </c>
    </row>
    <row r="13" spans="1:3" ht="12.75">
      <c r="A13" s="453" t="s">
        <v>4502</v>
      </c>
      <c r="B13" s="388">
        <v>245</v>
      </c>
      <c r="C13" s="418">
        <f t="shared" si="0"/>
        <v>245</v>
      </c>
    </row>
    <row r="14" spans="1:3" ht="12.75">
      <c r="A14" s="453" t="s">
        <v>4503</v>
      </c>
      <c r="B14" s="388">
        <v>500</v>
      </c>
      <c r="C14" s="418">
        <v>0</v>
      </c>
    </row>
    <row r="15" spans="1:3" ht="12.75">
      <c r="A15" s="453" t="s">
        <v>4504</v>
      </c>
      <c r="B15" s="388"/>
      <c r="C15" s="418">
        <f t="shared" si="0"/>
        <v>0</v>
      </c>
    </row>
    <row r="16" spans="1:3" ht="12.75">
      <c r="A16" s="453" t="s">
        <v>4505</v>
      </c>
      <c r="B16" s="388"/>
      <c r="C16" s="418">
        <f t="shared" si="0"/>
        <v>0</v>
      </c>
    </row>
    <row r="17" spans="1:3" ht="12.75">
      <c r="A17" s="453" t="s">
        <v>3726</v>
      </c>
      <c r="B17" s="388"/>
      <c r="C17" s="418"/>
    </row>
    <row r="18" spans="1:3" ht="12.75">
      <c r="A18" s="455" t="s">
        <v>1499</v>
      </c>
      <c r="B18" s="455">
        <f>SUM(B7:B17)</f>
        <v>68671</v>
      </c>
      <c r="C18" s="456">
        <f>SUM(C7:C17)</f>
        <v>68163</v>
      </c>
    </row>
  </sheetData>
  <sheetProtection/>
  <mergeCells count="4">
    <mergeCell ref="A1:C1"/>
    <mergeCell ref="A2:C2"/>
    <mergeCell ref="A5:A6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7"/>
  <sheetViews>
    <sheetView zoomScale="125" zoomScaleNormal="125" zoomScalePageLayoutView="0" workbookViewId="0" topLeftCell="A1">
      <selection activeCell="C11" sqref="C11:D11"/>
    </sheetView>
  </sheetViews>
  <sheetFormatPr defaultColWidth="9.00390625" defaultRowHeight="12.75"/>
  <cols>
    <col min="1" max="1" width="2.875" style="271" customWidth="1"/>
    <col min="2" max="2" width="2.625" style="271" customWidth="1"/>
    <col min="3" max="3" width="3.75390625" style="271" customWidth="1"/>
    <col min="4" max="4" width="36.125" style="271" customWidth="1"/>
    <col min="5" max="5" width="7.75390625" style="271" customWidth="1"/>
    <col min="6" max="6" width="8.75390625" style="271" customWidth="1"/>
    <col min="7" max="7" width="8.625" style="271" customWidth="1"/>
    <col min="8" max="9" width="2.75390625" style="271" customWidth="1"/>
    <col min="10" max="10" width="3.625" style="271" customWidth="1"/>
    <col min="11" max="11" width="29.375" style="271" customWidth="1"/>
    <col min="12" max="12" width="7.375" style="271" customWidth="1"/>
    <col min="13" max="13" width="7.75390625" style="271" customWidth="1"/>
    <col min="14" max="14" width="6.625" style="271" customWidth="1"/>
    <col min="15" max="15" width="9.125" style="271" customWidth="1"/>
    <col min="16" max="16" width="9.625" style="271" bestFit="1" customWidth="1"/>
    <col min="17" max="16384" width="9.125" style="271" customWidth="1"/>
  </cols>
  <sheetData>
    <row r="1" spans="1:14" ht="12.75">
      <c r="A1" s="1968" t="s">
        <v>5267</v>
      </c>
      <c r="B1" s="1968"/>
      <c r="C1" s="1968"/>
      <c r="D1" s="1968"/>
      <c r="E1" s="1968"/>
      <c r="F1" s="1968"/>
      <c r="G1" s="1968"/>
      <c r="H1" s="1968"/>
      <c r="I1" s="1968"/>
      <c r="J1" s="1968"/>
      <c r="K1" s="1968"/>
      <c r="L1" s="1968"/>
      <c r="M1" s="1968"/>
      <c r="N1" s="1968"/>
    </row>
    <row r="2" spans="1:14" ht="13.5" customHeight="1">
      <c r="A2" s="1955" t="s">
        <v>2779</v>
      </c>
      <c r="B2" s="1955"/>
      <c r="C2" s="1955"/>
      <c r="D2" s="1955"/>
      <c r="E2" s="1955"/>
      <c r="F2" s="1955"/>
      <c r="G2" s="1955"/>
      <c r="H2" s="1955"/>
      <c r="I2" s="1955"/>
      <c r="J2" s="1955"/>
      <c r="K2" s="1955"/>
      <c r="L2" s="1955"/>
      <c r="M2" s="1955"/>
      <c r="N2" s="1955"/>
    </row>
    <row r="3" spans="1:14" ht="11.25" customHeight="1">
      <c r="A3" s="1957" t="s">
        <v>669</v>
      </c>
      <c r="B3" s="1958"/>
      <c r="C3" s="1958"/>
      <c r="D3" s="1958"/>
      <c r="E3" s="1958"/>
      <c r="F3" s="1958"/>
      <c r="G3" s="1958"/>
      <c r="H3" s="1957" t="s">
        <v>670</v>
      </c>
      <c r="I3" s="1958"/>
      <c r="J3" s="1958"/>
      <c r="K3" s="1958"/>
      <c r="L3" s="1958"/>
      <c r="M3" s="1958"/>
      <c r="N3" s="1959"/>
    </row>
    <row r="4" spans="1:14" ht="18.75" customHeight="1">
      <c r="A4" s="1952" t="s">
        <v>671</v>
      </c>
      <c r="B4" s="1953"/>
      <c r="C4" s="1953"/>
      <c r="D4" s="1954"/>
      <c r="E4" s="1693" t="s">
        <v>672</v>
      </c>
      <c r="F4" s="1693" t="s">
        <v>673</v>
      </c>
      <c r="G4" s="1693" t="s">
        <v>4220</v>
      </c>
      <c r="H4" s="1952" t="s">
        <v>671</v>
      </c>
      <c r="I4" s="1953"/>
      <c r="J4" s="1953"/>
      <c r="K4" s="1954"/>
      <c r="L4" s="1693" t="s">
        <v>672</v>
      </c>
      <c r="M4" s="1693" t="s">
        <v>673</v>
      </c>
      <c r="N4" s="1693" t="s">
        <v>4220</v>
      </c>
    </row>
    <row r="5" spans="1:14" ht="10.5" customHeight="1">
      <c r="A5" s="260" t="s">
        <v>675</v>
      </c>
      <c r="B5" s="1934" t="s">
        <v>676</v>
      </c>
      <c r="C5" s="1934"/>
      <c r="D5" s="1934"/>
      <c r="E5" s="253"/>
      <c r="F5" s="253"/>
      <c r="G5" s="253"/>
      <c r="H5" s="261" t="s">
        <v>675</v>
      </c>
      <c r="I5" s="1940" t="s">
        <v>676</v>
      </c>
      <c r="J5" s="1940"/>
      <c r="K5" s="1940"/>
      <c r="L5" s="253"/>
      <c r="M5" s="253"/>
      <c r="N5" s="253"/>
    </row>
    <row r="6" spans="1:18" ht="10.5" customHeight="1">
      <c r="A6" s="262"/>
      <c r="B6" s="263">
        <v>1</v>
      </c>
      <c r="C6" s="1929" t="s">
        <v>677</v>
      </c>
      <c r="D6" s="1949"/>
      <c r="E6" s="240">
        <f>SUM(E7:E10)</f>
        <v>121008</v>
      </c>
      <c r="F6" s="240">
        <f>SUM(F7:F10)</f>
        <v>114520</v>
      </c>
      <c r="G6" s="240">
        <f>SUM(G7:G10)</f>
        <v>119548</v>
      </c>
      <c r="H6" s="264"/>
      <c r="I6" s="241" t="s">
        <v>4029</v>
      </c>
      <c r="J6" s="1941" t="s">
        <v>4136</v>
      </c>
      <c r="K6" s="1941"/>
      <c r="L6" s="256">
        <f>'[1]önk.műk.felh'!L6+'[1]ph műk.felh'!L6+'[1]óvoda műk.felh'!L6+'[1]gamesz műk.felh'!L6+'[1]gond.műk.felh.'!L6+'[1]műv.műk.felh'!L6</f>
        <v>211276</v>
      </c>
      <c r="M6" s="256">
        <f>'önk.műk'!M6+'ph műk.'!M6+'óv.műk'!M6+'gamesz műk'!M6+'gond.műk'!M6+'műv.műk.'!M6</f>
        <v>335866</v>
      </c>
      <c r="N6" s="256">
        <f>'önk.műk'!N6+'ph műk.'!N6+'óv.műk'!N6+'gamesz műk'!N6+'gond.műk'!N6+'műv.műk.'!N6</f>
        <v>332093</v>
      </c>
      <c r="P6" s="1522">
        <f>N6+N68</f>
        <v>335820</v>
      </c>
      <c r="R6" s="272"/>
    </row>
    <row r="7" spans="1:16" ht="12" customHeight="1">
      <c r="A7" s="262"/>
      <c r="B7" s="265"/>
      <c r="C7" s="242" t="s">
        <v>4135</v>
      </c>
      <c r="D7" s="266" t="s">
        <v>4034</v>
      </c>
      <c r="E7" s="240">
        <v>113000</v>
      </c>
      <c r="F7" s="240">
        <f>'[1]önk.műk.felh'!F7</f>
        <v>113000</v>
      </c>
      <c r="G7" s="240">
        <f>'önk.műk'!G7</f>
        <v>114214</v>
      </c>
      <c r="H7" s="264"/>
      <c r="I7" s="241" t="s">
        <v>4031</v>
      </c>
      <c r="J7" s="1941" t="s">
        <v>678</v>
      </c>
      <c r="K7" s="1941"/>
      <c r="L7" s="256">
        <f>'[1]önk.műk.felh'!L7+'[1]ph műk.felh'!L7+'[1]óvoda műk.felh'!L7+'[1]gamesz műk.felh'!L7+'[1]gond.műk.felh.'!L7+'[1]műv.műk.felh'!L7</f>
        <v>55618</v>
      </c>
      <c r="M7" s="256">
        <f>'önk.műk'!M7+'ph műk.'!M7+'óv.műk'!M7+'gamesz műk'!M7+'gond.műk'!M7+'műv.műk.'!M7</f>
        <v>72222</v>
      </c>
      <c r="N7" s="256">
        <f>'önk.műk'!N7+'ph műk.'!N7+'óv.műk'!N7+'gamesz műk'!N7+'gond.műk'!N7+'műv.műk.'!N7</f>
        <v>70112</v>
      </c>
      <c r="P7" s="1522">
        <f aca="true" t="shared" si="0" ref="P7:P20">N7+N69</f>
        <v>70915</v>
      </c>
    </row>
    <row r="8" spans="1:16" ht="12" customHeight="1">
      <c r="A8" s="253"/>
      <c r="B8" s="264"/>
      <c r="C8" s="243" t="s">
        <v>4137</v>
      </c>
      <c r="D8" s="266" t="s">
        <v>4036</v>
      </c>
      <c r="E8" s="240">
        <v>0</v>
      </c>
      <c r="F8" s="240">
        <f>'[1]önk.műk.felh'!F8</f>
        <v>0</v>
      </c>
      <c r="G8" s="240">
        <f>'önk.műk'!G8</f>
        <v>0</v>
      </c>
      <c r="H8" s="264"/>
      <c r="I8" s="241" t="s">
        <v>4041</v>
      </c>
      <c r="J8" s="1941" t="s">
        <v>4140</v>
      </c>
      <c r="K8" s="1941"/>
      <c r="L8" s="256">
        <f>'[1]önk.műk.felh'!L8+'[1]ph műk.felh'!L8+'[1]óvoda műk.felh'!L8+'[1]gamesz műk.felh'!L8+'[1]gond.műk.felh.'!L8+'[1]műv.műk.felh'!L8</f>
        <v>226970</v>
      </c>
      <c r="M8" s="256">
        <f>'önk.műk'!M8+'ph műk.'!M8+'óv.műk'!M8+'gamesz műk'!M8+'gond.műk'!M8+'műv.műk.'!M8</f>
        <v>275369</v>
      </c>
      <c r="N8" s="256">
        <f>'önk.műk'!N8+'ph műk.'!N8+'óv.műk'!N8+'gamesz műk'!N8+'gond.műk'!N8+'műv.műk.'!N8</f>
        <v>274055</v>
      </c>
      <c r="P8" s="1522">
        <f t="shared" si="0"/>
        <v>278907</v>
      </c>
    </row>
    <row r="9" spans="1:16" ht="12" customHeight="1">
      <c r="A9" s="253"/>
      <c r="B9" s="264"/>
      <c r="C9" s="243" t="s">
        <v>679</v>
      </c>
      <c r="D9" s="266" t="s">
        <v>4038</v>
      </c>
      <c r="E9" s="240">
        <v>1000</v>
      </c>
      <c r="F9" s="240">
        <f>'[1]önk.műk.felh'!F9</f>
        <v>1000</v>
      </c>
      <c r="G9" s="240">
        <f>'önk.műk'!G9</f>
        <v>1409</v>
      </c>
      <c r="H9" s="264"/>
      <c r="I9" s="241" t="s">
        <v>4166</v>
      </c>
      <c r="J9" s="1941" t="s">
        <v>4142</v>
      </c>
      <c r="K9" s="1941"/>
      <c r="L9" s="256">
        <f>'[1]önk.műk.felh'!L9+'[1]ph műk.felh'!L9+'[1]óvoda műk.felh'!L9+'[1]gamesz műk.felh'!L9+'[1]gond.műk.felh.'!L9+'[1]műv.műk.felh'!L9</f>
        <v>0</v>
      </c>
      <c r="M9" s="256">
        <f>'önk.műk'!M9+'ph műk.'!M9+'óv.műk'!M9+'gamesz műk'!M9+'gond.műk'!M9+'műv.műk.'!M9</f>
        <v>0</v>
      </c>
      <c r="N9" s="256">
        <f>'[1]kvi mérleg'!E79-N71</f>
        <v>0</v>
      </c>
      <c r="P9" s="1522">
        <f t="shared" si="0"/>
        <v>0</v>
      </c>
    </row>
    <row r="10" spans="1:16" ht="12" customHeight="1">
      <c r="A10" s="253"/>
      <c r="B10" s="264"/>
      <c r="C10" s="243" t="s">
        <v>680</v>
      </c>
      <c r="D10" s="266" t="s">
        <v>681</v>
      </c>
      <c r="E10" s="240">
        <v>7008</v>
      </c>
      <c r="F10" s="240">
        <f>2410-1890</f>
        <v>520</v>
      </c>
      <c r="G10" s="240">
        <f>'önk.műk'!G10</f>
        <v>3925</v>
      </c>
      <c r="H10" s="264"/>
      <c r="I10" s="241" t="s">
        <v>4061</v>
      </c>
      <c r="J10" s="1941" t="s">
        <v>4144</v>
      </c>
      <c r="K10" s="1941"/>
      <c r="L10" s="256">
        <f>SUM(L11:L19)</f>
        <v>144711</v>
      </c>
      <c r="M10" s="256">
        <f>M12+M13+M14</f>
        <v>142249</v>
      </c>
      <c r="N10" s="256">
        <f>SUM(N11:N19)</f>
        <v>139541</v>
      </c>
      <c r="P10" s="1522">
        <f t="shared" si="0"/>
        <v>145996</v>
      </c>
    </row>
    <row r="11" spans="1:18" ht="12" customHeight="1">
      <c r="A11" s="253"/>
      <c r="B11" s="244" t="s">
        <v>4031</v>
      </c>
      <c r="C11" s="1934" t="s">
        <v>682</v>
      </c>
      <c r="D11" s="1951"/>
      <c r="E11" s="240">
        <f>SUM(E13:E18)</f>
        <v>62624</v>
      </c>
      <c r="F11" s="240">
        <f>SUM(F12:F18)</f>
        <v>79458</v>
      </c>
      <c r="G11" s="240">
        <f>SUM(G12:G18)</f>
        <v>101088</v>
      </c>
      <c r="H11" s="264"/>
      <c r="I11" s="264"/>
      <c r="J11" s="243" t="s">
        <v>4063</v>
      </c>
      <c r="K11" s="245" t="s">
        <v>683</v>
      </c>
      <c r="L11" s="256">
        <f>'[1]önk.műk.felh'!L11+'[1]ph műk.felh'!L11+'[1]óvoda műk.felh'!L11+'[1]gamesz műk.felh'!L11+'[1]gond.műk.felh.'!L11+'[1]műv.műk.felh'!L11</f>
        <v>0</v>
      </c>
      <c r="M11" s="256">
        <f>'önk.műk'!M11+'ph műk.'!M11+'óv.műk'!M11+'gamesz műk'!M11+'gond.műk'!M11+'műv.műk.'!M11</f>
        <v>0</v>
      </c>
      <c r="N11" s="256">
        <f>'[1]kvi mérleg'!E81</f>
        <v>0</v>
      </c>
      <c r="P11" s="1522">
        <f t="shared" si="0"/>
        <v>0</v>
      </c>
      <c r="R11" s="1522"/>
    </row>
    <row r="12" spans="1:16" ht="12" customHeight="1">
      <c r="A12" s="253"/>
      <c r="B12" s="244"/>
      <c r="C12" s="243" t="s">
        <v>684</v>
      </c>
      <c r="D12" s="246" t="s">
        <v>685</v>
      </c>
      <c r="E12" s="240"/>
      <c r="F12" s="240">
        <f>'gamesz műk'!F12</f>
        <v>3783</v>
      </c>
      <c r="G12" s="240">
        <f>'gamesz műk'!G12</f>
        <v>3762</v>
      </c>
      <c r="H12" s="264"/>
      <c r="I12" s="264"/>
      <c r="J12" s="243" t="s">
        <v>4064</v>
      </c>
      <c r="K12" s="247" t="s">
        <v>686</v>
      </c>
      <c r="L12" s="256">
        <v>137097</v>
      </c>
      <c r="M12" s="256">
        <f>'önk.műk'!M12+'ph műk.'!M10</f>
        <v>129327</v>
      </c>
      <c r="N12" s="256">
        <f>'önk.műk'!N12+'ph műk.'!N10</f>
        <v>124890</v>
      </c>
      <c r="P12" s="1522">
        <f t="shared" si="0"/>
        <v>124890</v>
      </c>
    </row>
    <row r="13" spans="1:18" ht="12" customHeight="1">
      <c r="A13" s="253"/>
      <c r="B13" s="264"/>
      <c r="C13" s="243" t="s">
        <v>687</v>
      </c>
      <c r="D13" s="245" t="s">
        <v>4046</v>
      </c>
      <c r="E13" s="240">
        <f>'[1]önk.műk.felh'!E12+'[1]ph műk.felh'!E12+'[1]óvoda műk.felh'!E12+'[1]gamesz műk.felh'!E12+'[1]gond.műk.felh.'!E12+'[1]műv.műk.felh'!E12</f>
        <v>0</v>
      </c>
      <c r="F13" s="240">
        <f>'önk.műk'!F12+'gond.műk'!F12+'műv.műk.'!F12+'gamesz műk'!F13</f>
        <v>6076</v>
      </c>
      <c r="G13" s="240">
        <f>'önk.műk'!G12+'gond.műk'!G12+'műv.műk.'!G12+'gamesz műk'!G13</f>
        <v>6080</v>
      </c>
      <c r="H13" s="264"/>
      <c r="I13" s="264"/>
      <c r="J13" s="243" t="s">
        <v>4065</v>
      </c>
      <c r="K13" s="248" t="s">
        <v>688</v>
      </c>
      <c r="L13" s="256"/>
      <c r="M13" s="256">
        <f>'önk.műk'!M13+'ph műk.'!M13+'óv.műk'!M13+'gamesz műk'!M13+'gond.műk'!M13+'műv.műk.'!M13</f>
        <v>63</v>
      </c>
      <c r="N13" s="256">
        <v>63</v>
      </c>
      <c r="P13" s="1522">
        <f t="shared" si="0"/>
        <v>63</v>
      </c>
      <c r="R13" s="272">
        <f>102048-G11-G73</f>
        <v>0</v>
      </c>
    </row>
    <row r="14" spans="1:16" ht="12" customHeight="1">
      <c r="A14" s="253"/>
      <c r="B14" s="264"/>
      <c r="C14" s="243" t="s">
        <v>689</v>
      </c>
      <c r="D14" s="245" t="s">
        <v>4048</v>
      </c>
      <c r="E14" s="240">
        <f>'[1]önk.műk.felh'!E13+'[1]ph műk.felh'!E13+'[1]óvoda műk.felh'!E13+'[1]gamesz műk.felh'!E13+'[1]gond.műk.felh.'!E13+'[1]műv.műk.felh'!E13</f>
        <v>0</v>
      </c>
      <c r="F14" s="240">
        <f>'önk.műk'!F13+'műv.műk.'!F13</f>
        <v>13006</v>
      </c>
      <c r="G14" s="240">
        <f>'önk.műk'!G13+'műv.műk.'!G13</f>
        <v>12046</v>
      </c>
      <c r="H14" s="264"/>
      <c r="I14" s="264"/>
      <c r="J14" s="243" t="s">
        <v>4066</v>
      </c>
      <c r="K14" s="245" t="s">
        <v>690</v>
      </c>
      <c r="L14" s="256">
        <f>'[1]önk.műk.felh'!L14+'[1]ph műk.felh'!L14+'[1]óvoda műk.felh'!L14+'[1]gamesz műk.felh'!L14+'[1]gond.műk.felh.'!L14+'[1]műv.műk.felh'!L14</f>
        <v>7614</v>
      </c>
      <c r="M14" s="256">
        <f>'önk.műk'!M14+'ph műk.'!M14+'óv.műk'!M14+'gamesz műk'!M14+'gond.műk'!M14+'műv.műk.'!M14</f>
        <v>12859</v>
      </c>
      <c r="N14" s="256">
        <f>'önk.műk'!N14+'ph műk.'!N14+'óv.műk'!N14+'gamesz műk'!N14+'gond.műk'!N14+'műv.műk.'!N14</f>
        <v>12882</v>
      </c>
      <c r="P14" s="1522">
        <f t="shared" si="0"/>
        <v>16592</v>
      </c>
    </row>
    <row r="15" spans="1:16" ht="12" customHeight="1">
      <c r="A15" s="253"/>
      <c r="B15" s="264"/>
      <c r="C15" s="243" t="s">
        <v>691</v>
      </c>
      <c r="D15" s="245" t="s">
        <v>4050</v>
      </c>
      <c r="E15" s="240">
        <f>'[1]önk.műk.felh'!E14+'[1]ph műk.felh'!E14+'[1]óvoda műk.felh'!E14+'[1]gamesz műk.felh'!E14+'[1]gond.műk.felh.'!E14+'[1]műv.műk.felh'!E14</f>
        <v>26000</v>
      </c>
      <c r="F15" s="240">
        <f>'gond.műk'!F14</f>
        <v>41153</v>
      </c>
      <c r="G15" s="240">
        <f>'gond.műk'!G14</f>
        <v>41209</v>
      </c>
      <c r="H15" s="264"/>
      <c r="I15" s="264"/>
      <c r="J15" s="243" t="s">
        <v>692</v>
      </c>
      <c r="K15" s="245" t="s">
        <v>693</v>
      </c>
      <c r="M15" s="256">
        <f>'önk.műk'!M15+'ph műk.'!M15+'óv.műk'!M15+'gamesz műk'!M15+'gond.műk'!M15+'műv.műk.'!M15</f>
        <v>0</v>
      </c>
      <c r="N15" s="256">
        <f>2749-63-980</f>
        <v>1706</v>
      </c>
      <c r="P15" s="1522">
        <f t="shared" si="0"/>
        <v>2701</v>
      </c>
    </row>
    <row r="16" spans="1:16" ht="12" customHeight="1">
      <c r="A16" s="253"/>
      <c r="B16" s="264"/>
      <c r="C16" s="243" t="s">
        <v>694</v>
      </c>
      <c r="D16" s="245" t="s">
        <v>695</v>
      </c>
      <c r="E16" s="240">
        <f>'[1]önk.műk.felh'!E15+'[1]ph műk.felh'!E15+'[1]óvoda műk.felh'!E15+'[1]gamesz műk.felh'!E15+'[1]gond.műk.felh.'!E15+'[1]műv.műk.felh'!E15</f>
        <v>868</v>
      </c>
      <c r="F16" s="240">
        <f>'önk.műk'!F15+'ph műk.'!F15+'gond.műk'!F15+'műv.műk.'!F15+'gamesz műk'!F16</f>
        <v>7112</v>
      </c>
      <c r="G16" s="240">
        <f>'önk.műk'!G15+'ph műk.'!G15+'gond.műk'!G15+'műv.műk.'!G15+'gamesz műk'!G16</f>
        <v>9375</v>
      </c>
      <c r="H16" s="264"/>
      <c r="I16" s="264"/>
      <c r="J16" s="243" t="s">
        <v>696</v>
      </c>
      <c r="K16" s="245" t="s">
        <v>697</v>
      </c>
      <c r="L16" s="256">
        <f>'[1]önk.műk.felh'!L15+'[1]ph műk.felh'!L15+'[1]óvoda műk.felh'!L15+'[1]gamesz műk.felh'!L15+'[1]gond.műk.felh.'!L15+'[1]műv.műk.felh'!L15</f>
        <v>0</v>
      </c>
      <c r="M16" s="256">
        <f>'önk.műk'!M16+'ph műk.'!M16+'óv.műk'!M16+'gamesz műk'!M16+'gond.műk'!M16+'műv.műk.'!M16</f>
        <v>0</v>
      </c>
      <c r="N16" s="256">
        <f>-250+250</f>
        <v>0</v>
      </c>
      <c r="P16" s="1522">
        <f t="shared" si="0"/>
        <v>1750</v>
      </c>
    </row>
    <row r="17" spans="1:16" ht="12" customHeight="1">
      <c r="A17" s="253"/>
      <c r="B17" s="264"/>
      <c r="C17" s="243" t="s">
        <v>698</v>
      </c>
      <c r="D17" s="245" t="s">
        <v>4056</v>
      </c>
      <c r="E17" s="240">
        <f>'[1]önk.műk.felh'!E16+'[1]ph műk.felh'!E16+'[1]óvoda műk.felh'!E16+'[1]gamesz műk.felh'!E16+'[1]gond.műk.felh.'!E16+'[1]műv.műk.felh'!E16</f>
        <v>1400</v>
      </c>
      <c r="F17" s="240">
        <f>'önk.műk'!F16+'ph műk.'!F16+'óv.műk'!F16+'gond.műk'!F16+'műv.műk.'!F16+'gamesz műk'!F17</f>
        <v>2868</v>
      </c>
      <c r="G17" s="240">
        <f>'önk.műk'!G16+'ph műk.'!G16+'óv.műk'!G16+'gond.műk'!G16+'műv.műk.'!G16+'gamesz műk'!G17</f>
        <v>2927</v>
      </c>
      <c r="H17" s="264"/>
      <c r="I17" s="264"/>
      <c r="J17" s="243" t="s">
        <v>699</v>
      </c>
      <c r="K17" s="245" t="s">
        <v>700</v>
      </c>
      <c r="L17" s="256">
        <f>'[1]önk.műk.felh'!L16+'[1]ph műk.felh'!L16+'[1]óvoda műk.felh'!L16+'[1]gamesz műk.felh'!L16+'[1]gond.műk.felh.'!L16+'[1]műv.műk.felh'!L16</f>
        <v>0</v>
      </c>
      <c r="M17" s="256">
        <f>'önk.műk'!M17+'ph műk.'!M17+'óv.műk'!M17+'gamesz műk'!M17+'gond.műk'!M17+'műv.műk.'!M17</f>
        <v>0</v>
      </c>
      <c r="N17" s="256"/>
      <c r="P17" s="1522">
        <f t="shared" si="0"/>
        <v>0</v>
      </c>
    </row>
    <row r="18" spans="1:16" ht="12" customHeight="1">
      <c r="A18" s="253"/>
      <c r="B18" s="264"/>
      <c r="C18" s="243" t="s">
        <v>701</v>
      </c>
      <c r="D18" s="245" t="s">
        <v>4058</v>
      </c>
      <c r="E18" s="240">
        <f>'[1]önk.műk.felh'!E17+'[1]ph műk.felh'!E17+'[1]óvoda műk.felh'!E17+'[1]gamesz műk.felh'!E17+'[1]gond.műk.felh.'!E17+'[1]műv.műk.felh'!E17</f>
        <v>34356</v>
      </c>
      <c r="F18" s="240">
        <f>'önk.műk'!F17+'ph műk.'!F17+'gond.műk'!F17+'műv.műk.'!F17+'gamesz műk'!F18</f>
        <v>5460</v>
      </c>
      <c r="G18" s="240">
        <f>'önk.műk'!G17+'ph műk.'!G17+'gond.műk'!G17+'műv.műk.'!G17+'gamesz műk'!G18</f>
        <v>25689</v>
      </c>
      <c r="H18" s="264"/>
      <c r="I18" s="264"/>
      <c r="J18" s="243" t="s">
        <v>702</v>
      </c>
      <c r="K18" s="253" t="s">
        <v>703</v>
      </c>
      <c r="L18" s="256">
        <v>354297</v>
      </c>
      <c r="M18" s="256">
        <f>'önk.műk'!M18+'ph műk.'!M18+'óv.műk'!M18+'gamesz műk'!M18+'gond.műk'!M18+'műv.műk.'!M18</f>
        <v>457863</v>
      </c>
      <c r="N18" s="256">
        <f>'önk.műk'!N18+'ph műk.'!N18+'óv.műk'!N18+'gamesz műk'!N18+'gond.műk'!N18+'műv.műk.'!N18</f>
        <v>457863</v>
      </c>
      <c r="P18" s="1522">
        <f t="shared" si="0"/>
        <v>457863</v>
      </c>
    </row>
    <row r="19" spans="1:16" ht="12" customHeight="1">
      <c r="A19" s="253"/>
      <c r="B19" s="244" t="s">
        <v>4041</v>
      </c>
      <c r="C19" s="1934" t="s">
        <v>704</v>
      </c>
      <c r="D19" s="1934"/>
      <c r="E19" s="240">
        <v>12000</v>
      </c>
      <c r="F19" s="240">
        <v>12000</v>
      </c>
      <c r="G19" s="240">
        <v>11178</v>
      </c>
      <c r="H19" s="264"/>
      <c r="I19" s="264"/>
      <c r="J19" s="1963" t="s">
        <v>705</v>
      </c>
      <c r="K19" s="1964"/>
      <c r="L19" s="253">
        <f>L18*-1</f>
        <v>-354297</v>
      </c>
      <c r="M19" s="256">
        <v>-457863</v>
      </c>
      <c r="N19" s="253">
        <f>N18*-1</f>
        <v>-457863</v>
      </c>
      <c r="P19" s="1522">
        <f t="shared" si="0"/>
        <v>-457863</v>
      </c>
    </row>
    <row r="20" spans="1:16" ht="12" customHeight="1">
      <c r="A20" s="253"/>
      <c r="B20" s="244" t="s">
        <v>4166</v>
      </c>
      <c r="C20" s="1934" t="s">
        <v>1080</v>
      </c>
      <c r="D20" s="1934"/>
      <c r="E20" s="240">
        <f>SUM(E21:E26)</f>
        <v>310070</v>
      </c>
      <c r="F20" s="240">
        <f>SUM(F21:F26)</f>
        <v>453559</v>
      </c>
      <c r="G20" s="240">
        <f>SUM(G21:G26)</f>
        <v>453559</v>
      </c>
      <c r="H20" s="264"/>
      <c r="I20" s="264">
        <v>6</v>
      </c>
      <c r="J20" s="1937" t="s">
        <v>707</v>
      </c>
      <c r="K20" s="1938"/>
      <c r="L20" s="253">
        <v>1000</v>
      </c>
      <c r="M20" s="256">
        <v>59441</v>
      </c>
      <c r="N20" s="253"/>
      <c r="P20" s="1522">
        <f t="shared" si="0"/>
        <v>0</v>
      </c>
    </row>
    <row r="21" spans="1:14" ht="12" customHeight="1">
      <c r="A21" s="253"/>
      <c r="B21" s="264"/>
      <c r="C21" s="243" t="s">
        <v>708</v>
      </c>
      <c r="D21" s="245" t="s">
        <v>709</v>
      </c>
      <c r="E21" s="240">
        <f>'[1]önk.műk.felh'!E20</f>
        <v>128635</v>
      </c>
      <c r="F21" s="240">
        <f>'önk.műk'!F20</f>
        <v>128636</v>
      </c>
      <c r="G21" s="240">
        <f>'önk.műk'!G20</f>
        <v>128636</v>
      </c>
      <c r="H21" s="264"/>
      <c r="I21" s="264"/>
      <c r="J21" s="1937"/>
      <c r="K21" s="1938"/>
      <c r="L21" s="253"/>
      <c r="M21" s="253"/>
      <c r="N21" s="253"/>
    </row>
    <row r="22" spans="1:14" ht="12" customHeight="1">
      <c r="A22" s="253"/>
      <c r="B22" s="264"/>
      <c r="C22" s="243" t="s">
        <v>710</v>
      </c>
      <c r="D22" s="267" t="s">
        <v>711</v>
      </c>
      <c r="E22" s="240">
        <f>'[1]önk.műk.felh'!E21</f>
        <v>86156</v>
      </c>
      <c r="F22" s="240">
        <f>'önk.műk'!F21</f>
        <v>88171</v>
      </c>
      <c r="G22" s="240">
        <f>'önk.műk'!G21</f>
        <v>88171</v>
      </c>
      <c r="H22" s="264"/>
      <c r="I22" s="264"/>
      <c r="J22" s="264"/>
      <c r="K22" s="253"/>
      <c r="L22" s="253"/>
      <c r="M22" s="253"/>
      <c r="N22" s="253"/>
    </row>
    <row r="23" spans="1:14" ht="12" customHeight="1">
      <c r="A23" s="253"/>
      <c r="B23" s="264"/>
      <c r="C23" s="243" t="s">
        <v>712</v>
      </c>
      <c r="D23" s="267" t="s">
        <v>713</v>
      </c>
      <c r="E23" s="240">
        <f>'[1]önk.műk.felh'!E22</f>
        <v>88583</v>
      </c>
      <c r="F23" s="240">
        <f>'önk.műk'!F22</f>
        <v>180215</v>
      </c>
      <c r="G23" s="240">
        <f>'önk.műk'!G22</f>
        <v>180215</v>
      </c>
      <c r="H23" s="264"/>
      <c r="I23" s="264"/>
      <c r="J23" s="264"/>
      <c r="K23" s="253"/>
      <c r="L23" s="253"/>
      <c r="M23" s="253"/>
      <c r="N23" s="253"/>
    </row>
    <row r="24" spans="1:14" ht="12" customHeight="1">
      <c r="A24" s="253"/>
      <c r="B24" s="264"/>
      <c r="C24" s="243" t="s">
        <v>714</v>
      </c>
      <c r="D24" s="267" t="s">
        <v>715</v>
      </c>
      <c r="E24" s="240">
        <f>'[1]önk.műk.felh'!E23</f>
        <v>6220</v>
      </c>
      <c r="F24" s="240">
        <f>'önk.műk'!F23</f>
        <v>6220</v>
      </c>
      <c r="G24" s="240">
        <f>'önk.műk'!G23</f>
        <v>6220</v>
      </c>
      <c r="H24" s="264"/>
      <c r="I24" s="264"/>
      <c r="J24" s="264"/>
      <c r="K24" s="253"/>
      <c r="L24" s="253"/>
      <c r="M24" s="253"/>
      <c r="N24" s="253"/>
    </row>
    <row r="25" spans="1:14" ht="12" customHeight="1">
      <c r="A25" s="253"/>
      <c r="B25" s="264"/>
      <c r="C25" s="243" t="s">
        <v>716</v>
      </c>
      <c r="D25" s="245" t="s">
        <v>4068</v>
      </c>
      <c r="E25" s="240">
        <f>'[1]önk.műk.felh'!E24</f>
        <v>476</v>
      </c>
      <c r="F25" s="240">
        <f>'önk.műk'!F24</f>
        <v>3819</v>
      </c>
      <c r="G25" s="240">
        <f>'önk.műk'!G24</f>
        <v>3819</v>
      </c>
      <c r="H25" s="264"/>
      <c r="I25" s="264"/>
      <c r="J25" s="264"/>
      <c r="K25" s="253"/>
      <c r="L25" s="253"/>
      <c r="M25" s="253"/>
      <c r="N25" s="253"/>
    </row>
    <row r="26" spans="1:16" ht="12" customHeight="1">
      <c r="A26" s="253"/>
      <c r="B26" s="264"/>
      <c r="C26" s="243" t="s">
        <v>717</v>
      </c>
      <c r="D26" s="245" t="s">
        <v>4073</v>
      </c>
      <c r="E26" s="240">
        <f>'[1]önk.műk.felh'!E25</f>
        <v>0</v>
      </c>
      <c r="F26" s="240">
        <f>'önk.műk'!F25</f>
        <v>46498</v>
      </c>
      <c r="G26" s="240">
        <f>'önk.műk'!G25</f>
        <v>46498</v>
      </c>
      <c r="H26" s="264"/>
      <c r="I26" s="264"/>
      <c r="J26" s="264"/>
      <c r="K26" s="253"/>
      <c r="L26" s="253"/>
      <c r="M26" s="253"/>
      <c r="N26" s="253"/>
      <c r="P26" s="272">
        <f>G27+600-116718</f>
        <v>54484</v>
      </c>
    </row>
    <row r="27" spans="1:14" ht="12" customHeight="1">
      <c r="A27" s="253"/>
      <c r="B27" s="244" t="s">
        <v>4061</v>
      </c>
      <c r="C27" s="1928" t="s">
        <v>1081</v>
      </c>
      <c r="D27" s="1930"/>
      <c r="E27" s="240">
        <f>SUM(E28:E30)</f>
        <v>121771</v>
      </c>
      <c r="F27" s="240">
        <f>SUM(F28:F30)</f>
        <v>167457</v>
      </c>
      <c r="G27" s="240">
        <f>SUM(G28:G30)</f>
        <v>170602</v>
      </c>
      <c r="H27" s="264"/>
      <c r="I27" s="264"/>
      <c r="J27" s="264"/>
      <c r="K27" s="253"/>
      <c r="L27" s="253"/>
      <c r="M27" s="253"/>
      <c r="N27" s="253"/>
    </row>
    <row r="28" spans="1:18" ht="12" customHeight="1">
      <c r="A28" s="253"/>
      <c r="B28" s="264"/>
      <c r="C28" s="243" t="s">
        <v>4063</v>
      </c>
      <c r="D28" s="245" t="s">
        <v>719</v>
      </c>
      <c r="E28" s="240">
        <f>'[1]önk.műk.felh'!E27+'[1]ph műk.felh'!E27+'[1]óvoda műk.felh'!E27+'[1]gamesz műk.felh'!E27+'[1]gond.műk.felh.'!E27+'[1]műv.műk.felh'!E27</f>
        <v>16134</v>
      </c>
      <c r="F28" s="240">
        <f>11776+5755</f>
        <v>17531</v>
      </c>
      <c r="G28" s="240">
        <v>17531</v>
      </c>
      <c r="H28" s="264"/>
      <c r="I28" s="264"/>
      <c r="J28" s="264"/>
      <c r="K28" s="253"/>
      <c r="L28" s="253"/>
      <c r="M28" s="253"/>
      <c r="N28" s="253"/>
      <c r="O28" s="271">
        <v>250558</v>
      </c>
      <c r="P28" s="272">
        <f>'önk.műk'!G26+'ph műk.'!G26+'gamesz műk'!G27</f>
        <v>170101</v>
      </c>
      <c r="Q28" s="272">
        <f>171202-G27</f>
        <v>600</v>
      </c>
      <c r="R28" s="1522"/>
    </row>
    <row r="29" spans="1:21" ht="12" customHeight="1">
      <c r="A29" s="253"/>
      <c r="B29" s="264"/>
      <c r="C29" s="243" t="s">
        <v>4064</v>
      </c>
      <c r="D29" s="245" t="s">
        <v>720</v>
      </c>
      <c r="E29" s="240">
        <f>'[1]önk.műk.felh'!E28+'[1]ph műk.felh'!E28+'[1]óvoda műk.felh'!E28+'[1]gamesz műk.felh'!E28+'[1]gond.műk.felh.'!E28+'[1]műv.műk.felh'!E28</f>
        <v>0</v>
      </c>
      <c r="F29" s="240">
        <f>'gamesz műk'!F29</f>
        <v>128228</v>
      </c>
      <c r="G29" s="240">
        <f>'gamesz műk'!G29</f>
        <v>128228</v>
      </c>
      <c r="H29" s="264"/>
      <c r="I29" s="264"/>
      <c r="J29" s="264"/>
      <c r="K29" s="253"/>
      <c r="L29" s="253"/>
      <c r="M29" s="253"/>
      <c r="N29" s="253"/>
      <c r="U29" s="272">
        <f>S33+123160+3939+20</f>
        <v>1434792</v>
      </c>
    </row>
    <row r="30" spans="1:18" ht="12" customHeight="1">
      <c r="A30" s="253"/>
      <c r="B30" s="264"/>
      <c r="C30" s="243" t="s">
        <v>4065</v>
      </c>
      <c r="D30" s="245" t="s">
        <v>721</v>
      </c>
      <c r="E30" s="240">
        <f>'[1]önk.műk.felh'!E29+'[1]ph műk.felh'!E29+'[1]óvoda műk.felh'!E29+'[1]gamesz műk.felh'!E29+'[1]gond.műk.felh.'!E29+'[1]műv.műk.felh'!E29</f>
        <v>105637</v>
      </c>
      <c r="F30" s="240">
        <f>'önk.műk'!F29+'ph műk.'!F29+500</f>
        <v>21698</v>
      </c>
      <c r="G30" s="240">
        <f>'önk.műk'!G29+'ph műk.'!G29+501</f>
        <v>24843</v>
      </c>
      <c r="H30" s="264"/>
      <c r="I30" s="264"/>
      <c r="J30" s="264"/>
      <c r="K30" s="253"/>
      <c r="L30" s="253"/>
      <c r="M30" s="253"/>
      <c r="N30" s="253"/>
      <c r="O30" s="272">
        <f>G27+G88</f>
        <v>171202</v>
      </c>
      <c r="P30" s="271">
        <v>153671</v>
      </c>
      <c r="R30" s="272">
        <f>G29+G30+G91</f>
        <v>153671</v>
      </c>
    </row>
    <row r="31" spans="1:21" ht="10.5" customHeight="1">
      <c r="A31" s="253"/>
      <c r="B31" s="241" t="s">
        <v>4074</v>
      </c>
      <c r="C31" s="1934" t="s">
        <v>722</v>
      </c>
      <c r="D31" s="1934"/>
      <c r="E31" s="240">
        <f>'[1]önk.műk.felh'!E30+'[1]ph műk.felh'!E30+'[1]óvoda műk.felh'!E30+'[1]gamesz műk.felh'!E30+'[1]gond.műk.felh.'!E30+'[1]műv.műk.felh'!E30</f>
        <v>400</v>
      </c>
      <c r="F31" s="240">
        <f>'önk.műk'!F30+'óv.műk'!F30</f>
        <v>2079</v>
      </c>
      <c r="G31" s="240">
        <f>'önk.műk'!G30+'ph műk.'!G30+'óv.műk'!G30</f>
        <v>1284</v>
      </c>
      <c r="H31" s="264"/>
      <c r="I31" s="264"/>
      <c r="J31" s="264"/>
      <c r="K31" s="253"/>
      <c r="L31" s="253"/>
      <c r="M31" s="253"/>
      <c r="N31" s="253"/>
      <c r="U31" s="272">
        <f>U29-N18</f>
        <v>976929</v>
      </c>
    </row>
    <row r="32" spans="1:14" ht="10.5" customHeight="1">
      <c r="A32" s="253"/>
      <c r="B32" s="251" t="s">
        <v>4195</v>
      </c>
      <c r="C32" s="1929" t="s">
        <v>723</v>
      </c>
      <c r="D32" s="1930"/>
      <c r="E32" s="240">
        <f>'[1]ph műk.felh'!E31+'[1]óvoda műk.felh'!E31+'[1]gamesz műk.felh'!E31+'[1]gond.műk.felh.'!E31+'[1]műv.műk.felh'!E31</f>
        <v>348977</v>
      </c>
      <c r="F32" s="240">
        <v>457863</v>
      </c>
      <c r="G32" s="240">
        <v>457863</v>
      </c>
      <c r="H32" s="261"/>
      <c r="I32" s="1934"/>
      <c r="J32" s="1934"/>
      <c r="K32" s="1934"/>
      <c r="L32" s="253"/>
      <c r="M32" s="253"/>
      <c r="N32" s="253"/>
    </row>
    <row r="33" spans="1:19" ht="11.25" customHeight="1">
      <c r="A33" s="253"/>
      <c r="B33" s="251" t="s">
        <v>4094</v>
      </c>
      <c r="C33" s="1929" t="s">
        <v>724</v>
      </c>
      <c r="D33" s="1930"/>
      <c r="E33" s="240">
        <f>E32*-1</f>
        <v>-348977</v>
      </c>
      <c r="F33" s="240">
        <f>F32*-1</f>
        <v>-457863</v>
      </c>
      <c r="G33" s="240">
        <f>G32*-1</f>
        <v>-457863</v>
      </c>
      <c r="H33" s="252"/>
      <c r="I33" s="249"/>
      <c r="J33" s="239"/>
      <c r="K33" s="250"/>
      <c r="L33" s="253"/>
      <c r="M33" s="253"/>
      <c r="N33" s="253"/>
      <c r="S33" s="272">
        <f>'önk.műk'!G32+'ph műk.'!G32+'óv.műk'!G32+'gamesz műk'!G33+'gond.műk'!G32+'műv.műk.'!G32</f>
        <v>1307673</v>
      </c>
    </row>
    <row r="34" spans="1:17" ht="10.5" customHeight="1">
      <c r="A34" s="260" t="s">
        <v>725</v>
      </c>
      <c r="B34" s="1928" t="s">
        <v>726</v>
      </c>
      <c r="C34" s="1929"/>
      <c r="D34" s="1930"/>
      <c r="E34" s="268">
        <f>E6+E11+E19+E20+E27+E31</f>
        <v>627873</v>
      </c>
      <c r="F34" s="268">
        <f>F6+F11+F19+F20+F27+F31</f>
        <v>829073</v>
      </c>
      <c r="G34" s="268">
        <f>G6+G11+G19+G20+G27+G31</f>
        <v>857259</v>
      </c>
      <c r="H34" s="261" t="s">
        <v>727</v>
      </c>
      <c r="I34" s="1930" t="s">
        <v>728</v>
      </c>
      <c r="J34" s="1934"/>
      <c r="K34" s="1934"/>
      <c r="L34" s="260">
        <f>L6+L7+L8+L10+L20+L21</f>
        <v>639575</v>
      </c>
      <c r="M34" s="260">
        <f>M6+M7+M8+M10+M20+M21</f>
        <v>885147</v>
      </c>
      <c r="N34" s="260">
        <f>N6+N7+N8+N10+N20+N21</f>
        <v>815801</v>
      </c>
      <c r="P34" s="272">
        <v>343334</v>
      </c>
      <c r="Q34" s="272">
        <f>P34-P35</f>
        <v>-118238</v>
      </c>
    </row>
    <row r="35" spans="1:19" ht="12" customHeight="1">
      <c r="A35" s="1694" t="s">
        <v>729</v>
      </c>
      <c r="B35" s="1947" t="s">
        <v>730</v>
      </c>
      <c r="C35" s="1948"/>
      <c r="D35" s="1949"/>
      <c r="E35" s="269">
        <f>E34-L34</f>
        <v>-11702</v>
      </c>
      <c r="F35" s="269">
        <f>F34-M34</f>
        <v>-56074</v>
      </c>
      <c r="G35" s="269">
        <f>G34-N34</f>
        <v>41458</v>
      </c>
      <c r="H35" s="254" t="s">
        <v>731</v>
      </c>
      <c r="I35" s="1934" t="s">
        <v>730</v>
      </c>
      <c r="J35" s="1934"/>
      <c r="K35" s="1934"/>
      <c r="L35" s="270"/>
      <c r="M35" s="270"/>
      <c r="N35" s="270"/>
      <c r="P35" s="272">
        <f>G32+3709</f>
        <v>461572</v>
      </c>
      <c r="S35" s="272">
        <f>S33-N18</f>
        <v>849810</v>
      </c>
    </row>
    <row r="36" spans="1:16" ht="18.75" customHeight="1">
      <c r="A36" s="260" t="s">
        <v>732</v>
      </c>
      <c r="B36" s="1934" t="s">
        <v>733</v>
      </c>
      <c r="C36" s="1934"/>
      <c r="D36" s="1934"/>
      <c r="E36" s="268">
        <v>11702</v>
      </c>
      <c r="F36" s="268">
        <v>56074</v>
      </c>
      <c r="G36" s="268">
        <v>64091</v>
      </c>
      <c r="H36" s="270"/>
      <c r="I36" s="270"/>
      <c r="J36" s="270"/>
      <c r="K36" s="270"/>
      <c r="L36" s="253"/>
      <c r="M36" s="253"/>
      <c r="N36" s="253"/>
      <c r="P36" s="272">
        <f>F36+F60+F97</f>
        <v>50634</v>
      </c>
    </row>
    <row r="37" spans="1:18" ht="12" customHeight="1">
      <c r="A37" s="260" t="s">
        <v>734</v>
      </c>
      <c r="B37" s="1950" t="s">
        <v>4262</v>
      </c>
      <c r="C37" s="1950"/>
      <c r="D37" s="1950"/>
      <c r="E37" s="268">
        <f>E34+E36</f>
        <v>639575</v>
      </c>
      <c r="F37" s="268">
        <f>F34++F36</f>
        <v>885147</v>
      </c>
      <c r="G37" s="268">
        <f>G34+G36</f>
        <v>921350</v>
      </c>
      <c r="H37" s="260" t="s">
        <v>4263</v>
      </c>
      <c r="I37" s="1950" t="s">
        <v>4262</v>
      </c>
      <c r="J37" s="1950"/>
      <c r="K37" s="1950"/>
      <c r="L37" s="260">
        <f>L34</f>
        <v>639575</v>
      </c>
      <c r="M37" s="260">
        <f>M34</f>
        <v>885147</v>
      </c>
      <c r="N37" s="260">
        <f>N34</f>
        <v>815801</v>
      </c>
      <c r="R37" s="272">
        <f>G34-S35</f>
        <v>7449</v>
      </c>
    </row>
    <row r="38" spans="1:21" ht="15" customHeight="1">
      <c r="A38" s="1958"/>
      <c r="B38" s="1958"/>
      <c r="C38" s="1958"/>
      <c r="D38" s="1958"/>
      <c r="E38" s="1958"/>
      <c r="F38" s="1958"/>
      <c r="G38" s="1958"/>
      <c r="H38" s="1689"/>
      <c r="I38" s="263"/>
      <c r="J38" s="263"/>
      <c r="K38" s="263"/>
      <c r="L38" s="1689"/>
      <c r="M38" s="1689"/>
      <c r="N38" s="1689"/>
      <c r="U38" s="271">
        <v>1267050</v>
      </c>
    </row>
    <row r="39" spans="1:19" ht="15" customHeight="1">
      <c r="A39" s="1957" t="s">
        <v>669</v>
      </c>
      <c r="B39" s="1961"/>
      <c r="C39" s="1961"/>
      <c r="D39" s="1961"/>
      <c r="E39" s="1961"/>
      <c r="F39" s="1961"/>
      <c r="G39" s="1962"/>
      <c r="H39" s="1946" t="s">
        <v>670</v>
      </c>
      <c r="I39" s="1946"/>
      <c r="J39" s="1946"/>
      <c r="K39" s="1946"/>
      <c r="L39" s="1946"/>
      <c r="M39" s="1946"/>
      <c r="N39" s="1946"/>
      <c r="Q39" s="271">
        <v>837796</v>
      </c>
      <c r="S39" s="272">
        <f>G37-Q39</f>
        <v>83554</v>
      </c>
    </row>
    <row r="40" spans="1:21" ht="32.25" customHeight="1">
      <c r="A40" s="1942" t="s">
        <v>671</v>
      </c>
      <c r="B40" s="1943"/>
      <c r="C40" s="1943"/>
      <c r="D40" s="1944"/>
      <c r="E40" s="238" t="s">
        <v>672</v>
      </c>
      <c r="F40" s="238" t="s">
        <v>673</v>
      </c>
      <c r="G40" s="238" t="s">
        <v>674</v>
      </c>
      <c r="H40" s="1942" t="s">
        <v>671</v>
      </c>
      <c r="I40" s="1943"/>
      <c r="J40" s="1943"/>
      <c r="K40" s="1944"/>
      <c r="L40" s="238" t="s">
        <v>672</v>
      </c>
      <c r="M40" s="238" t="s">
        <v>673</v>
      </c>
      <c r="N40" s="238" t="s">
        <v>674</v>
      </c>
      <c r="T40" s="271">
        <v>809287</v>
      </c>
      <c r="U40" s="271">
        <v>809187</v>
      </c>
    </row>
    <row r="41" spans="1:23" ht="15" customHeight="1">
      <c r="A41" s="255" t="s">
        <v>4264</v>
      </c>
      <c r="B41" s="1934" t="s">
        <v>4265</v>
      </c>
      <c r="C41" s="1934"/>
      <c r="D41" s="1934"/>
      <c r="E41" s="253"/>
      <c r="F41" s="253"/>
      <c r="G41" s="253"/>
      <c r="H41" s="1690" t="s">
        <v>4264</v>
      </c>
      <c r="I41" s="1940" t="s">
        <v>4265</v>
      </c>
      <c r="J41" s="1940"/>
      <c r="K41" s="1940"/>
      <c r="L41" s="253"/>
      <c r="M41" s="253"/>
      <c r="N41" s="253"/>
      <c r="P41" s="1522"/>
      <c r="W41" s="272">
        <f>G34-U40</f>
        <v>48072</v>
      </c>
    </row>
    <row r="42" spans="1:16" ht="15" customHeight="1">
      <c r="A42" s="253"/>
      <c r="B42" s="255" t="s">
        <v>4029</v>
      </c>
      <c r="C42" s="1940" t="s">
        <v>1082</v>
      </c>
      <c r="D42" s="1940"/>
      <c r="E42" s="256">
        <f>SUM(E43:E45)</f>
        <v>0</v>
      </c>
      <c r="F42" s="1691">
        <f>SUM(F43:F45)</f>
        <v>9165</v>
      </c>
      <c r="G42" s="256">
        <f>SUM(G43:G45)</f>
        <v>9165</v>
      </c>
      <c r="H42" s="264"/>
      <c r="I42" s="253" t="s">
        <v>4029</v>
      </c>
      <c r="J42" s="1941" t="s">
        <v>4267</v>
      </c>
      <c r="K42" s="1941"/>
      <c r="L42" s="256">
        <f>'[1]önk.műk.felh'!L38+'[1]ph műk.felh'!L39+'[1]gamesz műk.felh'!L39+'[1]gond.műk.felh.'!L39+'[1]műv.műk.felh'!L39</f>
        <v>1450481</v>
      </c>
      <c r="M42" s="256">
        <f>'önk.műk'!M38+'ph műk.'!M39+'óv.műk'!M39+'gamesz műk'!M39+'gond.műk'!M39</f>
        <v>87358</v>
      </c>
      <c r="N42" s="256">
        <f>'önk.műk'!N38+'ph műk.'!N39+'óv.műk'!N39+'gamesz műk'!N39+'gond.műk'!N39</f>
        <v>85387</v>
      </c>
      <c r="P42" s="1522"/>
    </row>
    <row r="43" spans="1:16" ht="15" customHeight="1">
      <c r="A43" s="253"/>
      <c r="B43" s="264"/>
      <c r="C43" s="257" t="s">
        <v>4268</v>
      </c>
      <c r="D43" s="245" t="s">
        <v>4068</v>
      </c>
      <c r="E43" s="256"/>
      <c r="F43" s="256"/>
      <c r="G43" s="256"/>
      <c r="H43" s="264"/>
      <c r="I43" s="253" t="s">
        <v>4031</v>
      </c>
      <c r="J43" s="1941" t="s">
        <v>4154</v>
      </c>
      <c r="K43" s="1941"/>
      <c r="L43" s="256">
        <f>'[1]önk.műk.felh'!L39+'[1]ph műk.felh'!L40+'[1]gamesz műk.felh'!L40+'[1]gond.műk.felh.'!L40+'[1]műv.műk.felh'!L40</f>
        <v>15189</v>
      </c>
      <c r="M43" s="256">
        <f>'önk.műk'!M39+'óv.műk'!M40+'műv.műk.'!M40</f>
        <v>16189</v>
      </c>
      <c r="N43" s="256">
        <f>'önk.műk'!N39+'óv.műk'!N40+'műv.műk.'!N40</f>
        <v>9749</v>
      </c>
      <c r="P43" s="1522"/>
    </row>
    <row r="44" spans="1:16" ht="15" customHeight="1">
      <c r="A44" s="253"/>
      <c r="B44" s="264"/>
      <c r="C44" s="257" t="s">
        <v>4269</v>
      </c>
      <c r="D44" s="245" t="s">
        <v>4070</v>
      </c>
      <c r="E44" s="256">
        <f>'[1]önk.műk.felh'!E41+'[1]ph műk.felh'!E41+'[1]óvoda műk.felh'!E41+'[1]gamesz műk.felh'!E41+'[1]gond.műk.felh.'!E41+'[1]műv.műk.felh'!E41</f>
        <v>0</v>
      </c>
      <c r="F44" s="256">
        <f>'[1]önk.műk.felh'!F41+'[1]ph műk.felh'!F41+'[1]óvoda műk.felh'!F41+'[1]gamesz műk.felh'!F41+'[1]gond.műk.felh.'!F41+'[1]műv.műk.felh'!F41</f>
        <v>0</v>
      </c>
      <c r="G44" s="256">
        <f>'[1]önk.műk.felh'!G41+'[1]ph műk.felh'!G41+'[1]óvoda műk.felh'!G41+'[1]gamesz műk.felh'!G41+'[1]gond.műk.felh.'!G41+'[1]műv.műk.felh'!G41</f>
        <v>0</v>
      </c>
      <c r="H44" s="264"/>
      <c r="I44" s="253" t="s">
        <v>4041</v>
      </c>
      <c r="J44" s="1941" t="s">
        <v>4270</v>
      </c>
      <c r="K44" s="1941"/>
      <c r="L44" s="256">
        <f>'[1]önk.műk.felh'!L40+'[1]ph műk.felh'!L41+'[1]gamesz műk.felh'!L41+'[1]gond.műk.felh.'!L41+'[1]műv.műk.felh'!L41</f>
        <v>0</v>
      </c>
      <c r="M44" s="256">
        <f>'[1]önk.műk.felh'!M40+'[1]ph műk.felh'!M41+'[1]gamesz műk.felh'!M41+'[1]gond.műk.felh.'!M41+'[1]műv.műk.felh'!M41</f>
        <v>4247</v>
      </c>
      <c r="N44" s="256">
        <f>N45+N46+N48</f>
        <v>4303</v>
      </c>
      <c r="P44" s="1522"/>
    </row>
    <row r="45" spans="1:18" ht="18" customHeight="1">
      <c r="A45" s="253"/>
      <c r="B45" s="264"/>
      <c r="C45" s="257" t="s">
        <v>679</v>
      </c>
      <c r="D45" s="245" t="s">
        <v>4271</v>
      </c>
      <c r="E45" s="256">
        <f>'[1]önk.műk.felh'!E42+'[1]ph műk.felh'!E42+'[1]óvoda műk.felh'!E42+'[1]gamesz műk.felh'!E42+'[1]gond.műk.felh.'!E42+'[1]műv.műk.felh'!E42</f>
        <v>0</v>
      </c>
      <c r="F45" s="256">
        <f>'önk.műk'!F42</f>
        <v>9165</v>
      </c>
      <c r="G45" s="256">
        <f>'önk.műk'!G42</f>
        <v>9165</v>
      </c>
      <c r="H45" s="264"/>
      <c r="I45" s="264"/>
      <c r="J45" s="257" t="s">
        <v>4272</v>
      </c>
      <c r="K45" s="245" t="s">
        <v>4273</v>
      </c>
      <c r="L45" s="256">
        <f>'[1]önk.műk.felh'!L41+'[1]ph műk.felh'!L42+'[1]gamesz műk.felh'!L42+'[1]gond.műk.felh.'!L42+'[1]műv.műk.felh'!L42</f>
        <v>0</v>
      </c>
      <c r="M45" s="256">
        <f>'[1]önk.műk.felh'!M41+'[1]ph műk.felh'!M42+'[1]gamesz műk.felh'!M42+'[1]gond.műk.felh.'!M42+'[1]műv.műk.felh'!M42</f>
        <v>0</v>
      </c>
      <c r="N45" s="256"/>
      <c r="R45" s="272"/>
    </row>
    <row r="46" spans="1:14" ht="24.75" customHeight="1">
      <c r="A46" s="253"/>
      <c r="B46" s="255" t="s">
        <v>4031</v>
      </c>
      <c r="C46" s="1934" t="s">
        <v>1083</v>
      </c>
      <c r="D46" s="1934"/>
      <c r="E46" s="253">
        <f>SUM(E47:E48)</f>
        <v>973164</v>
      </c>
      <c r="F46" s="253">
        <f>SUM(F47:F48)</f>
        <v>84820</v>
      </c>
      <c r="G46" s="253">
        <f>SUM(G47:G48)</f>
        <v>79356</v>
      </c>
      <c r="H46" s="264"/>
      <c r="I46" s="264"/>
      <c r="J46" s="257" t="s">
        <v>4275</v>
      </c>
      <c r="K46" s="258" t="s">
        <v>4276</v>
      </c>
      <c r="L46" s="256">
        <f>'[1]önk.műk.felh'!L42+'[1]ph műk.felh'!L43+'[1]gamesz műk.felh'!L43+'[1]gond.műk.felh.'!L43+'[1]műv.műk.felh'!L43</f>
        <v>0</v>
      </c>
      <c r="M46" s="256">
        <f>'önk.műk'!M42</f>
        <v>4147</v>
      </c>
      <c r="N46" s="256">
        <f>'önk.műk'!N42</f>
        <v>4203</v>
      </c>
    </row>
    <row r="47" spans="1:14" ht="15" customHeight="1">
      <c r="A47" s="253"/>
      <c r="B47" s="264"/>
      <c r="C47" s="257" t="s">
        <v>684</v>
      </c>
      <c r="D47" s="245" t="s">
        <v>659</v>
      </c>
      <c r="E47" s="253"/>
      <c r="F47" s="253"/>
      <c r="G47" s="253"/>
      <c r="H47" s="264"/>
      <c r="I47" s="264"/>
      <c r="J47" s="257" t="s">
        <v>4277</v>
      </c>
      <c r="K47" s="247" t="s">
        <v>3684</v>
      </c>
      <c r="L47" s="256">
        <f>'[1]önk.műk.felh'!L43+'[1]ph műk.felh'!L44+'[1]gamesz műk.felh'!L44+'[1]gond.műk.felh.'!L44+'[1]műv.műk.felh'!L44</f>
        <v>0</v>
      </c>
      <c r="M47" s="256">
        <f>'[1]önk.műk.felh'!M43+'[1]ph műk.felh'!M44+'[1]gamesz műk.felh'!M44+'[1]gond.műk.felh.'!M44+'[1]műv.műk.felh'!M44</f>
        <v>0</v>
      </c>
      <c r="N47" s="256">
        <f>'[1]önk.műk.felh'!N43+'[1]ph műk.felh'!N44+'[1]gamesz műk.felh'!N44+'[1]gond.műk.felh.'!N44+'[1]műv.műk.felh'!N44</f>
        <v>0</v>
      </c>
    </row>
    <row r="48" spans="1:14" ht="15" customHeight="1">
      <c r="A48" s="253"/>
      <c r="B48" s="264"/>
      <c r="C48" s="257" t="s">
        <v>687</v>
      </c>
      <c r="D48" s="245" t="s">
        <v>3685</v>
      </c>
      <c r="E48" s="256">
        <f>'[1]önk.műk.felh'!E45+'[1]ph műk.felh'!E45+'[1]gamesz műk.felh'!E45+'[1]gond.műk.felh.'!E42+'[1]műv.műk.felh'!E45</f>
        <v>973164</v>
      </c>
      <c r="F48" s="256">
        <f>'önk.műk'!F45+'gamesz műk'!F45</f>
        <v>84820</v>
      </c>
      <c r="G48" s="256">
        <v>79356</v>
      </c>
      <c r="H48" s="264"/>
      <c r="I48" s="264"/>
      <c r="J48" s="257" t="s">
        <v>3686</v>
      </c>
      <c r="K48" s="247" t="s">
        <v>3687</v>
      </c>
      <c r="L48" s="256">
        <f>'[1]önk.műk.felh'!L44+'[1]ph műk.felh'!L45+'[1]gamesz műk.felh'!L45+'[1]gond.műk.felh.'!L45+'[1]műv.műk.felh'!L45</f>
        <v>0</v>
      </c>
      <c r="M48" s="256">
        <f>'önk.műk'!M44</f>
        <v>100</v>
      </c>
      <c r="N48" s="256">
        <f>'önk.műk'!N44</f>
        <v>100</v>
      </c>
    </row>
    <row r="49" spans="1:14" ht="15" customHeight="1">
      <c r="A49" s="253"/>
      <c r="B49" s="255">
        <v>3</v>
      </c>
      <c r="C49" s="1939" t="s">
        <v>3688</v>
      </c>
      <c r="D49" s="1939"/>
      <c r="E49" s="256">
        <f>SUM(E50:E52)</f>
        <v>0</v>
      </c>
      <c r="F49" s="256">
        <f>SUM(F50:F52)</f>
        <v>33236</v>
      </c>
      <c r="G49" s="256">
        <f>SUM(G50:G52)</f>
        <v>28861</v>
      </c>
      <c r="H49" s="264"/>
      <c r="I49" s="264" t="s">
        <v>4059</v>
      </c>
      <c r="J49" s="1937" t="s">
        <v>3689</v>
      </c>
      <c r="K49" s="1938"/>
      <c r="L49" s="256">
        <f>'[1]önk.műk.felh'!L45+'[1]ph műk.felh'!L46+'[1]gamesz műk.felh'!L46+'[1]gond.műk.felh.'!L46+'[1]műv.műk.felh'!L46</f>
        <v>1862</v>
      </c>
      <c r="M49" s="256">
        <f>'[1]önk.műk.felh'!M45+'[1]ph műk.felh'!M46+'[1]gamesz műk.felh'!M46+'[1]gond.műk.felh.'!M46+'[1]műv.műk.felh'!M46</f>
        <v>0</v>
      </c>
      <c r="N49" s="256">
        <f>'[1]önk.műk.felh'!N45+'[1]ph műk.felh'!N46+'[1]gamesz műk.felh'!N46+'[1]gond.műk.felh.'!N46+'[1]műv.műk.felh'!N46</f>
        <v>0</v>
      </c>
    </row>
    <row r="50" spans="1:14" ht="16.5" customHeight="1">
      <c r="A50" s="253"/>
      <c r="B50" s="264"/>
      <c r="C50" s="257" t="s">
        <v>4272</v>
      </c>
      <c r="D50" s="245" t="s">
        <v>4097</v>
      </c>
      <c r="E50" s="256">
        <f>'[1]önk.műk.felh'!E47+'[1]ph műk.felh'!E47+'[1]gamesz műk.felh'!E47+'[1]gond.műk.felh.'!E47+'[1]műv.műk.felh'!E47</f>
        <v>0</v>
      </c>
      <c r="F50" s="256">
        <f>'önk.műk'!F47</f>
        <v>11021</v>
      </c>
      <c r="G50" s="256">
        <f>'önk.műk'!G47</f>
        <v>11076</v>
      </c>
      <c r="H50" s="264"/>
      <c r="I50" s="264" t="s">
        <v>4061</v>
      </c>
      <c r="J50" s="1937" t="s">
        <v>3690</v>
      </c>
      <c r="K50" s="1938"/>
      <c r="L50" s="253">
        <v>-1862</v>
      </c>
      <c r="M50" s="253"/>
      <c r="N50" s="253"/>
    </row>
    <row r="51" spans="1:16" ht="15" customHeight="1">
      <c r="A51" s="253"/>
      <c r="B51" s="264"/>
      <c r="C51" s="257" t="s">
        <v>4275</v>
      </c>
      <c r="D51" s="245" t="s">
        <v>3691</v>
      </c>
      <c r="E51" s="256">
        <f>'[1]önk.műk.felh'!E48+'[1]ph műk.felh'!E48+'[1]gamesz műk.felh'!E48+'[1]gond.műk.felh.'!E48+'[1]műv.műk.felh'!E48</f>
        <v>0</v>
      </c>
      <c r="F51" s="256">
        <f>'önk.műk'!F48</f>
        <v>22197</v>
      </c>
      <c r="G51" s="256">
        <f>'önk.műk'!G48</f>
        <v>17767</v>
      </c>
      <c r="H51" s="264"/>
      <c r="I51" s="264">
        <v>6</v>
      </c>
      <c r="J51" s="1937" t="s">
        <v>707</v>
      </c>
      <c r="K51" s="1960"/>
      <c r="L51" s="253"/>
      <c r="M51" s="253">
        <v>7807</v>
      </c>
      <c r="N51" s="253"/>
      <c r="P51" s="272"/>
    </row>
    <row r="52" spans="1:14" ht="15" customHeight="1">
      <c r="A52" s="253"/>
      <c r="B52" s="264"/>
      <c r="C52" s="257" t="s">
        <v>4277</v>
      </c>
      <c r="D52" s="247" t="s">
        <v>3692</v>
      </c>
      <c r="E52" s="256">
        <f>'[1]önk.műk.felh'!E49+'[1]ph műk.felh'!E49+'[1]gamesz műk.felh'!E49+'[1]gond.műk.felh.'!E49+'[1]műv.műk.felh'!E49</f>
        <v>0</v>
      </c>
      <c r="F52" s="256">
        <f>'önk.műk'!F49</f>
        <v>18</v>
      </c>
      <c r="G52" s="256">
        <f>'önk.műk'!G49</f>
        <v>18</v>
      </c>
      <c r="H52" s="264"/>
      <c r="I52" s="264"/>
      <c r="J52" s="264"/>
      <c r="K52" s="253"/>
      <c r="L52" s="253"/>
      <c r="M52" s="253"/>
      <c r="N52" s="253"/>
    </row>
    <row r="53" spans="1:16" ht="18" customHeight="1">
      <c r="A53" s="253"/>
      <c r="B53" s="244">
        <v>4</v>
      </c>
      <c r="C53" s="1934" t="s">
        <v>3693</v>
      </c>
      <c r="D53" s="1934"/>
      <c r="E53" s="256">
        <f>'[1]önk.műk.felh'!E50+'[1]ph műk.felh'!E50+'[1]gamesz műk.felh'!E50+'[1]gond.műk.felh.'!E50+'[1]műv.műk.felh'!E50</f>
        <v>129844</v>
      </c>
      <c r="F53" s="256">
        <f>'önk.műk'!F50</f>
        <v>7480</v>
      </c>
      <c r="G53" s="256">
        <f>'önk.műk'!G50</f>
        <v>4000</v>
      </c>
      <c r="H53" s="264"/>
      <c r="I53" s="264"/>
      <c r="J53" s="264"/>
      <c r="K53" s="253"/>
      <c r="L53" s="253"/>
      <c r="M53" s="253"/>
      <c r="N53" s="253"/>
      <c r="P53" s="272"/>
    </row>
    <row r="54" spans="1:14" ht="15" customHeight="1">
      <c r="A54" s="253"/>
      <c r="B54" s="244" t="s">
        <v>4061</v>
      </c>
      <c r="C54" s="1928" t="s">
        <v>3694</v>
      </c>
      <c r="D54" s="1930"/>
      <c r="E54" s="256">
        <f>E55</f>
        <v>303573</v>
      </c>
      <c r="F54" s="256">
        <f>F55</f>
        <v>0</v>
      </c>
      <c r="G54" s="256">
        <f>G55</f>
        <v>0</v>
      </c>
      <c r="H54" s="264"/>
      <c r="I54" s="244"/>
      <c r="J54" s="244"/>
      <c r="K54" s="244"/>
      <c r="L54" s="253"/>
      <c r="M54" s="253"/>
      <c r="N54" s="253"/>
    </row>
    <row r="55" spans="1:14" ht="15" customHeight="1">
      <c r="A55" s="253"/>
      <c r="B55" s="244"/>
      <c r="C55" s="257" t="s">
        <v>4063</v>
      </c>
      <c r="D55" s="250" t="s">
        <v>3695</v>
      </c>
      <c r="E55" s="256">
        <f>'[1]önk.műk.felh'!E52+'[1]ph műk.felh'!E52+'[1]óvoda műk.felh'!E52+'[1]gamesz műk.felh'!E52+'[1]gond.műk.felh.'!E52+'[1]műv.műk.felh'!E52</f>
        <v>303573</v>
      </c>
      <c r="F55" s="256"/>
      <c r="G55" s="256">
        <f>'[1]önk.műk.felh'!G52+'[1]ph műk.felh'!G52+'[1]óvoda műk.felh'!G52+'[1]gamesz műk.felh'!G52+'[1]gond.műk.felh.'!G52+'[1]műv.műk.felh'!G52</f>
        <v>0</v>
      </c>
      <c r="H55" s="264"/>
      <c r="I55" s="244"/>
      <c r="J55" s="244"/>
      <c r="K55" s="244"/>
      <c r="L55" s="253"/>
      <c r="M55" s="253"/>
      <c r="N55" s="253"/>
    </row>
    <row r="56" spans="1:16" ht="15" customHeight="1">
      <c r="A56" s="253"/>
      <c r="B56" s="244">
        <v>6</v>
      </c>
      <c r="C56" s="1935" t="s">
        <v>3696</v>
      </c>
      <c r="D56" s="1936"/>
      <c r="E56" s="253"/>
      <c r="F56" s="253"/>
      <c r="G56" s="253"/>
      <c r="H56" s="264"/>
      <c r="I56" s="244"/>
      <c r="J56" s="244"/>
      <c r="K56" s="244"/>
      <c r="L56" s="253"/>
      <c r="M56" s="253"/>
      <c r="N56" s="253"/>
      <c r="P56" s="1522"/>
    </row>
    <row r="57" spans="1:14" ht="15" customHeight="1">
      <c r="A57" s="253"/>
      <c r="B57" s="244">
        <v>7</v>
      </c>
      <c r="C57" s="1935" t="s">
        <v>724</v>
      </c>
      <c r="D57" s="1936"/>
      <c r="E57" s="253"/>
      <c r="F57" s="253"/>
      <c r="G57" s="256"/>
      <c r="H57" s="264"/>
      <c r="I57" s="1934"/>
      <c r="J57" s="1934"/>
      <c r="K57" s="1934"/>
      <c r="L57" s="253"/>
      <c r="M57" s="253"/>
      <c r="N57" s="253"/>
    </row>
    <row r="58" spans="1:14" ht="15" customHeight="1">
      <c r="A58" s="253" t="s">
        <v>725</v>
      </c>
      <c r="B58" s="1928" t="s">
        <v>3697</v>
      </c>
      <c r="C58" s="1929"/>
      <c r="D58" s="1930"/>
      <c r="E58" s="259">
        <f>E42+E46+E49+E53+E54+E56+E57</f>
        <v>1406581</v>
      </c>
      <c r="F58" s="259">
        <f>F42+F46+F49+F53+F54+F56+F57</f>
        <v>134701</v>
      </c>
      <c r="G58" s="259">
        <f>G42+G46+G49+G53+G54+G56+G57</f>
        <v>121382</v>
      </c>
      <c r="H58" s="264"/>
      <c r="I58" s="244"/>
      <c r="J58" s="244"/>
      <c r="K58" s="244"/>
      <c r="L58" s="253"/>
      <c r="M58" s="253"/>
      <c r="N58" s="253"/>
    </row>
    <row r="59" spans="1:17" ht="15" customHeight="1">
      <c r="A59" s="253" t="s">
        <v>729</v>
      </c>
      <c r="B59" s="1928" t="s">
        <v>3698</v>
      </c>
      <c r="C59" s="1929"/>
      <c r="D59" s="1930"/>
      <c r="E59" s="256">
        <f>E58-L59</f>
        <v>-59089</v>
      </c>
      <c r="F59" s="256">
        <f>F58-M59</f>
        <v>19100</v>
      </c>
      <c r="G59" s="256">
        <f>G58-N59</f>
        <v>21943</v>
      </c>
      <c r="H59" s="264" t="s">
        <v>727</v>
      </c>
      <c r="I59" s="1934" t="s">
        <v>3698</v>
      </c>
      <c r="J59" s="1934"/>
      <c r="K59" s="1934"/>
      <c r="L59" s="259">
        <f>L42+L43+L49+L50</f>
        <v>1465670</v>
      </c>
      <c r="M59" s="259">
        <f>M42+M43+M44+M50+M51</f>
        <v>115601</v>
      </c>
      <c r="N59" s="259">
        <f>N42+N43+N44</f>
        <v>99439</v>
      </c>
      <c r="P59" s="1522">
        <f>'[1]önk.műk.felh'!M59+'[1]ph műk.felh'!M54+'[1]gamesz műk.felh'!M54+'[1]gond.műk.felh.'!M54+'[1]műv.műk.felh'!M54</f>
        <v>1954747</v>
      </c>
      <c r="Q59" s="1522"/>
    </row>
    <row r="60" spans="1:17" ht="21.75" customHeight="1">
      <c r="A60" s="253" t="s">
        <v>732</v>
      </c>
      <c r="B60" s="1928" t="s">
        <v>3699</v>
      </c>
      <c r="C60" s="1929"/>
      <c r="D60" s="1930"/>
      <c r="E60" s="253"/>
      <c r="F60" s="253">
        <v>-19100</v>
      </c>
      <c r="G60" s="253"/>
      <c r="H60" s="253" t="s">
        <v>731</v>
      </c>
      <c r="I60" s="1928" t="s">
        <v>3698</v>
      </c>
      <c r="J60" s="1929"/>
      <c r="K60" s="1930"/>
      <c r="L60" s="253"/>
      <c r="M60" s="253"/>
      <c r="N60" s="253"/>
      <c r="P60" s="1522"/>
      <c r="Q60" s="1522"/>
    </row>
    <row r="61" spans="1:19" ht="15" customHeight="1">
      <c r="A61" s="253" t="s">
        <v>734</v>
      </c>
      <c r="B61" s="1931" t="s">
        <v>3700</v>
      </c>
      <c r="C61" s="1932"/>
      <c r="D61" s="1933"/>
      <c r="E61" s="260">
        <f>E59*-1</f>
        <v>59089</v>
      </c>
      <c r="F61" s="260"/>
      <c r="G61" s="260"/>
      <c r="H61" s="264"/>
      <c r="I61" s="264"/>
      <c r="J61" s="264"/>
      <c r="K61" s="253"/>
      <c r="L61" s="253"/>
      <c r="M61" s="253"/>
      <c r="N61" s="253"/>
      <c r="P61" s="271">
        <v>99439</v>
      </c>
      <c r="Q61" s="272">
        <f>F60+F97+F121+F36</f>
        <v>64091</v>
      </c>
      <c r="S61" s="271">
        <v>123160</v>
      </c>
    </row>
    <row r="62" ht="42.75" customHeight="1">
      <c r="Q62" s="1522">
        <f>N59-P61</f>
        <v>0</v>
      </c>
    </row>
    <row r="63" spans="4:16" ht="16.5" customHeight="1">
      <c r="D63" s="1522"/>
      <c r="E63" s="1522"/>
      <c r="K63" s="1522"/>
      <c r="N63" s="1522"/>
      <c r="O63" s="1522"/>
      <c r="P63" s="272"/>
    </row>
    <row r="64" spans="1:15" ht="15" customHeight="1">
      <c r="A64" s="1955" t="s">
        <v>2778</v>
      </c>
      <c r="B64" s="1956"/>
      <c r="C64" s="1956"/>
      <c r="D64" s="1956"/>
      <c r="E64" s="1956"/>
      <c r="F64" s="1956"/>
      <c r="G64" s="1956"/>
      <c r="H64" s="1956"/>
      <c r="I64" s="1956"/>
      <c r="J64" s="1956"/>
      <c r="K64" s="1956"/>
      <c r="L64" s="1956"/>
      <c r="M64" s="1956"/>
      <c r="N64" s="1956"/>
      <c r="O64" s="1522" t="e">
        <f>#REF!-O63</f>
        <v>#REF!</v>
      </c>
    </row>
    <row r="65" spans="1:14" ht="15" customHeight="1">
      <c r="A65" s="1957" t="s">
        <v>669</v>
      </c>
      <c r="B65" s="1958"/>
      <c r="C65" s="1958"/>
      <c r="D65" s="1958"/>
      <c r="E65" s="1958"/>
      <c r="F65" s="1958"/>
      <c r="G65" s="1958"/>
      <c r="H65" s="1957" t="s">
        <v>670</v>
      </c>
      <c r="I65" s="1958"/>
      <c r="J65" s="1958"/>
      <c r="K65" s="1958"/>
      <c r="L65" s="1958"/>
      <c r="M65" s="1958"/>
      <c r="N65" s="1959"/>
    </row>
    <row r="66" spans="1:14" ht="24.75" customHeight="1">
      <c r="A66" s="1952" t="s">
        <v>671</v>
      </c>
      <c r="B66" s="1953"/>
      <c r="C66" s="1953"/>
      <c r="D66" s="1954"/>
      <c r="E66" s="1693" t="s">
        <v>672</v>
      </c>
      <c r="F66" s="1693" t="s">
        <v>673</v>
      </c>
      <c r="G66" s="1693" t="s">
        <v>4220</v>
      </c>
      <c r="H66" s="1952" t="s">
        <v>671</v>
      </c>
      <c r="I66" s="1953"/>
      <c r="J66" s="1953"/>
      <c r="K66" s="1954"/>
      <c r="L66" s="1693" t="s">
        <v>672</v>
      </c>
      <c r="M66" s="1693" t="s">
        <v>673</v>
      </c>
      <c r="N66" s="1693" t="s">
        <v>4220</v>
      </c>
    </row>
    <row r="67" spans="1:19" ht="15" customHeight="1">
      <c r="A67" s="260" t="s">
        <v>675</v>
      </c>
      <c r="B67" s="1934" t="s">
        <v>676</v>
      </c>
      <c r="C67" s="1934"/>
      <c r="D67" s="1934"/>
      <c r="E67" s="253"/>
      <c r="F67" s="253"/>
      <c r="G67" s="253"/>
      <c r="H67" s="261" t="s">
        <v>675</v>
      </c>
      <c r="I67" s="1940" t="s">
        <v>676</v>
      </c>
      <c r="J67" s="1940"/>
      <c r="K67" s="1940"/>
      <c r="L67" s="253"/>
      <c r="M67" s="253"/>
      <c r="N67" s="253"/>
      <c r="S67" s="271">
        <f>215211</f>
        <v>215211</v>
      </c>
    </row>
    <row r="68" spans="1:18" ht="12" customHeight="1">
      <c r="A68" s="262"/>
      <c r="B68" s="263">
        <v>1</v>
      </c>
      <c r="C68" s="1929" t="s">
        <v>677</v>
      </c>
      <c r="D68" s="1949"/>
      <c r="E68" s="240">
        <f>E72</f>
        <v>1890</v>
      </c>
      <c r="F68" s="240">
        <f>F72</f>
        <v>1890</v>
      </c>
      <c r="G68" s="240">
        <f>G72</f>
        <v>2379</v>
      </c>
      <c r="H68" s="264"/>
      <c r="I68" s="241" t="s">
        <v>4029</v>
      </c>
      <c r="J68" s="1941" t="s">
        <v>4136</v>
      </c>
      <c r="K68" s="1941"/>
      <c r="L68" s="253">
        <v>3935</v>
      </c>
      <c r="M68" s="253">
        <f>'önk.műk'!M74+'gamesz műk'!M67+'műv.műk.'!M64</f>
        <v>3990</v>
      </c>
      <c r="N68" s="253">
        <f>'önk.műk'!N74+'gamesz műk'!N67+'műv.műk.'!N64</f>
        <v>3727</v>
      </c>
      <c r="P68" s="271">
        <f>'[1]önk.műk.felh'!M74+'[1]gamesz műk.felh'!M68+'[1]műv.műk.felh'!M68</f>
        <v>3106</v>
      </c>
      <c r="R68" s="1522">
        <f>L68+L6</f>
        <v>215211</v>
      </c>
    </row>
    <row r="69" spans="1:19" ht="12" customHeight="1">
      <c r="A69" s="262"/>
      <c r="B69" s="265"/>
      <c r="C69" s="242" t="s">
        <v>4135</v>
      </c>
      <c r="D69" s="266" t="s">
        <v>4034</v>
      </c>
      <c r="E69" s="240">
        <f>'[1]önk.műk.felh'!E75+'[1]gamesz műk.felh'!E69+'[1]műv.műk.felh'!E69</f>
        <v>0</v>
      </c>
      <c r="F69" s="240">
        <f>'[1]önk.műk.felh'!F75+'[1]gamesz műk.felh'!F69+'[1]műv.műk.felh'!F69</f>
        <v>0</v>
      </c>
      <c r="G69" s="240">
        <f>'[1]önk.műk.felh'!G75+'[1]gamesz műk.felh'!G69+'[1]műv.műk.felh'!G69</f>
        <v>0</v>
      </c>
      <c r="H69" s="264"/>
      <c r="I69" s="241" t="s">
        <v>4031</v>
      </c>
      <c r="J69" s="1941" t="s">
        <v>678</v>
      </c>
      <c r="K69" s="1941"/>
      <c r="L69" s="253">
        <v>605</v>
      </c>
      <c r="M69" s="253">
        <f>'önk.műk'!M75+'gamesz műk'!M68+'műv.műk.'!M65</f>
        <v>829</v>
      </c>
      <c r="N69" s="253">
        <f>'önk.műk'!N75+'gamesz műk'!N68+'műv.műk.'!N65</f>
        <v>803</v>
      </c>
      <c r="P69" s="271">
        <f>'[1]önk.műk.felh'!M75+'[1]gamesz műk.felh'!M69+'[1]műv.műk.felh'!M69</f>
        <v>1348</v>
      </c>
      <c r="S69" s="1522">
        <f>S67-R68</f>
        <v>0</v>
      </c>
    </row>
    <row r="70" spans="1:16" ht="12" customHeight="1">
      <c r="A70" s="253"/>
      <c r="B70" s="264"/>
      <c r="C70" s="243" t="s">
        <v>4137</v>
      </c>
      <c r="D70" s="266" t="s">
        <v>4036</v>
      </c>
      <c r="E70" s="240">
        <f>'[1]önk.műk.felh'!E76+'[1]gamesz műk.felh'!E70+'[1]műv.műk.felh'!E70</f>
        <v>0</v>
      </c>
      <c r="F70" s="240">
        <f>'[1]önk.műk.felh'!F76+'[1]gamesz műk.felh'!F70+'[1]műv.műk.felh'!F70</f>
        <v>0</v>
      </c>
      <c r="G70" s="240">
        <f>'[1]önk.műk.felh'!G76+'[1]gamesz műk.felh'!G70+'[1]műv.műk.felh'!G70</f>
        <v>0</v>
      </c>
      <c r="H70" s="264"/>
      <c r="I70" s="241" t="s">
        <v>4041</v>
      </c>
      <c r="J70" s="1941" t="s">
        <v>4140</v>
      </c>
      <c r="K70" s="1941"/>
      <c r="L70" s="253">
        <f>'önk.műk'!L76+'gamesz műk'!L69+'műv.műk.'!L66</f>
        <v>7970</v>
      </c>
      <c r="M70" s="253">
        <f>'önk.műk'!M76+'gamesz műk'!M69+'műv.műk.'!M66</f>
        <v>5393</v>
      </c>
      <c r="N70" s="253">
        <f>'önk.műk'!N76+'gamesz műk'!N69+'műv.műk.'!N66</f>
        <v>4852</v>
      </c>
      <c r="P70" s="271">
        <f>'[1]önk.műk.felh'!M76+'[1]gamesz műk.felh'!M70+'[1]műv.műk.felh'!M70</f>
        <v>2826</v>
      </c>
    </row>
    <row r="71" spans="1:16" ht="12" customHeight="1">
      <c r="A71" s="253"/>
      <c r="B71" s="264"/>
      <c r="C71" s="243" t="s">
        <v>679</v>
      </c>
      <c r="D71" s="266" t="s">
        <v>4038</v>
      </c>
      <c r="E71" s="240">
        <f>'[1]önk.műk.felh'!E77+'[1]gamesz műk.felh'!E71+'[1]műv.műk.felh'!E71</f>
        <v>0</v>
      </c>
      <c r="F71" s="240">
        <f>'[1]önk.műk.felh'!F77+'[1]gamesz műk.felh'!F71+'[1]műv.műk.felh'!F71</f>
        <v>0</v>
      </c>
      <c r="G71" s="240">
        <f>'[1]önk.műk.felh'!G77+'[1]gamesz műk.felh'!G71+'[1]műv.műk.felh'!G71</f>
        <v>0</v>
      </c>
      <c r="H71" s="264"/>
      <c r="I71" s="241" t="s">
        <v>4166</v>
      </c>
      <c r="J71" s="1941" t="s">
        <v>4142</v>
      </c>
      <c r="K71" s="1941"/>
      <c r="L71" s="253">
        <f>'önk.műk'!L77+'gamesz műk'!L70+'műv.műk.'!L67</f>
        <v>0</v>
      </c>
      <c r="M71" s="253">
        <f>'önk.műk'!M77+'gamesz műk'!M70+'műv.műk.'!M67</f>
        <v>0</v>
      </c>
      <c r="N71" s="253">
        <f>'önk.műk'!N77+'gamesz műk'!N70+'műv.műk.'!N67</f>
        <v>0</v>
      </c>
      <c r="P71" s="271">
        <f>'[1]önk.műk.felh'!M77+'[1]gamesz műk.felh'!M71+'[1]műv.műk.felh'!M71</f>
        <v>0</v>
      </c>
    </row>
    <row r="72" spans="1:16" ht="12" customHeight="1">
      <c r="A72" s="253"/>
      <c r="B72" s="264"/>
      <c r="C72" s="243" t="s">
        <v>680</v>
      </c>
      <c r="D72" s="266" t="s">
        <v>681</v>
      </c>
      <c r="E72" s="240">
        <f>'[1]önk.műk.felh'!E78+'[1]gamesz műk.felh'!E72+'[1]műv.műk.felh'!E72</f>
        <v>1890</v>
      </c>
      <c r="F72" s="240">
        <f>'önk.műk'!F78</f>
        <v>1890</v>
      </c>
      <c r="G72" s="240">
        <f>'önk.műk'!G78</f>
        <v>2379</v>
      </c>
      <c r="H72" s="264"/>
      <c r="I72" s="241" t="s">
        <v>4061</v>
      </c>
      <c r="J72" s="1941" t="s">
        <v>4144</v>
      </c>
      <c r="K72" s="1941"/>
      <c r="L72" s="253">
        <f>'önk.műk'!L78+'gamesz műk'!L71+'műv.műk.'!L68</f>
        <v>2159</v>
      </c>
      <c r="M72" s="253">
        <f>'önk.műk'!M78+'gamesz műk'!M71+'műv.műk.'!M68</f>
        <v>6909</v>
      </c>
      <c r="N72" s="253">
        <f>'önk.műk'!N78+'gamesz műk'!N71+'műv.műk.'!N68</f>
        <v>6455</v>
      </c>
      <c r="P72" s="271">
        <f>'[1]önk.műk.felh'!M78+'[1]gamesz műk.felh'!M72+'[1]műv.műk.felh'!M72</f>
        <v>5409</v>
      </c>
    </row>
    <row r="73" spans="1:14" ht="12" customHeight="1">
      <c r="A73" s="253"/>
      <c r="B73" s="244" t="s">
        <v>4031</v>
      </c>
      <c r="C73" s="1934" t="s">
        <v>682</v>
      </c>
      <c r="D73" s="1951"/>
      <c r="E73" s="240">
        <f>SUM(E74:E79)</f>
        <v>0</v>
      </c>
      <c r="F73" s="240">
        <f>SUM(F74:F79)</f>
        <v>971</v>
      </c>
      <c r="G73" s="240">
        <f>SUM(G74:G79)</f>
        <v>960</v>
      </c>
      <c r="H73" s="264"/>
      <c r="I73" s="264"/>
      <c r="J73" s="243" t="s">
        <v>4063</v>
      </c>
      <c r="K73" s="245" t="s">
        <v>683</v>
      </c>
      <c r="L73" s="253">
        <f>'önk.műk'!L79+'gamesz műk'!L72+'műv.műk.'!L69</f>
        <v>0</v>
      </c>
      <c r="M73" s="253">
        <f>'önk.műk'!M79+'gamesz műk'!M72+'műv.műk.'!M69</f>
        <v>0</v>
      </c>
      <c r="N73" s="253">
        <f>'önk.műk'!N79+'gamesz műk'!N72+'műv.műk.'!N69</f>
        <v>0</v>
      </c>
    </row>
    <row r="74" spans="1:14" ht="12" customHeight="1">
      <c r="A74" s="253"/>
      <c r="B74" s="264"/>
      <c r="C74" s="243" t="s">
        <v>684</v>
      </c>
      <c r="D74" s="245" t="s">
        <v>4046</v>
      </c>
      <c r="E74" s="240">
        <f>'[1]gamesz műk.felh'!E74</f>
        <v>0</v>
      </c>
      <c r="F74" s="240">
        <f>'[1]gamesz műk.felh'!F74</f>
        <v>0</v>
      </c>
      <c r="G74" s="240">
        <f>'[1]gamesz műk.felh'!G74</f>
        <v>0</v>
      </c>
      <c r="H74" s="264"/>
      <c r="I74" s="264"/>
      <c r="J74" s="243" t="s">
        <v>4064</v>
      </c>
      <c r="K74" s="247" t="s">
        <v>686</v>
      </c>
      <c r="L74" s="253">
        <f>'önk.műk'!L80+'gamesz műk'!L73+'műv.műk.'!L70</f>
        <v>0</v>
      </c>
      <c r="M74" s="253">
        <f>'önk.műk'!M80+'gamesz műk'!M73+'műv.műk.'!M70</f>
        <v>0</v>
      </c>
      <c r="N74" s="253">
        <f>'önk.műk'!N80+'gamesz műk'!N73+'műv.műk.'!N70</f>
        <v>0</v>
      </c>
    </row>
    <row r="75" spans="1:14" ht="12" customHeight="1">
      <c r="A75" s="253"/>
      <c r="B75" s="264"/>
      <c r="C75" s="243" t="s">
        <v>687</v>
      </c>
      <c r="D75" s="245" t="s">
        <v>4048</v>
      </c>
      <c r="E75" s="240">
        <f>'[1]gamesz műk.felh'!E75</f>
        <v>0</v>
      </c>
      <c r="F75" s="240">
        <f>'[1]gamesz műk.felh'!F75</f>
        <v>0</v>
      </c>
      <c r="G75" s="240">
        <f>'[1]gamesz műk.felh'!G75</f>
        <v>0</v>
      </c>
      <c r="H75" s="264"/>
      <c r="I75" s="264"/>
      <c r="J75" s="243" t="s">
        <v>4065</v>
      </c>
      <c r="K75" s="248" t="s">
        <v>688</v>
      </c>
      <c r="L75" s="253">
        <f>'önk.műk'!L81+'gamesz műk'!L74+'műv.műk.'!L71</f>
        <v>0</v>
      </c>
      <c r="M75" s="253">
        <f>'önk.műk'!M81+'gamesz műk'!M74+'műv.műk.'!M71</f>
        <v>0</v>
      </c>
      <c r="N75" s="253">
        <f>'önk.műk'!N81+'gamesz műk'!N74+'műv.műk.'!N71</f>
        <v>0</v>
      </c>
    </row>
    <row r="76" spans="1:14" ht="12" customHeight="1">
      <c r="A76" s="253"/>
      <c r="B76" s="264"/>
      <c r="C76" s="243" t="s">
        <v>689</v>
      </c>
      <c r="D76" s="245" t="s">
        <v>4050</v>
      </c>
      <c r="E76" s="240">
        <f>'[1]gamesz műk.felh'!E76</f>
        <v>0</v>
      </c>
      <c r="F76" s="240">
        <f>'[1]gamesz műk.felh'!F76</f>
        <v>0</v>
      </c>
      <c r="G76" s="240">
        <f>'[1]gamesz műk.felh'!G76</f>
        <v>0</v>
      </c>
      <c r="H76" s="264"/>
      <c r="I76" s="264"/>
      <c r="J76" s="243" t="s">
        <v>4066</v>
      </c>
      <c r="K76" s="245" t="s">
        <v>690</v>
      </c>
      <c r="L76" s="253">
        <f>'önk.műk'!L82+'gamesz műk'!L75+'műv.műk.'!L72</f>
        <v>1159</v>
      </c>
      <c r="M76" s="253">
        <f>'önk.műk'!M82</f>
        <v>4159</v>
      </c>
      <c r="N76" s="253">
        <f>'önk.műk'!N82</f>
        <v>3710</v>
      </c>
    </row>
    <row r="77" spans="1:14" ht="12" customHeight="1">
      <c r="A77" s="253"/>
      <c r="B77" s="264"/>
      <c r="C77" s="243" t="s">
        <v>691</v>
      </c>
      <c r="D77" s="245" t="s">
        <v>695</v>
      </c>
      <c r="E77" s="240">
        <f>'[1]gamesz műk.felh'!E77</f>
        <v>0</v>
      </c>
      <c r="F77" s="240">
        <f>'gamesz műk'!F76+'műv.műk.'!F73</f>
        <v>205</v>
      </c>
      <c r="G77" s="240">
        <f>'gamesz műk'!G76+'műv.műk.'!G73</f>
        <v>204</v>
      </c>
      <c r="H77" s="264"/>
      <c r="I77" s="264"/>
      <c r="J77" s="243" t="s">
        <v>692</v>
      </c>
      <c r="K77" s="245" t="s">
        <v>693</v>
      </c>
      <c r="L77" s="253">
        <f>'önk.műk'!L83+'gamesz műk'!L76+'műv.műk.'!L73</f>
        <v>1000</v>
      </c>
      <c r="M77" s="253">
        <f>'önk.műk'!M83</f>
        <v>1000</v>
      </c>
      <c r="N77" s="253">
        <f>'önk.műk'!N83</f>
        <v>995</v>
      </c>
    </row>
    <row r="78" spans="1:14" ht="12" customHeight="1">
      <c r="A78" s="253"/>
      <c r="B78" s="264"/>
      <c r="C78" s="243" t="s">
        <v>694</v>
      </c>
      <c r="D78" s="245" t="s">
        <v>4056</v>
      </c>
      <c r="E78" s="240">
        <f>'[1]gamesz műk.felh'!E78</f>
        <v>0</v>
      </c>
      <c r="F78" s="240">
        <f>'[1]gamesz műk.felh'!F78</f>
        <v>0</v>
      </c>
      <c r="G78" s="240">
        <f>'[1]gamesz műk.felh'!G78</f>
        <v>0</v>
      </c>
      <c r="H78" s="264"/>
      <c r="I78" s="264"/>
      <c r="J78" s="243" t="s">
        <v>696</v>
      </c>
      <c r="K78" s="245" t="s">
        <v>3701</v>
      </c>
      <c r="L78" s="253">
        <f>'önk.műk'!L84+'gamesz műk'!L77+'műv.műk.'!L74</f>
        <v>0</v>
      </c>
      <c r="M78" s="253">
        <f>'önk.műk'!M84</f>
        <v>1750</v>
      </c>
      <c r="N78" s="253">
        <f>'önk.műk'!N84</f>
        <v>1750</v>
      </c>
    </row>
    <row r="79" spans="1:14" ht="12" customHeight="1">
      <c r="A79" s="253"/>
      <c r="B79" s="264"/>
      <c r="C79" s="243" t="s">
        <v>698</v>
      </c>
      <c r="D79" s="245" t="s">
        <v>4058</v>
      </c>
      <c r="E79" s="240">
        <f>'[1]gamesz műk.felh'!E79</f>
        <v>0</v>
      </c>
      <c r="F79" s="240">
        <f>'gamesz műk'!F78+'műv.műk.'!F75</f>
        <v>766</v>
      </c>
      <c r="G79" s="240">
        <f>'gamesz műk'!G78+'műv.műk.'!G75</f>
        <v>756</v>
      </c>
      <c r="H79" s="264"/>
      <c r="I79" s="264"/>
      <c r="J79" s="243" t="s">
        <v>699</v>
      </c>
      <c r="K79" s="245" t="s">
        <v>700</v>
      </c>
      <c r="L79" s="253">
        <f>'önk.műk'!L85+'gamesz műk'!L78+'műv.műk.'!L75</f>
        <v>0</v>
      </c>
      <c r="M79" s="253">
        <f>'önk.műk'!M85</f>
        <v>0</v>
      </c>
      <c r="N79" s="253">
        <f>'önk.műk'!N85</f>
        <v>0</v>
      </c>
    </row>
    <row r="80" spans="1:14" ht="12" customHeight="1">
      <c r="A80" s="253"/>
      <c r="B80" s="244" t="s">
        <v>4041</v>
      </c>
      <c r="C80" s="1934" t="s">
        <v>704</v>
      </c>
      <c r="D80" s="1934"/>
      <c r="E80" s="240"/>
      <c r="F80" s="240"/>
      <c r="G80" s="240"/>
      <c r="H80" s="264"/>
      <c r="I80" s="264"/>
      <c r="J80" s="243" t="s">
        <v>702</v>
      </c>
      <c r="K80" s="253" t="s">
        <v>703</v>
      </c>
      <c r="L80" s="253">
        <f>'önk.műk'!L86+'gamesz műk'!L79+'műv.műk.'!L76</f>
        <v>0</v>
      </c>
      <c r="M80" s="253">
        <f>'önk.műk'!M86</f>
        <v>0</v>
      </c>
      <c r="N80" s="253">
        <f>'[1]önk.műk.felh'!N86+'[1]gamesz műk.felh'!N80+'[1]műv.műk.felh'!N80</f>
        <v>0</v>
      </c>
    </row>
    <row r="81" spans="1:14" ht="12" customHeight="1">
      <c r="A81" s="253"/>
      <c r="B81" s="244" t="s">
        <v>4166</v>
      </c>
      <c r="C81" s="1934" t="s">
        <v>1080</v>
      </c>
      <c r="D81" s="1934"/>
      <c r="E81" s="240"/>
      <c r="F81" s="240"/>
      <c r="G81" s="240"/>
      <c r="H81" s="264"/>
      <c r="I81" s="264" t="s">
        <v>4074</v>
      </c>
      <c r="J81" s="264" t="s">
        <v>707</v>
      </c>
      <c r="K81" s="253"/>
      <c r="L81" s="253"/>
      <c r="M81" s="253"/>
      <c r="N81" s="253"/>
    </row>
    <row r="82" spans="1:14" ht="12" customHeight="1">
      <c r="A82" s="253"/>
      <c r="B82" s="264"/>
      <c r="C82" s="243" t="s">
        <v>708</v>
      </c>
      <c r="D82" s="245" t="s">
        <v>709</v>
      </c>
      <c r="E82" s="240"/>
      <c r="F82" s="240"/>
      <c r="G82" s="240"/>
      <c r="H82" s="264"/>
      <c r="I82" s="264" t="s">
        <v>4195</v>
      </c>
      <c r="J82" s="1937" t="s">
        <v>3702</v>
      </c>
      <c r="K82" s="1938"/>
      <c r="L82" s="253"/>
      <c r="M82" s="253"/>
      <c r="N82" s="253"/>
    </row>
    <row r="83" spans="1:14" ht="12" customHeight="1">
      <c r="A83" s="253"/>
      <c r="B83" s="264"/>
      <c r="C83" s="243" t="s">
        <v>710</v>
      </c>
      <c r="D83" s="267" t="s">
        <v>711</v>
      </c>
      <c r="E83" s="240"/>
      <c r="F83" s="240"/>
      <c r="G83" s="240"/>
      <c r="H83" s="264"/>
      <c r="I83" s="264"/>
      <c r="J83" s="264"/>
      <c r="K83" s="253"/>
      <c r="L83" s="253"/>
      <c r="M83" s="253"/>
      <c r="N83" s="253"/>
    </row>
    <row r="84" spans="1:14" ht="12" customHeight="1">
      <c r="A84" s="253"/>
      <c r="B84" s="264"/>
      <c r="C84" s="243" t="s">
        <v>712</v>
      </c>
      <c r="D84" s="267" t="s">
        <v>713</v>
      </c>
      <c r="E84" s="240"/>
      <c r="F84" s="240"/>
      <c r="G84" s="240"/>
      <c r="H84" s="264"/>
      <c r="I84" s="264"/>
      <c r="J84" s="264"/>
      <c r="K84" s="253"/>
      <c r="L84" s="253"/>
      <c r="M84" s="253"/>
      <c r="N84" s="253"/>
    </row>
    <row r="85" spans="1:14" ht="12" customHeight="1">
      <c r="A85" s="253"/>
      <c r="B85" s="264"/>
      <c r="C85" s="243" t="s">
        <v>714</v>
      </c>
      <c r="D85" s="267" t="s">
        <v>715</v>
      </c>
      <c r="E85" s="240"/>
      <c r="F85" s="240"/>
      <c r="G85" s="240"/>
      <c r="H85" s="264"/>
      <c r="I85" s="264"/>
      <c r="J85" s="264"/>
      <c r="K85" s="253"/>
      <c r="L85" s="253"/>
      <c r="M85" s="253"/>
      <c r="N85" s="253"/>
    </row>
    <row r="86" spans="1:14" ht="12" customHeight="1">
      <c r="A86" s="253"/>
      <c r="B86" s="264"/>
      <c r="C86" s="243" t="s">
        <v>716</v>
      </c>
      <c r="D86" s="245" t="s">
        <v>4068</v>
      </c>
      <c r="E86" s="240"/>
      <c r="F86" s="240"/>
      <c r="G86" s="240"/>
      <c r="H86" s="264"/>
      <c r="I86" s="264"/>
      <c r="J86" s="264"/>
      <c r="K86" s="253"/>
      <c r="L86" s="253"/>
      <c r="M86" s="253"/>
      <c r="N86" s="253"/>
    </row>
    <row r="87" spans="1:14" ht="12" customHeight="1">
      <c r="A87" s="253"/>
      <c r="B87" s="264"/>
      <c r="C87" s="243" t="s">
        <v>717</v>
      </c>
      <c r="D87" s="245" t="s">
        <v>4073</v>
      </c>
      <c r="E87" s="240"/>
      <c r="F87" s="240"/>
      <c r="G87" s="240"/>
      <c r="H87" s="264"/>
      <c r="I87" s="264"/>
      <c r="J87" s="264"/>
      <c r="K87" s="253"/>
      <c r="L87" s="253"/>
      <c r="M87" s="253"/>
      <c r="N87" s="253"/>
    </row>
    <row r="88" spans="1:14" ht="12" customHeight="1">
      <c r="A88" s="253"/>
      <c r="B88" s="244" t="s">
        <v>4061</v>
      </c>
      <c r="C88" s="1928" t="s">
        <v>1081</v>
      </c>
      <c r="D88" s="1930"/>
      <c r="E88" s="240">
        <f>E91</f>
        <v>600</v>
      </c>
      <c r="F88" s="240">
        <f>F91</f>
        <v>600</v>
      </c>
      <c r="G88" s="240">
        <f>G91</f>
        <v>600</v>
      </c>
      <c r="H88" s="264"/>
      <c r="I88" s="264"/>
      <c r="J88" s="264"/>
      <c r="K88" s="253"/>
      <c r="L88" s="253"/>
      <c r="M88" s="253"/>
      <c r="N88" s="253"/>
    </row>
    <row r="89" spans="1:14" ht="12" customHeight="1">
      <c r="A89" s="253"/>
      <c r="B89" s="264"/>
      <c r="C89" s="243" t="s">
        <v>4063</v>
      </c>
      <c r="D89" s="245" t="s">
        <v>719</v>
      </c>
      <c r="E89" s="240">
        <f>'[1]önk.műk.felh'!E95+'[1]gamesz műk.felh'!E89+'[1]műv.műk.felh'!E89</f>
        <v>0</v>
      </c>
      <c r="F89" s="240">
        <f>'[1]önk.műk.felh'!F95+'[1]gamesz műk.felh'!F89+'[1]műv.műk.felh'!F89</f>
        <v>0</v>
      </c>
      <c r="G89" s="240">
        <f>'[1]önk.műk.felh'!G95+'[1]gamesz műk.felh'!G89+'[1]műv.műk.felh'!G89</f>
        <v>0</v>
      </c>
      <c r="H89" s="264"/>
      <c r="I89" s="264"/>
      <c r="J89" s="264"/>
      <c r="K89" s="253"/>
      <c r="L89" s="253"/>
      <c r="M89" s="253"/>
      <c r="N89" s="253"/>
    </row>
    <row r="90" spans="1:14" ht="12" customHeight="1">
      <c r="A90" s="253"/>
      <c r="B90" s="264"/>
      <c r="C90" s="243" t="s">
        <v>4064</v>
      </c>
      <c r="D90" s="245" t="s">
        <v>720</v>
      </c>
      <c r="E90" s="240">
        <f>'[1]önk.műk.felh'!E96+'[1]gamesz műk.felh'!E90+'[1]műv.műk.felh'!E90</f>
        <v>0</v>
      </c>
      <c r="F90" s="240">
        <f>'[1]önk.műk.felh'!F96+'[1]gamesz műk.felh'!F90+'[1]műv.műk.felh'!F90</f>
        <v>0</v>
      </c>
      <c r="G90" s="240">
        <f>'[1]önk.műk.felh'!G96+'[1]gamesz műk.felh'!G90+'[1]műv.műk.felh'!G90</f>
        <v>0</v>
      </c>
      <c r="H90" s="264"/>
      <c r="I90" s="264"/>
      <c r="J90" s="264"/>
      <c r="K90" s="253"/>
      <c r="L90" s="253"/>
      <c r="M90" s="253"/>
      <c r="N90" s="253"/>
    </row>
    <row r="91" spans="1:14" ht="12" customHeight="1">
      <c r="A91" s="253"/>
      <c r="B91" s="264"/>
      <c r="C91" s="243" t="s">
        <v>4065</v>
      </c>
      <c r="D91" s="245" t="s">
        <v>721</v>
      </c>
      <c r="E91" s="240">
        <f>'[1]önk.műk.felh'!E97+'[1]gamesz műk.felh'!E91+'[1]műv.műk.felh'!E91</f>
        <v>600</v>
      </c>
      <c r="F91" s="240">
        <f>'[1]önk.műk.felh'!F97+'[1]gamesz műk.felh'!F91+'[1]műv.műk.felh'!F91</f>
        <v>600</v>
      </c>
      <c r="G91" s="240">
        <f>'[1]önk.műk.felh'!G97+'[1]gamesz műk.felh'!G91+'[1]műv.műk.felh'!G91</f>
        <v>600</v>
      </c>
      <c r="H91" s="264"/>
      <c r="I91" s="264"/>
      <c r="J91" s="264"/>
      <c r="K91" s="253"/>
      <c r="L91" s="253"/>
      <c r="M91" s="253"/>
      <c r="N91" s="253"/>
    </row>
    <row r="92" spans="1:14" ht="15.75" customHeight="1">
      <c r="A92" s="253"/>
      <c r="B92" s="241" t="s">
        <v>4074</v>
      </c>
      <c r="C92" s="1934" t="s">
        <v>722</v>
      </c>
      <c r="D92" s="1934"/>
      <c r="E92" s="240"/>
      <c r="F92" s="240"/>
      <c r="G92" s="240"/>
      <c r="H92" s="264"/>
      <c r="I92" s="264"/>
      <c r="J92" s="264"/>
      <c r="K92" s="253"/>
      <c r="L92" s="253"/>
      <c r="M92" s="253"/>
      <c r="N92" s="253"/>
    </row>
    <row r="93" spans="1:14" ht="12" customHeight="1">
      <c r="A93" s="253"/>
      <c r="B93" s="251" t="s">
        <v>4195</v>
      </c>
      <c r="C93" s="1929" t="s">
        <v>723</v>
      </c>
      <c r="D93" s="1930"/>
      <c r="E93" s="240"/>
      <c r="F93" s="240"/>
      <c r="G93" s="240"/>
      <c r="H93" s="261"/>
      <c r="I93" s="1934"/>
      <c r="J93" s="1934"/>
      <c r="K93" s="1934"/>
      <c r="L93" s="253"/>
      <c r="M93" s="253"/>
      <c r="N93" s="253"/>
    </row>
    <row r="94" spans="1:14" ht="15" customHeight="1">
      <c r="A94" s="253"/>
      <c r="B94" s="251" t="s">
        <v>4094</v>
      </c>
      <c r="C94" s="1929" t="s">
        <v>724</v>
      </c>
      <c r="D94" s="1930"/>
      <c r="E94" s="240"/>
      <c r="F94" s="240"/>
      <c r="G94" s="240"/>
      <c r="H94" s="252"/>
      <c r="I94" s="249"/>
      <c r="J94" s="239"/>
      <c r="K94" s="250"/>
      <c r="L94" s="253"/>
      <c r="M94" s="253"/>
      <c r="N94" s="253"/>
    </row>
    <row r="95" spans="1:16" ht="11.25" customHeight="1">
      <c r="A95" s="260" t="s">
        <v>725</v>
      </c>
      <c r="B95" s="1928" t="s">
        <v>726</v>
      </c>
      <c r="C95" s="1929"/>
      <c r="D95" s="1930"/>
      <c r="E95" s="268">
        <f>E68+E73+E80+E81+E88+E92+E93+E94</f>
        <v>2490</v>
      </c>
      <c r="F95" s="268">
        <f>F68+F73+F80+F81+F88+F92+F93+F94</f>
        <v>3461</v>
      </c>
      <c r="G95" s="268">
        <f>G68+G73+G80+G81+G88+G92+G93+G94</f>
        <v>3939</v>
      </c>
      <c r="H95" s="261" t="s">
        <v>727</v>
      </c>
      <c r="I95" s="1930" t="s">
        <v>728</v>
      </c>
      <c r="J95" s="1934"/>
      <c r="K95" s="1934"/>
      <c r="L95" s="260">
        <f>L68+L69+L70+L71+L72</f>
        <v>14669</v>
      </c>
      <c r="M95" s="260">
        <f>M68+M69+M70+M71+M72</f>
        <v>17121</v>
      </c>
      <c r="N95" s="260">
        <f>N68+N69+N70+N71+N72</f>
        <v>15837</v>
      </c>
      <c r="P95" s="271">
        <v>8984</v>
      </c>
    </row>
    <row r="96" spans="1:17" ht="9" customHeight="1">
      <c r="A96" s="1694" t="s">
        <v>729</v>
      </c>
      <c r="B96" s="1947" t="s">
        <v>730</v>
      </c>
      <c r="C96" s="1948"/>
      <c r="D96" s="1949"/>
      <c r="E96" s="269">
        <f>E95-L95</f>
        <v>-12179</v>
      </c>
      <c r="F96" s="269">
        <f>F95-M95</f>
        <v>-13660</v>
      </c>
      <c r="G96" s="269">
        <f>G95-N95</f>
        <v>-11898</v>
      </c>
      <c r="H96" s="254" t="s">
        <v>731</v>
      </c>
      <c r="I96" s="1934" t="s">
        <v>730</v>
      </c>
      <c r="J96" s="1934"/>
      <c r="K96" s="1934"/>
      <c r="L96" s="270"/>
      <c r="M96" s="270"/>
      <c r="N96" s="270"/>
      <c r="Q96" s="271">
        <v>8984</v>
      </c>
    </row>
    <row r="97" spans="1:14" ht="20.25" customHeight="1">
      <c r="A97" s="260" t="s">
        <v>732</v>
      </c>
      <c r="B97" s="1934" t="s">
        <v>733</v>
      </c>
      <c r="C97" s="1934"/>
      <c r="D97" s="1934"/>
      <c r="E97" s="268">
        <v>12179</v>
      </c>
      <c r="F97" s="268">
        <v>13660</v>
      </c>
      <c r="G97" s="268"/>
      <c r="H97" s="270"/>
      <c r="I97" s="270"/>
      <c r="J97" s="270"/>
      <c r="K97" s="270"/>
      <c r="L97" s="253"/>
      <c r="M97" s="253"/>
      <c r="N97" s="253"/>
    </row>
    <row r="98" spans="1:17" ht="10.5" customHeight="1">
      <c r="A98" s="260" t="s">
        <v>734</v>
      </c>
      <c r="B98" s="1950" t="s">
        <v>4262</v>
      </c>
      <c r="C98" s="1950"/>
      <c r="D98" s="1950"/>
      <c r="E98" s="268">
        <f>E95+E97</f>
        <v>14669</v>
      </c>
      <c r="F98" s="268">
        <f>F95+F97</f>
        <v>17121</v>
      </c>
      <c r="G98" s="268">
        <f>G95+G97</f>
        <v>3939</v>
      </c>
      <c r="H98" s="260" t="s">
        <v>4263</v>
      </c>
      <c r="I98" s="1950" t="s">
        <v>4262</v>
      </c>
      <c r="J98" s="1950"/>
      <c r="K98" s="1950"/>
      <c r="L98" s="260"/>
      <c r="M98" s="260"/>
      <c r="N98" s="260"/>
      <c r="Q98" s="272">
        <f>G97+G121</f>
        <v>0</v>
      </c>
    </row>
    <row r="99" spans="1:17" ht="12" customHeight="1">
      <c r="A99" s="1945" t="s">
        <v>669</v>
      </c>
      <c r="B99" s="1945"/>
      <c r="C99" s="1945"/>
      <c r="D99" s="1945"/>
      <c r="E99" s="1945"/>
      <c r="F99" s="1945"/>
      <c r="G99" s="1945"/>
      <c r="H99" s="1946" t="s">
        <v>670</v>
      </c>
      <c r="I99" s="1946"/>
      <c r="J99" s="1946"/>
      <c r="K99" s="1946"/>
      <c r="L99" s="1946"/>
      <c r="M99" s="1946"/>
      <c r="N99" s="1946"/>
      <c r="P99" s="272"/>
      <c r="Q99" s="271">
        <v>64091</v>
      </c>
    </row>
    <row r="100" spans="1:17" ht="27.75" customHeight="1">
      <c r="A100" s="1942" t="s">
        <v>671</v>
      </c>
      <c r="B100" s="1943"/>
      <c r="C100" s="1943"/>
      <c r="D100" s="1944"/>
      <c r="E100" s="238" t="s">
        <v>672</v>
      </c>
      <c r="F100" s="238" t="s">
        <v>673</v>
      </c>
      <c r="G100" s="238" t="s">
        <v>4220</v>
      </c>
      <c r="H100" s="1942" t="s">
        <v>671</v>
      </c>
      <c r="I100" s="1943"/>
      <c r="J100" s="1943"/>
      <c r="K100" s="1944"/>
      <c r="L100" s="238" t="s">
        <v>672</v>
      </c>
      <c r="M100" s="238" t="s">
        <v>673</v>
      </c>
      <c r="N100" s="238" t="s">
        <v>4220</v>
      </c>
      <c r="Q100" s="272">
        <f>Q99-Q98</f>
        <v>64091</v>
      </c>
    </row>
    <row r="101" spans="1:14" ht="12" customHeight="1">
      <c r="A101" s="1942" t="s">
        <v>671</v>
      </c>
      <c r="B101" s="1943"/>
      <c r="C101" s="1943"/>
      <c r="D101" s="1944"/>
      <c r="E101" s="253"/>
      <c r="F101" s="253"/>
      <c r="G101" s="253"/>
      <c r="H101" s="255" t="s">
        <v>4264</v>
      </c>
      <c r="I101" s="1940" t="s">
        <v>4265</v>
      </c>
      <c r="J101" s="1940"/>
      <c r="K101" s="1940"/>
      <c r="L101" s="253"/>
      <c r="M101" s="253"/>
      <c r="N101" s="253"/>
    </row>
    <row r="102" spans="1:14" ht="12" customHeight="1">
      <c r="A102" s="255" t="s">
        <v>4264</v>
      </c>
      <c r="B102" s="1934" t="s">
        <v>4265</v>
      </c>
      <c r="C102" s="1934"/>
      <c r="D102" s="1934"/>
      <c r="E102" s="253"/>
      <c r="F102" s="253"/>
      <c r="G102" s="253"/>
      <c r="H102" s="264"/>
      <c r="I102" s="253" t="s">
        <v>4029</v>
      </c>
      <c r="J102" s="1941" t="s">
        <v>4267</v>
      </c>
      <c r="K102" s="1941"/>
      <c r="L102" s="253"/>
      <c r="M102" s="253"/>
      <c r="N102" s="253"/>
    </row>
    <row r="103" spans="1:14" ht="12" customHeight="1">
      <c r="A103" s="253"/>
      <c r="B103" s="255" t="s">
        <v>4029</v>
      </c>
      <c r="C103" s="1940" t="s">
        <v>1082</v>
      </c>
      <c r="D103" s="1940"/>
      <c r="E103" s="253"/>
      <c r="F103" s="253"/>
      <c r="G103" s="253"/>
      <c r="H103" s="264"/>
      <c r="I103" s="253" t="s">
        <v>4031</v>
      </c>
      <c r="J103" s="1941" t="s">
        <v>4154</v>
      </c>
      <c r="K103" s="1941"/>
      <c r="L103" s="253"/>
      <c r="M103" s="253"/>
      <c r="N103" s="253"/>
    </row>
    <row r="104" spans="1:14" ht="12" customHeight="1">
      <c r="A104" s="253"/>
      <c r="B104" s="264"/>
      <c r="C104" s="257" t="s">
        <v>4268</v>
      </c>
      <c r="D104" s="245" t="s">
        <v>4068</v>
      </c>
      <c r="E104" s="253"/>
      <c r="F104" s="253"/>
      <c r="G104" s="253"/>
      <c r="H104" s="264"/>
      <c r="I104" s="253" t="s">
        <v>4041</v>
      </c>
      <c r="J104" s="1941" t="s">
        <v>4270</v>
      </c>
      <c r="K104" s="1941"/>
      <c r="L104" s="253"/>
      <c r="M104" s="253"/>
      <c r="N104" s="253"/>
    </row>
    <row r="105" spans="1:14" ht="12" customHeight="1">
      <c r="A105" s="253"/>
      <c r="B105" s="264"/>
      <c r="C105" s="257" t="s">
        <v>4269</v>
      </c>
      <c r="D105" s="245" t="s">
        <v>4070</v>
      </c>
      <c r="E105" s="253"/>
      <c r="F105" s="253"/>
      <c r="G105" s="253"/>
      <c r="H105" s="264"/>
      <c r="I105" s="264"/>
      <c r="J105" s="257" t="s">
        <v>4272</v>
      </c>
      <c r="K105" s="245" t="s">
        <v>4273</v>
      </c>
      <c r="L105" s="253"/>
      <c r="M105" s="253"/>
      <c r="N105" s="253"/>
    </row>
    <row r="106" spans="1:14" ht="12" customHeight="1">
      <c r="A106" s="253"/>
      <c r="B106" s="264"/>
      <c r="C106" s="257" t="s">
        <v>679</v>
      </c>
      <c r="D106" s="245" t="s">
        <v>4271</v>
      </c>
      <c r="E106" s="253"/>
      <c r="F106" s="253"/>
      <c r="G106" s="253"/>
      <c r="H106" s="264"/>
      <c r="I106" s="264"/>
      <c r="J106" s="257" t="s">
        <v>4275</v>
      </c>
      <c r="K106" s="258" t="s">
        <v>4276</v>
      </c>
      <c r="L106" s="253"/>
      <c r="M106" s="253"/>
      <c r="N106" s="253"/>
    </row>
    <row r="107" spans="1:14" ht="12" customHeight="1">
      <c r="A107" s="253"/>
      <c r="B107" s="255" t="s">
        <v>4031</v>
      </c>
      <c r="C107" s="1934" t="s">
        <v>1083</v>
      </c>
      <c r="D107" s="1934"/>
      <c r="E107" s="253"/>
      <c r="F107" s="253"/>
      <c r="G107" s="253"/>
      <c r="H107" s="264"/>
      <c r="I107" s="264"/>
      <c r="J107" s="257" t="s">
        <v>4277</v>
      </c>
      <c r="K107" s="247" t="s">
        <v>3684</v>
      </c>
      <c r="L107" s="253"/>
      <c r="M107" s="253"/>
      <c r="N107" s="253"/>
    </row>
    <row r="108" spans="1:14" ht="12" customHeight="1">
      <c r="A108" s="253"/>
      <c r="B108" s="264"/>
      <c r="C108" s="257" t="s">
        <v>684</v>
      </c>
      <c r="D108" s="245" t="s">
        <v>659</v>
      </c>
      <c r="E108" s="253"/>
      <c r="F108" s="253"/>
      <c r="G108" s="253"/>
      <c r="H108" s="264"/>
      <c r="I108" s="264"/>
      <c r="J108" s="257" t="s">
        <v>3686</v>
      </c>
      <c r="K108" s="247" t="s">
        <v>3687</v>
      </c>
      <c r="L108" s="253"/>
      <c r="M108" s="253"/>
      <c r="N108" s="253"/>
    </row>
    <row r="109" spans="1:14" ht="12" customHeight="1">
      <c r="A109" s="253"/>
      <c r="B109" s="264"/>
      <c r="C109" s="257" t="s">
        <v>687</v>
      </c>
      <c r="D109" s="245" t="s">
        <v>3685</v>
      </c>
      <c r="E109" s="253"/>
      <c r="F109" s="253"/>
      <c r="G109" s="253"/>
      <c r="H109" s="264"/>
      <c r="I109" s="264" t="s">
        <v>4059</v>
      </c>
      <c r="J109" s="1937" t="s">
        <v>3689</v>
      </c>
      <c r="K109" s="1938"/>
      <c r="L109" s="253"/>
      <c r="M109" s="253"/>
      <c r="N109" s="253"/>
    </row>
    <row r="110" spans="1:14" ht="12" customHeight="1">
      <c r="A110" s="253"/>
      <c r="B110" s="255">
        <v>3</v>
      </c>
      <c r="C110" s="1939" t="s">
        <v>3688</v>
      </c>
      <c r="D110" s="1939"/>
      <c r="E110" s="253"/>
      <c r="F110" s="253">
        <v>20</v>
      </c>
      <c r="G110" s="253">
        <v>20</v>
      </c>
      <c r="H110" s="264"/>
      <c r="I110" s="264" t="s">
        <v>4061</v>
      </c>
      <c r="J110" s="1937" t="s">
        <v>3690</v>
      </c>
      <c r="K110" s="1938"/>
      <c r="L110" s="253"/>
      <c r="M110" s="253"/>
      <c r="N110" s="253"/>
    </row>
    <row r="111" spans="1:14" ht="18" customHeight="1">
      <c r="A111" s="253"/>
      <c r="B111" s="264"/>
      <c r="C111" s="257" t="s">
        <v>4272</v>
      </c>
      <c r="D111" s="245" t="s">
        <v>4097</v>
      </c>
      <c r="E111" s="253"/>
      <c r="F111" s="253">
        <v>20</v>
      </c>
      <c r="G111" s="253">
        <v>20</v>
      </c>
      <c r="H111" s="264"/>
      <c r="I111" s="264" t="s">
        <v>4074</v>
      </c>
      <c r="J111" s="1937" t="s">
        <v>3723</v>
      </c>
      <c r="K111" s="1938"/>
      <c r="L111" s="253"/>
      <c r="M111" s="253">
        <f>'önk.műk'!M115</f>
        <v>13477</v>
      </c>
      <c r="N111" s="253">
        <f>'önk.műk'!N115</f>
        <v>9640</v>
      </c>
    </row>
    <row r="112" spans="1:14" ht="12" customHeight="1">
      <c r="A112" s="253"/>
      <c r="B112" s="264"/>
      <c r="C112" s="257" t="s">
        <v>4275</v>
      </c>
      <c r="D112" s="245" t="s">
        <v>3691</v>
      </c>
      <c r="E112" s="253"/>
      <c r="F112" s="253"/>
      <c r="G112" s="253"/>
      <c r="H112" s="264"/>
      <c r="I112" s="264"/>
      <c r="J112" s="264"/>
      <c r="K112" s="253"/>
      <c r="L112" s="253"/>
      <c r="M112" s="253"/>
      <c r="N112" s="253"/>
    </row>
    <row r="113" spans="1:14" ht="12" customHeight="1">
      <c r="A113" s="253"/>
      <c r="B113" s="264"/>
      <c r="C113" s="257" t="s">
        <v>4277</v>
      </c>
      <c r="D113" s="247" t="s">
        <v>3692</v>
      </c>
      <c r="E113" s="253"/>
      <c r="F113" s="253"/>
      <c r="G113" s="253"/>
      <c r="H113" s="264"/>
      <c r="I113" s="264"/>
      <c r="J113" s="264"/>
      <c r="K113" s="253"/>
      <c r="L113" s="253"/>
      <c r="M113" s="253"/>
      <c r="N113" s="253"/>
    </row>
    <row r="114" spans="1:14" ht="18.75" customHeight="1">
      <c r="A114" s="253"/>
      <c r="B114" s="244">
        <v>4</v>
      </c>
      <c r="C114" s="1934" t="s">
        <v>3693</v>
      </c>
      <c r="D114" s="1934"/>
      <c r="E114" s="253"/>
      <c r="F114" s="253"/>
      <c r="G114" s="253"/>
      <c r="H114" s="264"/>
      <c r="I114" s="244"/>
      <c r="J114" s="244"/>
      <c r="K114" s="244"/>
      <c r="L114" s="253"/>
      <c r="M114" s="253"/>
      <c r="N114" s="253"/>
    </row>
    <row r="115" spans="1:14" ht="12" customHeight="1">
      <c r="A115" s="253"/>
      <c r="B115" s="244" t="s">
        <v>4061</v>
      </c>
      <c r="C115" s="1928" t="s">
        <v>3694</v>
      </c>
      <c r="D115" s="1930"/>
      <c r="E115" s="253"/>
      <c r="F115" s="253"/>
      <c r="G115" s="253"/>
      <c r="H115" s="264"/>
      <c r="I115" s="244"/>
      <c r="J115" s="244"/>
      <c r="K115" s="244"/>
      <c r="L115" s="253"/>
      <c r="M115" s="253"/>
      <c r="N115" s="253"/>
    </row>
    <row r="116" spans="1:14" ht="12" customHeight="1">
      <c r="A116" s="253"/>
      <c r="B116" s="244"/>
      <c r="C116" s="257" t="s">
        <v>4063</v>
      </c>
      <c r="D116" s="250" t="s">
        <v>3695</v>
      </c>
      <c r="E116" s="253"/>
      <c r="F116" s="253"/>
      <c r="G116" s="253"/>
      <c r="H116" s="264"/>
      <c r="I116" s="244"/>
      <c r="J116" s="244"/>
      <c r="K116" s="244"/>
      <c r="L116" s="253"/>
      <c r="M116" s="253"/>
      <c r="N116" s="253"/>
    </row>
    <row r="117" spans="1:14" ht="12" customHeight="1">
      <c r="A117" s="253"/>
      <c r="B117" s="244"/>
      <c r="C117" s="1935" t="s">
        <v>3696</v>
      </c>
      <c r="D117" s="1936"/>
      <c r="E117" s="253"/>
      <c r="F117" s="253"/>
      <c r="G117" s="253"/>
      <c r="H117" s="264"/>
      <c r="I117" s="1934"/>
      <c r="J117" s="1934"/>
      <c r="K117" s="1934"/>
      <c r="L117" s="253"/>
      <c r="M117" s="253"/>
      <c r="N117" s="253"/>
    </row>
    <row r="118" spans="1:14" ht="12" customHeight="1">
      <c r="A118" s="253"/>
      <c r="B118" s="244"/>
      <c r="C118" s="1935" t="s">
        <v>724</v>
      </c>
      <c r="D118" s="1936"/>
      <c r="E118" s="253"/>
      <c r="F118" s="253"/>
      <c r="G118" s="253"/>
      <c r="H118" s="264"/>
      <c r="I118" s="244"/>
      <c r="J118" s="244"/>
      <c r="K118" s="244"/>
      <c r="L118" s="253"/>
      <c r="M118" s="253"/>
      <c r="N118" s="253"/>
    </row>
    <row r="119" spans="1:14" ht="12" customHeight="1">
      <c r="A119" s="253" t="s">
        <v>725</v>
      </c>
      <c r="B119" s="1928" t="s">
        <v>3697</v>
      </c>
      <c r="C119" s="1929"/>
      <c r="D119" s="1930"/>
      <c r="E119" s="260"/>
      <c r="F119" s="260">
        <v>20</v>
      </c>
      <c r="G119" s="260">
        <v>20</v>
      </c>
      <c r="H119" s="264" t="s">
        <v>727</v>
      </c>
      <c r="I119" s="1934" t="s">
        <v>1192</v>
      </c>
      <c r="J119" s="1934"/>
      <c r="K119" s="1934"/>
      <c r="L119" s="260"/>
      <c r="M119" s="260">
        <f>M111</f>
        <v>13477</v>
      </c>
      <c r="N119" s="260">
        <f>N111</f>
        <v>9640</v>
      </c>
    </row>
    <row r="120" spans="1:14" ht="12" customHeight="1">
      <c r="A120" s="253" t="s">
        <v>729</v>
      </c>
      <c r="B120" s="1928" t="s">
        <v>3698</v>
      </c>
      <c r="C120" s="1929"/>
      <c r="D120" s="1930"/>
      <c r="E120" s="253"/>
      <c r="F120" s="253">
        <f>F119-M119</f>
        <v>-13457</v>
      </c>
      <c r="G120" s="253">
        <f>G119-N119</f>
        <v>-9620</v>
      </c>
      <c r="H120" s="253" t="s">
        <v>731</v>
      </c>
      <c r="I120" s="1928" t="s">
        <v>3698</v>
      </c>
      <c r="J120" s="1929"/>
      <c r="K120" s="1930"/>
      <c r="L120" s="253"/>
      <c r="M120" s="253"/>
      <c r="N120" s="253"/>
    </row>
    <row r="121" spans="1:17" ht="19.5" customHeight="1">
      <c r="A121" s="253" t="s">
        <v>732</v>
      </c>
      <c r="B121" s="1928" t="s">
        <v>3699</v>
      </c>
      <c r="C121" s="1929"/>
      <c r="D121" s="1930"/>
      <c r="E121" s="253"/>
      <c r="F121" s="253">
        <v>13457</v>
      </c>
      <c r="G121" s="253"/>
      <c r="H121" s="264"/>
      <c r="I121" s="264"/>
      <c r="J121" s="264"/>
      <c r="K121" s="253"/>
      <c r="L121" s="253"/>
      <c r="M121" s="253"/>
      <c r="N121" s="253"/>
      <c r="Q121" s="272">
        <f>G121+G97+G36</f>
        <v>64091</v>
      </c>
    </row>
    <row r="122" spans="1:14" ht="12" customHeight="1">
      <c r="A122" s="253" t="s">
        <v>734</v>
      </c>
      <c r="B122" s="1931" t="s">
        <v>3700</v>
      </c>
      <c r="C122" s="1932"/>
      <c r="D122" s="1933"/>
      <c r="E122" s="260"/>
      <c r="F122" s="260"/>
      <c r="G122" s="260"/>
      <c r="H122" s="264"/>
      <c r="I122" s="264"/>
      <c r="J122" s="264"/>
      <c r="K122" s="253"/>
      <c r="L122" s="253"/>
      <c r="M122" s="253"/>
      <c r="N122" s="253"/>
    </row>
    <row r="123" spans="1:14" ht="12" customHeight="1">
      <c r="A123" s="1695"/>
      <c r="B123" s="1965" t="s">
        <v>1191</v>
      </c>
      <c r="C123" s="1966"/>
      <c r="D123" s="1967"/>
      <c r="E123" s="1687">
        <f>E98+E61+E58+E37</f>
        <v>2119914</v>
      </c>
      <c r="F123" s="1687">
        <f>F98+F61+F58+F37+F60+F119+F121</f>
        <v>1031346</v>
      </c>
      <c r="G123" s="1687">
        <f>G98+G61+G58+G37+G60+G119+G121</f>
        <v>1046691</v>
      </c>
      <c r="H123" s="1687"/>
      <c r="I123" s="1687"/>
      <c r="J123" s="1687"/>
      <c r="K123" s="1687"/>
      <c r="L123" s="1688">
        <f>L59+L95+L37</f>
        <v>2119914</v>
      </c>
      <c r="M123" s="1687">
        <f>M95+M59+M37+M119</f>
        <v>1031346</v>
      </c>
      <c r="N123" s="1687">
        <f>N95+N59+N37+N119</f>
        <v>940717</v>
      </c>
    </row>
    <row r="124" spans="13:18" ht="12.75">
      <c r="M124" s="272"/>
      <c r="R124" s="272"/>
    </row>
    <row r="125" spans="5:18" ht="12.75">
      <c r="E125" s="272"/>
      <c r="F125" s="272">
        <f>F123-M123</f>
        <v>0</v>
      </c>
      <c r="G125" s="272"/>
      <c r="H125" s="272"/>
      <c r="I125" s="272"/>
      <c r="J125" s="272"/>
      <c r="K125" s="272"/>
      <c r="L125" s="272"/>
      <c r="M125" s="272"/>
      <c r="N125" s="272"/>
      <c r="R125" s="272"/>
    </row>
    <row r="126" spans="7:14" ht="12.75">
      <c r="G126" s="272"/>
      <c r="M126" s="271">
        <f>N34+N95</f>
        <v>831638</v>
      </c>
      <c r="N126" s="272"/>
    </row>
    <row r="127" spans="6:14" ht="12.75">
      <c r="F127" s="272">
        <f>G37+G95</f>
        <v>925289</v>
      </c>
      <c r="G127" s="272"/>
      <c r="M127" s="272">
        <f>N119+N59</f>
        <v>109079</v>
      </c>
      <c r="N127" s="272"/>
    </row>
    <row r="128" spans="5:13" ht="12.75">
      <c r="E128" s="272">
        <f>F121+F97+F60-G128</f>
        <v>-56074</v>
      </c>
      <c r="F128" s="1522">
        <f>G119+G58</f>
        <v>121402</v>
      </c>
      <c r="G128" s="272">
        <v>64091</v>
      </c>
      <c r="M128" s="272">
        <f>M126+M127</f>
        <v>940717</v>
      </c>
    </row>
    <row r="129" ht="12.75">
      <c r="G129" s="272">
        <f>F121+F97+F60+F36</f>
        <v>64091</v>
      </c>
    </row>
    <row r="130" ht="12.75">
      <c r="F130" s="272">
        <f>F127+F128</f>
        <v>1046691</v>
      </c>
    </row>
    <row r="131" ht="12.75">
      <c r="G131" s="272">
        <f>G128-G129</f>
        <v>0</v>
      </c>
    </row>
    <row r="132" ht="12.75">
      <c r="G132" s="272"/>
    </row>
    <row r="133" ht="12.75">
      <c r="J133" s="272"/>
    </row>
    <row r="136" ht="12.75">
      <c r="F136" s="1522"/>
    </row>
    <row r="137" ht="12.75">
      <c r="F137" s="1692"/>
    </row>
  </sheetData>
  <sheetProtection/>
  <mergeCells count="116">
    <mergeCell ref="B123:D123"/>
    <mergeCell ref="A1:N1"/>
    <mergeCell ref="A2:N2"/>
    <mergeCell ref="A3:G3"/>
    <mergeCell ref="H3:N3"/>
    <mergeCell ref="A4:D4"/>
    <mergeCell ref="H4:K4"/>
    <mergeCell ref="B5:D5"/>
    <mergeCell ref="I5:K5"/>
    <mergeCell ref="C6:D6"/>
    <mergeCell ref="J10:K10"/>
    <mergeCell ref="C11:D11"/>
    <mergeCell ref="C19:D19"/>
    <mergeCell ref="J19:K19"/>
    <mergeCell ref="J6:K6"/>
    <mergeCell ref="J7:K7"/>
    <mergeCell ref="J8:K8"/>
    <mergeCell ref="J9:K9"/>
    <mergeCell ref="C31:D31"/>
    <mergeCell ref="C32:D32"/>
    <mergeCell ref="I32:K32"/>
    <mergeCell ref="C33:D33"/>
    <mergeCell ref="C20:D20"/>
    <mergeCell ref="J20:K20"/>
    <mergeCell ref="J21:K21"/>
    <mergeCell ref="C27:D27"/>
    <mergeCell ref="B36:D36"/>
    <mergeCell ref="B37:D37"/>
    <mergeCell ref="I37:K37"/>
    <mergeCell ref="A38:G38"/>
    <mergeCell ref="B34:D34"/>
    <mergeCell ref="I34:K34"/>
    <mergeCell ref="B35:D35"/>
    <mergeCell ref="I35:K35"/>
    <mergeCell ref="B41:D41"/>
    <mergeCell ref="I41:K41"/>
    <mergeCell ref="C42:D42"/>
    <mergeCell ref="J42:K42"/>
    <mergeCell ref="A39:G39"/>
    <mergeCell ref="H39:N39"/>
    <mergeCell ref="A40:D40"/>
    <mergeCell ref="H40:K40"/>
    <mergeCell ref="J50:K50"/>
    <mergeCell ref="J51:K51"/>
    <mergeCell ref="C53:D53"/>
    <mergeCell ref="C54:D54"/>
    <mergeCell ref="J43:K43"/>
    <mergeCell ref="J44:K44"/>
    <mergeCell ref="C46:D46"/>
    <mergeCell ref="C49:D49"/>
    <mergeCell ref="J49:K49"/>
    <mergeCell ref="B59:D59"/>
    <mergeCell ref="I59:K59"/>
    <mergeCell ref="B60:D60"/>
    <mergeCell ref="I60:K60"/>
    <mergeCell ref="C56:D56"/>
    <mergeCell ref="C57:D57"/>
    <mergeCell ref="I57:K57"/>
    <mergeCell ref="B58:D58"/>
    <mergeCell ref="A66:D66"/>
    <mergeCell ref="H66:K66"/>
    <mergeCell ref="B67:D67"/>
    <mergeCell ref="I67:K67"/>
    <mergeCell ref="B61:D61"/>
    <mergeCell ref="A64:N64"/>
    <mergeCell ref="A65:G65"/>
    <mergeCell ref="H65:N65"/>
    <mergeCell ref="J71:K71"/>
    <mergeCell ref="J72:K72"/>
    <mergeCell ref="C73:D73"/>
    <mergeCell ref="C80:D80"/>
    <mergeCell ref="C68:D68"/>
    <mergeCell ref="J68:K68"/>
    <mergeCell ref="J69:K69"/>
    <mergeCell ref="J70:K70"/>
    <mergeCell ref="C93:D93"/>
    <mergeCell ref="I93:K93"/>
    <mergeCell ref="C94:D94"/>
    <mergeCell ref="B95:D95"/>
    <mergeCell ref="I95:K95"/>
    <mergeCell ref="C81:D81"/>
    <mergeCell ref="J82:K82"/>
    <mergeCell ref="C88:D88"/>
    <mergeCell ref="C92:D92"/>
    <mergeCell ref="A99:G99"/>
    <mergeCell ref="H99:N99"/>
    <mergeCell ref="A100:D100"/>
    <mergeCell ref="H100:K100"/>
    <mergeCell ref="B96:D96"/>
    <mergeCell ref="I96:K96"/>
    <mergeCell ref="B97:D97"/>
    <mergeCell ref="B98:D98"/>
    <mergeCell ref="I98:K98"/>
    <mergeCell ref="C103:D103"/>
    <mergeCell ref="J103:K103"/>
    <mergeCell ref="J104:K104"/>
    <mergeCell ref="C107:D107"/>
    <mergeCell ref="A101:D101"/>
    <mergeCell ref="I101:K101"/>
    <mergeCell ref="B102:D102"/>
    <mergeCell ref="J102:K102"/>
    <mergeCell ref="C115:D115"/>
    <mergeCell ref="C117:D117"/>
    <mergeCell ref="I117:K117"/>
    <mergeCell ref="C118:D118"/>
    <mergeCell ref="J109:K109"/>
    <mergeCell ref="C110:D110"/>
    <mergeCell ref="J110:K110"/>
    <mergeCell ref="C114:D114"/>
    <mergeCell ref="J111:K111"/>
    <mergeCell ref="B121:D121"/>
    <mergeCell ref="B122:D122"/>
    <mergeCell ref="B119:D119"/>
    <mergeCell ref="I119:K119"/>
    <mergeCell ref="B120:D120"/>
    <mergeCell ref="I120:K1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9.125" style="169" customWidth="1"/>
    <col min="2" max="2" width="10.625" style="169" bestFit="1" customWidth="1"/>
    <col min="3" max="16384" width="9.125" style="169" customWidth="1"/>
  </cols>
  <sheetData>
    <row r="1" spans="1:12" ht="12.75">
      <c r="A1" s="2004" t="s">
        <v>5285</v>
      </c>
      <c r="B1" s="2004"/>
      <c r="C1" s="2004"/>
      <c r="D1" s="2004"/>
      <c r="E1" s="2004"/>
      <c r="F1" s="2004"/>
      <c r="G1" s="2004"/>
      <c r="H1" s="2004"/>
      <c r="I1" s="2004"/>
      <c r="J1" s="2004"/>
      <c r="K1" s="2004"/>
      <c r="L1" s="2004"/>
    </row>
    <row r="2" spans="1:12" ht="12.75">
      <c r="A2" s="208"/>
      <c r="B2" s="209"/>
      <c r="C2" s="208"/>
      <c r="D2" s="973"/>
      <c r="E2" s="208"/>
      <c r="F2" s="208"/>
      <c r="G2" s="208"/>
      <c r="H2" s="208"/>
      <c r="I2" s="208"/>
      <c r="J2" s="208"/>
      <c r="K2" s="208"/>
      <c r="L2" s="208"/>
    </row>
    <row r="3" spans="1:12" ht="12.75">
      <c r="A3" s="2092" t="s">
        <v>1002</v>
      </c>
      <c r="B3" s="2092"/>
      <c r="C3" s="2092"/>
      <c r="D3" s="2092"/>
      <c r="E3" s="2092"/>
      <c r="F3" s="2092"/>
      <c r="G3" s="2092"/>
      <c r="H3" s="2092"/>
      <c r="I3" s="2092"/>
      <c r="J3" s="2092"/>
      <c r="K3" s="2092"/>
      <c r="L3" s="2092"/>
    </row>
    <row r="4" spans="1:12" ht="31.5">
      <c r="A4" s="450" t="s">
        <v>1003</v>
      </c>
      <c r="B4" s="451" t="s">
        <v>1452</v>
      </c>
      <c r="C4" s="450" t="s">
        <v>4496</v>
      </c>
      <c r="D4" s="450" t="s">
        <v>4497</v>
      </c>
      <c r="E4" s="450" t="s">
        <v>4498</v>
      </c>
      <c r="F4" s="450" t="s">
        <v>1004</v>
      </c>
      <c r="G4" s="450" t="s">
        <v>4499</v>
      </c>
      <c r="H4" s="450" t="s">
        <v>4501</v>
      </c>
      <c r="I4" s="450" t="s">
        <v>1005</v>
      </c>
      <c r="J4" s="450" t="s">
        <v>4502</v>
      </c>
      <c r="K4" s="450" t="s">
        <v>4503</v>
      </c>
      <c r="L4" s="451" t="s">
        <v>1499</v>
      </c>
    </row>
    <row r="5" spans="1:12" ht="12.75">
      <c r="A5" s="2074">
        <v>813000</v>
      </c>
      <c r="B5" s="2093" t="s">
        <v>966</v>
      </c>
      <c r="C5" s="974">
        <v>1290</v>
      </c>
      <c r="D5" s="974">
        <v>344</v>
      </c>
      <c r="E5" s="974">
        <v>1904</v>
      </c>
      <c r="F5" s="974"/>
      <c r="G5" s="974"/>
      <c r="H5" s="974"/>
      <c r="I5" s="974"/>
      <c r="J5" s="974"/>
      <c r="K5" s="974"/>
      <c r="L5" s="974">
        <f>SUM(C5:K5)</f>
        <v>3538</v>
      </c>
    </row>
    <row r="6" spans="1:12" ht="12.75">
      <c r="A6" s="2075"/>
      <c r="B6" s="2094"/>
      <c r="C6" s="179">
        <v>1290</v>
      </c>
      <c r="D6" s="179">
        <v>344</v>
      </c>
      <c r="E6" s="179">
        <v>2486</v>
      </c>
      <c r="F6" s="179"/>
      <c r="G6" s="179"/>
      <c r="H6" s="179"/>
      <c r="I6" s="179"/>
      <c r="J6" s="179"/>
      <c r="K6" s="179"/>
      <c r="L6" s="179">
        <f aca="true" t="shared" si="0" ref="L6:L26">SUM(C6:K6)</f>
        <v>4120</v>
      </c>
    </row>
    <row r="7" spans="1:12" ht="12.75">
      <c r="A7" s="2074">
        <v>841172</v>
      </c>
      <c r="B7" s="2095" t="s">
        <v>967</v>
      </c>
      <c r="C7" s="974">
        <v>9519</v>
      </c>
      <c r="D7" s="974">
        <v>2392</v>
      </c>
      <c r="E7" s="974">
        <v>4427</v>
      </c>
      <c r="F7" s="974"/>
      <c r="G7" s="974"/>
      <c r="H7" s="974"/>
      <c r="I7" s="974"/>
      <c r="J7" s="974">
        <v>173</v>
      </c>
      <c r="K7" s="974"/>
      <c r="L7" s="974">
        <f t="shared" si="0"/>
        <v>16511</v>
      </c>
    </row>
    <row r="8" spans="1:12" ht="12.75">
      <c r="A8" s="2075"/>
      <c r="B8" s="2095"/>
      <c r="C8" s="179">
        <v>9413</v>
      </c>
      <c r="D8" s="179">
        <v>2179</v>
      </c>
      <c r="E8" s="179">
        <v>4356</v>
      </c>
      <c r="F8" s="179"/>
      <c r="G8" s="179"/>
      <c r="H8" s="179"/>
      <c r="I8" s="179"/>
      <c r="J8" s="179">
        <v>173</v>
      </c>
      <c r="K8" s="179"/>
      <c r="L8" s="179">
        <f t="shared" si="0"/>
        <v>16121</v>
      </c>
    </row>
    <row r="9" spans="1:12" ht="12.75">
      <c r="A9" s="2074">
        <v>841403</v>
      </c>
      <c r="B9" s="2074" t="s">
        <v>968</v>
      </c>
      <c r="C9" s="974">
        <v>13494</v>
      </c>
      <c r="D9" s="974">
        <v>2620</v>
      </c>
      <c r="E9" s="974">
        <v>7471</v>
      </c>
      <c r="F9" s="974"/>
      <c r="G9" s="974"/>
      <c r="H9" s="974"/>
      <c r="I9" s="974"/>
      <c r="J9" s="974"/>
      <c r="K9" s="974"/>
      <c r="L9" s="974">
        <f t="shared" si="0"/>
        <v>23585</v>
      </c>
    </row>
    <row r="10" spans="1:12" ht="12.75">
      <c r="A10" s="2075"/>
      <c r="B10" s="2096"/>
      <c r="C10" s="179">
        <v>12982</v>
      </c>
      <c r="D10" s="179">
        <v>2855</v>
      </c>
      <c r="E10" s="179">
        <v>5335</v>
      </c>
      <c r="F10" s="179"/>
      <c r="G10" s="179"/>
      <c r="H10" s="179"/>
      <c r="I10" s="179"/>
      <c r="J10" s="179"/>
      <c r="K10" s="179"/>
      <c r="L10" s="179">
        <f t="shared" si="0"/>
        <v>21172</v>
      </c>
    </row>
    <row r="11" spans="1:12" ht="12.75">
      <c r="A11" s="2074">
        <v>862101</v>
      </c>
      <c r="B11" s="2074" t="s">
        <v>970</v>
      </c>
      <c r="C11" s="974">
        <v>585</v>
      </c>
      <c r="D11" s="974">
        <v>17</v>
      </c>
      <c r="E11" s="974">
        <v>3746</v>
      </c>
      <c r="F11" s="974"/>
      <c r="G11" s="974"/>
      <c r="H11" s="974"/>
      <c r="I11" s="974"/>
      <c r="J11" s="974"/>
      <c r="K11" s="974"/>
      <c r="L11" s="974">
        <f t="shared" si="0"/>
        <v>4348</v>
      </c>
    </row>
    <row r="12" spans="1:12" ht="12.75">
      <c r="A12" s="2075"/>
      <c r="B12" s="2075"/>
      <c r="C12" s="179">
        <v>540</v>
      </c>
      <c r="D12" s="179">
        <v>13</v>
      </c>
      <c r="E12" s="179">
        <v>2818</v>
      </c>
      <c r="F12" s="179"/>
      <c r="G12" s="179"/>
      <c r="H12" s="179"/>
      <c r="I12" s="179"/>
      <c r="J12" s="179"/>
      <c r="K12" s="179"/>
      <c r="L12" s="179">
        <f t="shared" si="0"/>
        <v>3371</v>
      </c>
    </row>
    <row r="13" spans="1:12" ht="12.75">
      <c r="A13" s="2074">
        <v>862102</v>
      </c>
      <c r="B13" s="2074" t="s">
        <v>971</v>
      </c>
      <c r="C13" s="974">
        <v>4965</v>
      </c>
      <c r="D13" s="974">
        <v>1013</v>
      </c>
      <c r="E13" s="974">
        <v>16231</v>
      </c>
      <c r="F13" s="974"/>
      <c r="G13" s="974"/>
      <c r="H13" s="974"/>
      <c r="I13" s="974"/>
      <c r="J13" s="974"/>
      <c r="K13" s="974"/>
      <c r="L13" s="974">
        <f t="shared" si="0"/>
        <v>22209</v>
      </c>
    </row>
    <row r="14" spans="1:12" ht="12.75">
      <c r="A14" s="2075"/>
      <c r="B14" s="2075"/>
      <c r="C14" s="179">
        <v>4877</v>
      </c>
      <c r="D14" s="179">
        <v>1152</v>
      </c>
      <c r="E14" s="179">
        <v>15747</v>
      </c>
      <c r="F14" s="179"/>
      <c r="G14" s="179"/>
      <c r="H14" s="179"/>
      <c r="I14" s="179"/>
      <c r="J14" s="179"/>
      <c r="K14" s="179"/>
      <c r="L14" s="179">
        <f t="shared" si="0"/>
        <v>21776</v>
      </c>
    </row>
    <row r="15" spans="1:12" ht="12.75">
      <c r="A15" s="2074">
        <v>862240</v>
      </c>
      <c r="B15" s="2074" t="s">
        <v>972</v>
      </c>
      <c r="C15" s="974">
        <v>1123</v>
      </c>
      <c r="D15" s="974">
        <v>303</v>
      </c>
      <c r="E15" s="974">
        <v>252</v>
      </c>
      <c r="F15" s="974"/>
      <c r="G15" s="974"/>
      <c r="H15" s="974"/>
      <c r="I15" s="974"/>
      <c r="J15" s="974"/>
      <c r="K15" s="974"/>
      <c r="L15" s="974">
        <f t="shared" si="0"/>
        <v>1678</v>
      </c>
    </row>
    <row r="16" spans="1:12" ht="12.75">
      <c r="A16" s="2075"/>
      <c r="B16" s="2075"/>
      <c r="C16" s="179">
        <v>859</v>
      </c>
      <c r="D16" s="179">
        <v>196</v>
      </c>
      <c r="E16" s="179">
        <v>249</v>
      </c>
      <c r="F16" s="179"/>
      <c r="G16" s="179"/>
      <c r="H16" s="179"/>
      <c r="I16" s="179"/>
      <c r="J16" s="179"/>
      <c r="K16" s="179"/>
      <c r="L16" s="179">
        <f t="shared" si="0"/>
        <v>1304</v>
      </c>
    </row>
    <row r="17" spans="1:12" ht="12.75">
      <c r="A17" s="2074">
        <v>869041</v>
      </c>
      <c r="B17" s="2074" t="s">
        <v>973</v>
      </c>
      <c r="C17" s="974">
        <v>4205</v>
      </c>
      <c r="D17" s="974">
        <v>965</v>
      </c>
      <c r="E17" s="974">
        <v>922</v>
      </c>
      <c r="F17" s="974"/>
      <c r="G17" s="974"/>
      <c r="H17" s="974"/>
      <c r="I17" s="974"/>
      <c r="J17" s="974"/>
      <c r="K17" s="974"/>
      <c r="L17" s="974">
        <f t="shared" si="0"/>
        <v>6092</v>
      </c>
    </row>
    <row r="18" spans="1:12" ht="12.75">
      <c r="A18" s="2075"/>
      <c r="B18" s="2075"/>
      <c r="C18" s="179">
        <v>4116</v>
      </c>
      <c r="D18" s="179">
        <v>964</v>
      </c>
      <c r="E18" s="179">
        <v>693</v>
      </c>
      <c r="F18" s="179"/>
      <c r="G18" s="179"/>
      <c r="H18" s="179"/>
      <c r="I18" s="179"/>
      <c r="J18" s="179"/>
      <c r="K18" s="179"/>
      <c r="L18" s="179">
        <f t="shared" si="0"/>
        <v>5773</v>
      </c>
    </row>
    <row r="19" spans="1:12" ht="12.75">
      <c r="A19" s="2074">
        <v>869042</v>
      </c>
      <c r="B19" s="2074" t="s">
        <v>974</v>
      </c>
      <c r="C19" s="974">
        <v>1115</v>
      </c>
      <c r="D19" s="974">
        <v>243</v>
      </c>
      <c r="E19" s="974">
        <v>209</v>
      </c>
      <c r="F19" s="974"/>
      <c r="G19" s="974"/>
      <c r="H19" s="974"/>
      <c r="I19" s="974"/>
      <c r="J19" s="974"/>
      <c r="K19" s="974"/>
      <c r="L19" s="974">
        <f t="shared" si="0"/>
        <v>1567</v>
      </c>
    </row>
    <row r="20" spans="1:12" ht="12.75">
      <c r="A20" s="2075"/>
      <c r="B20" s="2075"/>
      <c r="C20" s="179">
        <v>1029</v>
      </c>
      <c r="D20" s="179">
        <v>241</v>
      </c>
      <c r="E20" s="179">
        <v>174</v>
      </c>
      <c r="F20" s="179"/>
      <c r="G20" s="179"/>
      <c r="H20" s="179"/>
      <c r="I20" s="179"/>
      <c r="J20" s="179"/>
      <c r="K20" s="179"/>
      <c r="L20" s="179">
        <f t="shared" si="0"/>
        <v>1444</v>
      </c>
    </row>
    <row r="21" spans="1:12" ht="12.75">
      <c r="A21" s="2093">
        <v>890443</v>
      </c>
      <c r="B21" s="2097" t="s">
        <v>975</v>
      </c>
      <c r="C21" s="974">
        <v>96057</v>
      </c>
      <c r="D21" s="974">
        <v>13121</v>
      </c>
      <c r="E21" s="974">
        <v>20672</v>
      </c>
      <c r="F21" s="974"/>
      <c r="G21" s="974"/>
      <c r="H21" s="974"/>
      <c r="I21" s="974"/>
      <c r="J21" s="974">
        <v>23233</v>
      </c>
      <c r="K21" s="974"/>
      <c r="L21" s="974">
        <f t="shared" si="0"/>
        <v>153083</v>
      </c>
    </row>
    <row r="22" spans="1:12" ht="12.75">
      <c r="A22" s="2094"/>
      <c r="B22" s="2080"/>
      <c r="C22" s="179">
        <v>95973</v>
      </c>
      <c r="D22" s="179">
        <v>12996</v>
      </c>
      <c r="E22" s="179">
        <v>21292</v>
      </c>
      <c r="F22" s="179"/>
      <c r="G22" s="179"/>
      <c r="H22" s="179"/>
      <c r="I22" s="179"/>
      <c r="J22" s="179">
        <v>23233</v>
      </c>
      <c r="K22" s="179"/>
      <c r="L22" s="179">
        <f t="shared" si="0"/>
        <v>153494</v>
      </c>
    </row>
    <row r="23" spans="1:12" ht="12.75">
      <c r="A23" s="2093">
        <v>862301</v>
      </c>
      <c r="B23" s="2097" t="s">
        <v>976</v>
      </c>
      <c r="C23" s="974"/>
      <c r="D23" s="974"/>
      <c r="E23" s="974">
        <v>730</v>
      </c>
      <c r="F23" s="974"/>
      <c r="G23" s="974"/>
      <c r="H23" s="974"/>
      <c r="I23" s="974"/>
      <c r="J23" s="974">
        <v>277</v>
      </c>
      <c r="K23" s="974"/>
      <c r="L23" s="974">
        <f t="shared" si="0"/>
        <v>1007</v>
      </c>
    </row>
    <row r="24" spans="1:12" ht="12.75">
      <c r="A24" s="2094"/>
      <c r="B24" s="2080"/>
      <c r="C24" s="179"/>
      <c r="D24" s="179"/>
      <c r="E24" s="179">
        <v>424</v>
      </c>
      <c r="F24" s="179"/>
      <c r="G24" s="179"/>
      <c r="H24" s="179"/>
      <c r="I24" s="179"/>
      <c r="J24" s="179">
        <v>277</v>
      </c>
      <c r="K24" s="179"/>
      <c r="L24" s="179">
        <f t="shared" si="0"/>
        <v>701</v>
      </c>
    </row>
    <row r="25" spans="1:12" ht="12.75">
      <c r="A25" s="2093">
        <v>890442</v>
      </c>
      <c r="B25" s="2098" t="s">
        <v>1006</v>
      </c>
      <c r="C25" s="974">
        <v>5434</v>
      </c>
      <c r="D25" s="974">
        <v>672</v>
      </c>
      <c r="E25" s="974"/>
      <c r="F25" s="974"/>
      <c r="G25" s="974"/>
      <c r="H25" s="974"/>
      <c r="I25" s="974"/>
      <c r="J25" s="974"/>
      <c r="K25" s="974"/>
      <c r="L25" s="974">
        <f t="shared" si="0"/>
        <v>6106</v>
      </c>
    </row>
    <row r="26" spans="1:12" ht="12.75">
      <c r="A26" s="2094"/>
      <c r="B26" s="2094"/>
      <c r="C26" s="179">
        <v>5434</v>
      </c>
      <c r="D26" s="179">
        <v>672</v>
      </c>
      <c r="E26" s="179"/>
      <c r="F26" s="179"/>
      <c r="G26" s="179"/>
      <c r="H26" s="179"/>
      <c r="I26" s="179"/>
      <c r="J26" s="179"/>
      <c r="K26" s="179"/>
      <c r="L26" s="179">
        <f t="shared" si="0"/>
        <v>6106</v>
      </c>
    </row>
    <row r="27" spans="1:12" ht="12.75">
      <c r="A27" s="2093">
        <v>873011</v>
      </c>
      <c r="B27" s="2101" t="s">
        <v>986</v>
      </c>
      <c r="C27" s="974">
        <v>1098</v>
      </c>
      <c r="D27" s="974">
        <v>314</v>
      </c>
      <c r="E27" s="974"/>
      <c r="F27" s="974"/>
      <c r="G27" s="974"/>
      <c r="H27" s="974"/>
      <c r="I27" s="974"/>
      <c r="J27" s="974"/>
      <c r="K27" s="974"/>
      <c r="L27" s="974">
        <f>SUM(C27:K27)</f>
        <v>1412</v>
      </c>
    </row>
    <row r="28" spans="1:12" ht="12.75">
      <c r="A28" s="2094"/>
      <c r="B28" s="2102"/>
      <c r="C28" s="179">
        <v>1097</v>
      </c>
      <c r="D28" s="179">
        <v>314</v>
      </c>
      <c r="E28" s="179"/>
      <c r="F28" s="179"/>
      <c r="G28" s="179"/>
      <c r="H28" s="179"/>
      <c r="I28" s="179"/>
      <c r="J28" s="179"/>
      <c r="K28" s="179"/>
      <c r="L28" s="179">
        <f>SUM(C28:K28)</f>
        <v>1411</v>
      </c>
    </row>
    <row r="29" spans="1:12" ht="15" customHeight="1">
      <c r="A29" s="2093">
        <v>890444</v>
      </c>
      <c r="B29" s="2098" t="s">
        <v>977</v>
      </c>
      <c r="C29" s="974">
        <v>2261</v>
      </c>
      <c r="D29" s="974">
        <v>487</v>
      </c>
      <c r="E29" s="974">
        <v>1248</v>
      </c>
      <c r="F29" s="974"/>
      <c r="G29" s="974"/>
      <c r="H29" s="974"/>
      <c r="I29" s="974"/>
      <c r="J29" s="974"/>
      <c r="K29" s="974"/>
      <c r="L29" s="974">
        <f>SUM(C29:K29)</f>
        <v>3996</v>
      </c>
    </row>
    <row r="30" spans="1:12" ht="12.75">
      <c r="A30" s="2094"/>
      <c r="B30" s="2094"/>
      <c r="C30" s="179">
        <v>2261</v>
      </c>
      <c r="D30" s="179">
        <v>486</v>
      </c>
      <c r="E30" s="179">
        <v>1151</v>
      </c>
      <c r="F30" s="179"/>
      <c r="G30" s="179"/>
      <c r="H30" s="179"/>
      <c r="I30" s="179"/>
      <c r="J30" s="179"/>
      <c r="K30" s="179"/>
      <c r="L30" s="179">
        <f>SUM(C30:K30)</f>
        <v>3898</v>
      </c>
    </row>
    <row r="31" spans="1:12" ht="12.75">
      <c r="A31" s="2099" t="s">
        <v>1000</v>
      </c>
      <c r="B31" s="2100"/>
      <c r="C31" s="975">
        <f>SUM(C5,C7,C9,C11,C13,C15,C17,C19,C21,C23,C25,C27,C29)</f>
        <v>141146</v>
      </c>
      <c r="D31" s="975">
        <f aca="true" t="shared" si="1" ref="D31:L32">SUM(D5,D7,D9,D11,D13,D15,D17,D19,D21,D23,D25,D27,D29)</f>
        <v>22491</v>
      </c>
      <c r="E31" s="975">
        <f t="shared" si="1"/>
        <v>57812</v>
      </c>
      <c r="F31" s="975">
        <f t="shared" si="1"/>
        <v>0</v>
      </c>
      <c r="G31" s="975">
        <f t="shared" si="1"/>
        <v>0</v>
      </c>
      <c r="H31" s="975">
        <f t="shared" si="1"/>
        <v>0</v>
      </c>
      <c r="I31" s="975">
        <f t="shared" si="1"/>
        <v>0</v>
      </c>
      <c r="J31" s="975">
        <f t="shared" si="1"/>
        <v>23683</v>
      </c>
      <c r="K31" s="975">
        <f t="shared" si="1"/>
        <v>0</v>
      </c>
      <c r="L31" s="975">
        <f t="shared" si="1"/>
        <v>245132</v>
      </c>
    </row>
    <row r="32" spans="1:12" ht="12.75">
      <c r="A32" s="2099" t="s">
        <v>1001</v>
      </c>
      <c r="B32" s="2100"/>
      <c r="C32" s="976">
        <f>SUM(C6,C8,C10,C12,C14,C16,C18,C20,C22,C24,C26,C28,C30)</f>
        <v>139871</v>
      </c>
      <c r="D32" s="976">
        <f t="shared" si="1"/>
        <v>22412</v>
      </c>
      <c r="E32" s="976">
        <f t="shared" si="1"/>
        <v>54725</v>
      </c>
      <c r="F32" s="976">
        <f t="shared" si="1"/>
        <v>0</v>
      </c>
      <c r="G32" s="976">
        <f t="shared" si="1"/>
        <v>0</v>
      </c>
      <c r="H32" s="976">
        <f t="shared" si="1"/>
        <v>0</v>
      </c>
      <c r="I32" s="976">
        <f t="shared" si="1"/>
        <v>0</v>
      </c>
      <c r="J32" s="976">
        <f t="shared" si="1"/>
        <v>23683</v>
      </c>
      <c r="K32" s="976">
        <f t="shared" si="1"/>
        <v>0</v>
      </c>
      <c r="L32" s="976">
        <f t="shared" si="1"/>
        <v>240691</v>
      </c>
    </row>
    <row r="33" spans="3:12" ht="9" customHeight="1">
      <c r="C33" s="180"/>
      <c r="D33" s="180"/>
      <c r="E33" s="180"/>
      <c r="F33" s="180"/>
      <c r="G33" s="180"/>
      <c r="H33" s="180"/>
      <c r="I33" s="180"/>
      <c r="J33" s="180"/>
      <c r="K33" s="180"/>
      <c r="L33" s="180"/>
    </row>
    <row r="34" ht="9" customHeight="1"/>
    <row r="35" spans="2:5" ht="9.75" customHeight="1">
      <c r="B35" s="2051" t="s">
        <v>1449</v>
      </c>
      <c r="C35" s="2051"/>
      <c r="D35" s="388" t="s">
        <v>1512</v>
      </c>
      <c r="E35" s="970"/>
    </row>
    <row r="36" spans="2:5" ht="8.25" customHeight="1">
      <c r="B36" s="389"/>
      <c r="C36" s="390"/>
      <c r="D36" s="388" t="s">
        <v>1075</v>
      </c>
      <c r="E36" s="418"/>
    </row>
  </sheetData>
  <sheetProtection/>
  <mergeCells count="31">
    <mergeCell ref="B35:C35"/>
    <mergeCell ref="A31:B31"/>
    <mergeCell ref="A32:B32"/>
    <mergeCell ref="A27:A28"/>
    <mergeCell ref="B27:B28"/>
    <mergeCell ref="A29:A30"/>
    <mergeCell ref="B29:B30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1:L1"/>
    <mergeCell ref="A3:L3"/>
    <mergeCell ref="A5:A6"/>
    <mergeCell ref="B5:B6"/>
    <mergeCell ref="A7:A8"/>
    <mergeCell ref="B7:B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9.125" style="982" customWidth="1"/>
    <col min="2" max="2" width="20.375" style="983" customWidth="1"/>
    <col min="3" max="16384" width="9.125" style="169" customWidth="1"/>
  </cols>
  <sheetData>
    <row r="1" spans="1:12" ht="12.75">
      <c r="A1" s="2004" t="s">
        <v>5286</v>
      </c>
      <c r="B1" s="2004"/>
      <c r="C1" s="2004"/>
      <c r="D1" s="2004"/>
      <c r="E1" s="2004"/>
      <c r="F1" s="2004"/>
      <c r="G1" s="2004"/>
      <c r="H1" s="2004"/>
      <c r="I1" s="2004"/>
      <c r="J1" s="2004"/>
      <c r="K1" s="2004"/>
      <c r="L1" s="2004"/>
    </row>
    <row r="2" spans="1:12" ht="12.75">
      <c r="A2" s="977"/>
      <c r="B2" s="978"/>
      <c r="C2" s="208"/>
      <c r="D2" s="973"/>
      <c r="E2" s="208"/>
      <c r="F2" s="208"/>
      <c r="G2" s="208"/>
      <c r="H2" s="208"/>
      <c r="I2" s="208"/>
      <c r="J2" s="208"/>
      <c r="K2" s="208"/>
      <c r="L2" s="208"/>
    </row>
    <row r="3" spans="1:12" ht="12.75">
      <c r="A3" s="2092" t="s">
        <v>1007</v>
      </c>
      <c r="B3" s="2092"/>
      <c r="C3" s="2092"/>
      <c r="D3" s="2092"/>
      <c r="E3" s="2092"/>
      <c r="F3" s="2092"/>
      <c r="G3" s="2092"/>
      <c r="H3" s="2092"/>
      <c r="I3" s="2092"/>
      <c r="J3" s="2092"/>
      <c r="K3" s="2092"/>
      <c r="L3" s="2092"/>
    </row>
    <row r="4" spans="1:12" ht="29.25">
      <c r="A4" s="392" t="s">
        <v>1003</v>
      </c>
      <c r="B4" s="392" t="s">
        <v>1452</v>
      </c>
      <c r="C4" s="392" t="s">
        <v>4496</v>
      </c>
      <c r="D4" s="392" t="s">
        <v>4497</v>
      </c>
      <c r="E4" s="392" t="s">
        <v>4498</v>
      </c>
      <c r="F4" s="392" t="s">
        <v>1004</v>
      </c>
      <c r="G4" s="392" t="s">
        <v>4499</v>
      </c>
      <c r="H4" s="392" t="s">
        <v>4501</v>
      </c>
      <c r="I4" s="392" t="s">
        <v>1008</v>
      </c>
      <c r="J4" s="392" t="s">
        <v>4502</v>
      </c>
      <c r="K4" s="392" t="s">
        <v>4503</v>
      </c>
      <c r="L4" s="494" t="s">
        <v>1499</v>
      </c>
    </row>
    <row r="5" spans="1:12" ht="12.75">
      <c r="A5" s="2069">
        <v>562912</v>
      </c>
      <c r="B5" s="2101" t="s">
        <v>983</v>
      </c>
      <c r="C5" s="965">
        <v>1931</v>
      </c>
      <c r="D5" s="965">
        <v>479</v>
      </c>
      <c r="E5" s="965">
        <v>9177</v>
      </c>
      <c r="F5" s="965"/>
      <c r="G5" s="965"/>
      <c r="H5" s="965"/>
      <c r="I5" s="965"/>
      <c r="J5" s="965"/>
      <c r="K5" s="965"/>
      <c r="L5" s="965">
        <f>SUM(C5:K5)</f>
        <v>11587</v>
      </c>
    </row>
    <row r="6" spans="1:12" ht="12.75">
      <c r="A6" s="2070"/>
      <c r="B6" s="2102"/>
      <c r="C6" s="502">
        <v>1929</v>
      </c>
      <c r="D6" s="502">
        <v>476</v>
      </c>
      <c r="E6" s="502">
        <v>9165</v>
      </c>
      <c r="F6" s="502"/>
      <c r="G6" s="502"/>
      <c r="H6" s="502"/>
      <c r="I6" s="502"/>
      <c r="J6" s="502"/>
      <c r="K6" s="502"/>
      <c r="L6" s="502">
        <f aca="true" t="shared" si="0" ref="L6:L26">SUM(C6:K6)</f>
        <v>11570</v>
      </c>
    </row>
    <row r="7" spans="1:12" ht="12.75">
      <c r="A7" s="2069">
        <v>562913</v>
      </c>
      <c r="B7" s="2101" t="s">
        <v>984</v>
      </c>
      <c r="C7" s="965">
        <v>6698</v>
      </c>
      <c r="D7" s="965">
        <v>1684</v>
      </c>
      <c r="E7" s="965">
        <v>29787</v>
      </c>
      <c r="F7" s="965"/>
      <c r="G7" s="965"/>
      <c r="H7" s="965"/>
      <c r="I7" s="965"/>
      <c r="J7" s="965">
        <v>331</v>
      </c>
      <c r="K7" s="965"/>
      <c r="L7" s="965">
        <f t="shared" si="0"/>
        <v>38500</v>
      </c>
    </row>
    <row r="8" spans="1:12" ht="12.75">
      <c r="A8" s="2070"/>
      <c r="B8" s="2102"/>
      <c r="C8" s="502">
        <v>6611</v>
      </c>
      <c r="D8" s="502">
        <v>1550</v>
      </c>
      <c r="E8" s="502">
        <v>29686</v>
      </c>
      <c r="F8" s="502"/>
      <c r="G8" s="502"/>
      <c r="H8" s="502"/>
      <c r="I8" s="502"/>
      <c r="J8" s="502">
        <v>331</v>
      </c>
      <c r="K8" s="502"/>
      <c r="L8" s="502">
        <f t="shared" si="0"/>
        <v>38178</v>
      </c>
    </row>
    <row r="9" spans="1:12" ht="12.75">
      <c r="A9" s="2069">
        <v>561000</v>
      </c>
      <c r="B9" s="2101" t="s">
        <v>985</v>
      </c>
      <c r="C9" s="965">
        <v>1011</v>
      </c>
      <c r="D9" s="965">
        <v>250</v>
      </c>
      <c r="E9" s="965">
        <v>5743</v>
      </c>
      <c r="F9" s="965"/>
      <c r="G9" s="965"/>
      <c r="H9" s="965"/>
      <c r="I9" s="965"/>
      <c r="J9" s="965"/>
      <c r="K9" s="965"/>
      <c r="L9" s="965">
        <f t="shared" si="0"/>
        <v>7004</v>
      </c>
    </row>
    <row r="10" spans="1:12" ht="12.75">
      <c r="A10" s="2070"/>
      <c r="B10" s="2096"/>
      <c r="C10" s="502">
        <v>1010</v>
      </c>
      <c r="D10" s="502">
        <v>249</v>
      </c>
      <c r="E10" s="502">
        <v>5667</v>
      </c>
      <c r="F10" s="502"/>
      <c r="G10" s="502"/>
      <c r="H10" s="502"/>
      <c r="I10" s="502"/>
      <c r="J10" s="502"/>
      <c r="K10" s="502"/>
      <c r="L10" s="502">
        <f t="shared" si="0"/>
        <v>6926</v>
      </c>
    </row>
    <row r="11" spans="1:12" ht="12.75">
      <c r="A11" s="2069">
        <v>841907</v>
      </c>
      <c r="B11" s="2101" t="s">
        <v>1009</v>
      </c>
      <c r="C11" s="965"/>
      <c r="D11" s="965"/>
      <c r="E11" s="965"/>
      <c r="F11" s="965"/>
      <c r="G11" s="965"/>
      <c r="H11" s="965"/>
      <c r="I11" s="965"/>
      <c r="J11" s="965"/>
      <c r="K11" s="965"/>
      <c r="L11" s="965">
        <f t="shared" si="0"/>
        <v>0</v>
      </c>
    </row>
    <row r="12" spans="1:12" ht="12.75">
      <c r="A12" s="2070"/>
      <c r="B12" s="2096"/>
      <c r="C12" s="502"/>
      <c r="D12" s="502"/>
      <c r="E12" s="502"/>
      <c r="F12" s="502"/>
      <c r="G12" s="502"/>
      <c r="H12" s="502"/>
      <c r="I12" s="502"/>
      <c r="J12" s="502"/>
      <c r="K12" s="502"/>
      <c r="L12" s="502">
        <f t="shared" si="0"/>
        <v>0</v>
      </c>
    </row>
    <row r="13" spans="1:12" ht="12.75">
      <c r="A13" s="2069">
        <v>873011</v>
      </c>
      <c r="B13" s="2101" t="s">
        <v>986</v>
      </c>
      <c r="C13" s="965">
        <v>27755</v>
      </c>
      <c r="D13" s="965">
        <v>6825</v>
      </c>
      <c r="E13" s="965">
        <v>25938</v>
      </c>
      <c r="F13" s="965"/>
      <c r="G13" s="965"/>
      <c r="H13" s="965"/>
      <c r="I13" s="965"/>
      <c r="J13" s="965"/>
      <c r="K13" s="965"/>
      <c r="L13" s="965">
        <f t="shared" si="0"/>
        <v>60518</v>
      </c>
    </row>
    <row r="14" spans="1:12" ht="12.75">
      <c r="A14" s="2070"/>
      <c r="B14" s="2102"/>
      <c r="C14" s="502">
        <v>27842</v>
      </c>
      <c r="D14" s="502">
        <v>6825</v>
      </c>
      <c r="E14" s="502">
        <v>25863</v>
      </c>
      <c r="F14" s="502"/>
      <c r="G14" s="502"/>
      <c r="H14" s="502"/>
      <c r="I14" s="502"/>
      <c r="J14" s="502"/>
      <c r="K14" s="502"/>
      <c r="L14" s="502">
        <f t="shared" si="0"/>
        <v>60530</v>
      </c>
    </row>
    <row r="15" spans="1:12" ht="12.75">
      <c r="A15" s="2069">
        <v>881011</v>
      </c>
      <c r="B15" s="2101" t="s">
        <v>987</v>
      </c>
      <c r="C15" s="965">
        <v>4235</v>
      </c>
      <c r="D15" s="965">
        <v>712</v>
      </c>
      <c r="E15" s="965">
        <v>1685</v>
      </c>
      <c r="F15" s="965"/>
      <c r="G15" s="965"/>
      <c r="H15" s="965"/>
      <c r="I15" s="965"/>
      <c r="J15" s="965"/>
      <c r="K15" s="965"/>
      <c r="L15" s="965">
        <f t="shared" si="0"/>
        <v>6632</v>
      </c>
    </row>
    <row r="16" spans="1:12" ht="12.75">
      <c r="A16" s="2070"/>
      <c r="B16" s="2102"/>
      <c r="C16" s="502">
        <v>4213</v>
      </c>
      <c r="D16" s="502">
        <v>712</v>
      </c>
      <c r="E16" s="502">
        <v>1643</v>
      </c>
      <c r="F16" s="502"/>
      <c r="G16" s="502"/>
      <c r="H16" s="502"/>
      <c r="I16" s="502"/>
      <c r="J16" s="502"/>
      <c r="K16" s="502"/>
      <c r="L16" s="502">
        <f t="shared" si="0"/>
        <v>6568</v>
      </c>
    </row>
    <row r="17" spans="1:12" ht="12.75">
      <c r="A17" s="2069">
        <v>889921</v>
      </c>
      <c r="B17" s="2101" t="s">
        <v>988</v>
      </c>
      <c r="C17" s="965">
        <v>6126</v>
      </c>
      <c r="D17" s="965">
        <v>1403</v>
      </c>
      <c r="E17" s="965">
        <v>16024</v>
      </c>
      <c r="F17" s="965"/>
      <c r="G17" s="965"/>
      <c r="H17" s="965"/>
      <c r="I17" s="965"/>
      <c r="J17" s="965"/>
      <c r="K17" s="965"/>
      <c r="L17" s="965">
        <f t="shared" si="0"/>
        <v>23553</v>
      </c>
    </row>
    <row r="18" spans="1:12" ht="12.75">
      <c r="A18" s="2070"/>
      <c r="B18" s="2102"/>
      <c r="C18" s="502">
        <v>6121</v>
      </c>
      <c r="D18" s="502">
        <v>1403</v>
      </c>
      <c r="E18" s="502">
        <v>16018</v>
      </c>
      <c r="F18" s="502"/>
      <c r="G18" s="502"/>
      <c r="H18" s="502"/>
      <c r="I18" s="502"/>
      <c r="J18" s="502"/>
      <c r="K18" s="502"/>
      <c r="L18" s="502">
        <f t="shared" si="0"/>
        <v>23542</v>
      </c>
    </row>
    <row r="19" spans="1:12" ht="12.75">
      <c r="A19" s="2069">
        <v>889922</v>
      </c>
      <c r="B19" s="2101" t="s">
        <v>989</v>
      </c>
      <c r="C19" s="965">
        <v>4291</v>
      </c>
      <c r="D19" s="965">
        <v>1143</v>
      </c>
      <c r="E19" s="965">
        <v>208</v>
      </c>
      <c r="F19" s="965"/>
      <c r="G19" s="965"/>
      <c r="H19" s="965"/>
      <c r="I19" s="965"/>
      <c r="J19" s="965"/>
      <c r="K19" s="965"/>
      <c r="L19" s="965">
        <f t="shared" si="0"/>
        <v>5642</v>
      </c>
    </row>
    <row r="20" spans="1:12" ht="12.75">
      <c r="A20" s="2070"/>
      <c r="B20" s="2102"/>
      <c r="C20" s="502">
        <v>4286</v>
      </c>
      <c r="D20" s="502">
        <v>1143</v>
      </c>
      <c r="E20" s="502">
        <v>190</v>
      </c>
      <c r="F20" s="502"/>
      <c r="G20" s="502"/>
      <c r="H20" s="502"/>
      <c r="I20" s="502"/>
      <c r="J20" s="502"/>
      <c r="K20" s="502"/>
      <c r="L20" s="502">
        <f t="shared" si="0"/>
        <v>5619</v>
      </c>
    </row>
    <row r="21" spans="1:12" ht="12.75">
      <c r="A21" s="2069">
        <v>889928</v>
      </c>
      <c r="B21" s="2101" t="s">
        <v>990</v>
      </c>
      <c r="C21" s="965">
        <v>1837</v>
      </c>
      <c r="D21" s="965">
        <v>338</v>
      </c>
      <c r="E21" s="965">
        <v>2105</v>
      </c>
      <c r="F21" s="965"/>
      <c r="G21" s="965"/>
      <c r="H21" s="965"/>
      <c r="I21" s="965"/>
      <c r="J21" s="965"/>
      <c r="K21" s="965"/>
      <c r="L21" s="965">
        <f t="shared" si="0"/>
        <v>4280</v>
      </c>
    </row>
    <row r="22" spans="1:12" ht="12.75">
      <c r="A22" s="2070"/>
      <c r="B22" s="2102"/>
      <c r="C22" s="502">
        <v>1837</v>
      </c>
      <c r="D22" s="502">
        <v>338</v>
      </c>
      <c r="E22" s="502">
        <v>2016</v>
      </c>
      <c r="F22" s="502"/>
      <c r="G22" s="502"/>
      <c r="H22" s="502"/>
      <c r="I22" s="502"/>
      <c r="J22" s="502"/>
      <c r="K22" s="502"/>
      <c r="L22" s="502">
        <f t="shared" si="0"/>
        <v>4191</v>
      </c>
    </row>
    <row r="23" spans="1:12" ht="12.75">
      <c r="A23" s="2069">
        <v>889201</v>
      </c>
      <c r="B23" s="2101" t="s">
        <v>991</v>
      </c>
      <c r="C23" s="965">
        <v>2829</v>
      </c>
      <c r="D23" s="965">
        <v>907</v>
      </c>
      <c r="E23" s="965">
        <v>853</v>
      </c>
      <c r="F23" s="965"/>
      <c r="G23" s="965"/>
      <c r="H23" s="965"/>
      <c r="I23" s="965"/>
      <c r="J23" s="965"/>
      <c r="K23" s="965"/>
      <c r="L23" s="965">
        <f t="shared" si="0"/>
        <v>4589</v>
      </c>
    </row>
    <row r="24" spans="1:12" ht="12.75">
      <c r="A24" s="2070"/>
      <c r="B24" s="2102"/>
      <c r="C24" s="502">
        <v>2759</v>
      </c>
      <c r="D24" s="502">
        <v>754</v>
      </c>
      <c r="E24" s="502">
        <v>798</v>
      </c>
      <c r="F24" s="502"/>
      <c r="G24" s="502"/>
      <c r="H24" s="502"/>
      <c r="I24" s="502"/>
      <c r="J24" s="502"/>
      <c r="K24" s="502"/>
      <c r="L24" s="502">
        <f t="shared" si="0"/>
        <v>4311</v>
      </c>
    </row>
    <row r="25" spans="1:12" ht="12.75">
      <c r="A25" s="2069">
        <v>889924</v>
      </c>
      <c r="B25" s="2101" t="s">
        <v>992</v>
      </c>
      <c r="C25" s="965">
        <v>1542</v>
      </c>
      <c r="D25" s="965">
        <v>412</v>
      </c>
      <c r="E25" s="965">
        <v>565</v>
      </c>
      <c r="F25" s="965"/>
      <c r="G25" s="965"/>
      <c r="H25" s="965"/>
      <c r="I25" s="965"/>
      <c r="J25" s="965"/>
      <c r="K25" s="965"/>
      <c r="L25" s="965">
        <f t="shared" si="0"/>
        <v>2519</v>
      </c>
    </row>
    <row r="26" spans="1:12" ht="12.75">
      <c r="A26" s="2078"/>
      <c r="B26" s="2096"/>
      <c r="C26" s="502">
        <v>1510</v>
      </c>
      <c r="D26" s="502">
        <v>412</v>
      </c>
      <c r="E26" s="502">
        <v>408</v>
      </c>
      <c r="F26" s="502"/>
      <c r="G26" s="502"/>
      <c r="H26" s="502"/>
      <c r="I26" s="502"/>
      <c r="J26" s="502"/>
      <c r="K26" s="502"/>
      <c r="L26" s="502">
        <f t="shared" si="0"/>
        <v>2330</v>
      </c>
    </row>
    <row r="27" spans="1:12" ht="12.75">
      <c r="A27" s="979"/>
      <c r="B27" s="980" t="s">
        <v>1010</v>
      </c>
      <c r="C27" s="967">
        <f>SUM(C5,C7,C9,C11,C13,C15,C17,C19,C21,C23,C25)</f>
        <v>58255</v>
      </c>
      <c r="D27" s="967">
        <f aca="true" t="shared" si="1" ref="D27:L28">SUM(D5,D7,D9,D11,D13,D15,D17,D19,D21,D23,D25)</f>
        <v>14153</v>
      </c>
      <c r="E27" s="967">
        <f t="shared" si="1"/>
        <v>92085</v>
      </c>
      <c r="F27" s="967">
        <f t="shared" si="1"/>
        <v>0</v>
      </c>
      <c r="G27" s="967">
        <f t="shared" si="1"/>
        <v>0</v>
      </c>
      <c r="H27" s="967">
        <f t="shared" si="1"/>
        <v>0</v>
      </c>
      <c r="I27" s="967">
        <f t="shared" si="1"/>
        <v>0</v>
      </c>
      <c r="J27" s="967">
        <f t="shared" si="1"/>
        <v>331</v>
      </c>
      <c r="K27" s="967">
        <f t="shared" si="1"/>
        <v>0</v>
      </c>
      <c r="L27" s="967">
        <f t="shared" si="1"/>
        <v>164824</v>
      </c>
    </row>
    <row r="28" spans="1:12" ht="12.75">
      <c r="A28" s="979"/>
      <c r="B28" s="980" t="s">
        <v>1011</v>
      </c>
      <c r="C28" s="981">
        <f>SUM(C6,C8,C10,C12,C14,C16,C18,C20,C22,C24,C26)</f>
        <v>58118</v>
      </c>
      <c r="D28" s="981">
        <f t="shared" si="1"/>
        <v>13862</v>
      </c>
      <c r="E28" s="981">
        <f t="shared" si="1"/>
        <v>91454</v>
      </c>
      <c r="F28" s="981">
        <f t="shared" si="1"/>
        <v>0</v>
      </c>
      <c r="G28" s="981">
        <f t="shared" si="1"/>
        <v>0</v>
      </c>
      <c r="H28" s="981">
        <f t="shared" si="1"/>
        <v>0</v>
      </c>
      <c r="I28" s="981">
        <f t="shared" si="1"/>
        <v>0</v>
      </c>
      <c r="J28" s="981">
        <f t="shared" si="1"/>
        <v>331</v>
      </c>
      <c r="K28" s="981">
        <f t="shared" si="1"/>
        <v>0</v>
      </c>
      <c r="L28" s="981">
        <f>SUM(L6,L8,L10,L12,L14,L16,L18,L20,L22,L24,L26)</f>
        <v>163765</v>
      </c>
    </row>
    <row r="30" spans="2:5" ht="12.75">
      <c r="B30" s="2051" t="s">
        <v>1449</v>
      </c>
      <c r="C30" s="2051"/>
      <c r="D30" s="388" t="s">
        <v>1512</v>
      </c>
      <c r="E30" s="970"/>
    </row>
    <row r="31" spans="2:5" ht="12.75">
      <c r="B31" s="389"/>
      <c r="C31" s="390"/>
      <c r="D31" s="388" t="s">
        <v>1075</v>
      </c>
      <c r="E31" s="418"/>
    </row>
  </sheetData>
  <sheetProtection/>
  <mergeCells count="25">
    <mergeCell ref="A21:A22"/>
    <mergeCell ref="B21:B22"/>
    <mergeCell ref="B30:C30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1:L1"/>
    <mergeCell ref="A3:L3"/>
    <mergeCell ref="A5:A6"/>
    <mergeCell ref="B5:B6"/>
    <mergeCell ref="A7:A8"/>
    <mergeCell ref="B7:B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9.125" style="982" customWidth="1"/>
    <col min="2" max="2" width="18.625" style="982" customWidth="1"/>
    <col min="3" max="12" width="9.125" style="1000" customWidth="1"/>
    <col min="13" max="16384" width="9.125" style="169" customWidth="1"/>
  </cols>
  <sheetData>
    <row r="1" spans="1:12" ht="12.75">
      <c r="A1" s="2103" t="s">
        <v>5287</v>
      </c>
      <c r="B1" s="2103"/>
      <c r="C1" s="2103"/>
      <c r="D1" s="2103"/>
      <c r="E1" s="2103"/>
      <c r="F1" s="2103"/>
      <c r="G1" s="2103"/>
      <c r="H1" s="2103"/>
      <c r="I1" s="2103"/>
      <c r="J1" s="2103"/>
      <c r="K1" s="2103"/>
      <c r="L1" s="2103"/>
    </row>
    <row r="2" spans="1:12" ht="12.75">
      <c r="A2" s="984"/>
      <c r="B2" s="984"/>
      <c r="C2" s="421"/>
      <c r="D2" s="985"/>
      <c r="E2" s="421"/>
      <c r="F2" s="421"/>
      <c r="G2" s="421"/>
      <c r="H2" s="421"/>
      <c r="I2" s="421"/>
      <c r="J2" s="421"/>
      <c r="K2" s="421"/>
      <c r="L2" s="421"/>
    </row>
    <row r="3" spans="1:12" ht="12.75">
      <c r="A3" s="2104" t="s">
        <v>1012</v>
      </c>
      <c r="B3" s="2104"/>
      <c r="C3" s="2104"/>
      <c r="D3" s="2104"/>
      <c r="E3" s="2104"/>
      <c r="F3" s="2104"/>
      <c r="G3" s="2104"/>
      <c r="H3" s="2104"/>
      <c r="I3" s="2104"/>
      <c r="J3" s="2104"/>
      <c r="K3" s="2104"/>
      <c r="L3" s="2104"/>
    </row>
    <row r="4" spans="1:12" ht="45">
      <c r="A4" s="986" t="s">
        <v>1003</v>
      </c>
      <c r="B4" s="987" t="s">
        <v>1452</v>
      </c>
      <c r="C4" s="988" t="s">
        <v>4496</v>
      </c>
      <c r="D4" s="988" t="s">
        <v>1013</v>
      </c>
      <c r="E4" s="988" t="s">
        <v>4498</v>
      </c>
      <c r="F4" s="988" t="s">
        <v>1004</v>
      </c>
      <c r="G4" s="988" t="s">
        <v>4519</v>
      </c>
      <c r="H4" s="988" t="s">
        <v>4499</v>
      </c>
      <c r="I4" s="988" t="s">
        <v>4501</v>
      </c>
      <c r="J4" s="988" t="s">
        <v>1014</v>
      </c>
      <c r="K4" s="988" t="s">
        <v>4503</v>
      </c>
      <c r="L4" s="989" t="s">
        <v>1499</v>
      </c>
    </row>
    <row r="5" spans="1:12" ht="12.75">
      <c r="A5" s="2069">
        <v>581400</v>
      </c>
      <c r="B5" s="2101" t="s">
        <v>994</v>
      </c>
      <c r="C5" s="990"/>
      <c r="D5" s="991"/>
      <c r="E5" s="991"/>
      <c r="F5" s="991"/>
      <c r="G5" s="991"/>
      <c r="H5" s="991"/>
      <c r="I5" s="991"/>
      <c r="J5" s="991"/>
      <c r="K5" s="991"/>
      <c r="L5" s="991">
        <f aca="true" t="shared" si="0" ref="L5:L16">SUM(C5:K5)</f>
        <v>0</v>
      </c>
    </row>
    <row r="6" spans="1:12" ht="12.75">
      <c r="A6" s="2070"/>
      <c r="B6" s="2102"/>
      <c r="C6" s="992"/>
      <c r="D6" s="993"/>
      <c r="E6" s="993"/>
      <c r="F6" s="993"/>
      <c r="G6" s="993"/>
      <c r="H6" s="993"/>
      <c r="I6" s="993"/>
      <c r="J6" s="993"/>
      <c r="K6" s="993"/>
      <c r="L6" s="993">
        <f t="shared" si="0"/>
        <v>0</v>
      </c>
    </row>
    <row r="7" spans="1:12" ht="12.75">
      <c r="A7" s="2069">
        <v>910121</v>
      </c>
      <c r="B7" s="2101" t="s">
        <v>995</v>
      </c>
      <c r="C7" s="990"/>
      <c r="D7" s="990"/>
      <c r="E7" s="991">
        <v>1307</v>
      </c>
      <c r="F7" s="991"/>
      <c r="G7" s="991"/>
      <c r="H7" s="991"/>
      <c r="I7" s="991"/>
      <c r="J7" s="991"/>
      <c r="K7" s="991"/>
      <c r="L7" s="991">
        <f t="shared" si="0"/>
        <v>1307</v>
      </c>
    </row>
    <row r="8" spans="1:12" ht="12.75">
      <c r="A8" s="2070"/>
      <c r="B8" s="2102"/>
      <c r="C8" s="992"/>
      <c r="D8" s="992"/>
      <c r="E8" s="993">
        <v>1150</v>
      </c>
      <c r="F8" s="993"/>
      <c r="G8" s="993"/>
      <c r="H8" s="993"/>
      <c r="I8" s="993"/>
      <c r="J8" s="993"/>
      <c r="K8" s="993"/>
      <c r="L8" s="993">
        <f t="shared" si="0"/>
        <v>1150</v>
      </c>
    </row>
    <row r="9" spans="1:12" ht="12.75">
      <c r="A9" s="2069">
        <v>910123</v>
      </c>
      <c r="B9" s="2101" t="s">
        <v>996</v>
      </c>
      <c r="C9" s="991">
        <v>5060</v>
      </c>
      <c r="D9" s="991">
        <v>1371</v>
      </c>
      <c r="E9" s="991">
        <v>2728</v>
      </c>
      <c r="F9" s="991"/>
      <c r="G9" s="991"/>
      <c r="H9" s="991"/>
      <c r="I9" s="991"/>
      <c r="J9" s="991"/>
      <c r="K9" s="991">
        <v>500</v>
      </c>
      <c r="L9" s="991">
        <f t="shared" si="0"/>
        <v>9659</v>
      </c>
    </row>
    <row r="10" spans="1:12" ht="12.75">
      <c r="A10" s="2070"/>
      <c r="B10" s="2102"/>
      <c r="C10" s="993">
        <v>5062</v>
      </c>
      <c r="D10" s="993">
        <v>1372</v>
      </c>
      <c r="E10" s="993">
        <v>2752</v>
      </c>
      <c r="F10" s="993"/>
      <c r="G10" s="993"/>
      <c r="H10" s="993"/>
      <c r="I10" s="993"/>
      <c r="J10" s="993"/>
      <c r="K10" s="993">
        <v>500</v>
      </c>
      <c r="L10" s="993">
        <f t="shared" si="0"/>
        <v>9686</v>
      </c>
    </row>
    <row r="11" spans="1:12" ht="12.75">
      <c r="A11" s="2069">
        <v>910501</v>
      </c>
      <c r="B11" s="2101" t="s">
        <v>997</v>
      </c>
      <c r="C11" s="991">
        <v>596</v>
      </c>
      <c r="D11" s="994">
        <v>145</v>
      </c>
      <c r="E11" s="991">
        <v>615</v>
      </c>
      <c r="F11" s="991"/>
      <c r="G11" s="991"/>
      <c r="H11" s="991"/>
      <c r="I11" s="991"/>
      <c r="J11" s="991"/>
      <c r="K11" s="991"/>
      <c r="L11" s="991">
        <f t="shared" si="0"/>
        <v>1356</v>
      </c>
    </row>
    <row r="12" spans="1:12" ht="12.75">
      <c r="A12" s="2070"/>
      <c r="B12" s="2102"/>
      <c r="C12" s="993">
        <v>596</v>
      </c>
      <c r="D12" s="995">
        <v>146</v>
      </c>
      <c r="E12" s="996">
        <v>587</v>
      </c>
      <c r="F12" s="996"/>
      <c r="G12" s="993"/>
      <c r="H12" s="993"/>
      <c r="I12" s="993"/>
      <c r="J12" s="993"/>
      <c r="K12" s="993"/>
      <c r="L12" s="993">
        <f t="shared" si="0"/>
        <v>1329</v>
      </c>
    </row>
    <row r="13" spans="1:12" ht="12.75">
      <c r="A13" s="2069">
        <v>910502</v>
      </c>
      <c r="B13" s="2101" t="s">
        <v>998</v>
      </c>
      <c r="C13" s="990">
        <v>8632</v>
      </c>
      <c r="D13" s="990">
        <v>2179</v>
      </c>
      <c r="E13" s="991">
        <v>5168</v>
      </c>
      <c r="F13" s="991"/>
      <c r="G13" s="991"/>
      <c r="H13" s="991"/>
      <c r="I13" s="991"/>
      <c r="J13" s="991"/>
      <c r="K13" s="991"/>
      <c r="L13" s="991">
        <f t="shared" si="0"/>
        <v>15979</v>
      </c>
    </row>
    <row r="14" spans="1:12" ht="15.75" customHeight="1">
      <c r="A14" s="2070"/>
      <c r="B14" s="2102"/>
      <c r="C14" s="992">
        <v>8607</v>
      </c>
      <c r="D14" s="992">
        <v>2141</v>
      </c>
      <c r="E14" s="993">
        <v>5040</v>
      </c>
      <c r="F14" s="993"/>
      <c r="G14" s="993"/>
      <c r="H14" s="993"/>
      <c r="I14" s="993"/>
      <c r="J14" s="993"/>
      <c r="K14" s="993"/>
      <c r="L14" s="993">
        <f t="shared" si="0"/>
        <v>15788</v>
      </c>
    </row>
    <row r="15" spans="1:12" ht="12.75">
      <c r="A15" s="2069">
        <v>931102</v>
      </c>
      <c r="B15" s="2101" t="s">
        <v>999</v>
      </c>
      <c r="C15" s="990">
        <v>4879</v>
      </c>
      <c r="D15" s="990">
        <v>960</v>
      </c>
      <c r="E15" s="991">
        <v>8353</v>
      </c>
      <c r="F15" s="991"/>
      <c r="G15" s="991"/>
      <c r="H15" s="991"/>
      <c r="I15" s="991"/>
      <c r="J15" s="991"/>
      <c r="K15" s="991"/>
      <c r="L15" s="991">
        <f t="shared" si="0"/>
        <v>14192</v>
      </c>
    </row>
    <row r="16" spans="1:12" ht="12.75">
      <c r="A16" s="2070"/>
      <c r="B16" s="2102"/>
      <c r="C16" s="992">
        <v>4872</v>
      </c>
      <c r="D16" s="992">
        <v>996</v>
      </c>
      <c r="E16" s="993">
        <v>8298</v>
      </c>
      <c r="F16" s="993"/>
      <c r="G16" s="993"/>
      <c r="H16" s="993"/>
      <c r="I16" s="993"/>
      <c r="J16" s="993"/>
      <c r="K16" s="993"/>
      <c r="L16" s="993">
        <f t="shared" si="0"/>
        <v>14166</v>
      </c>
    </row>
    <row r="17" spans="1:12" ht="12.75">
      <c r="A17" s="997"/>
      <c r="B17" s="979" t="s">
        <v>1015</v>
      </c>
      <c r="C17" s="998">
        <f>SUM(C5,C7,C9,C11,C13,C15)</f>
        <v>19167</v>
      </c>
      <c r="D17" s="998">
        <f aca="true" t="shared" si="1" ref="D17:L18">SUM(D5,D7,D9,D11,D13,D15)</f>
        <v>4655</v>
      </c>
      <c r="E17" s="998">
        <f t="shared" si="1"/>
        <v>18171</v>
      </c>
      <c r="F17" s="998">
        <f t="shared" si="1"/>
        <v>0</v>
      </c>
      <c r="G17" s="998">
        <f t="shared" si="1"/>
        <v>0</v>
      </c>
      <c r="H17" s="998">
        <f t="shared" si="1"/>
        <v>0</v>
      </c>
      <c r="I17" s="998">
        <f t="shared" si="1"/>
        <v>0</v>
      </c>
      <c r="J17" s="998">
        <f t="shared" si="1"/>
        <v>0</v>
      </c>
      <c r="K17" s="998">
        <f t="shared" si="1"/>
        <v>500</v>
      </c>
      <c r="L17" s="998">
        <f t="shared" si="1"/>
        <v>42493</v>
      </c>
    </row>
    <row r="18" spans="1:12" ht="12.75">
      <c r="A18" s="997"/>
      <c r="B18" s="979" t="s">
        <v>1011</v>
      </c>
      <c r="C18" s="999">
        <f>SUM(C6,C8,C10,C12,C14,C16)</f>
        <v>19137</v>
      </c>
      <c r="D18" s="999">
        <f t="shared" si="1"/>
        <v>4655</v>
      </c>
      <c r="E18" s="999">
        <f t="shared" si="1"/>
        <v>17827</v>
      </c>
      <c r="F18" s="999">
        <f t="shared" si="1"/>
        <v>0</v>
      </c>
      <c r="G18" s="999">
        <f t="shared" si="1"/>
        <v>0</v>
      </c>
      <c r="H18" s="999">
        <f t="shared" si="1"/>
        <v>0</v>
      </c>
      <c r="I18" s="999">
        <f t="shared" si="1"/>
        <v>0</v>
      </c>
      <c r="J18" s="999">
        <f t="shared" si="1"/>
        <v>0</v>
      </c>
      <c r="K18" s="999">
        <f t="shared" si="1"/>
        <v>500</v>
      </c>
      <c r="L18" s="999">
        <f t="shared" si="1"/>
        <v>42119</v>
      </c>
    </row>
    <row r="20" spans="2:5" ht="12.75">
      <c r="B20" s="2051" t="s">
        <v>1449</v>
      </c>
      <c r="C20" s="2051"/>
      <c r="D20" s="388" t="s">
        <v>1512</v>
      </c>
      <c r="E20" s="970"/>
    </row>
    <row r="21" spans="2:5" ht="12.75">
      <c r="B21" s="389"/>
      <c r="C21" s="390"/>
      <c r="D21" s="388" t="s">
        <v>1075</v>
      </c>
      <c r="E21" s="418"/>
    </row>
  </sheetData>
  <sheetProtection/>
  <mergeCells count="15">
    <mergeCell ref="A9:A10"/>
    <mergeCell ref="B9:B10"/>
    <mergeCell ref="B20:C20"/>
    <mergeCell ref="A15:A16"/>
    <mergeCell ref="B15:B16"/>
    <mergeCell ref="A11:A12"/>
    <mergeCell ref="B11:B12"/>
    <mergeCell ref="A13:A14"/>
    <mergeCell ref="B13:B14"/>
    <mergeCell ref="A1:L1"/>
    <mergeCell ref="A3:L3"/>
    <mergeCell ref="A5:A6"/>
    <mergeCell ref="B5:B6"/>
    <mergeCell ref="A7:A8"/>
    <mergeCell ref="B7:B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5.125" style="0" customWidth="1"/>
    <col min="8" max="8" width="0.74609375" style="0" customWidth="1"/>
    <col min="9" max="9" width="24.25390625" style="0" customWidth="1"/>
    <col min="10" max="10" width="9.75390625" style="0" customWidth="1"/>
    <col min="11" max="11" width="10.00390625" style="0" customWidth="1"/>
  </cols>
  <sheetData>
    <row r="1" spans="1:12" ht="12.75">
      <c r="A1" s="2103" t="s">
        <v>5288</v>
      </c>
      <c r="B1" s="2103"/>
      <c r="C1" s="2103"/>
      <c r="D1" s="2103"/>
      <c r="E1" s="2103"/>
      <c r="F1" s="2103"/>
      <c r="G1" s="2103"/>
      <c r="H1" s="2103"/>
      <c r="I1" s="2103"/>
      <c r="J1" s="2103"/>
      <c r="K1" s="169"/>
      <c r="L1" s="169"/>
    </row>
    <row r="2" spans="1:12" ht="12.75">
      <c r="A2" s="2132" t="s">
        <v>3551</v>
      </c>
      <c r="B2" s="2132"/>
      <c r="C2" s="2132"/>
      <c r="D2" s="2132"/>
      <c r="E2" s="2132"/>
      <c r="F2" s="2132"/>
      <c r="G2" s="2132"/>
      <c r="H2" s="2132"/>
      <c r="I2" s="2132"/>
      <c r="J2" s="2132"/>
      <c r="K2" s="169"/>
      <c r="L2" s="169"/>
    </row>
    <row r="3" spans="1:12" ht="25.5">
      <c r="A3" s="1523" t="s">
        <v>4553</v>
      </c>
      <c r="B3" s="2105" t="s">
        <v>3552</v>
      </c>
      <c r="C3" s="2105"/>
      <c r="D3" s="2105"/>
      <c r="E3" s="2105"/>
      <c r="F3" s="2105"/>
      <c r="G3" s="2105"/>
      <c r="H3" s="2105"/>
      <c r="I3" s="1524" t="s">
        <v>3553</v>
      </c>
      <c r="J3" s="1525" t="s">
        <v>4027</v>
      </c>
      <c r="K3" s="1524" t="s">
        <v>4028</v>
      </c>
      <c r="L3" s="1526" t="s">
        <v>4220</v>
      </c>
    </row>
    <row r="4" spans="1:12" ht="24">
      <c r="A4" s="1527" t="s">
        <v>4029</v>
      </c>
      <c r="B4" s="2126" t="s">
        <v>3554</v>
      </c>
      <c r="C4" s="2133"/>
      <c r="D4" s="2133"/>
      <c r="E4" s="2133"/>
      <c r="F4" s="2133"/>
      <c r="G4" s="2133"/>
      <c r="H4" s="2134"/>
      <c r="I4" s="1528" t="s">
        <v>3555</v>
      </c>
      <c r="J4" s="1529">
        <v>750</v>
      </c>
      <c r="K4" s="225">
        <v>1500</v>
      </c>
      <c r="L4" s="225">
        <v>1500</v>
      </c>
    </row>
    <row r="5" spans="1:12" ht="12.75">
      <c r="A5" s="1527"/>
      <c r="B5" s="2126" t="s">
        <v>3556</v>
      </c>
      <c r="C5" s="2127"/>
      <c r="D5" s="2127"/>
      <c r="E5" s="2127"/>
      <c r="F5" s="2127"/>
      <c r="G5" s="2127"/>
      <c r="H5" s="2128"/>
      <c r="I5" s="1528"/>
      <c r="J5" s="1529">
        <v>250</v>
      </c>
      <c r="K5" s="225">
        <v>600</v>
      </c>
      <c r="L5" s="225">
        <v>600</v>
      </c>
    </row>
    <row r="6" spans="1:12" ht="12.75">
      <c r="A6" s="1527" t="s">
        <v>4041</v>
      </c>
      <c r="B6" s="2126" t="s">
        <v>3557</v>
      </c>
      <c r="C6" s="2127"/>
      <c r="D6" s="2127"/>
      <c r="E6" s="2127"/>
      <c r="F6" s="2127"/>
      <c r="G6" s="2127"/>
      <c r="H6" s="2128"/>
      <c r="I6" s="1530"/>
      <c r="J6" s="1531"/>
      <c r="K6" s="1529">
        <v>100</v>
      </c>
      <c r="L6" s="225"/>
    </row>
    <row r="7" spans="1:12" ht="12.75">
      <c r="A7" s="1527" t="s">
        <v>4166</v>
      </c>
      <c r="B7" s="2126" t="s">
        <v>3558</v>
      </c>
      <c r="C7" s="2127"/>
      <c r="D7" s="2127"/>
      <c r="E7" s="2127"/>
      <c r="F7" s="2127"/>
      <c r="G7" s="2127"/>
      <c r="H7" s="2128"/>
      <c r="I7" s="1530"/>
      <c r="J7" s="1531"/>
      <c r="K7" s="1529">
        <v>90</v>
      </c>
      <c r="L7" s="225">
        <v>90</v>
      </c>
    </row>
    <row r="8" spans="1:12" ht="12.75">
      <c r="A8" s="1527" t="s">
        <v>4061</v>
      </c>
      <c r="B8" s="2126" t="s">
        <v>3559</v>
      </c>
      <c r="C8" s="2127"/>
      <c r="D8" s="2127"/>
      <c r="E8" s="2127"/>
      <c r="F8" s="2127"/>
      <c r="G8" s="2127"/>
      <c r="H8" s="2128"/>
      <c r="I8" s="1530"/>
      <c r="J8" s="1531"/>
      <c r="K8" s="1529">
        <v>100</v>
      </c>
      <c r="L8" s="225">
        <v>100</v>
      </c>
    </row>
    <row r="9" spans="1:12" ht="12.75">
      <c r="A9" s="1527" t="s">
        <v>4074</v>
      </c>
      <c r="B9" s="2126" t="s">
        <v>3560</v>
      </c>
      <c r="C9" s="2127"/>
      <c r="D9" s="2127"/>
      <c r="E9" s="2127"/>
      <c r="F9" s="2127"/>
      <c r="G9" s="2127"/>
      <c r="H9" s="2128"/>
      <c r="I9" s="1530"/>
      <c r="J9" s="1531"/>
      <c r="K9" s="1529">
        <v>190</v>
      </c>
      <c r="L9" s="225">
        <v>190</v>
      </c>
    </row>
    <row r="10" spans="1:12" ht="12.75">
      <c r="A10" s="1527" t="s">
        <v>4195</v>
      </c>
      <c r="B10" s="2126" t="s">
        <v>3561</v>
      </c>
      <c r="C10" s="2127"/>
      <c r="D10" s="2127"/>
      <c r="E10" s="2127"/>
      <c r="F10" s="2127"/>
      <c r="G10" s="2127"/>
      <c r="H10" s="2128"/>
      <c r="I10" s="1530"/>
      <c r="J10" s="1531"/>
      <c r="K10" s="1529">
        <v>100</v>
      </c>
      <c r="L10" s="225">
        <v>100</v>
      </c>
    </row>
    <row r="11" spans="1:12" ht="12.75">
      <c r="A11" s="1527" t="s">
        <v>4094</v>
      </c>
      <c r="B11" s="2129" t="s">
        <v>3562</v>
      </c>
      <c r="C11" s="2130"/>
      <c r="D11" s="2130"/>
      <c r="E11" s="2130"/>
      <c r="F11" s="2130"/>
      <c r="G11" s="2130"/>
      <c r="H11" s="2131"/>
      <c r="I11" s="1530"/>
      <c r="J11" s="1531"/>
      <c r="K11" s="1529">
        <v>50</v>
      </c>
      <c r="L11" s="225">
        <v>50</v>
      </c>
    </row>
    <row r="12" spans="1:12" ht="12.75">
      <c r="A12" s="1527" t="s">
        <v>4102</v>
      </c>
      <c r="B12" s="2126" t="s">
        <v>3563</v>
      </c>
      <c r="C12" s="2127"/>
      <c r="D12" s="2127"/>
      <c r="E12" s="2127"/>
      <c r="F12" s="2127"/>
      <c r="G12" s="2127"/>
      <c r="H12" s="2128"/>
      <c r="I12" s="1530"/>
      <c r="J12" s="1531"/>
      <c r="K12" s="1529">
        <v>20</v>
      </c>
      <c r="L12" s="225">
        <v>20</v>
      </c>
    </row>
    <row r="13" spans="1:12" ht="12.75">
      <c r="A13" s="1527" t="s">
        <v>4031</v>
      </c>
      <c r="B13" s="2123" t="s">
        <v>3564</v>
      </c>
      <c r="C13" s="2123"/>
      <c r="D13" s="2123"/>
      <c r="E13" s="2123"/>
      <c r="F13" s="2123"/>
      <c r="G13" s="2123"/>
      <c r="H13" s="2123"/>
      <c r="I13" s="1532" t="s">
        <v>3565</v>
      </c>
      <c r="J13" s="1532">
        <v>120</v>
      </c>
      <c r="K13" s="1533">
        <v>120</v>
      </c>
      <c r="L13" s="225">
        <v>109</v>
      </c>
    </row>
    <row r="14" spans="1:12" ht="12.75">
      <c r="A14" s="1527" t="s">
        <v>4041</v>
      </c>
      <c r="B14" s="2123" t="s">
        <v>3566</v>
      </c>
      <c r="C14" s="2123"/>
      <c r="D14" s="2123"/>
      <c r="E14" s="2123"/>
      <c r="F14" s="2123"/>
      <c r="G14" s="2123"/>
      <c r="H14" s="2123"/>
      <c r="I14" s="1532" t="s">
        <v>3567</v>
      </c>
      <c r="J14" s="1532">
        <v>229</v>
      </c>
      <c r="K14" s="1533">
        <v>229</v>
      </c>
      <c r="L14" s="225">
        <v>0</v>
      </c>
    </row>
    <row r="15" spans="1:12" ht="12.75">
      <c r="A15" s="1527" t="s">
        <v>4166</v>
      </c>
      <c r="B15" s="2116" t="s">
        <v>3568</v>
      </c>
      <c r="C15" s="2124"/>
      <c r="D15" s="2124"/>
      <c r="E15" s="2124"/>
      <c r="F15" s="2124"/>
      <c r="G15" s="2124"/>
      <c r="H15" s="2125"/>
      <c r="I15" s="1532" t="s">
        <v>3567</v>
      </c>
      <c r="J15" s="1532">
        <v>60</v>
      </c>
      <c r="K15" s="1533">
        <v>60</v>
      </c>
      <c r="L15" s="225">
        <v>55</v>
      </c>
    </row>
    <row r="16" spans="1:12" ht="12.75">
      <c r="A16" s="1527" t="s">
        <v>4061</v>
      </c>
      <c r="B16" s="2123" t="s">
        <v>3569</v>
      </c>
      <c r="C16" s="2123"/>
      <c r="D16" s="2123"/>
      <c r="E16" s="2123"/>
      <c r="F16" s="2123"/>
      <c r="G16" s="2123"/>
      <c r="H16" s="2123"/>
      <c r="I16" s="1532" t="s">
        <v>3567</v>
      </c>
      <c r="J16" s="1532">
        <v>145</v>
      </c>
      <c r="K16" s="1533">
        <v>145</v>
      </c>
      <c r="L16" s="225"/>
    </row>
    <row r="17" spans="1:12" ht="12.75">
      <c r="A17" s="1527" t="s">
        <v>4074</v>
      </c>
      <c r="B17" s="2123" t="s">
        <v>3570</v>
      </c>
      <c r="C17" s="2123"/>
      <c r="D17" s="2123"/>
      <c r="E17" s="2123"/>
      <c r="F17" s="2123"/>
      <c r="G17" s="2123"/>
      <c r="H17" s="2123"/>
      <c r="I17" s="1532" t="s">
        <v>3567</v>
      </c>
      <c r="J17" s="1532">
        <v>600</v>
      </c>
      <c r="K17" s="1533">
        <v>600</v>
      </c>
      <c r="L17" s="225"/>
    </row>
    <row r="18" spans="1:12" ht="12.75">
      <c r="A18" s="1527" t="s">
        <v>4195</v>
      </c>
      <c r="B18" s="2116" t="s">
        <v>3571</v>
      </c>
      <c r="C18" s="2124"/>
      <c r="D18" s="2124"/>
      <c r="E18" s="1534"/>
      <c r="F18" s="1534"/>
      <c r="G18" s="1534"/>
      <c r="H18" s="1535"/>
      <c r="I18" s="1532" t="s">
        <v>3567</v>
      </c>
      <c r="J18" s="1532">
        <v>261</v>
      </c>
      <c r="K18" s="1533">
        <v>261</v>
      </c>
      <c r="L18" s="225">
        <v>354</v>
      </c>
    </row>
    <row r="19" spans="1:12" ht="24">
      <c r="A19" s="1527" t="s">
        <v>4094</v>
      </c>
      <c r="B19" s="2116" t="s">
        <v>3572</v>
      </c>
      <c r="C19" s="2124"/>
      <c r="D19" s="2124"/>
      <c r="E19" s="2124"/>
      <c r="F19" s="2124"/>
      <c r="G19" s="2124"/>
      <c r="H19" s="2125"/>
      <c r="I19" s="1536" t="s">
        <v>3573</v>
      </c>
      <c r="J19" s="1532">
        <f>42+1766</f>
        <v>1808</v>
      </c>
      <c r="K19" s="1533">
        <f>42+1766</f>
        <v>1808</v>
      </c>
      <c r="L19" s="225">
        <v>1409</v>
      </c>
    </row>
    <row r="20" spans="1:12" ht="24.75">
      <c r="A20" s="1527"/>
      <c r="B20" s="2111" t="s">
        <v>3574</v>
      </c>
      <c r="C20" s="2112"/>
      <c r="D20" s="2112"/>
      <c r="E20" s="2112"/>
      <c r="F20" s="2112"/>
      <c r="G20" s="2112"/>
      <c r="H20" s="2113"/>
      <c r="I20" s="1536" t="s">
        <v>3573</v>
      </c>
      <c r="J20" s="1532"/>
      <c r="K20" s="1537">
        <v>1000</v>
      </c>
      <c r="L20" s="225">
        <f>1000+909</f>
        <v>1909</v>
      </c>
    </row>
    <row r="21" spans="1:12" ht="15">
      <c r="A21" s="1527"/>
      <c r="B21" s="2111" t="s">
        <v>3591</v>
      </c>
      <c r="C21" s="2112"/>
      <c r="D21" s="2112"/>
      <c r="E21" s="2112"/>
      <c r="F21" s="2112"/>
      <c r="G21" s="2112"/>
      <c r="H21" s="2113"/>
      <c r="I21" s="1538" t="s">
        <v>3590</v>
      </c>
      <c r="J21" s="1532"/>
      <c r="K21" s="1537">
        <v>2500</v>
      </c>
      <c r="L21" s="225">
        <v>2500</v>
      </c>
    </row>
    <row r="22" spans="1:12" ht="12.75">
      <c r="A22" s="1527" t="s">
        <v>4129</v>
      </c>
      <c r="B22" s="2116" t="s">
        <v>1481</v>
      </c>
      <c r="C22" s="2124"/>
      <c r="D22" s="2124"/>
      <c r="E22" s="2124"/>
      <c r="F22" s="2124"/>
      <c r="G22" s="2124"/>
      <c r="H22" s="1535"/>
      <c r="I22" s="1538" t="s">
        <v>3575</v>
      </c>
      <c r="J22" s="1532">
        <v>4800</v>
      </c>
      <c r="K22" s="225">
        <f>1225+5070</f>
        <v>6295</v>
      </c>
      <c r="L22" s="225">
        <f>1907+4387+2</f>
        <v>6296</v>
      </c>
    </row>
    <row r="23" spans="1:12" ht="12.75">
      <c r="A23" s="1527"/>
      <c r="B23" s="2116" t="s">
        <v>3576</v>
      </c>
      <c r="C23" s="2117"/>
      <c r="D23" s="2117"/>
      <c r="E23" s="2117"/>
      <c r="F23" s="2117"/>
      <c r="G23" s="2117"/>
      <c r="H23" s="2118"/>
      <c r="I23" s="1536" t="s">
        <v>3577</v>
      </c>
      <c r="J23" s="1532"/>
      <c r="K23" s="225">
        <v>1250</v>
      </c>
      <c r="L23" s="225">
        <v>1250</v>
      </c>
    </row>
    <row r="24" spans="1:12" ht="12.75">
      <c r="A24" s="1527"/>
      <c r="B24" s="2114" t="s">
        <v>3592</v>
      </c>
      <c r="C24" s="2115"/>
      <c r="D24" s="2115"/>
      <c r="E24" s="2115"/>
      <c r="F24" s="2115"/>
      <c r="G24" s="2115"/>
      <c r="H24" s="1548"/>
      <c r="I24" s="1538" t="s">
        <v>3593</v>
      </c>
      <c r="J24" s="1532"/>
      <c r="K24" s="225"/>
      <c r="L24" s="225">
        <v>60</v>
      </c>
    </row>
    <row r="25" spans="1:12" ht="12.75">
      <c r="A25" s="1539"/>
      <c r="B25" s="2119" t="s">
        <v>3578</v>
      </c>
      <c r="C25" s="2120"/>
      <c r="D25" s="2120"/>
      <c r="E25" s="2120"/>
      <c r="F25" s="2120"/>
      <c r="G25" s="2120"/>
      <c r="H25" s="2120"/>
      <c r="I25" s="2121"/>
      <c r="J25" s="1540">
        <f>SUM(J4:J23)</f>
        <v>9023</v>
      </c>
      <c r="K25" s="1540">
        <f>SUM(K4:K23)</f>
        <v>17018</v>
      </c>
      <c r="L25" s="1540">
        <f>SUM(L4:L24)</f>
        <v>16592</v>
      </c>
    </row>
    <row r="26" spans="1:15" ht="63.75" customHeight="1">
      <c r="A26" s="1541"/>
      <c r="B26" s="1542"/>
      <c r="C26" s="1542"/>
      <c r="D26" s="1542"/>
      <c r="E26" s="1542"/>
      <c r="F26" s="1542"/>
      <c r="G26" s="1542"/>
      <c r="H26" s="1542"/>
      <c r="I26" s="1542"/>
      <c r="J26" s="1543"/>
      <c r="K26" s="1863"/>
      <c r="L26" s="1864"/>
      <c r="O26" s="180"/>
    </row>
    <row r="27" spans="1:12" ht="22.5" customHeight="1">
      <c r="A27" s="2103" t="s">
        <v>2804</v>
      </c>
      <c r="B27" s="2103"/>
      <c r="C27" s="2103"/>
      <c r="D27" s="2103"/>
      <c r="E27" s="2103"/>
      <c r="F27" s="2103"/>
      <c r="G27" s="2103"/>
      <c r="H27" s="2103"/>
      <c r="I27" s="2103"/>
      <c r="J27" s="2103"/>
      <c r="K27" s="1865"/>
      <c r="L27" s="1866"/>
    </row>
    <row r="28" spans="1:12" ht="12.75">
      <c r="A28" s="879"/>
      <c r="B28" s="879"/>
      <c r="C28" s="879"/>
      <c r="D28" s="879"/>
      <c r="E28" s="879"/>
      <c r="F28" s="879"/>
      <c r="G28" s="879"/>
      <c r="H28" s="879"/>
      <c r="I28" s="879"/>
      <c r="J28" s="879"/>
      <c r="K28" s="169"/>
      <c r="L28" s="169"/>
    </row>
    <row r="29" spans="1:12" ht="12.75">
      <c r="A29" s="2122" t="s">
        <v>2805</v>
      </c>
      <c r="B29" s="2122"/>
      <c r="C29" s="2122"/>
      <c r="D29" s="2122"/>
      <c r="E29" s="2122"/>
      <c r="F29" s="2122"/>
      <c r="G29" s="2122"/>
      <c r="H29" s="2122"/>
      <c r="I29" s="2122"/>
      <c r="J29" s="2122"/>
      <c r="K29" s="169"/>
      <c r="L29" s="169"/>
    </row>
    <row r="30" spans="1:12" ht="25.5">
      <c r="A30" s="1523" t="s">
        <v>4553</v>
      </c>
      <c r="B30" s="2105" t="s">
        <v>3552</v>
      </c>
      <c r="C30" s="2105"/>
      <c r="D30" s="2105"/>
      <c r="E30" s="2105"/>
      <c r="F30" s="2105"/>
      <c r="G30" s="2105"/>
      <c r="H30" s="2105"/>
      <c r="I30" s="1524" t="s">
        <v>3553</v>
      </c>
      <c r="J30" s="1525" t="s">
        <v>4027</v>
      </c>
      <c r="K30" s="1524" t="s">
        <v>4028</v>
      </c>
      <c r="L30" s="1525" t="s">
        <v>4220</v>
      </c>
    </row>
    <row r="31" spans="1:12" ht="12.75">
      <c r="A31" s="1544" t="s">
        <v>4029</v>
      </c>
      <c r="B31" s="2106" t="s">
        <v>3579</v>
      </c>
      <c r="C31" s="2107"/>
      <c r="D31" s="2107"/>
      <c r="E31" s="2107"/>
      <c r="F31" s="2107"/>
      <c r="G31" s="2107"/>
      <c r="H31" s="2108"/>
      <c r="I31" s="1532" t="s">
        <v>3580</v>
      </c>
      <c r="J31" s="1529">
        <v>1000</v>
      </c>
      <c r="K31" s="1531">
        <v>1000</v>
      </c>
      <c r="L31" s="1531">
        <f>15+995</f>
        <v>1010</v>
      </c>
    </row>
    <row r="32" spans="1:12" ht="12.75">
      <c r="A32" s="1544" t="s">
        <v>4031</v>
      </c>
      <c r="B32" s="1545" t="s">
        <v>3581</v>
      </c>
      <c r="C32" s="1546"/>
      <c r="D32" s="1546"/>
      <c r="E32" s="1546"/>
      <c r="F32" s="1546"/>
      <c r="G32" s="1546"/>
      <c r="H32" s="1546"/>
      <c r="I32" s="1534" t="s">
        <v>3582</v>
      </c>
      <c r="J32" s="1529"/>
      <c r="K32" s="1531">
        <v>63</v>
      </c>
      <c r="L32" s="1531">
        <v>63</v>
      </c>
    </row>
    <row r="33" spans="1:12" ht="12.75">
      <c r="A33" s="1544"/>
      <c r="B33" s="1545" t="s">
        <v>3589</v>
      </c>
      <c r="C33" s="1546"/>
      <c r="D33" s="1546"/>
      <c r="E33" s="1546"/>
      <c r="F33" s="1546"/>
      <c r="G33" s="1546"/>
      <c r="H33" s="1546"/>
      <c r="I33" s="1534" t="s">
        <v>3588</v>
      </c>
      <c r="J33" s="1529"/>
      <c r="K33" s="1531"/>
      <c r="L33" s="1531">
        <v>56</v>
      </c>
    </row>
    <row r="34" spans="1:12" ht="12.75">
      <c r="A34" s="1544"/>
      <c r="B34" s="1545" t="s">
        <v>3017</v>
      </c>
      <c r="C34" s="1546"/>
      <c r="D34" s="1546"/>
      <c r="E34" s="1546"/>
      <c r="F34" s="1546"/>
      <c r="G34" s="1546"/>
      <c r="H34" s="1546"/>
      <c r="I34" s="1534" t="s">
        <v>3583</v>
      </c>
      <c r="J34" s="1529"/>
      <c r="K34" s="1531">
        <v>4147</v>
      </c>
      <c r="L34" s="1531">
        <v>4147</v>
      </c>
    </row>
    <row r="35" spans="1:12" ht="24">
      <c r="A35" s="1544"/>
      <c r="B35" s="1545" t="s">
        <v>3584</v>
      </c>
      <c r="C35" s="1546"/>
      <c r="D35" s="1546"/>
      <c r="E35" s="1546"/>
      <c r="F35" s="1546"/>
      <c r="G35" s="1546"/>
      <c r="H35" s="1546"/>
      <c r="I35" s="1534" t="s">
        <v>3585</v>
      </c>
      <c r="J35" s="1529"/>
      <c r="K35" s="1531"/>
      <c r="L35" s="1531">
        <v>1491</v>
      </c>
    </row>
    <row r="36" spans="1:12" ht="12.75">
      <c r="A36" s="1544"/>
      <c r="B36" s="1545" t="s">
        <v>3586</v>
      </c>
      <c r="C36" s="1546"/>
      <c r="D36" s="1546"/>
      <c r="E36" s="1546"/>
      <c r="F36" s="1546"/>
      <c r="G36" s="1546"/>
      <c r="H36" s="1546"/>
      <c r="I36" s="1534" t="s">
        <v>3587</v>
      </c>
      <c r="J36" s="1529"/>
      <c r="K36" s="1531"/>
      <c r="L36" s="1531">
        <v>200</v>
      </c>
    </row>
    <row r="37" spans="1:12" ht="12.75">
      <c r="A37" s="1539"/>
      <c r="B37" s="2109" t="s">
        <v>1499</v>
      </c>
      <c r="C37" s="2110"/>
      <c r="D37" s="2110"/>
      <c r="E37" s="2110"/>
      <c r="F37" s="2110"/>
      <c r="G37" s="2110"/>
      <c r="H37" s="1547"/>
      <c r="I37" s="1547"/>
      <c r="J37" s="1540">
        <f>SUM(J31:J35)</f>
        <v>1000</v>
      </c>
      <c r="K37" s="1540">
        <f>SUM(K31:K36)</f>
        <v>5210</v>
      </c>
      <c r="L37" s="1540">
        <f>SUM(L31:L36)</f>
        <v>6967</v>
      </c>
    </row>
    <row r="38" spans="1:12" ht="12.75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</row>
    <row r="39" spans="1:12" ht="12.75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</row>
    <row r="42" ht="12.75">
      <c r="L42" s="180"/>
    </row>
  </sheetData>
  <sheetProtection/>
  <mergeCells count="30">
    <mergeCell ref="A1:J1"/>
    <mergeCell ref="A2:J2"/>
    <mergeCell ref="B3:H3"/>
    <mergeCell ref="B4:H4"/>
    <mergeCell ref="B9:H9"/>
    <mergeCell ref="B10:H10"/>
    <mergeCell ref="B11:H11"/>
    <mergeCell ref="B12:H12"/>
    <mergeCell ref="B5:H5"/>
    <mergeCell ref="B6:H6"/>
    <mergeCell ref="B7:H7"/>
    <mergeCell ref="B8:H8"/>
    <mergeCell ref="B17:H17"/>
    <mergeCell ref="B18:D18"/>
    <mergeCell ref="B19:H19"/>
    <mergeCell ref="B22:G22"/>
    <mergeCell ref="B13:H13"/>
    <mergeCell ref="B14:H14"/>
    <mergeCell ref="B15:H15"/>
    <mergeCell ref="B16:H16"/>
    <mergeCell ref="B30:H30"/>
    <mergeCell ref="B31:H31"/>
    <mergeCell ref="B37:G37"/>
    <mergeCell ref="B20:H20"/>
    <mergeCell ref="B21:H21"/>
    <mergeCell ref="B24:G24"/>
    <mergeCell ref="B23:H23"/>
    <mergeCell ref="B25:I25"/>
    <mergeCell ref="A27:J27"/>
    <mergeCell ref="A29:J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:H1"/>
    </sheetView>
  </sheetViews>
  <sheetFormatPr defaultColWidth="9.00390625" defaultRowHeight="12.75"/>
  <cols>
    <col min="2" max="2" width="33.125" style="0" customWidth="1"/>
    <col min="3" max="3" width="9.625" style="0" customWidth="1"/>
    <col min="4" max="4" width="10.875" style="0" customWidth="1"/>
  </cols>
  <sheetData>
    <row r="1" spans="1:8" ht="12.75">
      <c r="A1" s="2135" t="s">
        <v>5289</v>
      </c>
      <c r="B1" s="2135"/>
      <c r="C1" s="2135"/>
      <c r="D1" s="2135"/>
      <c r="E1" s="2135"/>
      <c r="F1" s="2135"/>
      <c r="G1" s="2135"/>
      <c r="H1" s="2135"/>
    </row>
    <row r="2" spans="1:8" ht="12.75">
      <c r="A2" s="2136" t="s">
        <v>4532</v>
      </c>
      <c r="B2" s="2136"/>
      <c r="C2" s="2136"/>
      <c r="D2" s="2136"/>
      <c r="E2" s="2136"/>
      <c r="F2" s="2136"/>
      <c r="G2" s="2136"/>
      <c r="H2" s="2136"/>
    </row>
    <row r="5" spans="7:8" ht="13.5" thickBot="1">
      <c r="G5" s="2137" t="s">
        <v>4533</v>
      </c>
      <c r="H5" s="2137"/>
    </row>
    <row r="6" spans="1:8" ht="12.75">
      <c r="A6" s="2138" t="s">
        <v>4023</v>
      </c>
      <c r="B6" s="2140" t="s">
        <v>4534</v>
      </c>
      <c r="C6" s="2138" t="s">
        <v>4535</v>
      </c>
      <c r="D6" s="2138" t="s">
        <v>4536</v>
      </c>
      <c r="E6" s="2142" t="s">
        <v>3014</v>
      </c>
      <c r="F6" s="2144" t="s">
        <v>4537</v>
      </c>
      <c r="G6" s="2145"/>
      <c r="H6" s="2146" t="s">
        <v>3015</v>
      </c>
    </row>
    <row r="7" spans="1:8" ht="50.25" customHeight="1" thickBot="1">
      <c r="A7" s="2139"/>
      <c r="B7" s="2141"/>
      <c r="C7" s="2141"/>
      <c r="D7" s="2139"/>
      <c r="E7" s="2143"/>
      <c r="F7" s="514" t="s">
        <v>4538</v>
      </c>
      <c r="G7" s="515" t="s">
        <v>4547</v>
      </c>
      <c r="H7" s="2147"/>
    </row>
    <row r="8" spans="1:8" ht="13.5" thickBot="1">
      <c r="A8" s="516">
        <v>1</v>
      </c>
      <c r="B8" s="517">
        <v>2</v>
      </c>
      <c r="C8" s="517">
        <v>3</v>
      </c>
      <c r="D8" s="518">
        <v>4</v>
      </c>
      <c r="E8" s="516">
        <v>5</v>
      </c>
      <c r="F8" s="518">
        <v>6</v>
      </c>
      <c r="G8" s="518">
        <v>7</v>
      </c>
      <c r="H8" s="519">
        <v>8</v>
      </c>
    </row>
    <row r="9" spans="1:8" ht="13.5" thickBot="1">
      <c r="A9" s="520" t="s">
        <v>4029</v>
      </c>
      <c r="B9" s="521" t="s">
        <v>4539</v>
      </c>
      <c r="C9" s="522"/>
      <c r="D9" s="523"/>
      <c r="E9" s="524">
        <f>SUM(E10:E14)</f>
        <v>8890</v>
      </c>
      <c r="F9" s="525">
        <f>SUM(F10:F12)</f>
        <v>0</v>
      </c>
      <c r="G9" s="525">
        <f>SUM(G10:G12)</f>
        <v>0</v>
      </c>
      <c r="H9" s="526">
        <f>SUM(H10:H12)</f>
        <v>0</v>
      </c>
    </row>
    <row r="10" spans="1:8" ht="12.75">
      <c r="A10" s="527" t="s">
        <v>4031</v>
      </c>
      <c r="B10" s="868" t="s">
        <v>3013</v>
      </c>
      <c r="C10" s="874">
        <v>2013</v>
      </c>
      <c r="D10" s="530">
        <v>2014</v>
      </c>
      <c r="E10" s="531">
        <v>1500</v>
      </c>
      <c r="F10" s="532"/>
      <c r="G10" s="532"/>
      <c r="H10" s="533"/>
    </row>
    <row r="11" spans="1:8" ht="12.75">
      <c r="A11" s="527" t="s">
        <v>4041</v>
      </c>
      <c r="B11" s="868" t="s">
        <v>3016</v>
      </c>
      <c r="C11" s="874">
        <v>2013</v>
      </c>
      <c r="D11" s="530">
        <v>2014</v>
      </c>
      <c r="E11" s="531">
        <v>250</v>
      </c>
      <c r="F11" s="532"/>
      <c r="G11" s="532"/>
      <c r="H11" s="533"/>
    </row>
    <row r="12" spans="1:8" ht="22.5">
      <c r="A12" s="527" t="s">
        <v>4166</v>
      </c>
      <c r="B12" s="534" t="s">
        <v>3017</v>
      </c>
      <c r="C12" s="875">
        <v>2013</v>
      </c>
      <c r="D12" s="530">
        <v>2014</v>
      </c>
      <c r="E12" s="531">
        <v>2160</v>
      </c>
      <c r="F12" s="532"/>
      <c r="G12" s="532"/>
      <c r="H12" s="533"/>
    </row>
    <row r="13" spans="1:8" ht="12.75">
      <c r="A13" s="869" t="s">
        <v>4061</v>
      </c>
      <c r="B13" s="534" t="s">
        <v>4540</v>
      </c>
      <c r="C13" s="876">
        <v>2012</v>
      </c>
      <c r="D13" s="870">
        <v>2014</v>
      </c>
      <c r="E13" s="871">
        <v>1500</v>
      </c>
      <c r="F13" s="872"/>
      <c r="G13" s="872"/>
      <c r="H13" s="873"/>
    </row>
    <row r="14" spans="1:8" ht="23.25" thickBot="1">
      <c r="A14" s="869" t="s">
        <v>4074</v>
      </c>
      <c r="B14" s="537" t="s">
        <v>3018</v>
      </c>
      <c r="C14" s="877">
        <v>2013</v>
      </c>
      <c r="D14" s="538">
        <v>2014</v>
      </c>
      <c r="E14" s="539">
        <v>3480</v>
      </c>
      <c r="F14" s="872"/>
      <c r="G14" s="872"/>
      <c r="H14" s="873"/>
    </row>
    <row r="15" spans="1:8" ht="13.5" thickBot="1">
      <c r="A15" s="520" t="s">
        <v>4195</v>
      </c>
      <c r="B15" s="521" t="s">
        <v>4541</v>
      </c>
      <c r="C15" s="535"/>
      <c r="D15" s="536"/>
      <c r="E15" s="524">
        <f>E16</f>
        <v>8</v>
      </c>
      <c r="F15" s="525">
        <f>SUM(F16:F18)</f>
        <v>0</v>
      </c>
      <c r="G15" s="525">
        <f>SUM(G16:G18)</f>
        <v>0</v>
      </c>
      <c r="H15" s="526">
        <f>SUM(H16:H18)</f>
        <v>0</v>
      </c>
    </row>
    <row r="16" spans="1:8" ht="12.75">
      <c r="A16" s="527" t="s">
        <v>4094</v>
      </c>
      <c r="B16" s="537" t="s">
        <v>4542</v>
      </c>
      <c r="C16" s="538">
        <v>2005</v>
      </c>
      <c r="D16" s="538">
        <v>2008</v>
      </c>
      <c r="E16" s="539">
        <v>8</v>
      </c>
      <c r="F16" s="532"/>
      <c r="G16" s="532"/>
      <c r="H16" s="533"/>
    </row>
    <row r="17" spans="1:8" ht="12.75">
      <c r="A17" s="527" t="s">
        <v>4102</v>
      </c>
      <c r="B17" s="528" t="s">
        <v>4543</v>
      </c>
      <c r="C17" s="529"/>
      <c r="D17" s="530"/>
      <c r="E17" s="531"/>
      <c r="F17" s="532"/>
      <c r="G17" s="532"/>
      <c r="H17" s="533"/>
    </row>
    <row r="18" spans="1:8" ht="13.5" thickBot="1">
      <c r="A18" s="527" t="s">
        <v>1113</v>
      </c>
      <c r="B18" s="528" t="s">
        <v>4543</v>
      </c>
      <c r="C18" s="529"/>
      <c r="D18" s="530"/>
      <c r="E18" s="531"/>
      <c r="F18" s="532"/>
      <c r="G18" s="532"/>
      <c r="H18" s="533"/>
    </row>
    <row r="19" spans="1:8" ht="13.5" thickBot="1">
      <c r="A19" s="520" t="s">
        <v>4129</v>
      </c>
      <c r="B19" s="521" t="s">
        <v>4544</v>
      </c>
      <c r="C19" s="522"/>
      <c r="D19" s="523"/>
      <c r="E19" s="524">
        <f>E9+E15</f>
        <v>8898</v>
      </c>
      <c r="F19" s="525">
        <f>F9+F15</f>
        <v>0</v>
      </c>
      <c r="G19" s="525">
        <f>G9+G15</f>
        <v>0</v>
      </c>
      <c r="H19" s="526">
        <f>H9+H15</f>
        <v>0</v>
      </c>
    </row>
    <row r="23" ht="12.75">
      <c r="E23" s="214"/>
    </row>
  </sheetData>
  <sheetProtection/>
  <mergeCells count="10">
    <mergeCell ref="A1:H1"/>
    <mergeCell ref="A2:H2"/>
    <mergeCell ref="G5:H5"/>
    <mergeCell ref="A6:A7"/>
    <mergeCell ref="B6:B7"/>
    <mergeCell ref="C6:C7"/>
    <mergeCell ref="D6:D7"/>
    <mergeCell ref="E6:E7"/>
    <mergeCell ref="F6:G6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H1"/>
    </sheetView>
  </sheetViews>
  <sheetFormatPr defaultColWidth="9.00390625" defaultRowHeight="12.75"/>
  <cols>
    <col min="2" max="2" width="37.25390625" style="0" customWidth="1"/>
  </cols>
  <sheetData>
    <row r="1" spans="1:8" ht="12.75">
      <c r="A1" s="2148" t="s">
        <v>5290</v>
      </c>
      <c r="B1" s="2148"/>
      <c r="C1" s="2148"/>
      <c r="D1" s="2148"/>
      <c r="E1" s="2148"/>
      <c r="F1" s="2148"/>
      <c r="G1" s="2148"/>
      <c r="H1" s="2148"/>
    </row>
    <row r="2" spans="1:8" ht="12.75">
      <c r="A2" s="2149" t="s">
        <v>4545</v>
      </c>
      <c r="B2" s="2149"/>
      <c r="C2" s="2149"/>
      <c r="D2" s="2149"/>
      <c r="E2" s="2149"/>
      <c r="F2" s="2149"/>
      <c r="G2" s="2149"/>
      <c r="H2" s="2149"/>
    </row>
    <row r="5" spans="1:9" ht="14.25" thickBot="1">
      <c r="A5" s="1472"/>
      <c r="B5" s="1473"/>
      <c r="C5" s="1473"/>
      <c r="D5" s="1473"/>
      <c r="E5" s="1473"/>
      <c r="F5" s="1473"/>
      <c r="G5" s="1473"/>
      <c r="H5" s="1473"/>
      <c r="I5" s="1474" t="s">
        <v>2049</v>
      </c>
    </row>
    <row r="6" spans="1:9" ht="12.75" customHeight="1">
      <c r="A6" s="2154" t="s">
        <v>4023</v>
      </c>
      <c r="B6" s="2150" t="s">
        <v>2050</v>
      </c>
      <c r="C6" s="2150" t="s">
        <v>2051</v>
      </c>
      <c r="D6" s="2150" t="s">
        <v>2052</v>
      </c>
      <c r="E6" s="1475" t="s">
        <v>2053</v>
      </c>
      <c r="F6" s="1476"/>
      <c r="G6" s="1476"/>
      <c r="H6" s="1477"/>
      <c r="I6" s="2152" t="s">
        <v>4546</v>
      </c>
    </row>
    <row r="7" spans="1:9" ht="24.75" thickBot="1">
      <c r="A7" s="2155"/>
      <c r="B7" s="2156"/>
      <c r="C7" s="2156"/>
      <c r="D7" s="2151"/>
      <c r="E7" s="1478" t="s">
        <v>4538</v>
      </c>
      <c r="F7" s="1479" t="s">
        <v>4547</v>
      </c>
      <c r="G7" s="1479" t="s">
        <v>2054</v>
      </c>
      <c r="H7" s="1480" t="s">
        <v>2055</v>
      </c>
      <c r="I7" s="2153"/>
    </row>
    <row r="8" spans="1:9" ht="21.75" thickBot="1">
      <c r="A8" s="1481">
        <v>1</v>
      </c>
      <c r="B8" s="1482">
        <v>2</v>
      </c>
      <c r="C8" s="1483">
        <v>3</v>
      </c>
      <c r="D8" s="1483">
        <v>5</v>
      </c>
      <c r="E8" s="1483">
        <v>6</v>
      </c>
      <c r="F8" s="1483">
        <v>7</v>
      </c>
      <c r="G8" s="1483">
        <v>8</v>
      </c>
      <c r="H8" s="1483">
        <v>9</v>
      </c>
      <c r="I8" s="1484" t="s">
        <v>2056</v>
      </c>
    </row>
    <row r="9" spans="1:9" ht="21.75" thickBot="1">
      <c r="A9" s="1485" t="s">
        <v>4029</v>
      </c>
      <c r="B9" s="1486" t="s">
        <v>2057</v>
      </c>
      <c r="C9" s="1487"/>
      <c r="D9" s="1488"/>
      <c r="E9" s="1488"/>
      <c r="F9" s="1488"/>
      <c r="G9" s="1488"/>
      <c r="H9" s="1489"/>
      <c r="I9" s="1490"/>
    </row>
    <row r="10" spans="1:9" ht="21.75" thickBot="1">
      <c r="A10" s="1485" t="s">
        <v>4031</v>
      </c>
      <c r="B10" s="1494" t="s">
        <v>2058</v>
      </c>
      <c r="C10" s="1495"/>
      <c r="D10" s="1496"/>
      <c r="E10" s="1496"/>
      <c r="F10" s="1496"/>
      <c r="G10" s="1496"/>
      <c r="H10" s="1497"/>
      <c r="I10" s="1498"/>
    </row>
    <row r="11" spans="1:9" ht="13.5" thickBot="1">
      <c r="A11" s="1485" t="s">
        <v>4041</v>
      </c>
      <c r="B11" s="1499" t="s">
        <v>4548</v>
      </c>
      <c r="C11" s="1495"/>
      <c r="D11" s="1496">
        <f aca="true" t="shared" si="0" ref="D11:I11">D12+D13+D14</f>
        <v>22857</v>
      </c>
      <c r="E11" s="1496">
        <f t="shared" si="0"/>
        <v>4145380</v>
      </c>
      <c r="F11" s="1496">
        <f t="shared" si="0"/>
        <v>1128208</v>
      </c>
      <c r="G11" s="1496">
        <f t="shared" si="0"/>
        <v>0</v>
      </c>
      <c r="H11" s="1497">
        <f t="shared" si="0"/>
        <v>0</v>
      </c>
      <c r="I11" s="1498">
        <f t="shared" si="0"/>
        <v>4428353</v>
      </c>
    </row>
    <row r="12" spans="1:9" ht="13.5" thickBot="1">
      <c r="A12" s="1485" t="s">
        <v>4166</v>
      </c>
      <c r="B12" s="477" t="s">
        <v>2061</v>
      </c>
      <c r="C12" s="1491">
        <v>2009</v>
      </c>
      <c r="D12" s="532">
        <v>1909</v>
      </c>
      <c r="E12" s="1510">
        <v>3321265</v>
      </c>
      <c r="F12" s="1510">
        <v>1107088</v>
      </c>
      <c r="G12" s="532"/>
      <c r="H12" s="1492"/>
      <c r="I12" s="1493">
        <f aca="true" t="shared" si="1" ref="I12:I20">SUM(E12:H12)</f>
        <v>4428353</v>
      </c>
    </row>
    <row r="13" spans="1:9" ht="13.5" thickBot="1">
      <c r="A13" s="1485" t="s">
        <v>4061</v>
      </c>
      <c r="B13" s="477" t="s">
        <v>1190</v>
      </c>
      <c r="C13" s="1491">
        <v>2005</v>
      </c>
      <c r="D13" s="387">
        <f>16495+4453</f>
        <v>20948</v>
      </c>
      <c r="E13" s="231">
        <v>824115</v>
      </c>
      <c r="F13" s="231">
        <v>21120</v>
      </c>
      <c r="G13" s="532"/>
      <c r="H13" s="1492"/>
      <c r="I13" s="1493"/>
    </row>
    <row r="14" spans="1:9" ht="13.5" thickBot="1">
      <c r="A14" s="1485" t="s">
        <v>4074</v>
      </c>
      <c r="B14" s="532"/>
      <c r="C14" s="1491"/>
      <c r="D14" s="532"/>
      <c r="E14" s="532"/>
      <c r="F14" s="532"/>
      <c r="G14" s="532"/>
      <c r="H14" s="1492"/>
      <c r="I14" s="1493"/>
    </row>
    <row r="15" spans="1:9" ht="13.5" thickBot="1">
      <c r="A15" s="1485" t="s">
        <v>4195</v>
      </c>
      <c r="B15" s="537"/>
      <c r="C15" s="1491"/>
      <c r="D15" s="532"/>
      <c r="E15" s="532"/>
      <c r="F15" s="532"/>
      <c r="G15" s="532"/>
      <c r="H15" s="1492"/>
      <c r="I15" s="1493"/>
    </row>
    <row r="16" spans="1:9" ht="13.5" thickBot="1">
      <c r="A16" s="1485" t="s">
        <v>4094</v>
      </c>
      <c r="B16" s="1499" t="s">
        <v>4549</v>
      </c>
      <c r="C16" s="1495"/>
      <c r="D16" s="1496">
        <f>SUM(D17:D17)</f>
        <v>12118</v>
      </c>
      <c r="E16" s="1496">
        <f>SUM(E17:E17)</f>
        <v>0</v>
      </c>
      <c r="F16" s="1496">
        <f>SUM(F17:F17)</f>
        <v>0</v>
      </c>
      <c r="G16" s="1496">
        <f>SUM(G17:G17)</f>
        <v>0</v>
      </c>
      <c r="H16" s="1497">
        <f>SUM(H17:H17)</f>
        <v>0</v>
      </c>
      <c r="I16" s="1498">
        <f t="shared" si="1"/>
        <v>0</v>
      </c>
    </row>
    <row r="17" spans="1:9" ht="21.75" thickBot="1">
      <c r="A17" s="1485" t="s">
        <v>4102</v>
      </c>
      <c r="B17" s="191" t="s">
        <v>1076</v>
      </c>
      <c r="C17" s="1491">
        <v>2011</v>
      </c>
      <c r="D17" s="532">
        <v>12118</v>
      </c>
      <c r="E17" s="532"/>
      <c r="F17" s="532"/>
      <c r="G17" s="532"/>
      <c r="H17" s="1492"/>
      <c r="I17" s="1493">
        <f t="shared" si="1"/>
        <v>0</v>
      </c>
    </row>
    <row r="18" spans="1:9" ht="13.5" thickBot="1">
      <c r="A18" s="1485" t="s">
        <v>1113</v>
      </c>
      <c r="B18" s="1500" t="s">
        <v>2059</v>
      </c>
      <c r="C18" s="1501"/>
      <c r="D18" s="1502">
        <f>SUM(D19:D20)</f>
        <v>7892</v>
      </c>
      <c r="E18" s="1502">
        <f>SUM(E19:E20)</f>
        <v>7408</v>
      </c>
      <c r="F18" s="1502">
        <f>SUM(F19:F20)</f>
        <v>4405</v>
      </c>
      <c r="G18" s="1502">
        <f>SUM(G19:G20)</f>
        <v>2588</v>
      </c>
      <c r="H18" s="1503">
        <f>SUM(H19:H20)</f>
        <v>0</v>
      </c>
      <c r="I18" s="1498">
        <f t="shared" si="1"/>
        <v>14401</v>
      </c>
    </row>
    <row r="19" spans="1:9" ht="13.5" thickBot="1">
      <c r="A19" s="1485" t="s">
        <v>4129</v>
      </c>
      <c r="B19" s="202" t="s">
        <v>4550</v>
      </c>
      <c r="C19" s="540">
        <v>2004</v>
      </c>
      <c r="D19" s="532">
        <v>3723</v>
      </c>
      <c r="E19" s="430">
        <v>4132</v>
      </c>
      <c r="F19" s="430">
        <v>4132</v>
      </c>
      <c r="G19" s="430">
        <v>2588</v>
      </c>
      <c r="H19" s="1492"/>
      <c r="I19" s="1493">
        <f t="shared" si="1"/>
        <v>10852</v>
      </c>
    </row>
    <row r="20" spans="1:9" ht="13.5" thickBot="1">
      <c r="A20" s="1485" t="s">
        <v>5107</v>
      </c>
      <c r="B20" s="202" t="s">
        <v>4551</v>
      </c>
      <c r="C20" s="540">
        <v>2004</v>
      </c>
      <c r="D20" s="872">
        <v>4169</v>
      </c>
      <c r="E20" s="430">
        <v>3276</v>
      </c>
      <c r="F20" s="430">
        <v>273</v>
      </c>
      <c r="G20" s="430"/>
      <c r="H20" s="1504"/>
      <c r="I20" s="1493">
        <f t="shared" si="1"/>
        <v>3549</v>
      </c>
    </row>
    <row r="21" spans="1:9" ht="13.5" thickBot="1">
      <c r="A21" s="1485" t="s">
        <v>5110</v>
      </c>
      <c r="B21" s="1505" t="s">
        <v>2060</v>
      </c>
      <c r="C21" s="1506"/>
      <c r="D21" s="1507">
        <f aca="true" t="shared" si="2" ref="D21:I21">D9+D10+D11+D16+D18</f>
        <v>42867</v>
      </c>
      <c r="E21" s="1507" t="e">
        <f>E9+E10+#REF!+E16+E18</f>
        <v>#REF!</v>
      </c>
      <c r="F21" s="1507" t="e">
        <f>F9+F10+#REF!+F16+F18</f>
        <v>#REF!</v>
      </c>
      <c r="G21" s="1507">
        <f t="shared" si="2"/>
        <v>2588</v>
      </c>
      <c r="H21" s="1508">
        <f t="shared" si="2"/>
        <v>0</v>
      </c>
      <c r="I21" s="1509">
        <f t="shared" si="2"/>
        <v>4442754</v>
      </c>
    </row>
  </sheetData>
  <sheetProtection/>
  <mergeCells count="7">
    <mergeCell ref="A1:H1"/>
    <mergeCell ref="A2:H2"/>
    <mergeCell ref="D6:D7"/>
    <mergeCell ref="I6:I7"/>
    <mergeCell ref="A6:A7"/>
    <mergeCell ref="B6:B7"/>
    <mergeCell ref="C6:C7"/>
  </mergeCells>
  <conditionalFormatting sqref="E12:F12">
    <cfRule type="cellIs" priority="1" dxfId="3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0" customWidth="1"/>
    <col min="2" max="2" width="47.625" style="0" customWidth="1"/>
  </cols>
  <sheetData>
    <row r="1" spans="1:3" ht="12.75">
      <c r="A1" s="2004" t="s">
        <v>5291</v>
      </c>
      <c r="B1" s="2004"/>
      <c r="C1" s="2004"/>
    </row>
    <row r="2" spans="1:3" ht="12.75">
      <c r="A2" s="2157" t="s">
        <v>2033</v>
      </c>
      <c r="B2" s="2157"/>
      <c r="C2" s="2157"/>
    </row>
    <row r="3" spans="1:3" ht="13.5" thickBot="1">
      <c r="A3" s="1456"/>
      <c r="B3" s="1457"/>
      <c r="C3" s="1458" t="s">
        <v>2034</v>
      </c>
    </row>
    <row r="4" spans="1:3" ht="36.75" thickBot="1">
      <c r="A4" s="1459" t="s">
        <v>4553</v>
      </c>
      <c r="B4" s="1460" t="s">
        <v>4024</v>
      </c>
      <c r="C4" s="1461" t="s">
        <v>2035</v>
      </c>
    </row>
    <row r="5" spans="1:3" ht="13.5" thickBot="1">
      <c r="A5" s="1459">
        <v>1</v>
      </c>
      <c r="B5" s="1460">
        <v>2</v>
      </c>
      <c r="C5" s="1461">
        <v>4</v>
      </c>
    </row>
    <row r="6" spans="1:3" ht="12.75">
      <c r="A6" s="1462" t="s">
        <v>4029</v>
      </c>
      <c r="B6" s="1463" t="s">
        <v>2036</v>
      </c>
      <c r="C6" s="1464">
        <v>4200</v>
      </c>
    </row>
    <row r="7" spans="1:3" ht="12.75">
      <c r="A7" s="1465" t="s">
        <v>4031</v>
      </c>
      <c r="B7" s="1466" t="s">
        <v>2037</v>
      </c>
      <c r="C7" s="1467"/>
    </row>
    <row r="8" spans="1:3" ht="12.75">
      <c r="A8" s="1465" t="s">
        <v>4041</v>
      </c>
      <c r="B8" s="1466" t="s">
        <v>2038</v>
      </c>
      <c r="C8" s="1467"/>
    </row>
    <row r="9" spans="1:3" ht="12.75">
      <c r="A9" s="1465" t="s">
        <v>4166</v>
      </c>
      <c r="B9" s="1466" t="s">
        <v>2039</v>
      </c>
      <c r="C9" s="1467"/>
    </row>
    <row r="10" spans="1:3" ht="12.75">
      <c r="A10" s="1465" t="s">
        <v>4061</v>
      </c>
      <c r="B10" s="1466" t="s">
        <v>2040</v>
      </c>
      <c r="C10" s="1467">
        <v>85</v>
      </c>
    </row>
    <row r="11" spans="1:3" ht="12.75">
      <c r="A11" s="1465" t="s">
        <v>4195</v>
      </c>
      <c r="B11" s="1466" t="s">
        <v>2041</v>
      </c>
      <c r="C11" s="1467"/>
    </row>
    <row r="12" spans="1:3" ht="12.75">
      <c r="A12" s="1465" t="s">
        <v>4102</v>
      </c>
      <c r="B12" s="1468" t="s">
        <v>2042</v>
      </c>
      <c r="C12" s="1467">
        <v>85</v>
      </c>
    </row>
    <row r="13" spans="1:3" ht="24">
      <c r="A13" s="1465" t="s">
        <v>1113</v>
      </c>
      <c r="B13" s="1468" t="s">
        <v>2043</v>
      </c>
      <c r="C13" s="1467"/>
    </row>
    <row r="14" spans="1:3" ht="12.75">
      <c r="A14" s="1465" t="s">
        <v>4129</v>
      </c>
      <c r="B14" s="1466" t="s">
        <v>2044</v>
      </c>
      <c r="C14" s="1467">
        <v>102</v>
      </c>
    </row>
    <row r="15" spans="1:3" ht="12.75">
      <c r="A15" s="1465" t="s">
        <v>5107</v>
      </c>
      <c r="B15" s="1466" t="s">
        <v>2045</v>
      </c>
      <c r="C15" s="1467">
        <v>1572</v>
      </c>
    </row>
    <row r="16" spans="1:3" ht="12.75">
      <c r="A16" s="1465" t="s">
        <v>5110</v>
      </c>
      <c r="B16" s="1466" t="s">
        <v>2046</v>
      </c>
      <c r="C16" s="1467"/>
    </row>
    <row r="17" spans="1:3" ht="12.75">
      <c r="A17" s="1465" t="s">
        <v>5113</v>
      </c>
      <c r="B17" s="1466" t="s">
        <v>2047</v>
      </c>
      <c r="C17" s="1467">
        <v>206</v>
      </c>
    </row>
    <row r="18" spans="1:3" ht="12.75">
      <c r="A18" s="1465" t="s">
        <v>5115</v>
      </c>
      <c r="B18" s="1466" t="s">
        <v>2048</v>
      </c>
      <c r="C18" s="1467"/>
    </row>
    <row r="19" spans="1:3" ht="13.5" thickBot="1">
      <c r="A19" s="1469" t="s">
        <v>5117</v>
      </c>
      <c r="B19" s="1470" t="s">
        <v>2660</v>
      </c>
      <c r="C19" s="1471">
        <f>C6+C7+C8+C9+C10+C14+C15+C16+C17+C18</f>
        <v>6165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1" sqref="B1:D1"/>
    </sheetView>
  </sheetViews>
  <sheetFormatPr defaultColWidth="9.00390625" defaultRowHeight="15" customHeight="1"/>
  <cols>
    <col min="1" max="1" width="4.625" style="0" customWidth="1"/>
    <col min="2" max="2" width="51.625" style="0" customWidth="1"/>
    <col min="9" max="9" width="11.125" style="0" customWidth="1"/>
  </cols>
  <sheetData>
    <row r="1" spans="1:9" ht="15" customHeight="1">
      <c r="A1" s="541"/>
      <c r="B1" s="2135" t="s">
        <v>5292</v>
      </c>
      <c r="C1" s="2135"/>
      <c r="D1" s="2135"/>
      <c r="E1" s="541"/>
      <c r="F1" s="541"/>
      <c r="G1" s="541"/>
      <c r="H1" s="541"/>
      <c r="I1" s="541"/>
    </row>
    <row r="2" spans="1:9" ht="15" customHeight="1">
      <c r="A2" s="542"/>
      <c r="B2" s="542"/>
      <c r="C2" s="542"/>
      <c r="D2" s="542"/>
      <c r="E2" s="542"/>
      <c r="F2" s="542"/>
      <c r="G2" s="542"/>
      <c r="H2" s="542"/>
      <c r="I2" s="542"/>
    </row>
    <row r="3" spans="1:9" ht="30" customHeight="1">
      <c r="A3" s="2168" t="s">
        <v>5102</v>
      </c>
      <c r="B3" s="2169"/>
      <c r="C3" s="2169"/>
      <c r="D3" s="2169"/>
      <c r="E3" s="2169"/>
      <c r="F3" s="2169"/>
      <c r="G3" s="2169"/>
      <c r="H3" s="2169"/>
      <c r="I3" s="2169"/>
    </row>
    <row r="4" spans="1:9" ht="15" customHeight="1" thickBot="1">
      <c r="A4" s="543"/>
      <c r="B4" s="543"/>
      <c r="C4" s="543"/>
      <c r="D4" s="543"/>
      <c r="E4" s="543"/>
      <c r="F4" s="543"/>
      <c r="G4" s="543"/>
      <c r="H4" s="2170" t="s">
        <v>4552</v>
      </c>
      <c r="I4" s="2170"/>
    </row>
    <row r="5" spans="1:9" ht="15" customHeight="1" thickBot="1">
      <c r="A5" s="2171" t="s">
        <v>4553</v>
      </c>
      <c r="B5" s="2173" t="s">
        <v>4554</v>
      </c>
      <c r="C5" s="2175" t="s">
        <v>4555</v>
      </c>
      <c r="D5" s="2177" t="s">
        <v>4556</v>
      </c>
      <c r="E5" s="2178"/>
      <c r="F5" s="2178"/>
      <c r="G5" s="2178"/>
      <c r="H5" s="2178"/>
      <c r="I5" s="2179" t="s">
        <v>4557</v>
      </c>
    </row>
    <row r="6" spans="1:9" ht="28.5" customHeight="1" thickBot="1">
      <c r="A6" s="2172"/>
      <c r="B6" s="2174"/>
      <c r="C6" s="2176"/>
      <c r="D6" s="544" t="s">
        <v>4558</v>
      </c>
      <c r="E6" s="544" t="s">
        <v>4559</v>
      </c>
      <c r="F6" s="544" t="s">
        <v>4560</v>
      </c>
      <c r="G6" s="545" t="s">
        <v>4561</v>
      </c>
      <c r="H6" s="545" t="s">
        <v>4562</v>
      </c>
      <c r="I6" s="2180"/>
    </row>
    <row r="7" spans="1:9" ht="15" customHeight="1" thickBot="1">
      <c r="A7" s="546">
        <v>1</v>
      </c>
      <c r="B7" s="547">
        <v>2</v>
      </c>
      <c r="C7" s="547">
        <v>3</v>
      </c>
      <c r="D7" s="547">
        <v>4</v>
      </c>
      <c r="E7" s="547">
        <v>5</v>
      </c>
      <c r="F7" s="547">
        <v>6</v>
      </c>
      <c r="G7" s="547">
        <v>7</v>
      </c>
      <c r="H7" s="547" t="s">
        <v>4563</v>
      </c>
      <c r="I7" s="548" t="s">
        <v>4564</v>
      </c>
    </row>
    <row r="8" spans="1:9" ht="15" customHeight="1">
      <c r="A8" s="2160" t="s">
        <v>4565</v>
      </c>
      <c r="B8" s="2161"/>
      <c r="C8" s="2161"/>
      <c r="D8" s="2161"/>
      <c r="E8" s="2161"/>
      <c r="F8" s="2161"/>
      <c r="G8" s="2161"/>
      <c r="H8" s="2161"/>
      <c r="I8" s="2162"/>
    </row>
    <row r="9" spans="1:9" ht="15" customHeight="1">
      <c r="A9" s="549" t="s">
        <v>4029</v>
      </c>
      <c r="B9" s="550" t="s">
        <v>4566</v>
      </c>
      <c r="C9" s="551"/>
      <c r="D9" s="552"/>
      <c r="E9" s="552"/>
      <c r="F9" s="552"/>
      <c r="G9" s="553"/>
      <c r="H9" s="554">
        <f aca="true" t="shared" si="0" ref="H9:H15">SUM(D9:G9)</f>
        <v>0</v>
      </c>
      <c r="I9" s="555">
        <f aca="true" t="shared" si="1" ref="I9:I15">C9+H9</f>
        <v>0</v>
      </c>
    </row>
    <row r="10" spans="1:9" ht="15" customHeight="1">
      <c r="A10" s="549" t="s">
        <v>4031</v>
      </c>
      <c r="B10" s="550" t="s">
        <v>4567</v>
      </c>
      <c r="C10" s="551"/>
      <c r="D10" s="552"/>
      <c r="E10" s="552"/>
      <c r="F10" s="552"/>
      <c r="G10" s="553"/>
      <c r="H10" s="554">
        <f t="shared" si="0"/>
        <v>0</v>
      </c>
      <c r="I10" s="555">
        <f t="shared" si="1"/>
        <v>0</v>
      </c>
    </row>
    <row r="11" spans="1:9" ht="15" customHeight="1">
      <c r="A11" s="549" t="s">
        <v>4041</v>
      </c>
      <c r="B11" s="550" t="s">
        <v>4568</v>
      </c>
      <c r="C11" s="551"/>
      <c r="D11" s="552"/>
      <c r="E11" s="552"/>
      <c r="F11" s="552"/>
      <c r="G11" s="553"/>
      <c r="H11" s="554">
        <f t="shared" si="0"/>
        <v>0</v>
      </c>
      <c r="I11" s="555">
        <f t="shared" si="1"/>
        <v>0</v>
      </c>
    </row>
    <row r="12" spans="1:9" ht="15" customHeight="1">
      <c r="A12" s="549" t="s">
        <v>4166</v>
      </c>
      <c r="B12" s="550" t="s">
        <v>4569</v>
      </c>
      <c r="C12" s="551"/>
      <c r="D12" s="552"/>
      <c r="E12" s="552"/>
      <c r="F12" s="552"/>
      <c r="G12" s="553"/>
      <c r="H12" s="554">
        <f t="shared" si="0"/>
        <v>0</v>
      </c>
      <c r="I12" s="555">
        <f t="shared" si="1"/>
        <v>0</v>
      </c>
    </row>
    <row r="13" spans="1:9" ht="15" customHeight="1">
      <c r="A13" s="549" t="s">
        <v>4061</v>
      </c>
      <c r="B13" s="550" t="s">
        <v>4570</v>
      </c>
      <c r="C13" s="551"/>
      <c r="D13" s="552"/>
      <c r="E13" s="552"/>
      <c r="F13" s="552"/>
      <c r="G13" s="553"/>
      <c r="H13" s="554">
        <f t="shared" si="0"/>
        <v>0</v>
      </c>
      <c r="I13" s="555">
        <f t="shared" si="1"/>
        <v>0</v>
      </c>
    </row>
    <row r="14" spans="1:9" ht="15" customHeight="1">
      <c r="A14" s="556" t="s">
        <v>4074</v>
      </c>
      <c r="B14" s="557" t="s">
        <v>4571</v>
      </c>
      <c r="C14" s="558">
        <v>150</v>
      </c>
      <c r="D14" s="559"/>
      <c r="E14" s="559"/>
      <c r="F14" s="559"/>
      <c r="G14" s="560"/>
      <c r="H14" s="554">
        <f t="shared" si="0"/>
        <v>0</v>
      </c>
      <c r="I14" s="555">
        <f t="shared" si="1"/>
        <v>150</v>
      </c>
    </row>
    <row r="15" spans="1:9" ht="15" customHeight="1" thickBot="1">
      <c r="A15" s="561" t="s">
        <v>4195</v>
      </c>
      <c r="B15" s="562" t="s">
        <v>4572</v>
      </c>
      <c r="C15" s="563"/>
      <c r="D15" s="564"/>
      <c r="E15" s="564"/>
      <c r="F15" s="564"/>
      <c r="G15" s="565"/>
      <c r="H15" s="554">
        <f t="shared" si="0"/>
        <v>0</v>
      </c>
      <c r="I15" s="555">
        <f t="shared" si="1"/>
        <v>0</v>
      </c>
    </row>
    <row r="16" spans="1:9" ht="15" customHeight="1" thickBot="1">
      <c r="A16" s="2163" t="s">
        <v>4573</v>
      </c>
      <c r="B16" s="2164"/>
      <c r="C16" s="566">
        <f aca="true" t="shared" si="2" ref="C16:I16">SUM(C9:C15)</f>
        <v>150</v>
      </c>
      <c r="D16" s="566">
        <f>SUM(D9:D15)</f>
        <v>0</v>
      </c>
      <c r="E16" s="566">
        <f t="shared" si="2"/>
        <v>0</v>
      </c>
      <c r="F16" s="566">
        <f t="shared" si="2"/>
        <v>0</v>
      </c>
      <c r="G16" s="567">
        <f t="shared" si="2"/>
        <v>0</v>
      </c>
      <c r="H16" s="567">
        <f t="shared" si="2"/>
        <v>0</v>
      </c>
      <c r="I16" s="568">
        <f t="shared" si="2"/>
        <v>150</v>
      </c>
    </row>
    <row r="17" spans="1:9" ht="15" customHeight="1">
      <c r="A17" s="2165" t="s">
        <v>4574</v>
      </c>
      <c r="B17" s="2166"/>
      <c r="C17" s="2166"/>
      <c r="D17" s="2166"/>
      <c r="E17" s="2166"/>
      <c r="F17" s="2166"/>
      <c r="G17" s="2166"/>
      <c r="H17" s="2166"/>
      <c r="I17" s="2167"/>
    </row>
    <row r="18" spans="1:9" ht="15" customHeight="1">
      <c r="A18" s="549" t="s">
        <v>4029</v>
      </c>
      <c r="B18" s="550" t="s">
        <v>4575</v>
      </c>
      <c r="C18" s="551"/>
      <c r="D18" s="552"/>
      <c r="E18" s="552"/>
      <c r="F18" s="552"/>
      <c r="G18" s="553"/>
      <c r="H18" s="554">
        <f>SUM(D18:G18)</f>
        <v>0</v>
      </c>
      <c r="I18" s="555">
        <f>C18+H18</f>
        <v>0</v>
      </c>
    </row>
    <row r="19" spans="1:9" ht="15" customHeight="1" thickBot="1">
      <c r="A19" s="561" t="s">
        <v>4031</v>
      </c>
      <c r="B19" s="562" t="s">
        <v>4572</v>
      </c>
      <c r="C19" s="563"/>
      <c r="D19" s="564"/>
      <c r="E19" s="564"/>
      <c r="F19" s="564"/>
      <c r="G19" s="565"/>
      <c r="H19" s="554">
        <f>SUM(D19:G19)</f>
        <v>0</v>
      </c>
      <c r="I19" s="569">
        <f>C19+H19</f>
        <v>0</v>
      </c>
    </row>
    <row r="20" spans="1:9" ht="15" customHeight="1" thickBot="1">
      <c r="A20" s="2163" t="s">
        <v>4576</v>
      </c>
      <c r="B20" s="2164"/>
      <c r="C20" s="566">
        <f aca="true" t="shared" si="3" ref="C20:I20">SUM(C18:C19)</f>
        <v>0</v>
      </c>
      <c r="D20" s="566">
        <f t="shared" si="3"/>
        <v>0</v>
      </c>
      <c r="E20" s="566">
        <f t="shared" si="3"/>
        <v>0</v>
      </c>
      <c r="F20" s="566">
        <f t="shared" si="3"/>
        <v>0</v>
      </c>
      <c r="G20" s="567">
        <f t="shared" si="3"/>
        <v>0</v>
      </c>
      <c r="H20" s="567">
        <f t="shared" si="3"/>
        <v>0</v>
      </c>
      <c r="I20" s="568">
        <f t="shared" si="3"/>
        <v>0</v>
      </c>
    </row>
    <row r="21" spans="1:9" ht="15" customHeight="1" thickBot="1">
      <c r="A21" s="2158" t="s">
        <v>4577</v>
      </c>
      <c r="B21" s="2159"/>
      <c r="C21" s="570">
        <f aca="true" t="shared" si="4" ref="C21:I21">C16+C20</f>
        <v>150</v>
      </c>
      <c r="D21" s="570">
        <f t="shared" si="4"/>
        <v>0</v>
      </c>
      <c r="E21" s="570">
        <f t="shared" si="4"/>
        <v>0</v>
      </c>
      <c r="F21" s="570">
        <f t="shared" si="4"/>
        <v>0</v>
      </c>
      <c r="G21" s="570">
        <f t="shared" si="4"/>
        <v>0</v>
      </c>
      <c r="H21" s="570">
        <f t="shared" si="4"/>
        <v>0</v>
      </c>
      <c r="I21" s="568">
        <f t="shared" si="4"/>
        <v>150</v>
      </c>
    </row>
    <row r="27" ht="15" customHeight="1">
      <c r="C27" s="214"/>
    </row>
  </sheetData>
  <sheetProtection/>
  <mergeCells count="13">
    <mergeCell ref="C5:C6"/>
    <mergeCell ref="D5:H5"/>
    <mergeCell ref="I5:I6"/>
    <mergeCell ref="A21:B21"/>
    <mergeCell ref="A8:I8"/>
    <mergeCell ref="A16:B16"/>
    <mergeCell ref="A17:I17"/>
    <mergeCell ref="A20:B20"/>
    <mergeCell ref="B1:D1"/>
    <mergeCell ref="A3:I3"/>
    <mergeCell ref="H4:I4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11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4.875" style="421" customWidth="1"/>
    <col min="2" max="4" width="9.125" style="421" customWidth="1"/>
    <col min="5" max="5" width="9.375" style="421" customWidth="1"/>
    <col min="6" max="7" width="9.125" style="421" customWidth="1"/>
    <col min="8" max="8" width="8.125" style="421" customWidth="1"/>
    <col min="9" max="11" width="9.125" style="421" customWidth="1"/>
    <col min="12" max="12" width="7.875" style="421" customWidth="1"/>
    <col min="13" max="13" width="7.625" style="925" customWidth="1"/>
    <col min="14" max="14" width="9.125" style="421" customWidth="1"/>
    <col min="15" max="15" width="10.875" style="421" bestFit="1" customWidth="1"/>
    <col min="16" max="16384" width="9.125" style="421" customWidth="1"/>
  </cols>
  <sheetData>
    <row r="1" spans="1:13" ht="11.25">
      <c r="A1" s="2103" t="s">
        <v>5293</v>
      </c>
      <c r="B1" s="2103"/>
      <c r="C1" s="2103"/>
      <c r="D1" s="2103"/>
      <c r="E1" s="2103"/>
      <c r="F1" s="2103"/>
      <c r="G1" s="2103"/>
      <c r="H1" s="2103"/>
      <c r="I1" s="2103"/>
      <c r="J1" s="2103"/>
      <c r="K1" s="2103"/>
      <c r="L1" s="2103"/>
      <c r="M1" s="2103"/>
    </row>
    <row r="2" spans="1:13" ht="11.25">
      <c r="A2" s="2103" t="s">
        <v>623</v>
      </c>
      <c r="B2" s="2103"/>
      <c r="C2" s="2103"/>
      <c r="D2" s="2103"/>
      <c r="E2" s="2103"/>
      <c r="F2" s="2103"/>
      <c r="G2" s="2103"/>
      <c r="H2" s="2103"/>
      <c r="I2" s="2103"/>
      <c r="J2" s="2103"/>
      <c r="K2" s="2103"/>
      <c r="L2" s="2103"/>
      <c r="M2" s="2103"/>
    </row>
    <row r="3" spans="1:5" ht="11.25">
      <c r="A3" s="879"/>
      <c r="B3" s="880"/>
      <c r="C3" s="880"/>
      <c r="D3" s="880"/>
      <c r="E3" s="880"/>
    </row>
    <row r="4" spans="1:17" ht="33" customHeight="1">
      <c r="A4" s="2194" t="s">
        <v>623</v>
      </c>
      <c r="B4" s="2194"/>
      <c r="C4" s="2194"/>
      <c r="D4" s="2194"/>
      <c r="E4" s="2194"/>
      <c r="F4" s="2195" t="s">
        <v>625</v>
      </c>
      <c r="G4" s="2195"/>
      <c r="H4" s="2195"/>
      <c r="I4" s="2195"/>
      <c r="J4" s="2196"/>
      <c r="K4" s="2196"/>
      <c r="L4" s="2196"/>
      <c r="M4" s="2196"/>
      <c r="N4"/>
      <c r="O4"/>
      <c r="P4"/>
      <c r="Q4"/>
    </row>
    <row r="5" spans="1:17" ht="13.5" customHeight="1" thickBot="1">
      <c r="A5" s="1686"/>
      <c r="B5" s="1686"/>
      <c r="C5" s="1686"/>
      <c r="D5" s="1686"/>
      <c r="E5" s="1686"/>
      <c r="F5" s="1684"/>
      <c r="G5" s="1684"/>
      <c r="H5" s="1684"/>
      <c r="I5" s="1684"/>
      <c r="J5" s="1685"/>
      <c r="K5" s="1685"/>
      <c r="L5" s="2185" t="s">
        <v>626</v>
      </c>
      <c r="M5" s="2185"/>
      <c r="N5"/>
      <c r="O5"/>
      <c r="P5"/>
      <c r="Q5"/>
    </row>
    <row r="6" spans="1:17" ht="19.5" customHeight="1" thickBot="1">
      <c r="A6" s="2188" t="s">
        <v>627</v>
      </c>
      <c r="B6" s="2191" t="s">
        <v>643</v>
      </c>
      <c r="C6" s="2191"/>
      <c r="D6" s="2191"/>
      <c r="E6" s="2191"/>
      <c r="F6" s="2191"/>
      <c r="G6" s="2191"/>
      <c r="H6" s="2191"/>
      <c r="I6" s="2191"/>
      <c r="J6" s="2138" t="s">
        <v>4220</v>
      </c>
      <c r="K6" s="2138"/>
      <c r="L6" s="2138"/>
      <c r="M6" s="2138"/>
      <c r="N6"/>
      <c r="O6"/>
      <c r="P6"/>
      <c r="Q6"/>
    </row>
    <row r="7" spans="1:17" ht="12.75" customHeight="1" thickBot="1">
      <c r="A7" s="2189"/>
      <c r="B7" s="2184" t="s">
        <v>644</v>
      </c>
      <c r="C7" s="2183" t="s">
        <v>1446</v>
      </c>
      <c r="D7" s="2193" t="s">
        <v>645</v>
      </c>
      <c r="E7" s="2193"/>
      <c r="F7" s="2193"/>
      <c r="G7" s="2193"/>
      <c r="H7" s="2193"/>
      <c r="I7" s="2193"/>
      <c r="J7" s="2192"/>
      <c r="K7" s="2192"/>
      <c r="L7" s="2192"/>
      <c r="M7" s="2192"/>
      <c r="N7"/>
      <c r="O7"/>
      <c r="P7"/>
      <c r="Q7"/>
    </row>
    <row r="8" spans="1:17" ht="24.75" customHeight="1" thickBot="1">
      <c r="A8" s="2189"/>
      <c r="B8" s="2184"/>
      <c r="C8" s="2183"/>
      <c r="D8" s="885" t="s">
        <v>644</v>
      </c>
      <c r="E8" s="885" t="s">
        <v>1446</v>
      </c>
      <c r="F8" s="885" t="s">
        <v>644</v>
      </c>
      <c r="G8" s="885" t="s">
        <v>1446</v>
      </c>
      <c r="H8" s="885" t="s">
        <v>644</v>
      </c>
      <c r="I8" s="885" t="s">
        <v>1446</v>
      </c>
      <c r="J8" s="2192"/>
      <c r="K8" s="2192"/>
      <c r="L8" s="2192"/>
      <c r="M8" s="2192"/>
      <c r="N8"/>
      <c r="O8"/>
      <c r="P8"/>
      <c r="Q8"/>
    </row>
    <row r="9" spans="1:17" ht="45.75" customHeight="1" thickBot="1">
      <c r="A9" s="2190"/>
      <c r="B9" s="2183" t="s">
        <v>646</v>
      </c>
      <c r="C9" s="2183"/>
      <c r="D9" s="2183" t="s">
        <v>647</v>
      </c>
      <c r="E9" s="2183"/>
      <c r="F9" s="2183" t="s">
        <v>648</v>
      </c>
      <c r="G9" s="2183"/>
      <c r="H9" s="2184" t="s">
        <v>649</v>
      </c>
      <c r="I9" s="2184"/>
      <c r="J9" s="884" t="s">
        <v>647</v>
      </c>
      <c r="K9" s="885" t="s">
        <v>648</v>
      </c>
      <c r="L9" s="884" t="s">
        <v>1499</v>
      </c>
      <c r="M9" s="926" t="s">
        <v>650</v>
      </c>
      <c r="N9"/>
      <c r="O9"/>
      <c r="P9"/>
      <c r="Q9"/>
    </row>
    <row r="10" spans="1:17" ht="21.75" thickBot="1">
      <c r="A10" s="886">
        <v>1</v>
      </c>
      <c r="B10" s="884">
        <v>2</v>
      </c>
      <c r="C10" s="884">
        <v>3</v>
      </c>
      <c r="D10" s="887">
        <v>4</v>
      </c>
      <c r="E10" s="885">
        <v>5</v>
      </c>
      <c r="F10" s="885">
        <v>6</v>
      </c>
      <c r="G10" s="885">
        <v>7</v>
      </c>
      <c r="H10" s="884">
        <v>8</v>
      </c>
      <c r="I10" s="887">
        <v>9</v>
      </c>
      <c r="J10" s="887">
        <v>10</v>
      </c>
      <c r="K10" s="887">
        <v>11</v>
      </c>
      <c r="L10" s="887" t="s">
        <v>651</v>
      </c>
      <c r="M10" s="927" t="s">
        <v>652</v>
      </c>
      <c r="N10"/>
      <c r="O10"/>
      <c r="P10"/>
      <c r="Q10"/>
    </row>
    <row r="11" spans="1:17" ht="12.75">
      <c r="A11" s="888" t="s">
        <v>628</v>
      </c>
      <c r="B11" s="889">
        <v>435669</v>
      </c>
      <c r="C11" s="890">
        <v>498105</v>
      </c>
      <c r="D11" s="890">
        <v>0</v>
      </c>
      <c r="E11" s="891">
        <v>0</v>
      </c>
      <c r="F11" s="890">
        <v>262438</v>
      </c>
      <c r="G11" s="890">
        <v>262438</v>
      </c>
      <c r="H11" s="890">
        <v>173231</v>
      </c>
      <c r="I11" s="890">
        <v>235667</v>
      </c>
      <c r="J11" s="890"/>
      <c r="K11" s="890"/>
      <c r="L11" s="892">
        <f aca="true" t="shared" si="0" ref="L11:L17">+J11+K11</f>
        <v>0</v>
      </c>
      <c r="M11" s="928">
        <f>IF((C11&lt;&gt;0),ROUND((L11/C11)*100,1),"")</f>
        <v>0</v>
      </c>
      <c r="N11"/>
      <c r="O11"/>
      <c r="P11"/>
      <c r="Q11"/>
    </row>
    <row r="12" spans="1:17" ht="12.75">
      <c r="A12" s="893" t="s">
        <v>629</v>
      </c>
      <c r="B12" s="894">
        <v>180352</v>
      </c>
      <c r="C12" s="895">
        <v>180352</v>
      </c>
      <c r="D12" s="895"/>
      <c r="E12" s="895"/>
      <c r="F12" s="895">
        <v>104425</v>
      </c>
      <c r="G12" s="895">
        <v>104425</v>
      </c>
      <c r="H12" s="895">
        <v>75927</v>
      </c>
      <c r="I12" s="895">
        <v>75924</v>
      </c>
      <c r="J12" s="895"/>
      <c r="K12" s="895"/>
      <c r="L12" s="896">
        <f t="shared" si="0"/>
        <v>0</v>
      </c>
      <c r="M12" s="929">
        <f aca="true" t="shared" si="1" ref="M12:M17">IF((C12&lt;&gt;0),ROUND((L12/C12)*100,1),"")</f>
        <v>0</v>
      </c>
      <c r="N12"/>
      <c r="O12"/>
      <c r="P12"/>
      <c r="Q12"/>
    </row>
    <row r="13" spans="1:17" ht="12.75">
      <c r="A13" s="897" t="s">
        <v>630</v>
      </c>
      <c r="B13" s="898">
        <v>2574683</v>
      </c>
      <c r="C13" s="899">
        <v>2858943</v>
      </c>
      <c r="D13" s="899">
        <v>0</v>
      </c>
      <c r="E13" s="899">
        <v>0</v>
      </c>
      <c r="F13" s="899">
        <v>1490758</v>
      </c>
      <c r="G13" s="899">
        <v>1490758</v>
      </c>
      <c r="H13" s="899">
        <v>1083925</v>
      </c>
      <c r="I13" s="899">
        <v>1368185</v>
      </c>
      <c r="J13" s="899">
        <v>2427</v>
      </c>
      <c r="K13" s="899">
        <v>1909</v>
      </c>
      <c r="L13" s="896">
        <f t="shared" si="0"/>
        <v>4336</v>
      </c>
      <c r="M13" s="929">
        <f t="shared" si="1"/>
        <v>0.2</v>
      </c>
      <c r="N13"/>
      <c r="O13"/>
      <c r="P13"/>
      <c r="Q13"/>
    </row>
    <row r="14" spans="1:17" ht="12.75">
      <c r="A14" s="897" t="s">
        <v>631</v>
      </c>
      <c r="B14" s="898"/>
      <c r="C14" s="899"/>
      <c r="D14" s="899"/>
      <c r="E14" s="899"/>
      <c r="F14" s="899"/>
      <c r="G14" s="899"/>
      <c r="H14" s="899"/>
      <c r="I14" s="899"/>
      <c r="J14" s="899"/>
      <c r="K14" s="899"/>
      <c r="L14" s="896">
        <f t="shared" si="0"/>
        <v>0</v>
      </c>
      <c r="M14" s="929">
        <f t="shared" si="1"/>
      </c>
      <c r="N14"/>
      <c r="O14"/>
      <c r="P14"/>
      <c r="Q14"/>
    </row>
    <row r="15" spans="1:17" ht="12.75">
      <c r="A15" s="897" t="s">
        <v>632</v>
      </c>
      <c r="B15" s="898"/>
      <c r="C15" s="899"/>
      <c r="D15" s="899"/>
      <c r="E15" s="899"/>
      <c r="F15" s="899"/>
      <c r="G15" s="899"/>
      <c r="H15" s="899"/>
      <c r="I15" s="899"/>
      <c r="J15" s="899"/>
      <c r="K15" s="899"/>
      <c r="L15" s="896">
        <f t="shared" si="0"/>
        <v>0</v>
      </c>
      <c r="M15" s="929">
        <f t="shared" si="1"/>
      </c>
      <c r="N15"/>
      <c r="O15"/>
      <c r="P15"/>
      <c r="Q15"/>
    </row>
    <row r="16" spans="1:17" ht="12.75">
      <c r="A16" s="897" t="s">
        <v>633</v>
      </c>
      <c r="B16" s="898">
        <v>129844</v>
      </c>
      <c r="C16" s="899">
        <v>129844</v>
      </c>
      <c r="D16" s="899">
        <v>0</v>
      </c>
      <c r="E16" s="899">
        <v>0</v>
      </c>
      <c r="F16" s="899">
        <v>65000</v>
      </c>
      <c r="G16" s="899">
        <v>65000</v>
      </c>
      <c r="H16" s="899">
        <v>64844</v>
      </c>
      <c r="I16" s="899">
        <v>64844</v>
      </c>
      <c r="J16" s="899"/>
      <c r="K16" s="899"/>
      <c r="L16" s="896">
        <f t="shared" si="0"/>
        <v>0</v>
      </c>
      <c r="M16" s="929">
        <f t="shared" si="1"/>
        <v>0</v>
      </c>
      <c r="N16"/>
      <c r="O16"/>
      <c r="P16"/>
      <c r="Q16"/>
    </row>
    <row r="17" spans="1:17" ht="13.5" thickBot="1">
      <c r="A17" s="900"/>
      <c r="B17" s="901"/>
      <c r="C17" s="902"/>
      <c r="D17" s="902"/>
      <c r="E17" s="902"/>
      <c r="F17" s="902"/>
      <c r="G17" s="902"/>
      <c r="H17" s="902"/>
      <c r="I17" s="902"/>
      <c r="J17" s="902"/>
      <c r="K17" s="902"/>
      <c r="L17" s="896">
        <f t="shared" si="0"/>
        <v>0</v>
      </c>
      <c r="M17" s="930">
        <f t="shared" si="1"/>
      </c>
      <c r="N17"/>
      <c r="O17"/>
      <c r="P17"/>
      <c r="Q17"/>
    </row>
    <row r="18" spans="1:17" ht="13.5" thickBot="1">
      <c r="A18" s="903" t="s">
        <v>634</v>
      </c>
      <c r="B18" s="904">
        <f>B11+SUM(B13:B17)</f>
        <v>3140196</v>
      </c>
      <c r="C18" s="904">
        <f aca="true" t="shared" si="2" ref="C18:L18">C11+SUM(C13:C17)</f>
        <v>3486892</v>
      </c>
      <c r="D18" s="904">
        <f t="shared" si="2"/>
        <v>0</v>
      </c>
      <c r="E18" s="904">
        <f t="shared" si="2"/>
        <v>0</v>
      </c>
      <c r="F18" s="904">
        <f t="shared" si="2"/>
        <v>1818196</v>
      </c>
      <c r="G18" s="904">
        <f t="shared" si="2"/>
        <v>1818196</v>
      </c>
      <c r="H18" s="904">
        <f t="shared" si="2"/>
        <v>1322000</v>
      </c>
      <c r="I18" s="904">
        <f t="shared" si="2"/>
        <v>1668696</v>
      </c>
      <c r="J18" s="904">
        <f t="shared" si="2"/>
        <v>2427</v>
      </c>
      <c r="K18" s="904">
        <f t="shared" si="2"/>
        <v>1909</v>
      </c>
      <c r="L18" s="904">
        <f t="shared" si="2"/>
        <v>4336</v>
      </c>
      <c r="M18" s="931">
        <f>IF((C18&lt;&gt;0),ROUND((L18/C18)*100,1),"")</f>
        <v>0.1</v>
      </c>
      <c r="N18"/>
      <c r="O18"/>
      <c r="P18"/>
      <c r="Q18"/>
    </row>
    <row r="19" spans="1:17" ht="12.75">
      <c r="A19" s="905"/>
      <c r="B19" s="906"/>
      <c r="C19" s="907"/>
      <c r="D19" s="907"/>
      <c r="E19" s="907"/>
      <c r="F19" s="907"/>
      <c r="G19" s="907"/>
      <c r="H19" s="907"/>
      <c r="I19" s="907"/>
      <c r="J19" s="907"/>
      <c r="K19" s="907"/>
      <c r="L19" s="907"/>
      <c r="M19" s="932"/>
      <c r="N19"/>
      <c r="O19"/>
      <c r="P19"/>
      <c r="Q19"/>
    </row>
    <row r="20" spans="1:17" ht="13.5" thickBot="1">
      <c r="A20" s="908" t="s">
        <v>635</v>
      </c>
      <c r="B20" s="909"/>
      <c r="C20" s="910"/>
      <c r="D20" s="910"/>
      <c r="E20" s="910"/>
      <c r="F20" s="910"/>
      <c r="G20" s="910"/>
      <c r="H20" s="910"/>
      <c r="I20" s="910"/>
      <c r="J20" s="910"/>
      <c r="K20" s="910"/>
      <c r="L20" s="910"/>
      <c r="M20" s="933"/>
      <c r="N20"/>
      <c r="O20"/>
      <c r="P20"/>
      <c r="Q20"/>
    </row>
    <row r="21" spans="1:17" ht="12.75">
      <c r="A21" s="913" t="s">
        <v>653</v>
      </c>
      <c r="B21" s="921"/>
      <c r="C21" s="916"/>
      <c r="D21" s="890"/>
      <c r="E21" s="891"/>
      <c r="F21" s="890">
        <v>0</v>
      </c>
      <c r="G21" s="890">
        <v>0</v>
      </c>
      <c r="H21" s="890">
        <v>0</v>
      </c>
      <c r="I21" s="890">
        <v>0</v>
      </c>
      <c r="J21" s="890"/>
      <c r="K21" s="890"/>
      <c r="L21" s="911">
        <f aca="true" t="shared" si="3" ref="L21:L26">+J21+K21</f>
        <v>0</v>
      </c>
      <c r="M21" s="928">
        <f>IF((C21&lt;&gt;0),ROUND((L21/C21)*100,1),"")</f>
      </c>
      <c r="N21"/>
      <c r="O21"/>
      <c r="P21"/>
      <c r="Q21"/>
    </row>
    <row r="22" spans="1:17" ht="12.75">
      <c r="A22" s="897" t="s">
        <v>636</v>
      </c>
      <c r="B22" s="922">
        <v>2932196</v>
      </c>
      <c r="C22" s="917">
        <v>3278892</v>
      </c>
      <c r="D22" s="899"/>
      <c r="E22" s="899"/>
      <c r="F22" s="899">
        <v>1742196</v>
      </c>
      <c r="G22" s="899">
        <v>1742196</v>
      </c>
      <c r="H22" s="899">
        <v>1190000</v>
      </c>
      <c r="I22" s="899">
        <v>1536636</v>
      </c>
      <c r="J22" s="899">
        <v>157</v>
      </c>
      <c r="K22" s="899">
        <v>1908</v>
      </c>
      <c r="L22" s="912">
        <f t="shared" si="3"/>
        <v>2065</v>
      </c>
      <c r="M22" s="929">
        <f>L22/C22*100</f>
        <v>0.06297859154860849</v>
      </c>
      <c r="N22"/>
      <c r="O22"/>
      <c r="P22"/>
      <c r="Q22"/>
    </row>
    <row r="23" spans="1:17" ht="12.75">
      <c r="A23" s="897" t="s">
        <v>637</v>
      </c>
      <c r="B23" s="922">
        <v>208000</v>
      </c>
      <c r="C23" s="917">
        <v>208000</v>
      </c>
      <c r="D23" s="899"/>
      <c r="E23" s="899"/>
      <c r="F23" s="899">
        <v>76000</v>
      </c>
      <c r="G23" s="899">
        <v>76000</v>
      </c>
      <c r="H23" s="899">
        <v>132000</v>
      </c>
      <c r="I23" s="899">
        <v>132000</v>
      </c>
      <c r="J23" s="899"/>
      <c r="K23" s="899">
        <v>30</v>
      </c>
      <c r="L23" s="912">
        <f t="shared" si="3"/>
        <v>30</v>
      </c>
      <c r="M23" s="929">
        <f>L23/C23*100</f>
        <v>0.014423076923076924</v>
      </c>
      <c r="N23"/>
      <c r="O23"/>
      <c r="P23"/>
      <c r="Q23"/>
    </row>
    <row r="24" spans="1:17" ht="12.75">
      <c r="A24" s="897" t="s">
        <v>638</v>
      </c>
      <c r="B24" s="922"/>
      <c r="C24" s="918"/>
      <c r="D24" s="899"/>
      <c r="E24" s="899"/>
      <c r="F24" s="899"/>
      <c r="G24" s="899"/>
      <c r="H24" s="899"/>
      <c r="I24" s="899"/>
      <c r="J24" s="899"/>
      <c r="K24" s="899"/>
      <c r="L24" s="912">
        <f t="shared" si="3"/>
        <v>0</v>
      </c>
      <c r="M24" s="929"/>
      <c r="N24"/>
      <c r="O24"/>
      <c r="P24"/>
      <c r="Q24"/>
    </row>
    <row r="25" spans="1:17" ht="12.75">
      <c r="A25" s="914"/>
      <c r="B25" s="922"/>
      <c r="C25" s="918"/>
      <c r="D25" s="899"/>
      <c r="E25" s="899"/>
      <c r="F25" s="899"/>
      <c r="G25" s="899"/>
      <c r="H25" s="899"/>
      <c r="I25" s="899"/>
      <c r="J25" s="899"/>
      <c r="K25" s="899"/>
      <c r="L25" s="912">
        <f t="shared" si="3"/>
        <v>0</v>
      </c>
      <c r="M25" s="929"/>
      <c r="N25"/>
      <c r="O25"/>
      <c r="P25"/>
      <c r="Q25"/>
    </row>
    <row r="26" spans="1:17" ht="13.5" thickBot="1">
      <c r="A26" s="900"/>
      <c r="B26" s="923"/>
      <c r="C26" s="919"/>
      <c r="D26" s="902"/>
      <c r="E26" s="902"/>
      <c r="F26" s="902"/>
      <c r="G26" s="902"/>
      <c r="H26" s="902"/>
      <c r="I26" s="902"/>
      <c r="J26" s="902"/>
      <c r="K26" s="902"/>
      <c r="L26" s="912">
        <f t="shared" si="3"/>
        <v>0</v>
      </c>
      <c r="M26" s="934"/>
      <c r="N26"/>
      <c r="O26"/>
      <c r="P26"/>
      <c r="Q26"/>
    </row>
    <row r="27" spans="1:17" ht="13.5" thickBot="1">
      <c r="A27" s="915" t="s">
        <v>654</v>
      </c>
      <c r="B27" s="924">
        <f>B22+B23</f>
        <v>3140196</v>
      </c>
      <c r="C27" s="920">
        <f>C22+C23</f>
        <v>3486892</v>
      </c>
      <c r="D27" s="904">
        <v>0</v>
      </c>
      <c r="E27" s="904">
        <v>0</v>
      </c>
      <c r="F27" s="904">
        <f aca="true" t="shared" si="4" ref="F27:L27">SUM(F21:F26)</f>
        <v>1818196</v>
      </c>
      <c r="G27" s="904">
        <f t="shared" si="4"/>
        <v>1818196</v>
      </c>
      <c r="H27" s="904">
        <f t="shared" si="4"/>
        <v>1322000</v>
      </c>
      <c r="I27" s="904">
        <f t="shared" si="4"/>
        <v>1668636</v>
      </c>
      <c r="J27" s="904">
        <f t="shared" si="4"/>
        <v>157</v>
      </c>
      <c r="K27" s="904">
        <f t="shared" si="4"/>
        <v>1938</v>
      </c>
      <c r="L27" s="904">
        <f t="shared" si="4"/>
        <v>2095</v>
      </c>
      <c r="M27" s="935">
        <f>L27/C27*100</f>
        <v>0.0600821591262362</v>
      </c>
      <c r="N27"/>
      <c r="O27"/>
      <c r="P27"/>
      <c r="Q27"/>
    </row>
    <row r="28" spans="1:17" ht="30" customHeight="1">
      <c r="A28" s="936"/>
      <c r="B28" s="937"/>
      <c r="C28" s="938"/>
      <c r="D28" s="938"/>
      <c r="E28" s="938"/>
      <c r="F28" s="938"/>
      <c r="G28" s="938"/>
      <c r="H28" s="938"/>
      <c r="I28" s="938"/>
      <c r="J28" s="938"/>
      <c r="K28" s="938"/>
      <c r="L28" s="938"/>
      <c r="M28" s="939"/>
      <c r="N28"/>
      <c r="O28"/>
      <c r="P28"/>
      <c r="Q28"/>
    </row>
    <row r="29" spans="1:17" ht="24.75" customHeight="1">
      <c r="A29" s="1899" t="s">
        <v>624</v>
      </c>
      <c r="B29"/>
      <c r="C29"/>
      <c r="D29" s="2182" t="s">
        <v>640</v>
      </c>
      <c r="E29" s="2182"/>
      <c r="F29" s="2182"/>
      <c r="G29" s="2182"/>
      <c r="H29" s="2182"/>
      <c r="I29"/>
      <c r="J29"/>
      <c r="K29"/>
      <c r="L29"/>
      <c r="M29"/>
      <c r="N29"/>
      <c r="O29"/>
      <c r="P29"/>
      <c r="Q29"/>
    </row>
    <row r="30" spans="1:17" ht="17.25" customHeight="1" thickBot="1">
      <c r="A30" s="1900"/>
      <c r="B30" s="1900"/>
      <c r="C30" s="1900"/>
      <c r="D30" s="2186" t="s">
        <v>626</v>
      </c>
      <c r="E30" s="2186"/>
      <c r="F30" s="2186"/>
      <c r="G30" s="2186"/>
      <c r="H30" s="2186"/>
      <c r="I30" s="2186"/>
      <c r="J30" s="2186"/>
      <c r="K30" s="2186"/>
      <c r="L30" s="2186"/>
      <c r="M30" s="2186"/>
      <c r="N30"/>
      <c r="O30"/>
      <c r="P30"/>
      <c r="Q30"/>
    </row>
    <row r="31" spans="1:17" ht="13.5" customHeight="1" thickBot="1">
      <c r="A31" s="2188" t="s">
        <v>627</v>
      </c>
      <c r="B31" s="2191" t="s">
        <v>643</v>
      </c>
      <c r="C31" s="2191"/>
      <c r="D31" s="2191"/>
      <c r="E31" s="2191"/>
      <c r="F31" s="2191"/>
      <c r="G31" s="2191"/>
      <c r="H31" s="2191"/>
      <c r="I31" s="2191"/>
      <c r="J31" s="2138" t="s">
        <v>4220</v>
      </c>
      <c r="K31" s="2138"/>
      <c r="L31" s="2138"/>
      <c r="M31" s="2138"/>
      <c r="N31"/>
      <c r="O31"/>
      <c r="P31"/>
      <c r="Q31"/>
    </row>
    <row r="32" spans="1:17" ht="30" customHeight="1" thickBot="1">
      <c r="A32" s="2189"/>
      <c r="B32" s="2184" t="s">
        <v>644</v>
      </c>
      <c r="C32" s="2183" t="s">
        <v>1446</v>
      </c>
      <c r="D32" s="2193" t="s">
        <v>645</v>
      </c>
      <c r="E32" s="2193"/>
      <c r="F32" s="2193"/>
      <c r="G32" s="2193"/>
      <c r="H32" s="2193"/>
      <c r="I32" s="2193"/>
      <c r="J32" s="2192"/>
      <c r="K32" s="2192"/>
      <c r="L32" s="2192"/>
      <c r="M32" s="2192"/>
      <c r="N32"/>
      <c r="O32"/>
      <c r="P32"/>
      <c r="Q32"/>
    </row>
    <row r="33" spans="1:17" ht="12.75" customHeight="1" thickBot="1">
      <c r="A33" s="2189"/>
      <c r="B33" s="2184"/>
      <c r="C33" s="2183"/>
      <c r="D33" s="885" t="s">
        <v>644</v>
      </c>
      <c r="E33" s="885" t="s">
        <v>1446</v>
      </c>
      <c r="F33" s="885" t="s">
        <v>644</v>
      </c>
      <c r="G33" s="885" t="s">
        <v>1446</v>
      </c>
      <c r="H33" s="885" t="s">
        <v>644</v>
      </c>
      <c r="I33" s="885" t="s">
        <v>1446</v>
      </c>
      <c r="J33" s="2192"/>
      <c r="K33" s="2192"/>
      <c r="L33" s="2192"/>
      <c r="M33" s="2192"/>
      <c r="N33"/>
      <c r="O33"/>
      <c r="P33"/>
      <c r="Q33"/>
    </row>
    <row r="34" spans="1:17" ht="42.75" customHeight="1" thickBot="1">
      <c r="A34" s="2190"/>
      <c r="B34" s="2183" t="s">
        <v>646</v>
      </c>
      <c r="C34" s="2183"/>
      <c r="D34" s="2183" t="s">
        <v>647</v>
      </c>
      <c r="E34" s="2183"/>
      <c r="F34" s="2183" t="s">
        <v>648</v>
      </c>
      <c r="G34" s="2183"/>
      <c r="H34" s="2184" t="s">
        <v>649</v>
      </c>
      <c r="I34" s="2184"/>
      <c r="J34" s="884" t="s">
        <v>647</v>
      </c>
      <c r="K34" s="885" t="s">
        <v>648</v>
      </c>
      <c r="L34" s="884" t="s">
        <v>1499</v>
      </c>
      <c r="M34" s="926" t="s">
        <v>650</v>
      </c>
      <c r="N34"/>
      <c r="O34"/>
      <c r="P34"/>
      <c r="Q34"/>
    </row>
    <row r="35" spans="1:17" ht="52.5" customHeight="1" thickBot="1">
      <c r="A35" s="886">
        <v>1</v>
      </c>
      <c r="B35" s="884">
        <v>2</v>
      </c>
      <c r="C35" s="884">
        <v>3</v>
      </c>
      <c r="D35" s="887">
        <v>4</v>
      </c>
      <c r="E35" s="885">
        <v>5</v>
      </c>
      <c r="F35" s="885">
        <v>6</v>
      </c>
      <c r="G35" s="885">
        <v>7</v>
      </c>
      <c r="H35" s="884">
        <v>8</v>
      </c>
      <c r="I35" s="887">
        <v>9</v>
      </c>
      <c r="J35" s="887">
        <v>10</v>
      </c>
      <c r="K35" s="887">
        <v>11</v>
      </c>
      <c r="L35" s="887" t="s">
        <v>651</v>
      </c>
      <c r="M35" s="927" t="s">
        <v>652</v>
      </c>
      <c r="N35"/>
      <c r="O35"/>
      <c r="P35"/>
      <c r="Q35"/>
    </row>
    <row r="36" spans="1:17" ht="12.75">
      <c r="A36" s="888" t="s">
        <v>628</v>
      </c>
      <c r="B36" s="889"/>
      <c r="C36" s="890"/>
      <c r="D36" s="890"/>
      <c r="E36" s="891"/>
      <c r="F36" s="890"/>
      <c r="G36" s="890"/>
      <c r="H36" s="890"/>
      <c r="I36" s="890"/>
      <c r="J36" s="890"/>
      <c r="K36" s="890"/>
      <c r="L36" s="892">
        <f aca="true" t="shared" si="5" ref="L36:L42">+J36+K36</f>
        <v>0</v>
      </c>
      <c r="M36" s="928">
        <f>IF((C36&lt;&gt;0),ROUND((L36/C36)*100,1),"")</f>
      </c>
      <c r="N36"/>
      <c r="O36"/>
      <c r="P36"/>
      <c r="Q36"/>
    </row>
    <row r="37" spans="1:17" ht="12.75">
      <c r="A37" s="893" t="s">
        <v>629</v>
      </c>
      <c r="B37" s="894"/>
      <c r="C37" s="895"/>
      <c r="D37" s="895"/>
      <c r="E37" s="895"/>
      <c r="F37" s="895"/>
      <c r="G37" s="895"/>
      <c r="H37" s="895"/>
      <c r="I37" s="895"/>
      <c r="J37" s="895"/>
      <c r="K37" s="895"/>
      <c r="L37" s="896">
        <f t="shared" si="5"/>
        <v>0</v>
      </c>
      <c r="M37" s="929">
        <f aca="true" t="shared" si="6" ref="M37:M42">IF((C37&lt;&gt;0),ROUND((L37/C37)*100,1),"")</f>
      </c>
      <c r="N37"/>
      <c r="O37"/>
      <c r="P37"/>
      <c r="Q37"/>
    </row>
    <row r="38" spans="1:17" ht="12.75">
      <c r="A38" s="897" t="s">
        <v>630</v>
      </c>
      <c r="B38" s="898">
        <v>18821</v>
      </c>
      <c r="C38" s="899">
        <v>18821</v>
      </c>
      <c r="D38" s="899">
        <v>0</v>
      </c>
      <c r="E38" s="899">
        <v>0</v>
      </c>
      <c r="F38" s="899">
        <v>4393</v>
      </c>
      <c r="G38" s="899">
        <v>4393</v>
      </c>
      <c r="H38" s="899">
        <v>11883</v>
      </c>
      <c r="I38" s="899">
        <v>11883</v>
      </c>
      <c r="J38" s="899">
        <v>0</v>
      </c>
      <c r="K38" s="899">
        <v>3999</v>
      </c>
      <c r="L38" s="896">
        <f>+J38+K38</f>
        <v>3999</v>
      </c>
      <c r="M38" s="929">
        <f t="shared" si="6"/>
        <v>21.2</v>
      </c>
      <c r="N38"/>
      <c r="O38"/>
      <c r="P38"/>
      <c r="Q38"/>
    </row>
    <row r="39" spans="1:17" ht="12.75">
      <c r="A39" s="897" t="s">
        <v>631</v>
      </c>
      <c r="B39" s="898"/>
      <c r="C39" s="899"/>
      <c r="D39" s="899"/>
      <c r="E39" s="899"/>
      <c r="F39" s="899"/>
      <c r="G39" s="899"/>
      <c r="H39" s="899"/>
      <c r="I39" s="899"/>
      <c r="J39" s="899"/>
      <c r="K39" s="899"/>
      <c r="L39" s="896">
        <f t="shared" si="5"/>
        <v>0</v>
      </c>
      <c r="M39" s="929">
        <f t="shared" si="6"/>
      </c>
      <c r="N39"/>
      <c r="O39"/>
      <c r="P39"/>
      <c r="Q39"/>
    </row>
    <row r="40" spans="1:17" ht="12.75">
      <c r="A40" s="897" t="s">
        <v>632</v>
      </c>
      <c r="B40" s="898"/>
      <c r="C40" s="899"/>
      <c r="D40" s="899"/>
      <c r="E40" s="899"/>
      <c r="F40" s="899"/>
      <c r="G40" s="899"/>
      <c r="H40" s="899"/>
      <c r="I40" s="899"/>
      <c r="J40" s="899"/>
      <c r="K40" s="899"/>
      <c r="L40" s="896">
        <f t="shared" si="5"/>
        <v>0</v>
      </c>
      <c r="M40" s="929">
        <f t="shared" si="6"/>
      </c>
      <c r="N40"/>
      <c r="O40"/>
      <c r="P40"/>
      <c r="Q40"/>
    </row>
    <row r="41" spans="1:17" ht="12.75">
      <c r="A41" s="897" t="s">
        <v>633</v>
      </c>
      <c r="B41" s="898"/>
      <c r="C41" s="899"/>
      <c r="D41" s="899"/>
      <c r="E41" s="899"/>
      <c r="F41" s="899"/>
      <c r="G41" s="899"/>
      <c r="H41" s="899"/>
      <c r="I41" s="899"/>
      <c r="J41" s="899"/>
      <c r="K41" s="899"/>
      <c r="L41" s="896">
        <f t="shared" si="5"/>
        <v>0</v>
      </c>
      <c r="M41" s="929">
        <f t="shared" si="6"/>
      </c>
      <c r="N41"/>
      <c r="O41"/>
      <c r="P41"/>
      <c r="Q41"/>
    </row>
    <row r="42" spans="1:17" ht="13.5" thickBot="1">
      <c r="A42" s="900"/>
      <c r="B42" s="901"/>
      <c r="C42" s="902"/>
      <c r="D42" s="902"/>
      <c r="E42" s="902"/>
      <c r="F42" s="902"/>
      <c r="G42" s="902"/>
      <c r="H42" s="902"/>
      <c r="I42" s="902"/>
      <c r="J42" s="902"/>
      <c r="K42" s="902"/>
      <c r="L42" s="896">
        <f t="shared" si="5"/>
        <v>0</v>
      </c>
      <c r="M42" s="930">
        <f t="shared" si="6"/>
      </c>
      <c r="N42"/>
      <c r="O42"/>
      <c r="P42"/>
      <c r="Q42"/>
    </row>
    <row r="43" spans="1:17" ht="13.5" thickBot="1">
      <c r="A43" s="903" t="s">
        <v>634</v>
      </c>
      <c r="B43" s="904">
        <f aca="true" t="shared" si="7" ref="B43:L43">B36+SUM(B38:B42)</f>
        <v>18821</v>
      </c>
      <c r="C43" s="904">
        <f t="shared" si="7"/>
        <v>18821</v>
      </c>
      <c r="D43" s="904">
        <f t="shared" si="7"/>
        <v>0</v>
      </c>
      <c r="E43" s="904">
        <f t="shared" si="7"/>
        <v>0</v>
      </c>
      <c r="F43" s="904">
        <f t="shared" si="7"/>
        <v>4393</v>
      </c>
      <c r="G43" s="904">
        <f t="shared" si="7"/>
        <v>4393</v>
      </c>
      <c r="H43" s="904">
        <f t="shared" si="7"/>
        <v>11883</v>
      </c>
      <c r="I43" s="904">
        <f t="shared" si="7"/>
        <v>11883</v>
      </c>
      <c r="J43" s="904">
        <f t="shared" si="7"/>
        <v>0</v>
      </c>
      <c r="K43" s="904">
        <f t="shared" si="7"/>
        <v>3999</v>
      </c>
      <c r="L43" s="904">
        <f t="shared" si="7"/>
        <v>3999</v>
      </c>
      <c r="M43" s="931">
        <f>IF((C43&lt;&gt;0),ROUND((L43/C43)*100,1),"")</f>
        <v>21.2</v>
      </c>
      <c r="N43"/>
      <c r="O43"/>
      <c r="P43"/>
      <c r="Q43"/>
    </row>
    <row r="44" spans="1:17" ht="12.75">
      <c r="A44" s="905"/>
      <c r="B44" s="906"/>
      <c r="C44" s="907"/>
      <c r="D44" s="907"/>
      <c r="E44" s="907"/>
      <c r="F44" s="907"/>
      <c r="G44" s="907"/>
      <c r="H44" s="907"/>
      <c r="I44" s="907"/>
      <c r="J44" s="907"/>
      <c r="K44" s="907"/>
      <c r="L44" s="907"/>
      <c r="M44" s="932"/>
      <c r="N44"/>
      <c r="O44"/>
      <c r="P44"/>
      <c r="Q44"/>
    </row>
    <row r="45" spans="1:17" ht="13.5" thickBot="1">
      <c r="A45" s="908" t="s">
        <v>635</v>
      </c>
      <c r="B45" s="909"/>
      <c r="C45" s="910"/>
      <c r="D45" s="910"/>
      <c r="E45" s="910"/>
      <c r="F45" s="910"/>
      <c r="G45" s="910"/>
      <c r="H45" s="910"/>
      <c r="I45" s="910"/>
      <c r="J45" s="910"/>
      <c r="K45" s="910"/>
      <c r="L45" s="910"/>
      <c r="M45" s="933"/>
      <c r="N45"/>
      <c r="O45"/>
      <c r="P45"/>
      <c r="Q45"/>
    </row>
    <row r="46" spans="1:17" ht="13.5" thickBot="1">
      <c r="A46" s="913" t="s">
        <v>653</v>
      </c>
      <c r="B46" s="921">
        <v>17449</v>
      </c>
      <c r="C46" s="916">
        <v>17449</v>
      </c>
      <c r="D46" s="890">
        <v>0</v>
      </c>
      <c r="E46" s="891">
        <v>0</v>
      </c>
      <c r="F46" s="890">
        <v>4033</v>
      </c>
      <c r="G46" s="890">
        <v>4033</v>
      </c>
      <c r="H46" s="890">
        <v>10871</v>
      </c>
      <c r="I46" s="890">
        <v>10871</v>
      </c>
      <c r="J46" s="890">
        <v>0</v>
      </c>
      <c r="K46" s="890">
        <v>3715</v>
      </c>
      <c r="L46" s="911">
        <f>+J46+K46</f>
        <v>3715</v>
      </c>
      <c r="M46" s="928">
        <f>IF((C46&lt;&gt;0),ROUND((L46/C46)*100,1),"")</f>
        <v>21.3</v>
      </c>
      <c r="N46"/>
      <c r="O46"/>
      <c r="P46"/>
      <c r="Q46"/>
    </row>
    <row r="47" spans="1:17" ht="13.5" thickBot="1">
      <c r="A47" s="897" t="s">
        <v>636</v>
      </c>
      <c r="B47" s="922"/>
      <c r="C47" s="917"/>
      <c r="D47" s="899"/>
      <c r="E47" s="899"/>
      <c r="F47" s="899"/>
      <c r="G47" s="899"/>
      <c r="H47" s="899"/>
      <c r="I47" s="899"/>
      <c r="J47" s="899"/>
      <c r="K47" s="899"/>
      <c r="L47" s="912"/>
      <c r="M47" s="928">
        <f>IF((C47&lt;&gt;0),ROUND((L47/C47)*100,1),"")</f>
      </c>
      <c r="N47"/>
      <c r="O47"/>
      <c r="P47"/>
      <c r="Q47"/>
    </row>
    <row r="48" spans="1:17" ht="13.5" thickBot="1">
      <c r="A48" s="897" t="s">
        <v>637</v>
      </c>
      <c r="B48" s="922">
        <v>500</v>
      </c>
      <c r="C48" s="917">
        <v>500</v>
      </c>
      <c r="D48" s="899">
        <v>0</v>
      </c>
      <c r="E48" s="899">
        <v>0</v>
      </c>
      <c r="F48" s="899">
        <v>0</v>
      </c>
      <c r="G48" s="899">
        <v>0</v>
      </c>
      <c r="H48" s="899">
        <v>500</v>
      </c>
      <c r="I48" s="899">
        <v>500</v>
      </c>
      <c r="J48" s="899">
        <v>0</v>
      </c>
      <c r="K48" s="899">
        <v>0</v>
      </c>
      <c r="L48" s="912">
        <v>0</v>
      </c>
      <c r="M48" s="928">
        <f>IF((C48&lt;&gt;0),ROUND((L48/C48)*100,1),"")</f>
        <v>0</v>
      </c>
      <c r="N48"/>
      <c r="O48"/>
      <c r="P48"/>
      <c r="Q48"/>
    </row>
    <row r="49" spans="1:17" ht="12.75">
      <c r="A49" s="897" t="s">
        <v>638</v>
      </c>
      <c r="B49" s="922">
        <v>872</v>
      </c>
      <c r="C49" s="918">
        <v>872</v>
      </c>
      <c r="D49" s="899">
        <v>0</v>
      </c>
      <c r="E49" s="899">
        <v>0</v>
      </c>
      <c r="F49" s="899">
        <v>360</v>
      </c>
      <c r="G49" s="899">
        <v>360</v>
      </c>
      <c r="H49" s="899">
        <v>512</v>
      </c>
      <c r="I49" s="899">
        <v>512</v>
      </c>
      <c r="J49" s="899">
        <v>0</v>
      </c>
      <c r="K49" s="899">
        <v>284</v>
      </c>
      <c r="L49" s="912">
        <v>284</v>
      </c>
      <c r="M49" s="928">
        <f>IF((C49&lt;&gt;0),ROUND((L49/C49)*100,1),"")</f>
        <v>32.6</v>
      </c>
      <c r="N49"/>
      <c r="O49"/>
      <c r="P49"/>
      <c r="Q49"/>
    </row>
    <row r="50" spans="1:17" ht="12.75">
      <c r="A50" s="914"/>
      <c r="B50" s="922"/>
      <c r="C50" s="918"/>
      <c r="D50" s="899"/>
      <c r="E50" s="899"/>
      <c r="F50" s="899"/>
      <c r="G50" s="899"/>
      <c r="H50" s="899"/>
      <c r="I50" s="899"/>
      <c r="J50" s="899"/>
      <c r="K50" s="899"/>
      <c r="L50" s="912"/>
      <c r="M50" s="929"/>
      <c r="N50"/>
      <c r="O50"/>
      <c r="P50"/>
      <c r="Q50"/>
    </row>
    <row r="51" spans="1:17" ht="13.5" thickBot="1">
      <c r="A51" s="900"/>
      <c r="B51" s="923"/>
      <c r="C51" s="919"/>
      <c r="D51" s="902"/>
      <c r="E51" s="902"/>
      <c r="F51" s="902"/>
      <c r="G51" s="902"/>
      <c r="H51" s="902"/>
      <c r="I51" s="902"/>
      <c r="J51" s="902"/>
      <c r="K51" s="902"/>
      <c r="L51" s="912">
        <f>+J51+K51</f>
        <v>0</v>
      </c>
      <c r="M51" s="934"/>
      <c r="N51"/>
      <c r="O51"/>
      <c r="P51"/>
      <c r="Q51"/>
    </row>
    <row r="52" spans="1:17" ht="13.5" thickBot="1">
      <c r="A52" s="915" t="s">
        <v>654</v>
      </c>
      <c r="B52" s="924">
        <f>B47+B48</f>
        <v>500</v>
      </c>
      <c r="C52" s="920">
        <f>C47+C48</f>
        <v>500</v>
      </c>
      <c r="D52" s="904">
        <f aca="true" t="shared" si="8" ref="D52:L52">SUM(D46:D51)</f>
        <v>0</v>
      </c>
      <c r="E52" s="904">
        <f t="shared" si="8"/>
        <v>0</v>
      </c>
      <c r="F52" s="904">
        <f t="shared" si="8"/>
        <v>4393</v>
      </c>
      <c r="G52" s="904">
        <f t="shared" si="8"/>
        <v>4393</v>
      </c>
      <c r="H52" s="904">
        <f t="shared" si="8"/>
        <v>11883</v>
      </c>
      <c r="I52" s="904">
        <f t="shared" si="8"/>
        <v>11883</v>
      </c>
      <c r="J52" s="904">
        <f t="shared" si="8"/>
        <v>0</v>
      </c>
      <c r="K52" s="904">
        <f t="shared" si="8"/>
        <v>3999</v>
      </c>
      <c r="L52" s="904">
        <f t="shared" si="8"/>
        <v>3999</v>
      </c>
      <c r="M52" s="935"/>
      <c r="N52"/>
      <c r="O52"/>
      <c r="P52"/>
      <c r="Q52"/>
    </row>
    <row r="53" spans="1:17" ht="44.25" customHeight="1">
      <c r="A53" s="1511"/>
      <c r="B53" s="1514"/>
      <c r="C53" s="1512"/>
      <c r="D53" s="1512"/>
      <c r="E53" s="1512"/>
      <c r="F53" s="1512"/>
      <c r="G53" s="1512"/>
      <c r="H53" s="1512"/>
      <c r="I53" s="1512"/>
      <c r="J53" s="1512"/>
      <c r="K53" s="1512"/>
      <c r="L53" s="1512"/>
      <c r="M53" s="1513"/>
      <c r="N53"/>
      <c r="O53"/>
      <c r="P53"/>
      <c r="Q53"/>
    </row>
    <row r="54" spans="1:17" ht="12.75">
      <c r="A54" s="881" t="s">
        <v>624</v>
      </c>
      <c r="B54"/>
      <c r="C54"/>
      <c r="D54"/>
      <c r="E54"/>
      <c r="F54" s="2187" t="s">
        <v>639</v>
      </c>
      <c r="G54" s="2187"/>
      <c r="H54" s="2187"/>
      <c r="I54" s="2187"/>
      <c r="J54" s="2187"/>
      <c r="K54" s="2187"/>
      <c r="L54" s="2187"/>
      <c r="M54" s="2187"/>
      <c r="N54" s="2187"/>
      <c r="O54" s="2187"/>
      <c r="P54" s="2187"/>
      <c r="Q54" s="2187"/>
    </row>
    <row r="55" spans="1:17" ht="11.25" customHeight="1" thickBot="1">
      <c r="A55" s="1901"/>
      <c r="B55" s="1901"/>
      <c r="C55" s="1901"/>
      <c r="D55" s="2186" t="s">
        <v>626</v>
      </c>
      <c r="E55" s="2186"/>
      <c r="F55" s="2186"/>
      <c r="G55" s="2186"/>
      <c r="H55" s="2186"/>
      <c r="I55" s="2186"/>
      <c r="J55" s="2186"/>
      <c r="K55" s="2186"/>
      <c r="L55" s="2186"/>
      <c r="M55" s="2186"/>
      <c r="N55"/>
      <c r="O55"/>
      <c r="P55"/>
      <c r="Q55"/>
    </row>
    <row r="56" spans="1:17" ht="13.5" customHeight="1" thickBot="1">
      <c r="A56" s="2188" t="s">
        <v>627</v>
      </c>
      <c r="B56" s="2191" t="s">
        <v>643</v>
      </c>
      <c r="C56" s="2191"/>
      <c r="D56" s="2191"/>
      <c r="E56" s="2191"/>
      <c r="F56" s="2191"/>
      <c r="G56" s="2191"/>
      <c r="H56" s="2191"/>
      <c r="I56" s="2191"/>
      <c r="J56" s="2138" t="s">
        <v>4220</v>
      </c>
      <c r="K56" s="2138"/>
      <c r="L56" s="2138"/>
      <c r="M56" s="2138"/>
      <c r="N56"/>
      <c r="O56"/>
      <c r="P56"/>
      <c r="Q56"/>
    </row>
    <row r="57" spans="1:17" ht="12.75" customHeight="1" thickBot="1">
      <c r="A57" s="2189"/>
      <c r="B57" s="2184" t="s">
        <v>644</v>
      </c>
      <c r="C57" s="2183" t="s">
        <v>1446</v>
      </c>
      <c r="D57" s="2193" t="s">
        <v>645</v>
      </c>
      <c r="E57" s="2193"/>
      <c r="F57" s="2193"/>
      <c r="G57" s="2193"/>
      <c r="H57" s="2193"/>
      <c r="I57" s="2193"/>
      <c r="J57" s="2192"/>
      <c r="K57" s="2192"/>
      <c r="L57" s="2192"/>
      <c r="M57" s="2192"/>
      <c r="N57"/>
      <c r="O57"/>
      <c r="P57"/>
      <c r="Q57"/>
    </row>
    <row r="58" spans="1:17" ht="12.75" customHeight="1" thickBot="1">
      <c r="A58" s="2189"/>
      <c r="B58" s="2184"/>
      <c r="C58" s="2183"/>
      <c r="D58" s="885" t="s">
        <v>644</v>
      </c>
      <c r="E58" s="885" t="s">
        <v>1446</v>
      </c>
      <c r="F58" s="885" t="s">
        <v>644</v>
      </c>
      <c r="G58" s="885" t="s">
        <v>1446</v>
      </c>
      <c r="H58" s="885" t="s">
        <v>644</v>
      </c>
      <c r="I58" s="885" t="s">
        <v>1446</v>
      </c>
      <c r="J58" s="2192"/>
      <c r="K58" s="2192"/>
      <c r="L58" s="2192"/>
      <c r="M58" s="2192"/>
      <c r="N58"/>
      <c r="O58"/>
      <c r="P58"/>
      <c r="Q58"/>
    </row>
    <row r="59" spans="1:17" ht="47.25" customHeight="1" thickBot="1">
      <c r="A59" s="2190"/>
      <c r="B59" s="2183" t="s">
        <v>646</v>
      </c>
      <c r="C59" s="2183"/>
      <c r="D59" s="2183" t="s">
        <v>647</v>
      </c>
      <c r="E59" s="2183"/>
      <c r="F59" s="2183" t="s">
        <v>648</v>
      </c>
      <c r="G59" s="2183"/>
      <c r="H59" s="2184" t="s">
        <v>649</v>
      </c>
      <c r="I59" s="2184"/>
      <c r="J59" s="884" t="s">
        <v>647</v>
      </c>
      <c r="K59" s="885" t="s">
        <v>648</v>
      </c>
      <c r="L59" s="884" t="s">
        <v>1499</v>
      </c>
      <c r="M59" s="926" t="s">
        <v>650</v>
      </c>
      <c r="N59"/>
      <c r="O59"/>
      <c r="P59"/>
      <c r="Q59"/>
    </row>
    <row r="60" spans="1:17" ht="78" customHeight="1" thickBot="1">
      <c r="A60" s="886">
        <v>1</v>
      </c>
      <c r="B60" s="884">
        <v>2</v>
      </c>
      <c r="C60" s="884">
        <v>3</v>
      </c>
      <c r="D60" s="887">
        <v>4</v>
      </c>
      <c r="E60" s="885">
        <v>5</v>
      </c>
      <c r="F60" s="885">
        <v>6</v>
      </c>
      <c r="G60" s="885">
        <v>7</v>
      </c>
      <c r="H60" s="884">
        <v>8</v>
      </c>
      <c r="I60" s="887">
        <v>9</v>
      </c>
      <c r="J60" s="887">
        <v>10</v>
      </c>
      <c r="K60" s="887">
        <v>11</v>
      </c>
      <c r="L60" s="887" t="s">
        <v>651</v>
      </c>
      <c r="M60" s="927" t="s">
        <v>652</v>
      </c>
      <c r="N60"/>
      <c r="O60"/>
      <c r="P60"/>
      <c r="Q60"/>
    </row>
    <row r="61" spans="1:17" ht="21.75" customHeight="1">
      <c r="A61" s="888" t="s">
        <v>628</v>
      </c>
      <c r="B61" s="889"/>
      <c r="C61" s="890"/>
      <c r="D61" s="890"/>
      <c r="E61" s="891"/>
      <c r="F61" s="890"/>
      <c r="G61" s="890"/>
      <c r="H61" s="890"/>
      <c r="I61" s="890"/>
      <c r="J61" s="890"/>
      <c r="K61" s="890"/>
      <c r="L61" s="892">
        <f aca="true" t="shared" si="9" ref="L61:L67">+J61+K61</f>
        <v>0</v>
      </c>
      <c r="M61" s="928">
        <f>IF((C61&lt;&gt;0),ROUND((L61/C61)*100,1),"")</f>
      </c>
      <c r="N61"/>
      <c r="O61"/>
      <c r="P61"/>
      <c r="Q61"/>
    </row>
    <row r="62" spans="1:17" ht="17.25" customHeight="1">
      <c r="A62" s="893" t="s">
        <v>629</v>
      </c>
      <c r="B62" s="894"/>
      <c r="C62" s="895"/>
      <c r="D62" s="895"/>
      <c r="E62" s="895"/>
      <c r="F62" s="895"/>
      <c r="G62" s="895"/>
      <c r="H62" s="895"/>
      <c r="I62" s="895"/>
      <c r="J62" s="895"/>
      <c r="K62" s="895"/>
      <c r="L62" s="896">
        <f t="shared" si="9"/>
        <v>0</v>
      </c>
      <c r="M62" s="929">
        <f aca="true" t="shared" si="10" ref="M62:M67">IF((C62&lt;&gt;0),ROUND((L62/C62)*100,1),"")</f>
      </c>
      <c r="N62"/>
      <c r="O62"/>
      <c r="P62"/>
      <c r="Q62"/>
    </row>
    <row r="63" spans="1:17" ht="12.75">
      <c r="A63" s="897" t="s">
        <v>630</v>
      </c>
      <c r="B63" s="898">
        <v>24881</v>
      </c>
      <c r="C63" s="899">
        <v>24881</v>
      </c>
      <c r="D63" s="899">
        <v>718</v>
      </c>
      <c r="E63" s="899">
        <v>718</v>
      </c>
      <c r="F63" s="899">
        <v>14589</v>
      </c>
      <c r="G63" s="899">
        <v>14589</v>
      </c>
      <c r="H63" s="899">
        <v>9574</v>
      </c>
      <c r="I63" s="899">
        <v>9574</v>
      </c>
      <c r="J63" s="899">
        <v>718</v>
      </c>
      <c r="K63" s="899">
        <v>11377</v>
      </c>
      <c r="L63" s="896">
        <f t="shared" si="9"/>
        <v>12095</v>
      </c>
      <c r="M63" s="929">
        <f t="shared" si="10"/>
        <v>48.6</v>
      </c>
      <c r="N63"/>
      <c r="O63"/>
      <c r="P63"/>
      <c r="Q63"/>
    </row>
    <row r="64" spans="1:17" ht="12.75">
      <c r="A64" s="897" t="s">
        <v>631</v>
      </c>
      <c r="B64" s="898"/>
      <c r="C64" s="899"/>
      <c r="D64" s="899"/>
      <c r="E64" s="899"/>
      <c r="F64" s="899"/>
      <c r="G64" s="899"/>
      <c r="H64" s="899"/>
      <c r="I64" s="899"/>
      <c r="J64" s="899"/>
      <c r="K64" s="899"/>
      <c r="L64" s="896">
        <f t="shared" si="9"/>
        <v>0</v>
      </c>
      <c r="M64" s="929">
        <f t="shared" si="10"/>
      </c>
      <c r="N64"/>
      <c r="O64"/>
      <c r="P64"/>
      <c r="Q64"/>
    </row>
    <row r="65" spans="1:17" ht="12.75">
      <c r="A65" s="897" t="s">
        <v>632</v>
      </c>
      <c r="B65" s="898"/>
      <c r="C65" s="899"/>
      <c r="D65" s="899"/>
      <c r="E65" s="899"/>
      <c r="F65" s="899"/>
      <c r="G65" s="899"/>
      <c r="H65" s="899"/>
      <c r="I65" s="899"/>
      <c r="J65" s="899"/>
      <c r="K65" s="899"/>
      <c r="L65" s="896">
        <f t="shared" si="9"/>
        <v>0</v>
      </c>
      <c r="M65" s="929">
        <f t="shared" si="10"/>
      </c>
      <c r="N65"/>
      <c r="O65"/>
      <c r="P65"/>
      <c r="Q65"/>
    </row>
    <row r="66" spans="1:17" ht="12.75">
      <c r="A66" s="897" t="s">
        <v>633</v>
      </c>
      <c r="B66" s="898"/>
      <c r="C66" s="899"/>
      <c r="D66" s="899"/>
      <c r="E66" s="899"/>
      <c r="F66" s="899"/>
      <c r="G66" s="899"/>
      <c r="H66" s="899"/>
      <c r="I66" s="899"/>
      <c r="J66" s="899"/>
      <c r="K66" s="899"/>
      <c r="L66" s="896">
        <f t="shared" si="9"/>
        <v>0</v>
      </c>
      <c r="M66" s="929">
        <f t="shared" si="10"/>
      </c>
      <c r="N66"/>
      <c r="O66"/>
      <c r="P66"/>
      <c r="Q66"/>
    </row>
    <row r="67" spans="1:17" ht="13.5" thickBot="1">
      <c r="A67" s="900"/>
      <c r="B67" s="901"/>
      <c r="C67" s="902"/>
      <c r="D67" s="902"/>
      <c r="E67" s="902"/>
      <c r="F67" s="902"/>
      <c r="G67" s="902"/>
      <c r="H67" s="902"/>
      <c r="I67" s="902"/>
      <c r="J67" s="902"/>
      <c r="K67" s="902"/>
      <c r="L67" s="896">
        <f t="shared" si="9"/>
        <v>0</v>
      </c>
      <c r="M67" s="930">
        <f t="shared" si="10"/>
      </c>
      <c r="N67"/>
      <c r="O67"/>
      <c r="P67"/>
      <c r="Q67"/>
    </row>
    <row r="68" spans="1:17" ht="13.5" thickBot="1">
      <c r="A68" s="903" t="s">
        <v>634</v>
      </c>
      <c r="B68" s="904">
        <f aca="true" t="shared" si="11" ref="B68:L68">B61+SUM(B63:B67)</f>
        <v>24881</v>
      </c>
      <c r="C68" s="904">
        <f t="shared" si="11"/>
        <v>24881</v>
      </c>
      <c r="D68" s="904">
        <f t="shared" si="11"/>
        <v>718</v>
      </c>
      <c r="E68" s="904">
        <f t="shared" si="11"/>
        <v>718</v>
      </c>
      <c r="F68" s="904">
        <f t="shared" si="11"/>
        <v>14589</v>
      </c>
      <c r="G68" s="904">
        <f t="shared" si="11"/>
        <v>14589</v>
      </c>
      <c r="H68" s="904">
        <f t="shared" si="11"/>
        <v>9574</v>
      </c>
      <c r="I68" s="904">
        <f t="shared" si="11"/>
        <v>9574</v>
      </c>
      <c r="J68" s="904">
        <f t="shared" si="11"/>
        <v>718</v>
      </c>
      <c r="K68" s="904">
        <f t="shared" si="11"/>
        <v>11377</v>
      </c>
      <c r="L68" s="904">
        <f t="shared" si="11"/>
        <v>12095</v>
      </c>
      <c r="M68" s="931">
        <f>IF((C68&lt;&gt;0),ROUND((L68/C68)*100,1),"")</f>
        <v>48.6</v>
      </c>
      <c r="N68"/>
      <c r="O68"/>
      <c r="P68"/>
      <c r="Q68"/>
    </row>
    <row r="69" spans="1:17" ht="12.75">
      <c r="A69" s="905"/>
      <c r="B69" s="906"/>
      <c r="C69" s="907"/>
      <c r="D69" s="907"/>
      <c r="E69" s="907"/>
      <c r="F69" s="907"/>
      <c r="G69" s="907"/>
      <c r="H69" s="907"/>
      <c r="I69" s="907"/>
      <c r="J69" s="907"/>
      <c r="K69" s="907"/>
      <c r="L69" s="907"/>
      <c r="M69" s="932"/>
      <c r="N69"/>
      <c r="O69"/>
      <c r="P69"/>
      <c r="Q69"/>
    </row>
    <row r="70" spans="1:17" ht="13.5" thickBot="1">
      <c r="A70" s="908" t="s">
        <v>635</v>
      </c>
      <c r="B70" s="909"/>
      <c r="C70" s="910"/>
      <c r="D70" s="910"/>
      <c r="E70" s="910"/>
      <c r="F70" s="910"/>
      <c r="G70" s="910"/>
      <c r="H70" s="910"/>
      <c r="I70" s="910"/>
      <c r="J70" s="910"/>
      <c r="K70" s="910"/>
      <c r="L70" s="910"/>
      <c r="M70" s="933"/>
      <c r="N70"/>
      <c r="O70"/>
      <c r="P70"/>
      <c r="Q70"/>
    </row>
    <row r="71" spans="1:17" ht="13.5" thickBot="1">
      <c r="A71" s="913" t="s">
        <v>653</v>
      </c>
      <c r="B71" s="921">
        <v>3909</v>
      </c>
      <c r="C71" s="916">
        <v>3909</v>
      </c>
      <c r="D71" s="890">
        <v>283</v>
      </c>
      <c r="E71" s="891">
        <v>283</v>
      </c>
      <c r="F71" s="890">
        <v>1813</v>
      </c>
      <c r="G71" s="890">
        <v>1813</v>
      </c>
      <c r="H71" s="890">
        <v>1813</v>
      </c>
      <c r="I71" s="890">
        <v>1813</v>
      </c>
      <c r="J71" s="890">
        <v>283</v>
      </c>
      <c r="K71" s="890">
        <v>2254</v>
      </c>
      <c r="L71" s="911">
        <f>+J71+K71</f>
        <v>2537</v>
      </c>
      <c r="M71" s="928">
        <f>IF((C71&lt;&gt;0),ROUND((L71/C71)*100,1),"")</f>
        <v>64.9</v>
      </c>
      <c r="N71"/>
      <c r="O71"/>
      <c r="P71"/>
      <c r="Q71"/>
    </row>
    <row r="72" spans="1:17" ht="13.5" thickBot="1">
      <c r="A72" s="897" t="s">
        <v>636</v>
      </c>
      <c r="B72" s="922">
        <v>135</v>
      </c>
      <c r="C72" s="917">
        <v>135</v>
      </c>
      <c r="D72" s="899">
        <v>135</v>
      </c>
      <c r="E72" s="899">
        <v>135</v>
      </c>
      <c r="F72" s="899">
        <v>0</v>
      </c>
      <c r="G72" s="899">
        <v>0</v>
      </c>
      <c r="H72" s="899">
        <v>0</v>
      </c>
      <c r="I72" s="899">
        <v>0</v>
      </c>
      <c r="J72" s="899">
        <v>135</v>
      </c>
      <c r="K72" s="899">
        <v>0</v>
      </c>
      <c r="L72" s="912">
        <f>SUM(J72:K72)</f>
        <v>135</v>
      </c>
      <c r="M72" s="928">
        <f>IF((C72&lt;&gt;0),ROUND((L72/C72)*100,1),"")</f>
        <v>100</v>
      </c>
      <c r="N72"/>
      <c r="O72"/>
      <c r="P72"/>
      <c r="Q72"/>
    </row>
    <row r="73" spans="1:17" ht="12.75">
      <c r="A73" s="897" t="s">
        <v>637</v>
      </c>
      <c r="B73" s="1897">
        <v>20837</v>
      </c>
      <c r="C73" s="917">
        <v>20837</v>
      </c>
      <c r="D73" s="899">
        <v>300</v>
      </c>
      <c r="E73" s="899">
        <v>300</v>
      </c>
      <c r="F73" s="899">
        <v>12776</v>
      </c>
      <c r="G73" s="899">
        <v>12776</v>
      </c>
      <c r="H73" s="899">
        <v>7761</v>
      </c>
      <c r="I73" s="899">
        <v>7761</v>
      </c>
      <c r="J73" s="899">
        <v>300</v>
      </c>
      <c r="K73" s="899">
        <v>9123</v>
      </c>
      <c r="L73" s="912">
        <f>SUM(J73:K73)</f>
        <v>9423</v>
      </c>
      <c r="M73" s="928">
        <f>IF((C73&lt;&gt;0),ROUND((L73/C73)*100,1),"")</f>
        <v>45.2</v>
      </c>
      <c r="N73"/>
      <c r="O73"/>
      <c r="P73"/>
      <c r="Q73"/>
    </row>
    <row r="74" spans="1:17" ht="12.75">
      <c r="A74" s="897" t="s">
        <v>638</v>
      </c>
      <c r="B74" s="922"/>
      <c r="C74" s="918"/>
      <c r="D74" s="899"/>
      <c r="E74" s="899"/>
      <c r="F74" s="899"/>
      <c r="G74" s="899"/>
      <c r="H74" s="899"/>
      <c r="I74" s="899"/>
      <c r="J74" s="899"/>
      <c r="K74" s="899"/>
      <c r="L74" s="912"/>
      <c r="M74" s="929"/>
      <c r="N74"/>
      <c r="O74"/>
      <c r="P74"/>
      <c r="Q74"/>
    </row>
    <row r="75" spans="1:17" ht="12.75">
      <c r="A75" s="914"/>
      <c r="B75" s="922"/>
      <c r="C75" s="918"/>
      <c r="D75" s="899"/>
      <c r="E75" s="899"/>
      <c r="F75" s="899"/>
      <c r="G75" s="899"/>
      <c r="H75" s="899"/>
      <c r="I75" s="899"/>
      <c r="J75" s="899"/>
      <c r="K75" s="899"/>
      <c r="L75" s="912"/>
      <c r="M75" s="929"/>
      <c r="N75"/>
      <c r="O75"/>
      <c r="P75"/>
      <c r="Q75"/>
    </row>
    <row r="76" spans="1:17" ht="13.5" thickBot="1">
      <c r="A76" s="900"/>
      <c r="B76" s="923"/>
      <c r="C76" s="919"/>
      <c r="D76" s="902"/>
      <c r="E76" s="902"/>
      <c r="F76" s="902"/>
      <c r="G76" s="902"/>
      <c r="H76" s="902"/>
      <c r="I76" s="902"/>
      <c r="J76" s="902"/>
      <c r="K76" s="902"/>
      <c r="L76" s="912">
        <f>+J76+K76</f>
        <v>0</v>
      </c>
      <c r="M76" s="934"/>
      <c r="N76"/>
      <c r="O76"/>
      <c r="P76"/>
      <c r="Q76"/>
    </row>
    <row r="77" spans="1:17" ht="13.5" thickBot="1">
      <c r="A77" s="915" t="s">
        <v>654</v>
      </c>
      <c r="B77" s="1898">
        <f>SUM(B71:B76)</f>
        <v>24881</v>
      </c>
      <c r="C77" s="920">
        <f>SUM(C71:C76)</f>
        <v>24881</v>
      </c>
      <c r="D77" s="904">
        <f aca="true" t="shared" si="12" ref="D77:L77">SUM(D71:D76)</f>
        <v>718</v>
      </c>
      <c r="E77" s="904">
        <f t="shared" si="12"/>
        <v>718</v>
      </c>
      <c r="F77" s="904">
        <f t="shared" si="12"/>
        <v>14589</v>
      </c>
      <c r="G77" s="904">
        <f t="shared" si="12"/>
        <v>14589</v>
      </c>
      <c r="H77" s="904">
        <f t="shared" si="12"/>
        <v>9574</v>
      </c>
      <c r="I77" s="904">
        <f t="shared" si="12"/>
        <v>9574</v>
      </c>
      <c r="J77" s="904">
        <f t="shared" si="12"/>
        <v>718</v>
      </c>
      <c r="K77" s="904">
        <f t="shared" si="12"/>
        <v>11377</v>
      </c>
      <c r="L77" s="904">
        <f t="shared" si="12"/>
        <v>12095</v>
      </c>
      <c r="M77" s="935"/>
      <c r="N77"/>
      <c r="O77"/>
      <c r="P77"/>
      <c r="Q77"/>
    </row>
    <row r="78" spans="1:17" ht="12.75">
      <c r="A78" s="1511"/>
      <c r="B78" s="1514"/>
      <c r="C78" s="1512"/>
      <c r="D78" s="1512"/>
      <c r="E78" s="1512"/>
      <c r="F78" s="1512"/>
      <c r="G78" s="1512"/>
      <c r="H78" s="1512"/>
      <c r="I78" s="1512"/>
      <c r="J78" s="1512"/>
      <c r="K78" s="1512"/>
      <c r="L78" s="1512"/>
      <c r="M78" s="1513"/>
      <c r="N78"/>
      <c r="O78"/>
      <c r="P78"/>
      <c r="Q78"/>
    </row>
    <row r="79" spans="1:17" ht="12.75">
      <c r="A79" s="936"/>
      <c r="B79" s="937"/>
      <c r="C79" s="938"/>
      <c r="D79" s="938"/>
      <c r="E79" s="938"/>
      <c r="F79" s="938"/>
      <c r="G79" s="938"/>
      <c r="H79" s="938"/>
      <c r="I79" s="938"/>
      <c r="J79" s="938"/>
      <c r="K79" s="938"/>
      <c r="L79" s="938"/>
      <c r="M79" s="939"/>
      <c r="N79"/>
      <c r="O79"/>
      <c r="P79"/>
      <c r="Q79"/>
    </row>
    <row r="80" spans="1:17" ht="20.25" customHeight="1">
      <c r="A80" s="881" t="s">
        <v>624</v>
      </c>
      <c r="B80"/>
      <c r="C80"/>
      <c r="D80"/>
      <c r="E80"/>
      <c r="F80" s="2187" t="s">
        <v>1918</v>
      </c>
      <c r="G80" s="2187"/>
      <c r="H80" s="2187"/>
      <c r="I80" s="2187"/>
      <c r="J80" s="2187"/>
      <c r="K80" s="2187"/>
      <c r="L80" s="2187"/>
      <c r="M80" s="2187"/>
      <c r="N80" s="2187"/>
      <c r="O80" s="2187"/>
      <c r="P80" s="2187"/>
      <c r="Q80" s="2187"/>
    </row>
    <row r="81" spans="1:17" ht="13.5" thickBot="1">
      <c r="A81" s="1515"/>
      <c r="B81" s="1516"/>
      <c r="C81" s="1517"/>
      <c r="D81" s="1517"/>
      <c r="E81" s="1517"/>
      <c r="F81" s="1517"/>
      <c r="G81" s="1517"/>
      <c r="H81" s="1517"/>
      <c r="I81" s="1517"/>
      <c r="J81" s="1517"/>
      <c r="K81" s="1517"/>
      <c r="L81" s="1517"/>
      <c r="M81" s="1518"/>
      <c r="N81"/>
      <c r="O81"/>
      <c r="P81"/>
      <c r="Q81"/>
    </row>
    <row r="82" spans="1:17" ht="13.5" thickBot="1">
      <c r="A82" s="2188" t="s">
        <v>627</v>
      </c>
      <c r="B82" s="2191" t="s">
        <v>643</v>
      </c>
      <c r="C82" s="2191"/>
      <c r="D82" s="2191"/>
      <c r="E82" s="2191"/>
      <c r="F82" s="2191"/>
      <c r="G82" s="2191"/>
      <c r="H82" s="2191"/>
      <c r="I82" s="2191"/>
      <c r="J82" s="2138" t="s">
        <v>4220</v>
      </c>
      <c r="K82" s="2138"/>
      <c r="L82" s="2138"/>
      <c r="M82" s="2138"/>
      <c r="N82"/>
      <c r="O82"/>
      <c r="P82"/>
      <c r="Q82"/>
    </row>
    <row r="83" spans="1:17" ht="12.75" customHeight="1" thickBot="1">
      <c r="A83" s="2189"/>
      <c r="B83" s="2184" t="s">
        <v>644</v>
      </c>
      <c r="C83" s="2183" t="s">
        <v>1446</v>
      </c>
      <c r="D83" s="2193" t="s">
        <v>645</v>
      </c>
      <c r="E83" s="2193"/>
      <c r="F83" s="2193"/>
      <c r="G83" s="2193"/>
      <c r="H83" s="2193"/>
      <c r="I83" s="2193"/>
      <c r="J83" s="2192"/>
      <c r="K83" s="2192"/>
      <c r="L83" s="2192"/>
      <c r="M83" s="2192"/>
      <c r="N83"/>
      <c r="O83"/>
      <c r="P83"/>
      <c r="Q83"/>
    </row>
    <row r="84" spans="1:17" ht="12.75" customHeight="1" thickBot="1">
      <c r="A84" s="2189"/>
      <c r="B84" s="2184"/>
      <c r="C84" s="2183"/>
      <c r="D84" s="885" t="s">
        <v>644</v>
      </c>
      <c r="E84" s="885" t="s">
        <v>1446</v>
      </c>
      <c r="F84" s="885" t="s">
        <v>644</v>
      </c>
      <c r="G84" s="885" t="s">
        <v>1446</v>
      </c>
      <c r="H84" s="885" t="s">
        <v>644</v>
      </c>
      <c r="I84" s="885" t="s">
        <v>1446</v>
      </c>
      <c r="J84" s="2192"/>
      <c r="K84" s="2192"/>
      <c r="L84" s="2192"/>
      <c r="M84" s="2192"/>
      <c r="N84"/>
      <c r="O84"/>
      <c r="P84"/>
      <c r="Q84"/>
    </row>
    <row r="85" spans="1:17" ht="45" customHeight="1" thickBot="1">
      <c r="A85" s="2190"/>
      <c r="B85" s="2183" t="s">
        <v>646</v>
      </c>
      <c r="C85" s="2183"/>
      <c r="D85" s="2183" t="s">
        <v>647</v>
      </c>
      <c r="E85" s="2183"/>
      <c r="F85" s="2183" t="s">
        <v>648</v>
      </c>
      <c r="G85" s="2183"/>
      <c r="H85" s="2184" t="s">
        <v>649</v>
      </c>
      <c r="I85" s="2184"/>
      <c r="J85" s="884" t="s">
        <v>647</v>
      </c>
      <c r="K85" s="885" t="s">
        <v>648</v>
      </c>
      <c r="L85" s="884" t="s">
        <v>1499</v>
      </c>
      <c r="M85" s="926" t="s">
        <v>650</v>
      </c>
      <c r="N85"/>
      <c r="O85"/>
      <c r="P85"/>
      <c r="Q85"/>
    </row>
    <row r="86" spans="1:17" ht="17.25" customHeight="1" thickBot="1">
      <c r="A86" s="886">
        <v>1</v>
      </c>
      <c r="B86" s="884">
        <v>2</v>
      </c>
      <c r="C86" s="884">
        <v>3</v>
      </c>
      <c r="D86" s="887">
        <v>4</v>
      </c>
      <c r="E86" s="885">
        <v>5</v>
      </c>
      <c r="F86" s="885">
        <v>6</v>
      </c>
      <c r="G86" s="885">
        <v>7</v>
      </c>
      <c r="H86" s="884">
        <v>8</v>
      </c>
      <c r="I86" s="887">
        <v>9</v>
      </c>
      <c r="J86" s="887">
        <v>10</v>
      </c>
      <c r="K86" s="887">
        <v>11</v>
      </c>
      <c r="L86" s="887" t="s">
        <v>651</v>
      </c>
      <c r="M86" s="927" t="s">
        <v>652</v>
      </c>
      <c r="N86"/>
      <c r="O86"/>
      <c r="P86"/>
      <c r="Q86"/>
    </row>
    <row r="87" spans="1:17" ht="21.75" customHeight="1">
      <c r="A87" s="888" t="s">
        <v>628</v>
      </c>
      <c r="B87" s="889"/>
      <c r="C87" s="890"/>
      <c r="D87" s="890"/>
      <c r="E87" s="891"/>
      <c r="F87" s="890"/>
      <c r="G87" s="890"/>
      <c r="H87" s="890"/>
      <c r="I87" s="890"/>
      <c r="J87" s="890"/>
      <c r="K87" s="890"/>
      <c r="L87" s="892">
        <f aca="true" t="shared" si="13" ref="L87:L93">+J87+K87</f>
        <v>0</v>
      </c>
      <c r="M87" s="928">
        <f>IF((C87&lt;&gt;0),ROUND((L87/C87)*100,1),"")</f>
      </c>
      <c r="N87"/>
      <c r="O87"/>
      <c r="P87"/>
      <c r="Q87"/>
    </row>
    <row r="88" spans="1:17" ht="15" customHeight="1">
      <c r="A88" s="893" t="s">
        <v>629</v>
      </c>
      <c r="B88" s="894"/>
      <c r="C88" s="895"/>
      <c r="D88" s="895"/>
      <c r="E88" s="895"/>
      <c r="F88" s="895"/>
      <c r="G88" s="895"/>
      <c r="H88" s="895"/>
      <c r="I88" s="895"/>
      <c r="J88" s="895"/>
      <c r="K88" s="895"/>
      <c r="L88" s="896">
        <f t="shared" si="13"/>
        <v>0</v>
      </c>
      <c r="M88" s="929">
        <f aca="true" t="shared" si="14" ref="M88:M93">IF((C88&lt;&gt;0),ROUND((L88/C88)*100,1),"")</f>
      </c>
      <c r="N88"/>
      <c r="O88"/>
      <c r="P88"/>
      <c r="Q88"/>
    </row>
    <row r="89" spans="1:17" ht="12.75">
      <c r="A89" s="897" t="s">
        <v>630</v>
      </c>
      <c r="B89" s="898">
        <v>7999</v>
      </c>
      <c r="C89" s="899">
        <v>7999</v>
      </c>
      <c r="D89" s="899">
        <v>0</v>
      </c>
      <c r="E89" s="899">
        <v>0</v>
      </c>
      <c r="F89" s="899">
        <v>7999</v>
      </c>
      <c r="G89" s="899">
        <v>7999</v>
      </c>
      <c r="H89" s="899">
        <v>0</v>
      </c>
      <c r="I89" s="899">
        <v>0</v>
      </c>
      <c r="J89" s="899">
        <v>0</v>
      </c>
      <c r="K89" s="899">
        <v>7999</v>
      </c>
      <c r="L89" s="896">
        <f t="shared" si="13"/>
        <v>7999</v>
      </c>
      <c r="M89" s="929">
        <f t="shared" si="14"/>
        <v>100</v>
      </c>
      <c r="N89"/>
      <c r="O89"/>
      <c r="P89"/>
      <c r="Q89"/>
    </row>
    <row r="90" spans="1:17" ht="12.75">
      <c r="A90" s="897" t="s">
        <v>631</v>
      </c>
      <c r="B90" s="898"/>
      <c r="C90" s="899"/>
      <c r="D90" s="899"/>
      <c r="E90" s="899"/>
      <c r="F90" s="899"/>
      <c r="G90" s="899"/>
      <c r="H90" s="899"/>
      <c r="I90" s="899"/>
      <c r="J90" s="899"/>
      <c r="K90" s="899"/>
      <c r="L90" s="896">
        <f t="shared" si="13"/>
        <v>0</v>
      </c>
      <c r="M90" s="929">
        <f t="shared" si="14"/>
      </c>
      <c r="N90"/>
      <c r="O90"/>
      <c r="P90"/>
      <c r="Q90"/>
    </row>
    <row r="91" spans="1:17" ht="12.75">
      <c r="A91" s="897" t="s">
        <v>632</v>
      </c>
      <c r="B91" s="898"/>
      <c r="C91" s="899"/>
      <c r="D91" s="899"/>
      <c r="E91" s="899"/>
      <c r="F91" s="899"/>
      <c r="G91" s="899"/>
      <c r="H91" s="899"/>
      <c r="I91" s="899"/>
      <c r="J91" s="899"/>
      <c r="K91" s="899"/>
      <c r="L91" s="896">
        <f t="shared" si="13"/>
        <v>0</v>
      </c>
      <c r="M91" s="929">
        <f t="shared" si="14"/>
      </c>
      <c r="N91"/>
      <c r="O91"/>
      <c r="P91"/>
      <c r="Q91"/>
    </row>
    <row r="92" spans="1:17" ht="12.75">
      <c r="A92" s="897" t="s">
        <v>633</v>
      </c>
      <c r="B92" s="898"/>
      <c r="C92" s="899"/>
      <c r="D92" s="899"/>
      <c r="E92" s="899"/>
      <c r="F92" s="899"/>
      <c r="G92" s="899"/>
      <c r="H92" s="899"/>
      <c r="I92" s="899"/>
      <c r="J92" s="899"/>
      <c r="K92" s="899"/>
      <c r="L92" s="896">
        <f t="shared" si="13"/>
        <v>0</v>
      </c>
      <c r="M92" s="929">
        <f t="shared" si="14"/>
      </c>
      <c r="N92"/>
      <c r="O92"/>
      <c r="P92"/>
      <c r="Q92"/>
    </row>
    <row r="93" spans="1:17" ht="13.5" thickBot="1">
      <c r="A93" s="900"/>
      <c r="B93" s="901"/>
      <c r="C93" s="902"/>
      <c r="D93" s="902"/>
      <c r="E93" s="902"/>
      <c r="F93" s="902"/>
      <c r="G93" s="902"/>
      <c r="H93" s="902"/>
      <c r="I93" s="902"/>
      <c r="J93" s="902"/>
      <c r="K93" s="902"/>
      <c r="L93" s="896">
        <f t="shared" si="13"/>
        <v>0</v>
      </c>
      <c r="M93" s="930">
        <f t="shared" si="14"/>
      </c>
      <c r="N93"/>
      <c r="O93"/>
      <c r="P93"/>
      <c r="Q93"/>
    </row>
    <row r="94" spans="1:17" ht="13.5" thickBot="1">
      <c r="A94" s="903" t="s">
        <v>634</v>
      </c>
      <c r="B94" s="904">
        <f aca="true" t="shared" si="15" ref="B94:L94">B87+SUM(B89:B93)</f>
        <v>7999</v>
      </c>
      <c r="C94" s="904">
        <f t="shared" si="15"/>
        <v>7999</v>
      </c>
      <c r="D94" s="904">
        <f t="shared" si="15"/>
        <v>0</v>
      </c>
      <c r="E94" s="904">
        <f t="shared" si="15"/>
        <v>0</v>
      </c>
      <c r="F94" s="904">
        <f t="shared" si="15"/>
        <v>7999</v>
      </c>
      <c r="G94" s="904">
        <f t="shared" si="15"/>
        <v>7999</v>
      </c>
      <c r="H94" s="904">
        <f t="shared" si="15"/>
        <v>0</v>
      </c>
      <c r="I94" s="904">
        <f t="shared" si="15"/>
        <v>0</v>
      </c>
      <c r="J94" s="904">
        <f t="shared" si="15"/>
        <v>0</v>
      </c>
      <c r="K94" s="904">
        <f t="shared" si="15"/>
        <v>7999</v>
      </c>
      <c r="L94" s="904">
        <f t="shared" si="15"/>
        <v>7999</v>
      </c>
      <c r="M94" s="931">
        <f>IF((C94&lt;&gt;0),ROUND((L94/C94)*100,1),"")</f>
        <v>100</v>
      </c>
      <c r="N94"/>
      <c r="O94"/>
      <c r="P94"/>
      <c r="Q94"/>
    </row>
    <row r="95" spans="1:17" ht="12.75">
      <c r="A95" s="905"/>
      <c r="B95" s="906"/>
      <c r="C95" s="907"/>
      <c r="D95" s="907"/>
      <c r="E95" s="907"/>
      <c r="F95" s="907"/>
      <c r="G95" s="907"/>
      <c r="H95" s="907"/>
      <c r="I95" s="907"/>
      <c r="J95" s="907"/>
      <c r="K95" s="907"/>
      <c r="L95" s="907"/>
      <c r="M95" s="932"/>
      <c r="N95"/>
      <c r="O95"/>
      <c r="P95"/>
      <c r="Q95"/>
    </row>
    <row r="96" spans="1:17" ht="13.5" thickBot="1">
      <c r="A96" s="908" t="s">
        <v>635</v>
      </c>
      <c r="B96" s="909"/>
      <c r="C96" s="910"/>
      <c r="D96" s="910"/>
      <c r="E96" s="910"/>
      <c r="F96" s="910"/>
      <c r="G96" s="910"/>
      <c r="H96" s="910"/>
      <c r="I96" s="910"/>
      <c r="J96" s="910"/>
      <c r="K96" s="910"/>
      <c r="L96" s="910"/>
      <c r="M96" s="933"/>
      <c r="N96"/>
      <c r="O96"/>
      <c r="P96"/>
      <c r="Q96"/>
    </row>
    <row r="97" spans="1:17" ht="13.5" thickBot="1">
      <c r="A97" s="913" t="s">
        <v>653</v>
      </c>
      <c r="B97" s="921">
        <v>959</v>
      </c>
      <c r="C97" s="916">
        <v>959</v>
      </c>
      <c r="D97" s="890"/>
      <c r="E97" s="891"/>
      <c r="F97" s="890">
        <v>959</v>
      </c>
      <c r="G97" s="890">
        <v>959</v>
      </c>
      <c r="H97" s="890"/>
      <c r="I97" s="890"/>
      <c r="J97" s="890">
        <v>0</v>
      </c>
      <c r="K97" s="890">
        <v>959</v>
      </c>
      <c r="L97" s="911">
        <f>+J97+K97</f>
        <v>959</v>
      </c>
      <c r="M97" s="928">
        <f>IF((C97&lt;&gt;0),ROUND((L97/C97)*100,1),"")</f>
        <v>100</v>
      </c>
      <c r="N97"/>
      <c r="O97"/>
      <c r="P97"/>
      <c r="Q97"/>
    </row>
    <row r="98" spans="1:17" ht="13.5" thickBot="1">
      <c r="A98" s="897" t="s">
        <v>636</v>
      </c>
      <c r="B98" s="922">
        <v>6405</v>
      </c>
      <c r="C98" s="917">
        <v>6405</v>
      </c>
      <c r="D98" s="899"/>
      <c r="E98" s="899"/>
      <c r="F98" s="899">
        <v>6405</v>
      </c>
      <c r="G98" s="899">
        <v>6405</v>
      </c>
      <c r="H98" s="899"/>
      <c r="I98" s="899"/>
      <c r="J98" s="899">
        <v>0</v>
      </c>
      <c r="K98" s="899">
        <v>6405</v>
      </c>
      <c r="L98" s="911">
        <f>+J98+K98</f>
        <v>6405</v>
      </c>
      <c r="M98" s="928">
        <f>IF((C98&lt;&gt;0),ROUND((L98/C98)*100,1),"")</f>
        <v>100</v>
      </c>
      <c r="N98"/>
      <c r="O98"/>
      <c r="P98"/>
      <c r="Q98"/>
    </row>
    <row r="99" spans="1:17" ht="12.75">
      <c r="A99" s="897" t="s">
        <v>637</v>
      </c>
      <c r="B99" s="922">
        <v>635</v>
      </c>
      <c r="C99" s="917">
        <v>635</v>
      </c>
      <c r="D99" s="899"/>
      <c r="E99" s="899"/>
      <c r="F99" s="899">
        <v>635</v>
      </c>
      <c r="G99" s="899">
        <v>635</v>
      </c>
      <c r="H99" s="899"/>
      <c r="I99" s="899"/>
      <c r="J99" s="899">
        <v>0</v>
      </c>
      <c r="K99" s="899">
        <v>635</v>
      </c>
      <c r="L99" s="911">
        <f>+J99+K99</f>
        <v>635</v>
      </c>
      <c r="M99" s="928">
        <f>IF((C99&lt;&gt;0),ROUND((L99/C99)*100,1),"")</f>
        <v>100</v>
      </c>
      <c r="N99"/>
      <c r="O99"/>
      <c r="P99"/>
      <c r="Q99"/>
    </row>
    <row r="100" spans="1:17" ht="12.75">
      <c r="A100" s="897" t="s">
        <v>638</v>
      </c>
      <c r="B100" s="922"/>
      <c r="C100" s="918"/>
      <c r="D100" s="899"/>
      <c r="E100" s="899"/>
      <c r="F100" s="899"/>
      <c r="G100" s="899"/>
      <c r="H100" s="899"/>
      <c r="I100" s="899"/>
      <c r="J100" s="899"/>
      <c r="K100" s="899"/>
      <c r="L100" s="912"/>
      <c r="M100" s="929"/>
      <c r="N100"/>
      <c r="O100"/>
      <c r="P100"/>
      <c r="Q100"/>
    </row>
    <row r="101" spans="1:17" ht="12.75">
      <c r="A101" s="914"/>
      <c r="B101" s="922"/>
      <c r="C101" s="918"/>
      <c r="D101" s="899"/>
      <c r="E101" s="899"/>
      <c r="F101" s="899"/>
      <c r="G101" s="899"/>
      <c r="H101" s="899"/>
      <c r="I101" s="899"/>
      <c r="J101" s="899"/>
      <c r="K101" s="899"/>
      <c r="L101" s="912"/>
      <c r="M101" s="929"/>
      <c r="N101"/>
      <c r="O101"/>
      <c r="P101"/>
      <c r="Q101"/>
    </row>
    <row r="102" spans="1:17" ht="13.5" thickBot="1">
      <c r="A102" s="900"/>
      <c r="B102" s="923"/>
      <c r="C102" s="919"/>
      <c r="D102" s="902"/>
      <c r="E102" s="902"/>
      <c r="F102" s="902"/>
      <c r="G102" s="902"/>
      <c r="H102" s="902"/>
      <c r="I102" s="902"/>
      <c r="J102" s="902"/>
      <c r="K102" s="902"/>
      <c r="L102" s="912">
        <f>+J102+K102</f>
        <v>0</v>
      </c>
      <c r="M102" s="934"/>
      <c r="N102"/>
      <c r="O102"/>
      <c r="P102"/>
      <c r="Q102"/>
    </row>
    <row r="103" spans="1:17" ht="13.5" thickBot="1">
      <c r="A103" s="915" t="s">
        <v>654</v>
      </c>
      <c r="B103" s="1898">
        <f>SUM(B97:B102)</f>
        <v>7999</v>
      </c>
      <c r="C103" s="920">
        <f>C98+C99</f>
        <v>7040</v>
      </c>
      <c r="D103" s="904">
        <f aca="true" t="shared" si="16" ref="D103:L103">SUM(D97:D102)</f>
        <v>0</v>
      </c>
      <c r="E103" s="904">
        <f t="shared" si="16"/>
        <v>0</v>
      </c>
      <c r="F103" s="904">
        <f t="shared" si="16"/>
        <v>7999</v>
      </c>
      <c r="G103" s="904">
        <f t="shared" si="16"/>
        <v>7999</v>
      </c>
      <c r="H103" s="904">
        <f t="shared" si="16"/>
        <v>0</v>
      </c>
      <c r="I103" s="904">
        <f t="shared" si="16"/>
        <v>0</v>
      </c>
      <c r="J103" s="904">
        <f t="shared" si="16"/>
        <v>0</v>
      </c>
      <c r="K103" s="904">
        <f t="shared" si="16"/>
        <v>7999</v>
      </c>
      <c r="L103" s="904">
        <f t="shared" si="16"/>
        <v>7999</v>
      </c>
      <c r="M103" s="935"/>
      <c r="N103"/>
      <c r="O103"/>
      <c r="P103"/>
      <c r="Q103"/>
    </row>
    <row r="104" spans="1:17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.75">
      <c r="A106" s="2181" t="s">
        <v>1919</v>
      </c>
      <c r="B106" s="2181"/>
      <c r="C106" s="2181"/>
      <c r="D106" s="2181"/>
      <c r="E106" s="2181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1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3.5" thickBo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5" ht="12" thickBot="1">
      <c r="A109" s="2202" t="s">
        <v>641</v>
      </c>
      <c r="B109" s="2203"/>
      <c r="C109" s="2204"/>
      <c r="D109" s="2205" t="s">
        <v>642</v>
      </c>
      <c r="E109" s="2206"/>
    </row>
    <row r="110" spans="1:5" ht="12" thickBot="1">
      <c r="A110" s="2207" t="s">
        <v>3017</v>
      </c>
      <c r="B110" s="2208"/>
      <c r="C110" s="2209"/>
      <c r="D110" s="2210">
        <v>0</v>
      </c>
      <c r="E110" s="2211"/>
    </row>
    <row r="111" spans="1:5" ht="12" thickBot="1">
      <c r="A111" s="2197" t="s">
        <v>2660</v>
      </c>
      <c r="B111" s="2198"/>
      <c r="C111" s="2199"/>
      <c r="D111" s="2200">
        <v>0</v>
      </c>
      <c r="E111" s="2201"/>
    </row>
    <row r="112" spans="1:5" ht="11.25">
      <c r="A112" s="882"/>
      <c r="B112" s="882"/>
      <c r="C112" s="882"/>
      <c r="D112" s="882"/>
      <c r="E112" s="882"/>
    </row>
    <row r="113" spans="1:5" ht="11.25">
      <c r="A113" s="882"/>
      <c r="B113" s="882"/>
      <c r="C113" s="882"/>
      <c r="D113" s="882"/>
      <c r="E113" s="882"/>
    </row>
    <row r="114" spans="1:5" ht="11.25">
      <c r="A114" s="882"/>
      <c r="B114" s="882"/>
      <c r="C114" s="882"/>
      <c r="D114" s="882"/>
      <c r="E114" s="882"/>
    </row>
    <row r="115" ht="18.75">
      <c r="A115" s="883"/>
    </row>
  </sheetData>
  <sheetProtection/>
  <mergeCells count="57">
    <mergeCell ref="D34:E34"/>
    <mergeCell ref="F34:G34"/>
    <mergeCell ref="H34:I34"/>
    <mergeCell ref="A111:C111"/>
    <mergeCell ref="D111:E111"/>
    <mergeCell ref="A109:C109"/>
    <mergeCell ref="D109:E109"/>
    <mergeCell ref="A110:C110"/>
    <mergeCell ref="D110:E110"/>
    <mergeCell ref="B7:B8"/>
    <mergeCell ref="C7:C8"/>
    <mergeCell ref="D7:I7"/>
    <mergeCell ref="B9:C9"/>
    <mergeCell ref="H9:I9"/>
    <mergeCell ref="A31:A34"/>
    <mergeCell ref="B31:I31"/>
    <mergeCell ref="B34:C34"/>
    <mergeCell ref="D9:E9"/>
    <mergeCell ref="F9:G9"/>
    <mergeCell ref="J31:M33"/>
    <mergeCell ref="B32:B33"/>
    <mergeCell ref="C32:C33"/>
    <mergeCell ref="D32:I32"/>
    <mergeCell ref="A1:M1"/>
    <mergeCell ref="A4:E4"/>
    <mergeCell ref="F4:M4"/>
    <mergeCell ref="A6:A9"/>
    <mergeCell ref="B6:I6"/>
    <mergeCell ref="J6:M8"/>
    <mergeCell ref="F54:Q54"/>
    <mergeCell ref="D55:M55"/>
    <mergeCell ref="A56:A59"/>
    <mergeCell ref="B56:I56"/>
    <mergeCell ref="J56:M58"/>
    <mergeCell ref="B57:B58"/>
    <mergeCell ref="C57:C58"/>
    <mergeCell ref="D57:I57"/>
    <mergeCell ref="B59:C59"/>
    <mergeCell ref="D59:E59"/>
    <mergeCell ref="F80:Q80"/>
    <mergeCell ref="A82:A85"/>
    <mergeCell ref="B82:I82"/>
    <mergeCell ref="J82:M84"/>
    <mergeCell ref="B83:B84"/>
    <mergeCell ref="C83:C84"/>
    <mergeCell ref="D83:I83"/>
    <mergeCell ref="B85:C85"/>
    <mergeCell ref="A106:E106"/>
    <mergeCell ref="D29:H29"/>
    <mergeCell ref="A2:M2"/>
    <mergeCell ref="D85:E85"/>
    <mergeCell ref="F85:G85"/>
    <mergeCell ref="H85:I85"/>
    <mergeCell ref="L5:M5"/>
    <mergeCell ref="D30:M30"/>
    <mergeCell ref="F59:G59"/>
    <mergeCell ref="H59:I59"/>
  </mergeCells>
  <conditionalFormatting sqref="D111:E111 C47:C48 C22:C23 C72:C73 C98:C99">
    <cfRule type="cellIs" priority="1" dxfId="3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6.125" style="0" customWidth="1"/>
    <col min="2" max="2" width="42.125" style="0" customWidth="1"/>
    <col min="3" max="3" width="19.75390625" style="0" customWidth="1"/>
  </cols>
  <sheetData>
    <row r="1" spans="1:3" ht="12.75">
      <c r="A1" s="2135" t="s">
        <v>5294</v>
      </c>
      <c r="B1" s="2135"/>
      <c r="C1" s="2135"/>
    </row>
    <row r="2" spans="1:3" ht="14.25">
      <c r="A2" s="571"/>
      <c r="B2" s="571"/>
      <c r="C2" s="571"/>
    </row>
    <row r="3" spans="1:3" ht="14.25">
      <c r="A3" s="2212" t="s">
        <v>4578</v>
      </c>
      <c r="B3" s="2212"/>
      <c r="C3" s="2212"/>
    </row>
    <row r="4" spans="1:3" ht="12.75">
      <c r="A4" s="543"/>
      <c r="B4" s="543"/>
      <c r="C4" s="572"/>
    </row>
    <row r="5" spans="1:3" ht="13.5" thickBot="1">
      <c r="A5" s="543"/>
      <c r="B5" s="543"/>
      <c r="C5" s="572"/>
    </row>
    <row r="6" spans="1:3" ht="26.25" thickBot="1">
      <c r="A6" s="573" t="s">
        <v>4553</v>
      </c>
      <c r="B6" s="574" t="s">
        <v>4579</v>
      </c>
      <c r="C6" s="575" t="s">
        <v>3253</v>
      </c>
    </row>
    <row r="7" spans="1:3" ht="42" customHeight="1">
      <c r="A7" s="576" t="s">
        <v>4029</v>
      </c>
      <c r="B7" s="577" t="s">
        <v>3251</v>
      </c>
      <c r="C7" s="578">
        <f>C8+C9</f>
        <v>72309</v>
      </c>
    </row>
    <row r="8" spans="1:3" ht="12.75">
      <c r="A8" s="576" t="s">
        <v>4031</v>
      </c>
      <c r="B8" s="579" t="s">
        <v>4580</v>
      </c>
      <c r="C8" s="580">
        <v>72045</v>
      </c>
    </row>
    <row r="9" spans="1:3" ht="12.75">
      <c r="A9" s="576" t="s">
        <v>4041</v>
      </c>
      <c r="B9" s="579" t="s">
        <v>4581</v>
      </c>
      <c r="C9" s="580">
        <v>264</v>
      </c>
    </row>
    <row r="10" spans="1:9" ht="12.75">
      <c r="A10" s="576" t="s">
        <v>4166</v>
      </c>
      <c r="B10" s="581" t="s">
        <v>4582</v>
      </c>
      <c r="C10" s="580">
        <v>1446693</v>
      </c>
      <c r="G10" s="878"/>
      <c r="I10" s="180"/>
    </row>
    <row r="11" spans="1:9" ht="13.5" thickBot="1">
      <c r="A11" s="582" t="s">
        <v>4061</v>
      </c>
      <c r="B11" s="583" t="s">
        <v>4583</v>
      </c>
      <c r="C11" s="584">
        <v>1391998</v>
      </c>
      <c r="G11" s="878"/>
      <c r="I11" s="180"/>
    </row>
    <row r="12" spans="1:3" ht="31.5" customHeight="1">
      <c r="A12" s="585" t="s">
        <v>4074</v>
      </c>
      <c r="B12" s="586" t="s">
        <v>3252</v>
      </c>
      <c r="C12" s="578">
        <f>C7+C10-C11</f>
        <v>127004</v>
      </c>
    </row>
    <row r="13" spans="1:3" ht="12.75">
      <c r="A13" s="576" t="s">
        <v>4195</v>
      </c>
      <c r="B13" s="579" t="s">
        <v>4580</v>
      </c>
      <c r="C13" s="580">
        <f>1063+125775</f>
        <v>126838</v>
      </c>
    </row>
    <row r="14" spans="1:3" ht="13.5" thickBot="1">
      <c r="A14" s="587" t="s">
        <v>4094</v>
      </c>
      <c r="B14" s="588" t="s">
        <v>4581</v>
      </c>
      <c r="C14" s="589">
        <v>166</v>
      </c>
    </row>
    <row r="15" ht="12.75">
      <c r="C15" t="s">
        <v>4584</v>
      </c>
    </row>
  </sheetData>
  <sheetProtection/>
  <mergeCells count="2">
    <mergeCell ref="A1:C1"/>
    <mergeCell ref="A3:C3"/>
  </mergeCells>
  <conditionalFormatting sqref="C12">
    <cfRule type="cellIs" priority="1" dxfId="4" operator="notEqual" stopIfTrue="1">
      <formula>SUM(C13:C14)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0"/>
  <sheetViews>
    <sheetView zoomScale="125" zoomScaleNormal="125" zoomScalePageLayoutView="0" workbookViewId="0" topLeftCell="A1">
      <selection activeCell="A1" sqref="A1:N1"/>
    </sheetView>
  </sheetViews>
  <sheetFormatPr defaultColWidth="9.00390625" defaultRowHeight="12.75"/>
  <cols>
    <col min="1" max="1" width="2.375" style="169" customWidth="1"/>
    <col min="2" max="2" width="2.75390625" style="169" customWidth="1"/>
    <col min="3" max="3" width="3.25390625" style="169" customWidth="1"/>
    <col min="4" max="4" width="38.875" style="169" customWidth="1"/>
    <col min="5" max="5" width="8.75390625" style="169" customWidth="1"/>
    <col min="6" max="6" width="7.00390625" style="169" customWidth="1"/>
    <col min="7" max="7" width="6.75390625" style="169" customWidth="1"/>
    <col min="8" max="8" width="2.75390625" style="169" customWidth="1"/>
    <col min="9" max="9" width="3.00390625" style="169" customWidth="1"/>
    <col min="10" max="10" width="3.375" style="169" customWidth="1"/>
    <col min="11" max="11" width="31.00390625" style="169" customWidth="1"/>
    <col min="12" max="12" width="7.25390625" style="169" customWidth="1"/>
    <col min="13" max="13" width="7.875" style="169" customWidth="1"/>
    <col min="14" max="14" width="6.75390625" style="169" customWidth="1"/>
    <col min="15" max="16384" width="9.125" style="169" customWidth="1"/>
  </cols>
  <sheetData>
    <row r="1" spans="1:14" ht="12.75">
      <c r="A1" s="2004" t="s">
        <v>5268</v>
      </c>
      <c r="B1" s="2004"/>
      <c r="C1" s="2004"/>
      <c r="D1" s="2004"/>
      <c r="E1" s="2004"/>
      <c r="F1" s="2004"/>
      <c r="G1" s="2004"/>
      <c r="H1" s="2004"/>
      <c r="I1" s="2004"/>
      <c r="J1" s="2004"/>
      <c r="K1" s="2004"/>
      <c r="L1" s="2004"/>
      <c r="M1" s="2004"/>
      <c r="N1" s="2004"/>
    </row>
    <row r="2" spans="1:14" ht="12.75">
      <c r="A2" s="2005" t="s">
        <v>2780</v>
      </c>
      <c r="B2" s="2005"/>
      <c r="C2" s="2005"/>
      <c r="D2" s="2005"/>
      <c r="E2" s="2005"/>
      <c r="F2" s="2005"/>
      <c r="G2" s="2005"/>
      <c r="H2" s="2005"/>
      <c r="I2" s="2005"/>
      <c r="J2" s="2005"/>
      <c r="K2" s="2005"/>
      <c r="L2" s="2005"/>
      <c r="M2" s="2005"/>
      <c r="N2" s="2005"/>
    </row>
    <row r="3" spans="1:14" ht="12.75">
      <c r="A3" s="2006" t="s">
        <v>669</v>
      </c>
      <c r="B3" s="1988"/>
      <c r="C3" s="1988"/>
      <c r="D3" s="1988"/>
      <c r="E3" s="1988"/>
      <c r="F3" s="1988"/>
      <c r="G3" s="1988"/>
      <c r="H3" s="2006" t="s">
        <v>670</v>
      </c>
      <c r="I3" s="1988"/>
      <c r="J3" s="1988"/>
      <c r="K3" s="1988"/>
      <c r="L3" s="1988"/>
      <c r="M3" s="1988"/>
      <c r="N3" s="1988"/>
    </row>
    <row r="4" spans="1:14" ht="42">
      <c r="A4" s="1984" t="s">
        <v>671</v>
      </c>
      <c r="B4" s="1985"/>
      <c r="C4" s="1985"/>
      <c r="D4" s="1986"/>
      <c r="E4" s="170" t="s">
        <v>672</v>
      </c>
      <c r="F4" s="170" t="s">
        <v>673</v>
      </c>
      <c r="G4" s="170" t="s">
        <v>4220</v>
      </c>
      <c r="H4" s="1984" t="s">
        <v>671</v>
      </c>
      <c r="I4" s="1985"/>
      <c r="J4" s="1985"/>
      <c r="K4" s="1986"/>
      <c r="L4" s="170" t="s">
        <v>672</v>
      </c>
      <c r="M4" s="170" t="s">
        <v>673</v>
      </c>
      <c r="N4" s="170" t="s">
        <v>4220</v>
      </c>
    </row>
    <row r="5" spans="1:14" ht="12.75">
      <c r="A5" s="171" t="s">
        <v>675</v>
      </c>
      <c r="B5" s="1980" t="s">
        <v>676</v>
      </c>
      <c r="C5" s="1980"/>
      <c r="D5" s="1980"/>
      <c r="E5" s="194"/>
      <c r="F5" s="194"/>
      <c r="G5" s="194"/>
      <c r="H5" s="1696" t="s">
        <v>675</v>
      </c>
      <c r="I5" s="1987" t="s">
        <v>676</v>
      </c>
      <c r="J5" s="1987"/>
      <c r="K5" s="1987"/>
      <c r="L5" s="172"/>
      <c r="M5" s="172"/>
      <c r="N5" s="172"/>
    </row>
    <row r="6" spans="1:17" ht="12.75">
      <c r="A6" s="174"/>
      <c r="B6" s="175">
        <v>1</v>
      </c>
      <c r="C6" s="1970" t="s">
        <v>677</v>
      </c>
      <c r="D6" s="1971"/>
      <c r="E6" s="176">
        <f>E7+E8+E10+E9</f>
        <v>121008</v>
      </c>
      <c r="F6" s="176">
        <f>F7+F8+F10+F9</f>
        <v>114520</v>
      </c>
      <c r="G6" s="176">
        <f>G7+G8+G10+G9</f>
        <v>119548</v>
      </c>
      <c r="H6" s="177"/>
      <c r="I6" s="178" t="s">
        <v>4029</v>
      </c>
      <c r="J6" s="1999" t="s">
        <v>4136</v>
      </c>
      <c r="K6" s="1999"/>
      <c r="L6" s="172">
        <v>15630</v>
      </c>
      <c r="M6" s="172">
        <f>29307-M74</f>
        <v>27196</v>
      </c>
      <c r="N6" s="172">
        <f>26766-N74</f>
        <v>24884</v>
      </c>
      <c r="Q6" s="181"/>
    </row>
    <row r="7" spans="1:16" ht="12" customHeight="1">
      <c r="A7" s="174"/>
      <c r="B7" s="182"/>
      <c r="C7" s="183" t="s">
        <v>4135</v>
      </c>
      <c r="D7" s="199" t="s">
        <v>4034</v>
      </c>
      <c r="E7" s="172">
        <v>113000</v>
      </c>
      <c r="F7" s="172">
        <v>113000</v>
      </c>
      <c r="G7" s="172">
        <v>114214</v>
      </c>
      <c r="H7" s="177"/>
      <c r="I7" s="178" t="s">
        <v>4031</v>
      </c>
      <c r="J7" s="1999" t="s">
        <v>4138</v>
      </c>
      <c r="K7" s="1999"/>
      <c r="L7" s="172">
        <v>3759</v>
      </c>
      <c r="M7" s="172">
        <f>8620-M75</f>
        <v>8299</v>
      </c>
      <c r="N7" s="172">
        <f>7783-N75</f>
        <v>7478</v>
      </c>
      <c r="P7" s="169">
        <f>F7+F75</f>
        <v>113000</v>
      </c>
    </row>
    <row r="8" spans="1:16" ht="12.75">
      <c r="A8" s="172"/>
      <c r="B8" s="177"/>
      <c r="C8" s="184" t="s">
        <v>4137</v>
      </c>
      <c r="D8" s="199" t="s">
        <v>4036</v>
      </c>
      <c r="E8" s="172"/>
      <c r="F8" s="200"/>
      <c r="G8" s="172"/>
      <c r="H8" s="177"/>
      <c r="I8" s="178" t="s">
        <v>4041</v>
      </c>
      <c r="J8" s="1999" t="s">
        <v>4140</v>
      </c>
      <c r="K8" s="1999"/>
      <c r="L8" s="172">
        <v>72943</v>
      </c>
      <c r="M8" s="172">
        <f>154+92545-M76</f>
        <v>91055</v>
      </c>
      <c r="N8" s="172">
        <f>170+95628-N76</f>
        <v>94608</v>
      </c>
      <c r="P8" s="169">
        <f>F8+F76</f>
        <v>0</v>
      </c>
    </row>
    <row r="9" spans="1:16" ht="12.75">
      <c r="A9" s="172"/>
      <c r="B9" s="177"/>
      <c r="C9" s="184" t="s">
        <v>679</v>
      </c>
      <c r="D9" s="199" t="s">
        <v>4038</v>
      </c>
      <c r="E9" s="172">
        <v>1000</v>
      </c>
      <c r="F9" s="172">
        <v>1000</v>
      </c>
      <c r="G9" s="172">
        <v>1409</v>
      </c>
      <c r="H9" s="177"/>
      <c r="I9" s="178" t="s">
        <v>4166</v>
      </c>
      <c r="J9" s="1999" t="s">
        <v>4142</v>
      </c>
      <c r="K9" s="1999"/>
      <c r="L9" s="172"/>
      <c r="M9" s="172"/>
      <c r="N9" s="172"/>
      <c r="P9" s="169">
        <f>F9+F77</f>
        <v>1000</v>
      </c>
    </row>
    <row r="10" spans="1:16" ht="10.5" customHeight="1">
      <c r="A10" s="172"/>
      <c r="B10" s="177"/>
      <c r="C10" s="184" t="s">
        <v>680</v>
      </c>
      <c r="D10" s="199" t="s">
        <v>4040</v>
      </c>
      <c r="E10" s="176">
        <f>4444+2044+520</f>
        <v>7008</v>
      </c>
      <c r="F10" s="172">
        <f>2410-F78</f>
        <v>520</v>
      </c>
      <c r="G10" s="172">
        <f>6304-G78</f>
        <v>3925</v>
      </c>
      <c r="H10" s="177"/>
      <c r="I10" s="178" t="s">
        <v>4061</v>
      </c>
      <c r="J10" s="1999" t="s">
        <v>4144</v>
      </c>
      <c r="K10" s="1999"/>
      <c r="L10" s="172">
        <f>L11+L12+L13+L14+L16+L17+L15+L18</f>
        <v>374317</v>
      </c>
      <c r="M10" s="172">
        <f>M11+M12+M13+M14+M16+M17+M15+M18</f>
        <v>491146</v>
      </c>
      <c r="N10" s="172">
        <f>N11+N12+N13+N14+N16+N17+N15+N18</f>
        <v>488889</v>
      </c>
      <c r="P10" s="169">
        <f>F10+F78</f>
        <v>2410</v>
      </c>
    </row>
    <row r="11" spans="1:14" ht="12.75">
      <c r="A11" s="172"/>
      <c r="B11" s="185" t="s">
        <v>4031</v>
      </c>
      <c r="C11" s="1980" t="s">
        <v>682</v>
      </c>
      <c r="D11" s="1980"/>
      <c r="E11" s="172">
        <f>SUM(E12:E17)</f>
        <v>5330</v>
      </c>
      <c r="F11" s="172">
        <f>SUM(F12:F17)</f>
        <v>14325</v>
      </c>
      <c r="G11" s="172">
        <f>SUM(G12:G17)</f>
        <v>35649</v>
      </c>
      <c r="H11" s="177"/>
      <c r="I11" s="177"/>
      <c r="J11" s="184" t="s">
        <v>4063</v>
      </c>
      <c r="K11" s="186" t="s">
        <v>683</v>
      </c>
      <c r="L11" s="172"/>
      <c r="M11" s="172"/>
      <c r="N11" s="172"/>
    </row>
    <row r="12" spans="1:16" ht="12.75">
      <c r="A12" s="172"/>
      <c r="B12" s="177"/>
      <c r="C12" s="184" t="s">
        <v>684</v>
      </c>
      <c r="D12" s="186" t="s">
        <v>4046</v>
      </c>
      <c r="E12" s="172"/>
      <c r="F12" s="172">
        <v>42</v>
      </c>
      <c r="G12" s="172"/>
      <c r="H12" s="177"/>
      <c r="I12" s="177"/>
      <c r="J12" s="184" t="s">
        <v>4064</v>
      </c>
      <c r="K12" s="187" t="s">
        <v>686</v>
      </c>
      <c r="L12" s="172">
        <v>12406</v>
      </c>
      <c r="M12" s="172">
        <v>20361</v>
      </c>
      <c r="N12" s="172">
        <v>16375</v>
      </c>
      <c r="P12" s="169">
        <f aca="true" t="shared" si="0" ref="P12:P17">F12+F80</f>
        <v>42</v>
      </c>
    </row>
    <row r="13" spans="1:16" ht="12.75">
      <c r="A13" s="172"/>
      <c r="B13" s="177"/>
      <c r="C13" s="184" t="s">
        <v>687</v>
      </c>
      <c r="D13" s="186" t="s">
        <v>4048</v>
      </c>
      <c r="E13" s="172"/>
      <c r="F13" s="172">
        <v>11268</v>
      </c>
      <c r="G13" s="172">
        <v>10312</v>
      </c>
      <c r="H13" s="177"/>
      <c r="I13" s="177"/>
      <c r="J13" s="184" t="s">
        <v>4065</v>
      </c>
      <c r="K13" s="188" t="s">
        <v>688</v>
      </c>
      <c r="L13" s="172"/>
      <c r="M13" s="172">
        <f>1000+63-1000</f>
        <v>63</v>
      </c>
      <c r="N13" s="172">
        <f>-995+2764</f>
        <v>1769</v>
      </c>
      <c r="P13" s="169">
        <f t="shared" si="0"/>
        <v>11268</v>
      </c>
    </row>
    <row r="14" spans="1:18" ht="12.75">
      <c r="A14" s="172"/>
      <c r="B14" s="177"/>
      <c r="C14" s="184" t="s">
        <v>689</v>
      </c>
      <c r="D14" s="186" t="s">
        <v>4050</v>
      </c>
      <c r="E14" s="172"/>
      <c r="F14" s="172"/>
      <c r="G14" s="172"/>
      <c r="H14" s="177"/>
      <c r="I14" s="177"/>
      <c r="J14" s="184" t="s">
        <v>4066</v>
      </c>
      <c r="K14" s="186" t="s">
        <v>3703</v>
      </c>
      <c r="L14" s="172">
        <v>7614</v>
      </c>
      <c r="M14" s="172">
        <f>17018-M82</f>
        <v>12859</v>
      </c>
      <c r="N14" s="172">
        <f>16592-N82</f>
        <v>12882</v>
      </c>
      <c r="P14" s="169">
        <f t="shared" si="0"/>
        <v>0</v>
      </c>
      <c r="Q14" s="169">
        <v>16375</v>
      </c>
      <c r="R14" s="169">
        <f>O14-Q14</f>
        <v>-16375</v>
      </c>
    </row>
    <row r="15" spans="1:18" ht="12.75">
      <c r="A15" s="172"/>
      <c r="B15" s="177"/>
      <c r="C15" s="184" t="s">
        <v>691</v>
      </c>
      <c r="D15" s="186" t="s">
        <v>695</v>
      </c>
      <c r="E15" s="172"/>
      <c r="F15" s="172">
        <v>268</v>
      </c>
      <c r="G15" s="172">
        <v>2496</v>
      </c>
      <c r="H15" s="177"/>
      <c r="I15" s="177"/>
      <c r="J15" s="184" t="s">
        <v>692</v>
      </c>
      <c r="K15" s="186" t="s">
        <v>693</v>
      </c>
      <c r="L15" s="172"/>
      <c r="M15" s="172"/>
      <c r="N15" s="172"/>
      <c r="P15" s="169">
        <f t="shared" si="0"/>
        <v>268</v>
      </c>
      <c r="R15" s="181"/>
    </row>
    <row r="16" spans="1:16" ht="12.75">
      <c r="A16" s="172"/>
      <c r="B16" s="177"/>
      <c r="C16" s="184" t="s">
        <v>694</v>
      </c>
      <c r="D16" s="186" t="s">
        <v>4056</v>
      </c>
      <c r="E16" s="172">
        <v>1000</v>
      </c>
      <c r="F16" s="172">
        <v>2247</v>
      </c>
      <c r="G16" s="172">
        <f>1+2247</f>
        <v>2248</v>
      </c>
      <c r="H16" s="177"/>
      <c r="I16" s="177"/>
      <c r="J16" s="184" t="s">
        <v>696</v>
      </c>
      <c r="K16" s="186" t="s">
        <v>3704</v>
      </c>
      <c r="L16" s="172"/>
      <c r="M16" s="172">
        <f>M84-1750</f>
        <v>0</v>
      </c>
      <c r="N16" s="172">
        <f>-1750+1750</f>
        <v>0</v>
      </c>
      <c r="P16" s="169">
        <f t="shared" si="0"/>
        <v>2247</v>
      </c>
    </row>
    <row r="17" spans="1:16" ht="12.75">
      <c r="A17" s="172"/>
      <c r="B17" s="177"/>
      <c r="C17" s="184" t="s">
        <v>698</v>
      </c>
      <c r="D17" s="186" t="s">
        <v>4058</v>
      </c>
      <c r="E17" s="172">
        <f>500+1524+1306+1000</f>
        <v>4330</v>
      </c>
      <c r="F17" s="172">
        <v>500</v>
      </c>
      <c r="G17" s="172">
        <f>1474+19039+80</f>
        <v>20593</v>
      </c>
      <c r="H17" s="177"/>
      <c r="I17" s="177"/>
      <c r="J17" s="184" t="s">
        <v>699</v>
      </c>
      <c r="K17" s="186" t="s">
        <v>700</v>
      </c>
      <c r="L17" s="172"/>
      <c r="M17" s="172"/>
      <c r="N17" s="172"/>
      <c r="P17" s="169">
        <f t="shared" si="0"/>
        <v>500</v>
      </c>
    </row>
    <row r="18" spans="1:18" ht="12.75">
      <c r="A18" s="172"/>
      <c r="B18" s="185" t="s">
        <v>4041</v>
      </c>
      <c r="C18" s="1980" t="s">
        <v>704</v>
      </c>
      <c r="D18" s="1980"/>
      <c r="E18" s="172">
        <v>12000</v>
      </c>
      <c r="F18" s="172">
        <v>12000</v>
      </c>
      <c r="G18" s="172">
        <v>11178</v>
      </c>
      <c r="H18" s="177"/>
      <c r="I18" s="177"/>
      <c r="J18" s="184" t="s">
        <v>702</v>
      </c>
      <c r="K18" s="172" t="s">
        <v>703</v>
      </c>
      <c r="L18" s="172">
        <v>354297</v>
      </c>
      <c r="M18" s="172">
        <v>457863</v>
      </c>
      <c r="N18" s="172">
        <v>457863</v>
      </c>
      <c r="Q18" s="181">
        <f>G6+G18</f>
        <v>130726</v>
      </c>
      <c r="R18" s="169">
        <f>167658+457863</f>
        <v>625521</v>
      </c>
    </row>
    <row r="19" spans="1:16" ht="12.75">
      <c r="A19" s="172"/>
      <c r="B19" s="185" t="s">
        <v>4166</v>
      </c>
      <c r="C19" s="1980" t="s">
        <v>706</v>
      </c>
      <c r="D19" s="1980"/>
      <c r="E19" s="172">
        <f>E20+E21+E22+E23+E24+E25</f>
        <v>310070</v>
      </c>
      <c r="F19" s="172">
        <f>F20+F21+F22+F23+F24+F25</f>
        <v>453559</v>
      </c>
      <c r="G19" s="172">
        <f>G20+G21+G22+G23+G24+G25</f>
        <v>453559</v>
      </c>
      <c r="H19" s="177"/>
      <c r="I19" s="177" t="s">
        <v>4074</v>
      </c>
      <c r="J19" s="1997" t="s">
        <v>707</v>
      </c>
      <c r="K19" s="1998"/>
      <c r="L19" s="172">
        <v>1000</v>
      </c>
      <c r="M19" s="172">
        <v>59441</v>
      </c>
      <c r="N19" s="172"/>
      <c r="P19" s="169">
        <f>SUM(P20:P25)</f>
        <v>453559</v>
      </c>
    </row>
    <row r="20" spans="1:16" ht="12.75">
      <c r="A20" s="172"/>
      <c r="B20" s="177"/>
      <c r="C20" s="184" t="s">
        <v>708</v>
      </c>
      <c r="D20" s="186" t="s">
        <v>709</v>
      </c>
      <c r="E20" s="172">
        <v>128635</v>
      </c>
      <c r="F20" s="172">
        <v>128636</v>
      </c>
      <c r="G20" s="201">
        <v>128636</v>
      </c>
      <c r="H20" s="177"/>
      <c r="I20" s="177"/>
      <c r="J20" s="177"/>
      <c r="K20" s="172"/>
      <c r="L20" s="172"/>
      <c r="M20" s="172"/>
      <c r="N20" s="172"/>
      <c r="P20" s="169">
        <f>G20</f>
        <v>128636</v>
      </c>
    </row>
    <row r="21" spans="1:16" ht="21">
      <c r="A21" s="172"/>
      <c r="B21" s="177"/>
      <c r="C21" s="184" t="s">
        <v>710</v>
      </c>
      <c r="D21" s="191" t="s">
        <v>3705</v>
      </c>
      <c r="E21" s="172">
        <v>86156</v>
      </c>
      <c r="F21" s="172">
        <v>88171</v>
      </c>
      <c r="G21" s="201">
        <v>88171</v>
      </c>
      <c r="H21" s="177"/>
      <c r="I21" s="177"/>
      <c r="J21" s="177"/>
      <c r="K21" s="172"/>
      <c r="L21" s="172"/>
      <c r="M21" s="172"/>
      <c r="N21" s="172"/>
      <c r="P21" s="169">
        <f>F21+F89</f>
        <v>88171</v>
      </c>
    </row>
    <row r="22" spans="1:16" ht="21">
      <c r="A22" s="172"/>
      <c r="B22" s="177"/>
      <c r="C22" s="184" t="s">
        <v>712</v>
      </c>
      <c r="D22" s="191" t="s">
        <v>3706</v>
      </c>
      <c r="E22" s="172">
        <v>88583</v>
      </c>
      <c r="F22" s="172">
        <v>180215</v>
      </c>
      <c r="G22" s="201">
        <v>180215</v>
      </c>
      <c r="H22" s="177"/>
      <c r="I22" s="177"/>
      <c r="J22" s="177"/>
      <c r="K22" s="172"/>
      <c r="L22" s="172"/>
      <c r="M22" s="172"/>
      <c r="N22" s="172"/>
      <c r="P22" s="169">
        <f>F22+F90</f>
        <v>180215</v>
      </c>
    </row>
    <row r="23" spans="1:16" ht="12.75" customHeight="1">
      <c r="A23" s="172"/>
      <c r="B23" s="177"/>
      <c r="C23" s="184" t="s">
        <v>714</v>
      </c>
      <c r="D23" s="191" t="s">
        <v>3707</v>
      </c>
      <c r="E23" s="172">
        <v>6220</v>
      </c>
      <c r="F23" s="172">
        <v>6220</v>
      </c>
      <c r="G23" s="201">
        <v>6220</v>
      </c>
      <c r="H23" s="177"/>
      <c r="I23" s="177"/>
      <c r="J23" s="177"/>
      <c r="K23" s="172"/>
      <c r="L23" s="172"/>
      <c r="M23" s="172"/>
      <c r="N23" s="172"/>
      <c r="P23" s="169">
        <f>F23+F91</f>
        <v>6220</v>
      </c>
    </row>
    <row r="24" spans="1:17" ht="12.75">
      <c r="A24" s="172"/>
      <c r="B24" s="177"/>
      <c r="C24" s="184" t="s">
        <v>716</v>
      </c>
      <c r="D24" s="186" t="s">
        <v>4068</v>
      </c>
      <c r="E24" s="172">
        <v>476</v>
      </c>
      <c r="F24" s="172">
        <v>3819</v>
      </c>
      <c r="G24" s="172">
        <v>3819</v>
      </c>
      <c r="H24" s="177"/>
      <c r="I24" s="177"/>
      <c r="J24" s="177"/>
      <c r="K24" s="172"/>
      <c r="L24" s="172"/>
      <c r="M24" s="172"/>
      <c r="N24" s="172"/>
      <c r="P24" s="169">
        <f>F24+F92</f>
        <v>3819</v>
      </c>
      <c r="Q24" s="169">
        <v>329386</v>
      </c>
    </row>
    <row r="25" spans="1:17" ht="9" customHeight="1">
      <c r="A25" s="172"/>
      <c r="B25" s="177"/>
      <c r="C25" s="184" t="s">
        <v>717</v>
      </c>
      <c r="D25" s="186" t="s">
        <v>4073</v>
      </c>
      <c r="E25" s="172"/>
      <c r="F25" s="202">
        <v>46498</v>
      </c>
      <c r="G25" s="172">
        <v>46498</v>
      </c>
      <c r="H25" s="177"/>
      <c r="I25" s="177"/>
      <c r="J25" s="177"/>
      <c r="K25" s="172"/>
      <c r="L25" s="172"/>
      <c r="M25" s="172"/>
      <c r="N25" s="172"/>
      <c r="P25" s="169">
        <f>F25+F93</f>
        <v>46498</v>
      </c>
      <c r="Q25" s="169">
        <f>G19-Q24</f>
        <v>124173</v>
      </c>
    </row>
    <row r="26" spans="1:14" ht="12.75">
      <c r="A26" s="172"/>
      <c r="B26" s="185" t="s">
        <v>4061</v>
      </c>
      <c r="C26" s="1969" t="s">
        <v>718</v>
      </c>
      <c r="D26" s="1971"/>
      <c r="E26" s="172">
        <f>E27+E28+E29</f>
        <v>5700</v>
      </c>
      <c r="F26" s="172">
        <f>F27+F28+F29</f>
        <v>24303</v>
      </c>
      <c r="G26" s="172">
        <f>G27+G28+G29</f>
        <v>30034</v>
      </c>
      <c r="H26" s="177"/>
      <c r="I26" s="177"/>
      <c r="J26" s="177"/>
      <c r="K26" s="172"/>
      <c r="L26" s="172"/>
      <c r="M26" s="172"/>
      <c r="N26" s="172"/>
    </row>
    <row r="27" spans="1:16" ht="12.75" customHeight="1">
      <c r="A27" s="172"/>
      <c r="B27" s="177"/>
      <c r="C27" s="184" t="s">
        <v>4063</v>
      </c>
      <c r="D27" s="186" t="s">
        <v>3708</v>
      </c>
      <c r="E27" s="172">
        <v>4800</v>
      </c>
      <c r="F27" s="172">
        <v>5755</v>
      </c>
      <c r="G27" s="172">
        <v>5755</v>
      </c>
      <c r="H27" s="177"/>
      <c r="I27" s="177"/>
      <c r="J27" s="177"/>
      <c r="K27" s="172"/>
      <c r="L27" s="172"/>
      <c r="M27" s="172"/>
      <c r="N27" s="172"/>
      <c r="P27" s="169">
        <f>F27+F95</f>
        <v>5755</v>
      </c>
    </row>
    <row r="28" spans="1:16" ht="12.75">
      <c r="A28" s="172"/>
      <c r="B28" s="177"/>
      <c r="C28" s="184" t="s">
        <v>4064</v>
      </c>
      <c r="D28" s="186" t="s">
        <v>720</v>
      </c>
      <c r="E28" s="172"/>
      <c r="F28" s="172"/>
      <c r="G28" s="172"/>
      <c r="H28" s="177"/>
      <c r="I28" s="177"/>
      <c r="J28" s="177"/>
      <c r="K28" s="172"/>
      <c r="L28" s="172"/>
      <c r="M28" s="172"/>
      <c r="N28" s="172"/>
      <c r="P28" s="169">
        <f>F28+F96</f>
        <v>0</v>
      </c>
    </row>
    <row r="29" spans="1:16" ht="12.75">
      <c r="A29" s="172"/>
      <c r="B29" s="177"/>
      <c r="C29" s="184" t="s">
        <v>4065</v>
      </c>
      <c r="D29" s="186" t="s">
        <v>721</v>
      </c>
      <c r="E29" s="172">
        <v>900</v>
      </c>
      <c r="F29" s="172">
        <f>19148-F97</f>
        <v>18548</v>
      </c>
      <c r="G29" s="172">
        <f>4421+20459-G97-1</f>
        <v>24279</v>
      </c>
      <c r="H29" s="177"/>
      <c r="I29" s="177"/>
      <c r="J29" s="177"/>
      <c r="K29" s="172"/>
      <c r="L29" s="172"/>
      <c r="M29" s="172"/>
      <c r="N29" s="172"/>
      <c r="P29" s="169">
        <f>F29+F97</f>
        <v>19148</v>
      </c>
    </row>
    <row r="30" spans="1:16" ht="12.75" customHeight="1">
      <c r="A30" s="172"/>
      <c r="B30" s="178" t="s">
        <v>4074</v>
      </c>
      <c r="C30" s="1980" t="s">
        <v>722</v>
      </c>
      <c r="D30" s="1980"/>
      <c r="E30" s="172">
        <v>400</v>
      </c>
      <c r="F30" s="172">
        <v>1900</v>
      </c>
      <c r="G30" s="172">
        <v>602</v>
      </c>
      <c r="H30" s="177"/>
      <c r="I30" s="177"/>
      <c r="J30" s="177"/>
      <c r="K30" s="172"/>
      <c r="L30" s="172"/>
      <c r="M30" s="172"/>
      <c r="N30" s="172"/>
      <c r="P30" s="169">
        <f>24280-23097</f>
        <v>1183</v>
      </c>
    </row>
    <row r="31" spans="1:16" ht="9" customHeight="1">
      <c r="A31" s="172"/>
      <c r="B31" s="193" t="s">
        <v>4195</v>
      </c>
      <c r="C31" s="1970" t="s">
        <v>723</v>
      </c>
      <c r="D31" s="1971"/>
      <c r="E31" s="176"/>
      <c r="F31" s="176"/>
      <c r="G31" s="176"/>
      <c r="H31" s="177"/>
      <c r="I31" s="177"/>
      <c r="J31" s="177"/>
      <c r="K31" s="172"/>
      <c r="L31" s="172"/>
      <c r="M31" s="172"/>
      <c r="N31" s="172"/>
      <c r="P31" s="169">
        <f>G26+600</f>
        <v>30634</v>
      </c>
    </row>
    <row r="32" spans="1:17" ht="12.75">
      <c r="A32" s="171" t="s">
        <v>725</v>
      </c>
      <c r="B32" s="1969" t="s">
        <v>726</v>
      </c>
      <c r="C32" s="1970"/>
      <c r="D32" s="1971"/>
      <c r="E32" s="176">
        <f>E6+E11+E19+E26+E30+E18</f>
        <v>454508</v>
      </c>
      <c r="F32" s="176">
        <f>F6+F11+F19+F26+F30+F18</f>
        <v>620607</v>
      </c>
      <c r="G32" s="176">
        <f>G6+G11+G19+G26+G30+G18</f>
        <v>650570</v>
      </c>
      <c r="H32" s="173" t="s">
        <v>725</v>
      </c>
      <c r="I32" s="1980" t="s">
        <v>728</v>
      </c>
      <c r="J32" s="1980"/>
      <c r="K32" s="1980"/>
      <c r="L32" s="172">
        <f>SUM(L6:L10,L19)</f>
        <v>467649</v>
      </c>
      <c r="M32" s="172">
        <f>SUM(M6:M10,M19)</f>
        <v>677137</v>
      </c>
      <c r="N32" s="172">
        <f>SUM(N6:N10,N19)</f>
        <v>615859</v>
      </c>
      <c r="O32" s="172">
        <f>SUM(O6:O10,O19)</f>
        <v>0</v>
      </c>
      <c r="P32" s="1520"/>
      <c r="Q32" s="181">
        <f>R18-N32</f>
        <v>9662</v>
      </c>
    </row>
    <row r="33" spans="1:14" ht="12.75">
      <c r="A33" s="171" t="s">
        <v>729</v>
      </c>
      <c r="B33" s="1969" t="s">
        <v>730</v>
      </c>
      <c r="C33" s="1970"/>
      <c r="D33" s="1971"/>
      <c r="E33" s="204">
        <f>E32-L32</f>
        <v>-13141</v>
      </c>
      <c r="F33" s="204">
        <f>F32-M32</f>
        <v>-56530</v>
      </c>
      <c r="G33" s="204">
        <f>G32-N32</f>
        <v>34711</v>
      </c>
      <c r="H33" s="203" t="s">
        <v>729</v>
      </c>
      <c r="I33" s="1969" t="s">
        <v>730</v>
      </c>
      <c r="J33" s="1970"/>
      <c r="K33" s="1971"/>
      <c r="L33" s="172"/>
      <c r="M33" s="172"/>
      <c r="N33" s="172"/>
    </row>
    <row r="34" spans="1:17" ht="15" customHeight="1">
      <c r="A34" s="171" t="s">
        <v>732</v>
      </c>
      <c r="B34" s="1969" t="s">
        <v>733</v>
      </c>
      <c r="C34" s="1970"/>
      <c r="D34" s="1971"/>
      <c r="E34" s="176">
        <v>13141</v>
      </c>
      <c r="F34" s="176">
        <v>56530</v>
      </c>
      <c r="G34" s="176">
        <f>-6853+30730</f>
        <v>23877</v>
      </c>
      <c r="H34" s="205" t="s">
        <v>732</v>
      </c>
      <c r="I34" s="1993" t="s">
        <v>3709</v>
      </c>
      <c r="J34" s="1994"/>
      <c r="K34" s="1995"/>
      <c r="L34" s="206"/>
      <c r="M34" s="206"/>
      <c r="N34" s="206"/>
      <c r="P34" s="169">
        <f>167828-P35</f>
        <v>9832</v>
      </c>
      <c r="Q34" s="181"/>
    </row>
    <row r="35" spans="1:16" ht="12.75">
      <c r="A35" s="171" t="s">
        <v>734</v>
      </c>
      <c r="B35" s="1974" t="s">
        <v>4262</v>
      </c>
      <c r="C35" s="1975"/>
      <c r="D35" s="1976"/>
      <c r="E35" s="176">
        <f>E32+E34</f>
        <v>467649</v>
      </c>
      <c r="F35" s="176">
        <f>F32+F34</f>
        <v>677137</v>
      </c>
      <c r="G35" s="176">
        <f>G32+G34</f>
        <v>674447</v>
      </c>
      <c r="H35" s="177"/>
      <c r="I35" s="1996" t="s">
        <v>4262</v>
      </c>
      <c r="J35" s="1996"/>
      <c r="K35" s="1996"/>
      <c r="L35" s="172">
        <f>L32</f>
        <v>467649</v>
      </c>
      <c r="M35" s="172">
        <f>M32</f>
        <v>677137</v>
      </c>
      <c r="N35" s="172">
        <f>N32</f>
        <v>615859</v>
      </c>
      <c r="P35" s="169">
        <f>N35-N18</f>
        <v>157996</v>
      </c>
    </row>
    <row r="36" spans="1:14" ht="12.75">
      <c r="A36" s="1988" t="s">
        <v>669</v>
      </c>
      <c r="B36" s="1988"/>
      <c r="C36" s="1988"/>
      <c r="D36" s="1988"/>
      <c r="E36" s="1988"/>
      <c r="F36" s="1988"/>
      <c r="G36" s="1989"/>
      <c r="H36" s="1990" t="s">
        <v>670</v>
      </c>
      <c r="I36" s="1990"/>
      <c r="J36" s="1990"/>
      <c r="K36" s="1990"/>
      <c r="L36" s="1990"/>
      <c r="M36" s="1990"/>
      <c r="N36" s="1990"/>
    </row>
    <row r="37" spans="1:14" ht="24" customHeight="1">
      <c r="A37" s="2001" t="s">
        <v>671</v>
      </c>
      <c r="B37" s="2002"/>
      <c r="C37" s="2002"/>
      <c r="D37" s="2003"/>
      <c r="E37" s="1697" t="s">
        <v>672</v>
      </c>
      <c r="F37" s="1697" t="s">
        <v>673</v>
      </c>
      <c r="G37" s="1697" t="s">
        <v>4220</v>
      </c>
      <c r="H37" s="2001" t="s">
        <v>671</v>
      </c>
      <c r="I37" s="2002"/>
      <c r="J37" s="2002"/>
      <c r="K37" s="2003"/>
      <c r="L37" s="1697" t="s">
        <v>672</v>
      </c>
      <c r="M37" s="1697" t="s">
        <v>673</v>
      </c>
      <c r="N37" s="1697" t="s">
        <v>4220</v>
      </c>
    </row>
    <row r="38" spans="1:14" ht="12.75">
      <c r="A38" s="196" t="s">
        <v>4264</v>
      </c>
      <c r="B38" s="1980" t="s">
        <v>4265</v>
      </c>
      <c r="C38" s="1980"/>
      <c r="D38" s="1980"/>
      <c r="H38" s="177"/>
      <c r="I38" s="172" t="s">
        <v>4029</v>
      </c>
      <c r="J38" s="1999" t="s">
        <v>4267</v>
      </c>
      <c r="K38" s="1999"/>
      <c r="L38" s="172">
        <v>1448619</v>
      </c>
      <c r="M38" s="172">
        <f>20835+41141</f>
        <v>61976</v>
      </c>
      <c r="N38" s="172">
        <f>20949+39055</f>
        <v>60004</v>
      </c>
    </row>
    <row r="39" spans="1:14" ht="12.75">
      <c r="A39" s="172"/>
      <c r="B39" s="196" t="s">
        <v>4029</v>
      </c>
      <c r="C39" s="1987" t="s">
        <v>3710</v>
      </c>
      <c r="D39" s="1987"/>
      <c r="E39" s="172"/>
      <c r="F39" s="172">
        <v>9165</v>
      </c>
      <c r="G39" s="194">
        <f>G42</f>
        <v>9165</v>
      </c>
      <c r="H39" s="177"/>
      <c r="I39" s="172" t="s">
        <v>4031</v>
      </c>
      <c r="J39" s="1999" t="s">
        <v>4154</v>
      </c>
      <c r="K39" s="1999"/>
      <c r="L39" s="172">
        <v>15189</v>
      </c>
      <c r="M39" s="172">
        <v>15189</v>
      </c>
      <c r="N39" s="172">
        <v>9249</v>
      </c>
    </row>
    <row r="40" spans="1:14" ht="12.75">
      <c r="A40" s="172"/>
      <c r="B40" s="177"/>
      <c r="C40" s="197" t="s">
        <v>4268</v>
      </c>
      <c r="D40" s="186" t="s">
        <v>4068</v>
      </c>
      <c r="E40" s="172"/>
      <c r="F40" s="172"/>
      <c r="G40" s="194"/>
      <c r="H40" s="177"/>
      <c r="I40" s="172" t="s">
        <v>4041</v>
      </c>
      <c r="J40" s="1999" t="s">
        <v>4270</v>
      </c>
      <c r="K40" s="1999"/>
      <c r="L40" s="172">
        <f>L41+L42+L43+L44</f>
        <v>0</v>
      </c>
      <c r="M40" s="172">
        <f>M41+M42+M43+M44</f>
        <v>4247</v>
      </c>
      <c r="N40" s="172">
        <f>N41+N42+N43+N44</f>
        <v>4303</v>
      </c>
    </row>
    <row r="41" spans="1:14" ht="12.75">
      <c r="A41" s="172"/>
      <c r="B41" s="177"/>
      <c r="C41" s="197" t="s">
        <v>4269</v>
      </c>
      <c r="D41" s="186" t="s">
        <v>4070</v>
      </c>
      <c r="E41" s="172"/>
      <c r="F41" s="172"/>
      <c r="G41" s="194"/>
      <c r="H41" s="177"/>
      <c r="I41" s="177"/>
      <c r="J41" s="197" t="s">
        <v>4272</v>
      </c>
      <c r="K41" s="186" t="s">
        <v>3704</v>
      </c>
      <c r="L41" s="172"/>
      <c r="M41" s="172"/>
      <c r="N41" s="172"/>
    </row>
    <row r="42" spans="1:14" ht="21">
      <c r="A42" s="172"/>
      <c r="B42" s="177"/>
      <c r="C42" s="197" t="s">
        <v>679</v>
      </c>
      <c r="D42" s="186" t="s">
        <v>4271</v>
      </c>
      <c r="E42" s="172"/>
      <c r="F42" s="172">
        <v>9165</v>
      </c>
      <c r="G42" s="194">
        <v>9165</v>
      </c>
      <c r="H42" s="177"/>
      <c r="I42" s="177"/>
      <c r="J42" s="197" t="s">
        <v>4275</v>
      </c>
      <c r="K42" s="198" t="s">
        <v>4276</v>
      </c>
      <c r="L42" s="172"/>
      <c r="M42" s="172">
        <v>4147</v>
      </c>
      <c r="N42" s="172">
        <v>4203</v>
      </c>
    </row>
    <row r="43" spans="1:14" ht="12.75">
      <c r="A43" s="172"/>
      <c r="B43" s="196" t="s">
        <v>4031</v>
      </c>
      <c r="C43" s="1980" t="s">
        <v>4278</v>
      </c>
      <c r="D43" s="1980"/>
      <c r="E43" s="172">
        <f>E44+E45</f>
        <v>973164</v>
      </c>
      <c r="F43" s="172">
        <f>F44+F45</f>
        <v>58918</v>
      </c>
      <c r="G43" s="194">
        <f>G44+G45</f>
        <v>53455</v>
      </c>
      <c r="H43" s="177"/>
      <c r="I43" s="177"/>
      <c r="J43" s="197" t="s">
        <v>4277</v>
      </c>
      <c r="K43" s="187" t="s">
        <v>3684</v>
      </c>
      <c r="L43" s="172"/>
      <c r="M43" s="172"/>
      <c r="N43" s="172"/>
    </row>
    <row r="44" spans="1:14" ht="12.75">
      <c r="A44" s="172"/>
      <c r="B44" s="177"/>
      <c r="C44" s="197" t="s">
        <v>684</v>
      </c>
      <c r="D44" s="186" t="s">
        <v>659</v>
      </c>
      <c r="E44" s="172"/>
      <c r="F44" s="172"/>
      <c r="G44" s="194"/>
      <c r="H44" s="177"/>
      <c r="I44" s="177"/>
      <c r="J44" s="197" t="s">
        <v>3686</v>
      </c>
      <c r="K44" s="187" t="s">
        <v>3687</v>
      </c>
      <c r="L44" s="172"/>
      <c r="M44" s="172">
        <v>100</v>
      </c>
      <c r="N44" s="172">
        <v>100</v>
      </c>
    </row>
    <row r="45" spans="1:14" ht="12.75">
      <c r="A45" s="172"/>
      <c r="B45" s="177"/>
      <c r="C45" s="197" t="s">
        <v>687</v>
      </c>
      <c r="D45" s="186" t="s">
        <v>3685</v>
      </c>
      <c r="E45" s="172">
        <v>973164</v>
      </c>
      <c r="F45" s="194">
        <f>2160+36362+20396</f>
        <v>58918</v>
      </c>
      <c r="G45" s="194">
        <v>53455</v>
      </c>
      <c r="H45" s="177"/>
      <c r="I45" s="177" t="s">
        <v>4166</v>
      </c>
      <c r="J45" s="1997" t="s">
        <v>3689</v>
      </c>
      <c r="K45" s="1998"/>
      <c r="L45" s="172">
        <v>1862</v>
      </c>
      <c r="M45" s="172"/>
      <c r="N45" s="172"/>
    </row>
    <row r="46" spans="1:14" ht="12.75">
      <c r="A46" s="172"/>
      <c r="B46" s="196">
        <v>3</v>
      </c>
      <c r="C46" s="1983" t="s">
        <v>3688</v>
      </c>
      <c r="D46" s="1983"/>
      <c r="E46" s="172">
        <f>E47+E48+E49</f>
        <v>0</v>
      </c>
      <c r="F46" s="172">
        <f>F47+F48+F49</f>
        <v>33236</v>
      </c>
      <c r="G46" s="194">
        <f>G47+G48+G49</f>
        <v>28861</v>
      </c>
      <c r="H46" s="177"/>
      <c r="I46" s="177" t="s">
        <v>4061</v>
      </c>
      <c r="J46" s="1997" t="s">
        <v>707</v>
      </c>
      <c r="K46" s="2000"/>
      <c r="L46" s="172"/>
      <c r="M46" s="172">
        <v>7807</v>
      </c>
      <c r="N46" s="172"/>
    </row>
    <row r="47" spans="1:14" ht="21">
      <c r="A47" s="172"/>
      <c r="B47" s="177"/>
      <c r="C47" s="197" t="s">
        <v>4272</v>
      </c>
      <c r="D47" s="186" t="s">
        <v>4097</v>
      </c>
      <c r="E47" s="172"/>
      <c r="F47" s="172">
        <f>-20+11041</f>
        <v>11021</v>
      </c>
      <c r="G47" s="194">
        <f>-20+11096</f>
        <v>11076</v>
      </c>
      <c r="H47" s="177"/>
      <c r="I47" s="177"/>
      <c r="J47" s="177"/>
      <c r="K47" s="172"/>
      <c r="L47" s="172"/>
      <c r="M47" s="172"/>
      <c r="N47" s="172"/>
    </row>
    <row r="48" spans="1:14" ht="12.75">
      <c r="A48" s="172"/>
      <c r="B48" s="177"/>
      <c r="C48" s="197" t="s">
        <v>4275</v>
      </c>
      <c r="D48" s="186" t="s">
        <v>3691</v>
      </c>
      <c r="E48" s="172"/>
      <c r="F48" s="172">
        <f>4430+17767</f>
        <v>22197</v>
      </c>
      <c r="G48" s="194">
        <v>17767</v>
      </c>
      <c r="H48" s="177"/>
      <c r="I48" s="177"/>
      <c r="J48" s="177"/>
      <c r="K48" s="172"/>
      <c r="L48" s="172"/>
      <c r="M48" s="172"/>
      <c r="N48" s="172"/>
    </row>
    <row r="49" spans="1:14" ht="12.75">
      <c r="A49" s="172"/>
      <c r="B49" s="177"/>
      <c r="C49" s="197" t="s">
        <v>4277</v>
      </c>
      <c r="D49" s="187" t="s">
        <v>3692</v>
      </c>
      <c r="E49" s="172"/>
      <c r="F49" s="172">
        <v>18</v>
      </c>
      <c r="G49" s="194">
        <v>18</v>
      </c>
      <c r="H49" s="177"/>
      <c r="I49" s="177"/>
      <c r="J49" s="177"/>
      <c r="K49" s="172"/>
      <c r="L49" s="172"/>
      <c r="M49" s="172"/>
      <c r="N49" s="172"/>
    </row>
    <row r="50" spans="1:14" ht="12.75">
      <c r="A50" s="172"/>
      <c r="B50" s="185">
        <v>4</v>
      </c>
      <c r="C50" s="1980" t="s">
        <v>3693</v>
      </c>
      <c r="D50" s="1980"/>
      <c r="E50" s="172">
        <v>129844</v>
      </c>
      <c r="F50" s="194">
        <v>7480</v>
      </c>
      <c r="G50" s="194">
        <v>4000</v>
      </c>
      <c r="H50" s="177"/>
      <c r="I50" s="185"/>
      <c r="J50" s="185"/>
      <c r="K50" s="185"/>
      <c r="L50" s="172"/>
      <c r="M50" s="172"/>
      <c r="N50" s="172"/>
    </row>
    <row r="51" spans="1:14" ht="12.75">
      <c r="A51" s="172"/>
      <c r="B51" s="185" t="s">
        <v>4061</v>
      </c>
      <c r="C51" s="1969" t="s">
        <v>3711</v>
      </c>
      <c r="D51" s="1971"/>
      <c r="E51" s="172">
        <f>E52</f>
        <v>303573</v>
      </c>
      <c r="F51" s="172">
        <f>F52</f>
        <v>0</v>
      </c>
      <c r="G51" s="194"/>
      <c r="H51" s="177"/>
      <c r="I51" s="185"/>
      <c r="J51" s="185"/>
      <c r="K51" s="185"/>
      <c r="L51" s="172"/>
      <c r="M51" s="172"/>
      <c r="N51" s="172"/>
    </row>
    <row r="52" spans="1:14" ht="12.75">
      <c r="A52" s="172"/>
      <c r="B52" s="185"/>
      <c r="C52" s="197" t="s">
        <v>4063</v>
      </c>
      <c r="D52" s="192" t="s">
        <v>3695</v>
      </c>
      <c r="E52" s="172">
        <v>303573</v>
      </c>
      <c r="F52" s="172"/>
      <c r="G52" s="194"/>
      <c r="H52" s="177"/>
      <c r="I52" s="177"/>
      <c r="J52" s="177"/>
      <c r="K52" s="172"/>
      <c r="L52" s="172"/>
      <c r="M52" s="172"/>
      <c r="N52" s="172"/>
    </row>
    <row r="53" spans="1:14" ht="12.75">
      <c r="A53" s="172"/>
      <c r="B53" s="185" t="s">
        <v>4074</v>
      </c>
      <c r="C53" s="1981" t="s">
        <v>3696</v>
      </c>
      <c r="D53" s="1982"/>
      <c r="E53" s="172"/>
      <c r="F53" s="172"/>
      <c r="G53" s="172"/>
      <c r="H53" s="177"/>
      <c r="I53" s="1980"/>
      <c r="J53" s="1980"/>
      <c r="K53" s="1980"/>
      <c r="L53" s="172"/>
      <c r="M53" s="172"/>
      <c r="N53" s="172"/>
    </row>
    <row r="54" spans="1:14" ht="12.75">
      <c r="A54" s="172" t="s">
        <v>3712</v>
      </c>
      <c r="B54" s="1969" t="s">
        <v>3697</v>
      </c>
      <c r="C54" s="1970"/>
      <c r="D54" s="1971"/>
      <c r="E54" s="171">
        <f>E40+E43+E46+E50+E51+E53</f>
        <v>1406581</v>
      </c>
      <c r="F54" s="171">
        <f>F39+F43+F46+F50+F51+F53</f>
        <v>108799</v>
      </c>
      <c r="G54" s="171">
        <f>G39+G43+G46+G50+G51+G53</f>
        <v>95481</v>
      </c>
      <c r="H54" s="177"/>
      <c r="I54" s="1980" t="s">
        <v>3713</v>
      </c>
      <c r="J54" s="1980"/>
      <c r="K54" s="1980"/>
      <c r="L54" s="171">
        <f>L38+L39+L45</f>
        <v>1465670</v>
      </c>
      <c r="M54" s="171">
        <f>M38+M39+M45+M40+M46</f>
        <v>89219</v>
      </c>
      <c r="N54" s="171">
        <f>N38+N39+N45+N40</f>
        <v>73556</v>
      </c>
    </row>
    <row r="55" spans="1:14" ht="12.75">
      <c r="A55" s="172" t="s">
        <v>3714</v>
      </c>
      <c r="B55" s="1969" t="s">
        <v>3698</v>
      </c>
      <c r="C55" s="1970"/>
      <c r="D55" s="1971"/>
      <c r="E55" s="171">
        <f>E54-L54</f>
        <v>-59089</v>
      </c>
      <c r="F55" s="171">
        <f>F54-M54</f>
        <v>19580</v>
      </c>
      <c r="G55" s="171">
        <f>G54-N54</f>
        <v>21925</v>
      </c>
      <c r="H55" s="177"/>
      <c r="I55" s="1969" t="s">
        <v>3698</v>
      </c>
      <c r="J55" s="1970"/>
      <c r="K55" s="1971"/>
      <c r="L55" s="172"/>
      <c r="M55" s="172"/>
      <c r="N55" s="172"/>
    </row>
    <row r="56" spans="1:14" ht="12.75">
      <c r="A56" s="172" t="s">
        <v>3715</v>
      </c>
      <c r="B56" s="1977" t="s">
        <v>3716</v>
      </c>
      <c r="C56" s="1978"/>
      <c r="D56" s="1979"/>
      <c r="E56" s="172">
        <v>0</v>
      </c>
      <c r="F56" s="172">
        <v>-19580</v>
      </c>
      <c r="G56" s="172">
        <f>-9620+28172</f>
        <v>18552</v>
      </c>
      <c r="H56" s="177"/>
      <c r="I56" s="177"/>
      <c r="J56" s="177"/>
      <c r="K56" s="172"/>
      <c r="L56" s="172"/>
      <c r="M56" s="172"/>
      <c r="N56" s="172"/>
    </row>
    <row r="57" spans="1:14" ht="12.75">
      <c r="A57" s="172" t="s">
        <v>3717</v>
      </c>
      <c r="B57" s="1977" t="s">
        <v>3718</v>
      </c>
      <c r="C57" s="1978"/>
      <c r="D57" s="1979"/>
      <c r="E57" s="172"/>
      <c r="F57" s="172"/>
      <c r="G57" s="172"/>
      <c r="H57" s="177"/>
      <c r="I57" s="189"/>
      <c r="J57" s="182"/>
      <c r="K57" s="207"/>
      <c r="L57" s="172"/>
      <c r="M57" s="172"/>
      <c r="N57" s="172"/>
    </row>
    <row r="58" spans="1:14" ht="12.75">
      <c r="A58" s="172" t="s">
        <v>3719</v>
      </c>
      <c r="B58" s="1969" t="s">
        <v>3720</v>
      </c>
      <c r="C58" s="1970"/>
      <c r="D58" s="1971"/>
      <c r="E58" s="171">
        <v>59089</v>
      </c>
      <c r="F58" s="171"/>
      <c r="G58" s="171"/>
      <c r="H58" s="177"/>
      <c r="I58" s="189"/>
      <c r="J58" s="182"/>
      <c r="K58" s="207"/>
      <c r="L58" s="172"/>
      <c r="M58" s="172"/>
      <c r="N58" s="172"/>
    </row>
    <row r="59" spans="1:16" ht="12.75">
      <c r="A59" s="172" t="s">
        <v>3721</v>
      </c>
      <c r="B59" s="1974" t="s">
        <v>3722</v>
      </c>
      <c r="C59" s="1975"/>
      <c r="D59" s="1976"/>
      <c r="E59" s="171">
        <f>E54+E56+E58</f>
        <v>1465670</v>
      </c>
      <c r="F59" s="171">
        <f>F54+F58+F56</f>
        <v>89219</v>
      </c>
      <c r="G59" s="171">
        <f>G54+G58+G56</f>
        <v>114033</v>
      </c>
      <c r="H59" s="177"/>
      <c r="I59" s="1974" t="s">
        <v>3722</v>
      </c>
      <c r="J59" s="1975"/>
      <c r="K59" s="1976"/>
      <c r="L59" s="171">
        <f>L54</f>
        <v>1465670</v>
      </c>
      <c r="M59" s="171">
        <f>M54</f>
        <v>89219</v>
      </c>
      <c r="N59" s="171">
        <f>N54</f>
        <v>73556</v>
      </c>
      <c r="P59" s="169">
        <f>N59+N127</f>
        <v>83196</v>
      </c>
    </row>
    <row r="60" spans="1:19" ht="12.75">
      <c r="A60" s="208"/>
      <c r="B60" s="209"/>
      <c r="C60" s="209"/>
      <c r="D60" s="208"/>
      <c r="E60" s="210"/>
      <c r="F60" s="210"/>
      <c r="G60" s="210"/>
      <c r="H60" s="209"/>
      <c r="I60" s="209"/>
      <c r="J60" s="209"/>
      <c r="K60" s="208"/>
      <c r="L60" s="208"/>
      <c r="M60" s="208"/>
      <c r="N60" s="208"/>
      <c r="R60" s="169">
        <f>N60-P60</f>
        <v>0</v>
      </c>
      <c r="S60" s="169" t="s">
        <v>1084</v>
      </c>
    </row>
    <row r="61" spans="6:7" ht="12.75">
      <c r="F61" s="181"/>
      <c r="G61" s="181"/>
    </row>
    <row r="62" ht="12.75">
      <c r="G62" s="181"/>
    </row>
    <row r="63" ht="12.75">
      <c r="G63" s="181"/>
    </row>
    <row r="64" ht="12.75">
      <c r="G64" s="181"/>
    </row>
    <row r="65" ht="12.75">
      <c r="G65" s="181"/>
    </row>
    <row r="70" spans="1:14" ht="12.75">
      <c r="A70" s="2005" t="s">
        <v>2781</v>
      </c>
      <c r="B70" s="2005"/>
      <c r="C70" s="2005"/>
      <c r="D70" s="2005"/>
      <c r="E70" s="2005"/>
      <c r="F70" s="2005"/>
      <c r="G70" s="2005"/>
      <c r="H70" s="2005"/>
      <c r="I70" s="2005"/>
      <c r="J70" s="2005"/>
      <c r="K70" s="2005"/>
      <c r="L70" s="2005"/>
      <c r="M70" s="2005"/>
      <c r="N70" s="2005"/>
    </row>
    <row r="71" spans="1:14" ht="12.75">
      <c r="A71" s="2006" t="s">
        <v>669</v>
      </c>
      <c r="B71" s="1988"/>
      <c r="C71" s="1988"/>
      <c r="D71" s="1988"/>
      <c r="E71" s="1988"/>
      <c r="F71" s="1988"/>
      <c r="G71" s="1989"/>
      <c r="H71" s="2006" t="s">
        <v>670</v>
      </c>
      <c r="I71" s="1988"/>
      <c r="J71" s="1988"/>
      <c r="K71" s="1988"/>
      <c r="L71" s="1988"/>
      <c r="M71" s="1988"/>
      <c r="N71" s="1988"/>
    </row>
    <row r="72" spans="1:14" ht="21" customHeight="1">
      <c r="A72" s="2001" t="s">
        <v>671</v>
      </c>
      <c r="B72" s="2002"/>
      <c r="C72" s="2002"/>
      <c r="D72" s="2003"/>
      <c r="E72" s="1697" t="s">
        <v>672</v>
      </c>
      <c r="F72" s="1697" t="s">
        <v>673</v>
      </c>
      <c r="G72" s="1697" t="s">
        <v>4220</v>
      </c>
      <c r="H72" s="2001" t="s">
        <v>671</v>
      </c>
      <c r="I72" s="2002"/>
      <c r="J72" s="2002"/>
      <c r="K72" s="2003"/>
      <c r="L72" s="1697" t="s">
        <v>672</v>
      </c>
      <c r="M72" s="1697" t="s">
        <v>673</v>
      </c>
      <c r="N72" s="1697" t="s">
        <v>4220</v>
      </c>
    </row>
    <row r="73" spans="1:14" ht="12.75">
      <c r="A73" s="171" t="s">
        <v>675</v>
      </c>
      <c r="B73" s="1980" t="s">
        <v>676</v>
      </c>
      <c r="C73" s="1980"/>
      <c r="D73" s="1980"/>
      <c r="E73" s="194"/>
      <c r="F73" s="194"/>
      <c r="G73" s="194"/>
      <c r="H73" s="1696" t="s">
        <v>675</v>
      </c>
      <c r="I73" s="1987" t="s">
        <v>676</v>
      </c>
      <c r="J73" s="1987"/>
      <c r="K73" s="1987"/>
      <c r="L73" s="172"/>
      <c r="M73" s="172"/>
      <c r="N73" s="172"/>
    </row>
    <row r="74" spans="1:16" ht="12.75">
      <c r="A74" s="174"/>
      <c r="B74" s="175">
        <v>1</v>
      </c>
      <c r="C74" s="1970" t="s">
        <v>677</v>
      </c>
      <c r="D74" s="1971"/>
      <c r="E74" s="176">
        <f>E75+E76+E78+E77</f>
        <v>1890</v>
      </c>
      <c r="F74" s="176">
        <f>F75+F76+F78+F77</f>
        <v>1890</v>
      </c>
      <c r="G74" s="176">
        <f>G75+G76+G78+G77</f>
        <v>2379</v>
      </c>
      <c r="H74" s="177"/>
      <c r="I74" s="178" t="s">
        <v>4029</v>
      </c>
      <c r="J74" s="1999" t="s">
        <v>4136</v>
      </c>
      <c r="K74" s="1999"/>
      <c r="L74" s="172">
        <v>2057</v>
      </c>
      <c r="M74" s="211">
        <v>2111</v>
      </c>
      <c r="N74" s="172">
        <v>1882</v>
      </c>
      <c r="P74" s="169">
        <f>L74-2057</f>
        <v>0</v>
      </c>
    </row>
    <row r="75" spans="1:14" ht="12.75">
      <c r="A75" s="174"/>
      <c r="B75" s="182"/>
      <c r="C75" s="183" t="s">
        <v>4135</v>
      </c>
      <c r="D75" s="199" t="s">
        <v>4034</v>
      </c>
      <c r="E75" s="172"/>
      <c r="F75" s="172"/>
      <c r="G75" s="172"/>
      <c r="H75" s="177"/>
      <c r="I75" s="178" t="s">
        <v>4031</v>
      </c>
      <c r="J75" s="1999" t="s">
        <v>4138</v>
      </c>
      <c r="K75" s="1999"/>
      <c r="L75" s="172">
        <v>316</v>
      </c>
      <c r="M75" s="211">
        <v>321</v>
      </c>
      <c r="N75" s="172">
        <v>305</v>
      </c>
    </row>
    <row r="76" spans="1:14" ht="12.75">
      <c r="A76" s="172"/>
      <c r="B76" s="177"/>
      <c r="C76" s="184" t="s">
        <v>4137</v>
      </c>
      <c r="D76" s="199" t="s">
        <v>4036</v>
      </c>
      <c r="E76" s="172"/>
      <c r="F76" s="200"/>
      <c r="G76" s="172"/>
      <c r="H76" s="177"/>
      <c r="I76" s="178" t="s">
        <v>4041</v>
      </c>
      <c r="J76" s="1999" t="s">
        <v>4140</v>
      </c>
      <c r="K76" s="1999"/>
      <c r="L76" s="172">
        <v>4614</v>
      </c>
      <c r="M76" s="211">
        <v>1644</v>
      </c>
      <c r="N76" s="172">
        <v>1190</v>
      </c>
    </row>
    <row r="77" spans="1:14" ht="12.75">
      <c r="A77" s="172"/>
      <c r="B77" s="177"/>
      <c r="C77" s="184" t="s">
        <v>679</v>
      </c>
      <c r="D77" s="199" t="s">
        <v>4038</v>
      </c>
      <c r="E77" s="172"/>
      <c r="F77" s="172"/>
      <c r="G77" s="172"/>
      <c r="H77" s="177"/>
      <c r="I77" s="178" t="s">
        <v>4166</v>
      </c>
      <c r="J77" s="1999" t="s">
        <v>4142</v>
      </c>
      <c r="K77" s="1999"/>
      <c r="L77" s="172"/>
      <c r="M77" s="211"/>
      <c r="N77" s="172"/>
    </row>
    <row r="78" spans="1:14" ht="12.75" customHeight="1">
      <c r="A78" s="172"/>
      <c r="B78" s="177"/>
      <c r="C78" s="184" t="s">
        <v>680</v>
      </c>
      <c r="D78" s="199" t="s">
        <v>4040</v>
      </c>
      <c r="E78" s="176">
        <v>1890</v>
      </c>
      <c r="F78" s="172">
        <v>1890</v>
      </c>
      <c r="G78" s="172">
        <v>2379</v>
      </c>
      <c r="H78" s="177"/>
      <c r="I78" s="178" t="s">
        <v>4061</v>
      </c>
      <c r="J78" s="1999" t="s">
        <v>4144</v>
      </c>
      <c r="K78" s="1999"/>
      <c r="L78" s="172">
        <f>L79+L80+L81+L82+L83</f>
        <v>2159</v>
      </c>
      <c r="M78" s="172">
        <f>M79+M80+M81+M82+M83+M84</f>
        <v>6909</v>
      </c>
      <c r="N78" s="172">
        <f>N79+N80+N81+N82+N83+N84</f>
        <v>6455</v>
      </c>
    </row>
    <row r="79" spans="1:14" ht="12.75">
      <c r="A79" s="172"/>
      <c r="B79" s="185" t="s">
        <v>4031</v>
      </c>
      <c r="C79" s="1980" t="s">
        <v>682</v>
      </c>
      <c r="D79" s="1980"/>
      <c r="E79" s="172">
        <f>SUM(E80:E85)</f>
        <v>0</v>
      </c>
      <c r="F79" s="172">
        <f>SUM(F80:F85)</f>
        <v>0</v>
      </c>
      <c r="G79" s="172">
        <f>SUM(G80:G85)</f>
        <v>0</v>
      </c>
      <c r="H79" s="177"/>
      <c r="I79" s="177"/>
      <c r="J79" s="184" t="s">
        <v>4063</v>
      </c>
      <c r="K79" s="186" t="s">
        <v>683</v>
      </c>
      <c r="L79" s="172"/>
      <c r="M79" s="211"/>
      <c r="N79" s="172"/>
    </row>
    <row r="80" spans="1:14" ht="12.75">
      <c r="A80" s="172"/>
      <c r="B80" s="177"/>
      <c r="C80" s="184" t="s">
        <v>684</v>
      </c>
      <c r="D80" s="186" t="s">
        <v>4046</v>
      </c>
      <c r="E80" s="172"/>
      <c r="F80" s="172"/>
      <c r="G80" s="172"/>
      <c r="H80" s="177"/>
      <c r="I80" s="177"/>
      <c r="J80" s="184" t="s">
        <v>4064</v>
      </c>
      <c r="K80" s="187" t="s">
        <v>686</v>
      </c>
      <c r="L80" s="172"/>
      <c r="M80" s="211"/>
      <c r="N80" s="172"/>
    </row>
    <row r="81" spans="1:14" ht="12.75">
      <c r="A81" s="172"/>
      <c r="B81" s="177"/>
      <c r="C81" s="184" t="s">
        <v>687</v>
      </c>
      <c r="D81" s="186" t="s">
        <v>4048</v>
      </c>
      <c r="E81" s="172"/>
      <c r="F81" s="172"/>
      <c r="G81" s="172"/>
      <c r="H81" s="177"/>
      <c r="I81" s="177"/>
      <c r="J81" s="184" t="s">
        <v>4065</v>
      </c>
      <c r="K81" s="188" t="s">
        <v>688</v>
      </c>
      <c r="L81" s="172"/>
      <c r="M81" s="211"/>
      <c r="N81" s="172"/>
    </row>
    <row r="82" spans="1:14" ht="12.75">
      <c r="A82" s="172"/>
      <c r="B82" s="177"/>
      <c r="C82" s="184" t="s">
        <v>689</v>
      </c>
      <c r="D82" s="186" t="s">
        <v>4050</v>
      </c>
      <c r="E82" s="172"/>
      <c r="F82" s="172"/>
      <c r="G82" s="172"/>
      <c r="H82" s="177"/>
      <c r="I82" s="177"/>
      <c r="J82" s="184" t="s">
        <v>4066</v>
      </c>
      <c r="K82" s="186" t="s">
        <v>3703</v>
      </c>
      <c r="L82" s="172">
        <v>1159</v>
      </c>
      <c r="M82" s="211">
        <v>4159</v>
      </c>
      <c r="N82" s="172">
        <v>3710</v>
      </c>
    </row>
    <row r="83" spans="1:14" ht="12.75">
      <c r="A83" s="172"/>
      <c r="B83" s="177"/>
      <c r="C83" s="184" t="s">
        <v>691</v>
      </c>
      <c r="D83" s="186" t="s">
        <v>695</v>
      </c>
      <c r="E83" s="172"/>
      <c r="F83" s="172"/>
      <c r="G83" s="172"/>
      <c r="H83" s="177"/>
      <c r="I83" s="177"/>
      <c r="J83" s="184" t="s">
        <v>692</v>
      </c>
      <c r="K83" s="186" t="s">
        <v>693</v>
      </c>
      <c r="L83" s="172">
        <v>1000</v>
      </c>
      <c r="M83" s="211">
        <v>1000</v>
      </c>
      <c r="N83" s="172">
        <v>995</v>
      </c>
    </row>
    <row r="84" spans="1:14" ht="12.75">
      <c r="A84" s="172"/>
      <c r="B84" s="177"/>
      <c r="C84" s="184" t="s">
        <v>694</v>
      </c>
      <c r="D84" s="186" t="s">
        <v>4056</v>
      </c>
      <c r="E84" s="172"/>
      <c r="F84" s="172"/>
      <c r="G84" s="172"/>
      <c r="H84" s="177"/>
      <c r="I84" s="177"/>
      <c r="J84" s="184" t="s">
        <v>696</v>
      </c>
      <c r="K84" s="186" t="s">
        <v>3723</v>
      </c>
      <c r="L84" s="172"/>
      <c r="M84" s="172">
        <v>1750</v>
      </c>
      <c r="N84" s="172">
        <v>1750</v>
      </c>
    </row>
    <row r="85" spans="1:14" ht="12.75">
      <c r="A85" s="172"/>
      <c r="B85" s="177"/>
      <c r="C85" s="184" t="s">
        <v>698</v>
      </c>
      <c r="D85" s="186" t="s">
        <v>4058</v>
      </c>
      <c r="E85" s="172"/>
      <c r="F85" s="172"/>
      <c r="G85" s="172"/>
      <c r="H85" s="177"/>
      <c r="I85" s="177"/>
      <c r="J85" s="184" t="s">
        <v>699</v>
      </c>
      <c r="K85" s="186" t="s">
        <v>700</v>
      </c>
      <c r="L85" s="172"/>
      <c r="M85" s="172"/>
      <c r="N85" s="172"/>
    </row>
    <row r="86" spans="1:14" ht="12.75">
      <c r="A86" s="172"/>
      <c r="B86" s="185" t="s">
        <v>4041</v>
      </c>
      <c r="C86" s="1980" t="s">
        <v>704</v>
      </c>
      <c r="D86" s="1980"/>
      <c r="E86" s="172"/>
      <c r="F86" s="172"/>
      <c r="G86" s="172"/>
      <c r="H86" s="177"/>
      <c r="I86" s="177"/>
      <c r="J86" s="184" t="s">
        <v>702</v>
      </c>
      <c r="K86" s="172" t="s">
        <v>703</v>
      </c>
      <c r="L86" s="172"/>
      <c r="M86" s="172"/>
      <c r="N86" s="172"/>
    </row>
    <row r="87" spans="1:14" ht="12.75">
      <c r="A87" s="172"/>
      <c r="B87" s="185" t="s">
        <v>4166</v>
      </c>
      <c r="C87" s="1980" t="s">
        <v>706</v>
      </c>
      <c r="D87" s="1980"/>
      <c r="E87" s="172">
        <f>E88+E89+E90+E91+E92</f>
        <v>0</v>
      </c>
      <c r="F87" s="172">
        <f>F88+F89+F90+F91+F92</f>
        <v>0</v>
      </c>
      <c r="G87" s="172">
        <f>G88+G89+G90+G91+G92</f>
        <v>0</v>
      </c>
      <c r="H87" s="177"/>
      <c r="I87" s="177" t="s">
        <v>4074</v>
      </c>
      <c r="J87" s="1997" t="s">
        <v>707</v>
      </c>
      <c r="K87" s="1998"/>
      <c r="L87" s="172"/>
      <c r="M87" s="172"/>
      <c r="N87" s="172"/>
    </row>
    <row r="88" spans="1:14" ht="12.75">
      <c r="A88" s="172"/>
      <c r="B88" s="177"/>
      <c r="C88" s="184" t="s">
        <v>708</v>
      </c>
      <c r="D88" s="186" t="s">
        <v>709</v>
      </c>
      <c r="E88" s="172"/>
      <c r="F88" s="172"/>
      <c r="G88" s="172"/>
      <c r="H88" s="177"/>
      <c r="I88" s="177"/>
      <c r="J88" s="177"/>
      <c r="K88" s="172"/>
      <c r="L88" s="172"/>
      <c r="M88" s="172"/>
      <c r="N88" s="172"/>
    </row>
    <row r="89" spans="1:14" ht="18.75" customHeight="1">
      <c r="A89" s="172"/>
      <c r="B89" s="177"/>
      <c r="C89" s="184" t="s">
        <v>710</v>
      </c>
      <c r="D89" s="191" t="s">
        <v>3705</v>
      </c>
      <c r="E89" s="172"/>
      <c r="F89" s="172"/>
      <c r="G89" s="172"/>
      <c r="H89" s="177"/>
      <c r="I89" s="177"/>
      <c r="J89" s="177"/>
      <c r="K89" s="172"/>
      <c r="L89" s="172"/>
      <c r="M89" s="172"/>
      <c r="N89" s="172"/>
    </row>
    <row r="90" spans="1:14" ht="21">
      <c r="A90" s="172"/>
      <c r="B90" s="177"/>
      <c r="C90" s="184" t="s">
        <v>712</v>
      </c>
      <c r="D90" s="191" t="s">
        <v>3706</v>
      </c>
      <c r="E90" s="172"/>
      <c r="F90" s="172"/>
      <c r="G90" s="172"/>
      <c r="H90" s="177"/>
      <c r="I90" s="177"/>
      <c r="J90" s="177"/>
      <c r="K90" s="172"/>
      <c r="L90" s="172"/>
      <c r="M90" s="172"/>
      <c r="N90" s="172"/>
    </row>
    <row r="91" spans="1:14" ht="10.5" customHeight="1">
      <c r="A91" s="172"/>
      <c r="B91" s="177"/>
      <c r="C91" s="184" t="s">
        <v>714</v>
      </c>
      <c r="D91" s="191" t="s">
        <v>3707</v>
      </c>
      <c r="E91" s="172"/>
      <c r="F91" s="172"/>
      <c r="G91" s="172"/>
      <c r="H91" s="177"/>
      <c r="I91" s="177"/>
      <c r="J91" s="177"/>
      <c r="K91" s="172"/>
      <c r="L91" s="172"/>
      <c r="M91" s="172"/>
      <c r="N91" s="172"/>
    </row>
    <row r="92" spans="1:14" ht="12.75">
      <c r="A92" s="172"/>
      <c r="B92" s="177"/>
      <c r="C92" s="184" t="s">
        <v>716</v>
      </c>
      <c r="D92" s="186" t="s">
        <v>4068</v>
      </c>
      <c r="E92" s="172"/>
      <c r="F92" s="172"/>
      <c r="G92" s="172"/>
      <c r="H92" s="177"/>
      <c r="I92" s="177"/>
      <c r="J92" s="177"/>
      <c r="K92" s="172"/>
      <c r="L92" s="172"/>
      <c r="M92" s="172"/>
      <c r="N92" s="172"/>
    </row>
    <row r="93" spans="1:14" ht="12.75">
      <c r="A93" s="172"/>
      <c r="B93" s="177"/>
      <c r="C93" s="184" t="s">
        <v>717</v>
      </c>
      <c r="D93" s="186" t="s">
        <v>4073</v>
      </c>
      <c r="E93" s="172"/>
      <c r="F93" s="172"/>
      <c r="G93" s="172"/>
      <c r="H93" s="177"/>
      <c r="I93" s="177"/>
      <c r="J93" s="177"/>
      <c r="K93" s="172"/>
      <c r="L93" s="172"/>
      <c r="M93" s="172"/>
      <c r="N93" s="172"/>
    </row>
    <row r="94" spans="1:14" ht="12.75">
      <c r="A94" s="172"/>
      <c r="B94" s="185" t="s">
        <v>4061</v>
      </c>
      <c r="C94" s="1969" t="s">
        <v>718</v>
      </c>
      <c r="D94" s="1971"/>
      <c r="E94" s="172">
        <f>E95+E96+E97</f>
        <v>600</v>
      </c>
      <c r="F94" s="172">
        <f>F95+F96+F97</f>
        <v>600</v>
      </c>
      <c r="G94" s="172">
        <f>G95+G96+G97</f>
        <v>600</v>
      </c>
      <c r="H94" s="177"/>
      <c r="I94" s="177"/>
      <c r="J94" s="177"/>
      <c r="K94" s="172"/>
      <c r="L94" s="172"/>
      <c r="M94" s="172"/>
      <c r="N94" s="172"/>
    </row>
    <row r="95" spans="1:14" ht="12.75" customHeight="1">
      <c r="A95" s="172"/>
      <c r="B95" s="177"/>
      <c r="C95" s="184" t="s">
        <v>4063</v>
      </c>
      <c r="D95" s="186" t="s">
        <v>3708</v>
      </c>
      <c r="E95" s="172"/>
      <c r="F95" s="172"/>
      <c r="G95" s="172"/>
      <c r="H95" s="177"/>
      <c r="I95" s="177"/>
      <c r="J95" s="177"/>
      <c r="K95" s="172"/>
      <c r="L95" s="172"/>
      <c r="M95" s="172"/>
      <c r="N95" s="172"/>
    </row>
    <row r="96" spans="1:14" ht="12.75">
      <c r="A96" s="172"/>
      <c r="B96" s="177"/>
      <c r="C96" s="184" t="s">
        <v>4064</v>
      </c>
      <c r="D96" s="186" t="s">
        <v>720</v>
      </c>
      <c r="E96" s="172"/>
      <c r="F96" s="172"/>
      <c r="G96" s="172"/>
      <c r="H96" s="177"/>
      <c r="I96" s="177"/>
      <c r="J96" s="177"/>
      <c r="K96" s="172"/>
      <c r="L96" s="172"/>
      <c r="M96" s="172"/>
      <c r="N96" s="172"/>
    </row>
    <row r="97" spans="1:14" ht="12.75">
      <c r="A97" s="172"/>
      <c r="B97" s="177"/>
      <c r="C97" s="184" t="s">
        <v>4065</v>
      </c>
      <c r="D97" s="186" t="s">
        <v>721</v>
      </c>
      <c r="E97" s="172">
        <v>600</v>
      </c>
      <c r="F97" s="172">
        <v>600</v>
      </c>
      <c r="G97" s="172">
        <v>600</v>
      </c>
      <c r="H97" s="177"/>
      <c r="I97" s="177"/>
      <c r="J97" s="177"/>
      <c r="K97" s="172"/>
      <c r="L97" s="172"/>
      <c r="M97" s="172"/>
      <c r="N97" s="172"/>
    </row>
    <row r="98" spans="1:14" ht="12.75">
      <c r="A98" s="172"/>
      <c r="B98" s="178" t="s">
        <v>4074</v>
      </c>
      <c r="C98" s="1980" t="s">
        <v>722</v>
      </c>
      <c r="D98" s="1980"/>
      <c r="E98" s="172"/>
      <c r="F98" s="172"/>
      <c r="G98" s="172"/>
      <c r="H98" s="177"/>
      <c r="I98" s="177"/>
      <c r="J98" s="177"/>
      <c r="K98" s="172"/>
      <c r="L98" s="172"/>
      <c r="M98" s="172"/>
      <c r="N98" s="172"/>
    </row>
    <row r="99" spans="1:14" ht="13.5" customHeight="1">
      <c r="A99" s="172"/>
      <c r="B99" s="193" t="s">
        <v>4195</v>
      </c>
      <c r="C99" s="1970" t="s">
        <v>723</v>
      </c>
      <c r="D99" s="1971"/>
      <c r="E99" s="176"/>
      <c r="F99" s="176"/>
      <c r="G99" s="176"/>
      <c r="H99" s="177"/>
      <c r="I99" s="177"/>
      <c r="J99" s="177"/>
      <c r="K99" s="172"/>
      <c r="L99" s="172"/>
      <c r="M99" s="172"/>
      <c r="N99" s="172"/>
    </row>
    <row r="100" spans="1:14" ht="14.25" customHeight="1">
      <c r="A100" s="171" t="s">
        <v>725</v>
      </c>
      <c r="B100" s="1969" t="s">
        <v>726</v>
      </c>
      <c r="C100" s="1970"/>
      <c r="D100" s="1971"/>
      <c r="E100" s="212">
        <f>E74+E79+E87+E94+E98+E86</f>
        <v>2490</v>
      </c>
      <c r="F100" s="212">
        <f>F74+F79+F87+F94+F98+F86</f>
        <v>2490</v>
      </c>
      <c r="G100" s="212">
        <f>G74+G79+G87+G94+G98+G86</f>
        <v>2979</v>
      </c>
      <c r="H100" s="173" t="s">
        <v>725</v>
      </c>
      <c r="I100" s="1980" t="s">
        <v>728</v>
      </c>
      <c r="J100" s="1980"/>
      <c r="K100" s="1980"/>
      <c r="L100" s="172">
        <f>L74+L75+L76+L78</f>
        <v>9146</v>
      </c>
      <c r="M100" s="172">
        <f>M74+M75+M76+M78</f>
        <v>10985</v>
      </c>
      <c r="N100" s="172">
        <f>N74+N75+N76+N78</f>
        <v>9832</v>
      </c>
    </row>
    <row r="101" spans="1:14" ht="12.75">
      <c r="A101" s="171" t="s">
        <v>729</v>
      </c>
      <c r="B101" s="1969" t="s">
        <v>730</v>
      </c>
      <c r="C101" s="1970"/>
      <c r="D101" s="1971"/>
      <c r="E101" s="213">
        <f>E100-L100</f>
        <v>-6656</v>
      </c>
      <c r="F101" s="213">
        <f>F100-M100</f>
        <v>-8495</v>
      </c>
      <c r="G101" s="213">
        <f>G100-N100</f>
        <v>-6853</v>
      </c>
      <c r="H101" s="203" t="s">
        <v>729</v>
      </c>
      <c r="I101" s="1969" t="s">
        <v>730</v>
      </c>
      <c r="J101" s="1970"/>
      <c r="K101" s="1971"/>
      <c r="L101" s="172"/>
      <c r="M101" s="172"/>
      <c r="N101" s="172"/>
    </row>
    <row r="102" spans="1:14" ht="12.75">
      <c r="A102" s="171" t="s">
        <v>732</v>
      </c>
      <c r="B102" s="1969" t="s">
        <v>733</v>
      </c>
      <c r="C102" s="1970"/>
      <c r="D102" s="1971"/>
      <c r="E102" s="212">
        <v>6656</v>
      </c>
      <c r="F102" s="212">
        <v>8495</v>
      </c>
      <c r="G102" s="212">
        <v>6853</v>
      </c>
      <c r="H102" s="205" t="s">
        <v>732</v>
      </c>
      <c r="I102" s="1993" t="s">
        <v>3709</v>
      </c>
      <c r="J102" s="1994"/>
      <c r="K102" s="1995"/>
      <c r="L102" s="206"/>
      <c r="M102" s="206"/>
      <c r="N102" s="206"/>
    </row>
    <row r="103" spans="1:14" ht="12.75">
      <c r="A103" s="171" t="s">
        <v>734</v>
      </c>
      <c r="B103" s="1996" t="s">
        <v>4262</v>
      </c>
      <c r="C103" s="1996"/>
      <c r="D103" s="1996"/>
      <c r="E103" s="212">
        <f>E100+E102</f>
        <v>9146</v>
      </c>
      <c r="F103" s="212">
        <f>F100+F102</f>
        <v>10985</v>
      </c>
      <c r="G103" s="212">
        <f>G100+G102</f>
        <v>9832</v>
      </c>
      <c r="H103" s="177"/>
      <c r="I103" s="1996" t="s">
        <v>4262</v>
      </c>
      <c r="J103" s="1996"/>
      <c r="K103" s="1996"/>
      <c r="L103" s="172">
        <f>L100</f>
        <v>9146</v>
      </c>
      <c r="M103" s="172">
        <f>M100</f>
        <v>10985</v>
      </c>
      <c r="N103" s="172">
        <f>N100</f>
        <v>9832</v>
      </c>
    </row>
    <row r="104" spans="1:14" ht="12.75">
      <c r="A104" s="1988" t="s">
        <v>669</v>
      </c>
      <c r="B104" s="1988"/>
      <c r="C104" s="1988"/>
      <c r="D104" s="1988"/>
      <c r="E104" s="1988"/>
      <c r="F104" s="1988"/>
      <c r="G104" s="1989"/>
      <c r="H104" s="1990" t="s">
        <v>670</v>
      </c>
      <c r="I104" s="1990"/>
      <c r="J104" s="1990"/>
      <c r="K104" s="1990"/>
      <c r="L104" s="1990"/>
      <c r="M104" s="1990"/>
      <c r="N104" s="1990"/>
    </row>
    <row r="105" spans="1:14" ht="42">
      <c r="A105" s="1984" t="s">
        <v>671</v>
      </c>
      <c r="B105" s="1985"/>
      <c r="C105" s="1985"/>
      <c r="D105" s="1986"/>
      <c r="E105" s="170" t="s">
        <v>672</v>
      </c>
      <c r="F105" s="170" t="s">
        <v>673</v>
      </c>
      <c r="G105" s="170" t="s">
        <v>674</v>
      </c>
      <c r="H105" s="1984" t="s">
        <v>671</v>
      </c>
      <c r="I105" s="1991"/>
      <c r="J105" s="1991"/>
      <c r="K105" s="1992"/>
      <c r="L105" s="170" t="s">
        <v>672</v>
      </c>
      <c r="M105" s="170" t="s">
        <v>673</v>
      </c>
      <c r="N105" s="170" t="s">
        <v>674</v>
      </c>
    </row>
    <row r="106" spans="1:14" ht="12.75">
      <c r="A106" s="196" t="s">
        <v>4264</v>
      </c>
      <c r="B106" s="1980" t="s">
        <v>4265</v>
      </c>
      <c r="C106" s="1980"/>
      <c r="D106" s="1980"/>
      <c r="E106" s="194">
        <f>E107+E108+E109</f>
        <v>0</v>
      </c>
      <c r="F106" s="194">
        <f>F107+F108+F109</f>
        <v>0</v>
      </c>
      <c r="G106" s="194">
        <f>G107+G108+G109</f>
        <v>0</v>
      </c>
      <c r="H106" s="196" t="s">
        <v>4264</v>
      </c>
      <c r="I106" s="1984" t="s">
        <v>4265</v>
      </c>
      <c r="J106" s="1985"/>
      <c r="K106" s="1986"/>
      <c r="L106" s="172"/>
      <c r="M106" s="172"/>
      <c r="N106" s="172"/>
    </row>
    <row r="107" spans="1:14" ht="12.75">
      <c r="A107" s="172"/>
      <c r="B107" s="196" t="s">
        <v>4029</v>
      </c>
      <c r="C107" s="1987" t="s">
        <v>4266</v>
      </c>
      <c r="D107" s="1987"/>
      <c r="E107" s="172"/>
      <c r="F107" s="172"/>
      <c r="G107" s="172"/>
      <c r="H107" s="177"/>
      <c r="I107" s="172" t="s">
        <v>4029</v>
      </c>
      <c r="J107" s="1977" t="s">
        <v>4267</v>
      </c>
      <c r="K107" s="1979"/>
      <c r="L107" s="172"/>
      <c r="M107" s="172"/>
      <c r="N107" s="172"/>
    </row>
    <row r="108" spans="1:14" ht="12.75">
      <c r="A108" s="172"/>
      <c r="B108" s="177"/>
      <c r="C108" s="197" t="s">
        <v>4268</v>
      </c>
      <c r="D108" s="186" t="s">
        <v>4068</v>
      </c>
      <c r="E108" s="172"/>
      <c r="F108" s="172"/>
      <c r="G108" s="172"/>
      <c r="H108" s="177"/>
      <c r="I108" s="172" t="s">
        <v>4031</v>
      </c>
      <c r="J108" s="1977" t="s">
        <v>4154</v>
      </c>
      <c r="K108" s="1979"/>
      <c r="L108" s="172"/>
      <c r="M108" s="172"/>
      <c r="N108" s="172"/>
    </row>
    <row r="109" spans="1:14" ht="12.75">
      <c r="A109" s="172"/>
      <c r="B109" s="177"/>
      <c r="C109" s="197" t="s">
        <v>4269</v>
      </c>
      <c r="D109" s="186" t="s">
        <v>4070</v>
      </c>
      <c r="E109" s="172"/>
      <c r="F109" s="172"/>
      <c r="G109" s="172"/>
      <c r="H109" s="177"/>
      <c r="I109" s="172" t="s">
        <v>4041</v>
      </c>
      <c r="J109" s="1977" t="s">
        <v>4270</v>
      </c>
      <c r="K109" s="1979"/>
      <c r="L109" s="172">
        <f>L110+L111+L112+L113</f>
        <v>0</v>
      </c>
      <c r="M109" s="172">
        <f>M110+M111+M112+M113</f>
        <v>0</v>
      </c>
      <c r="N109" s="172">
        <f>N110+N111+N112+N113</f>
        <v>0</v>
      </c>
    </row>
    <row r="110" spans="1:14" ht="12.75">
      <c r="A110" s="172"/>
      <c r="B110" s="177"/>
      <c r="C110" s="197" t="s">
        <v>679</v>
      </c>
      <c r="D110" s="186" t="s">
        <v>4271</v>
      </c>
      <c r="E110" s="172"/>
      <c r="F110" s="172">
        <f>F111+F112</f>
        <v>0</v>
      </c>
      <c r="G110" s="172">
        <f>G111+G112</f>
        <v>0</v>
      </c>
      <c r="H110" s="177"/>
      <c r="I110" s="177"/>
      <c r="J110" s="197" t="s">
        <v>4272</v>
      </c>
      <c r="K110" s="186" t="s">
        <v>4273</v>
      </c>
      <c r="L110" s="172"/>
      <c r="M110" s="172"/>
      <c r="N110" s="172"/>
    </row>
    <row r="111" spans="1:14" ht="21">
      <c r="A111" s="172"/>
      <c r="B111" s="196" t="s">
        <v>4031</v>
      </c>
      <c r="C111" s="1980" t="s">
        <v>4274</v>
      </c>
      <c r="D111" s="1980"/>
      <c r="E111" s="172">
        <f>E112+E113</f>
        <v>0</v>
      </c>
      <c r="F111" s="172"/>
      <c r="G111" s="172"/>
      <c r="H111" s="177"/>
      <c r="I111" s="177"/>
      <c r="J111" s="197" t="s">
        <v>4275</v>
      </c>
      <c r="K111" s="198" t="s">
        <v>4276</v>
      </c>
      <c r="L111" s="172"/>
      <c r="M111" s="172"/>
      <c r="N111" s="172"/>
    </row>
    <row r="112" spans="1:14" ht="12.75">
      <c r="A112" s="172"/>
      <c r="B112" s="177"/>
      <c r="C112" s="197" t="s">
        <v>684</v>
      </c>
      <c r="D112" s="186" t="s">
        <v>659</v>
      </c>
      <c r="E112" s="172"/>
      <c r="F112" s="172"/>
      <c r="G112" s="172"/>
      <c r="H112" s="177"/>
      <c r="I112" s="177"/>
      <c r="J112" s="197" t="s">
        <v>4277</v>
      </c>
      <c r="K112" s="187" t="s">
        <v>3684</v>
      </c>
      <c r="L112" s="172"/>
      <c r="M112" s="172"/>
      <c r="N112" s="172"/>
    </row>
    <row r="113" spans="1:14" ht="12.75">
      <c r="A113" s="172"/>
      <c r="B113" s="177"/>
      <c r="C113" s="197" t="s">
        <v>687</v>
      </c>
      <c r="D113" s="186" t="s">
        <v>3685</v>
      </c>
      <c r="E113" s="172"/>
      <c r="F113" s="172"/>
      <c r="G113" s="172"/>
      <c r="H113" s="177"/>
      <c r="I113" s="177"/>
      <c r="J113" s="197" t="s">
        <v>3686</v>
      </c>
      <c r="K113" s="187" t="s">
        <v>3687</v>
      </c>
      <c r="L113" s="172"/>
      <c r="M113" s="172"/>
      <c r="N113" s="172"/>
    </row>
    <row r="114" spans="1:14" ht="12.75">
      <c r="A114" s="172"/>
      <c r="B114" s="196">
        <v>3</v>
      </c>
      <c r="C114" s="1983" t="s">
        <v>3688</v>
      </c>
      <c r="D114" s="1983"/>
      <c r="E114" s="172"/>
      <c r="F114" s="172">
        <v>20</v>
      </c>
      <c r="G114" s="172">
        <v>20</v>
      </c>
      <c r="H114" s="177"/>
      <c r="I114" s="177" t="s">
        <v>4166</v>
      </c>
      <c r="J114" s="189" t="s">
        <v>3689</v>
      </c>
      <c r="K114" s="190"/>
      <c r="L114" s="172"/>
      <c r="M114" s="172"/>
      <c r="N114" s="172"/>
    </row>
    <row r="115" spans="1:14" ht="21">
      <c r="A115" s="172"/>
      <c r="B115" s="177"/>
      <c r="C115" s="197" t="s">
        <v>4272</v>
      </c>
      <c r="D115" s="186" t="s">
        <v>4097</v>
      </c>
      <c r="E115" s="172"/>
      <c r="F115" s="172">
        <v>20</v>
      </c>
      <c r="G115" s="172">
        <v>20</v>
      </c>
      <c r="H115" s="177"/>
      <c r="I115" s="177">
        <v>5</v>
      </c>
      <c r="J115" s="1997" t="s">
        <v>3723</v>
      </c>
      <c r="K115" s="1998"/>
      <c r="L115" s="172"/>
      <c r="M115" s="172">
        <v>13477</v>
      </c>
      <c r="N115" s="172">
        <v>9640</v>
      </c>
    </row>
    <row r="116" spans="1:14" ht="12.75">
      <c r="A116" s="172"/>
      <c r="B116" s="177"/>
      <c r="C116" s="197" t="s">
        <v>4275</v>
      </c>
      <c r="D116" s="186" t="s">
        <v>3691</v>
      </c>
      <c r="E116" s="172"/>
      <c r="F116" s="172"/>
      <c r="G116" s="172"/>
      <c r="H116" s="177"/>
      <c r="I116" s="177"/>
      <c r="J116" s="177"/>
      <c r="K116" s="172"/>
      <c r="L116" s="172"/>
      <c r="M116" s="172"/>
      <c r="N116" s="172"/>
    </row>
    <row r="117" spans="1:14" ht="12.75">
      <c r="A117" s="172"/>
      <c r="B117" s="177"/>
      <c r="C117" s="197" t="s">
        <v>4277</v>
      </c>
      <c r="D117" s="187" t="s">
        <v>3692</v>
      </c>
      <c r="E117" s="172"/>
      <c r="F117" s="172"/>
      <c r="G117" s="172"/>
      <c r="H117" s="177"/>
      <c r="I117" s="177"/>
      <c r="J117" s="177"/>
      <c r="K117" s="172"/>
      <c r="L117" s="172"/>
      <c r="M117" s="172"/>
      <c r="N117" s="172"/>
    </row>
    <row r="118" spans="1:14" ht="12.75">
      <c r="A118" s="172"/>
      <c r="B118" s="185">
        <v>4</v>
      </c>
      <c r="C118" s="1980" t="s">
        <v>3693</v>
      </c>
      <c r="D118" s="1980"/>
      <c r="E118" s="172"/>
      <c r="F118" s="172"/>
      <c r="G118" s="172"/>
      <c r="H118" s="177"/>
      <c r="I118" s="177"/>
      <c r="J118" s="177"/>
      <c r="K118" s="172"/>
      <c r="L118" s="172"/>
      <c r="M118" s="172"/>
      <c r="N118" s="172"/>
    </row>
    <row r="119" spans="1:14" ht="12.75">
      <c r="A119" s="172"/>
      <c r="B119" s="185" t="s">
        <v>4061</v>
      </c>
      <c r="C119" s="1969" t="s">
        <v>3711</v>
      </c>
      <c r="D119" s="1971"/>
      <c r="E119" s="172">
        <f>E120</f>
        <v>0</v>
      </c>
      <c r="F119" s="172"/>
      <c r="G119" s="172"/>
      <c r="H119" s="177"/>
      <c r="I119" s="185"/>
      <c r="J119" s="185"/>
      <c r="K119" s="185"/>
      <c r="L119" s="172"/>
      <c r="M119" s="172"/>
      <c r="N119" s="172"/>
    </row>
    <row r="120" spans="1:14" ht="12.75">
      <c r="A120" s="172"/>
      <c r="B120" s="185"/>
      <c r="C120" s="197" t="s">
        <v>4063</v>
      </c>
      <c r="D120" s="192" t="s">
        <v>3695</v>
      </c>
      <c r="E120" s="172"/>
      <c r="F120" s="172"/>
      <c r="G120" s="172"/>
      <c r="H120" s="177"/>
      <c r="I120" s="185"/>
      <c r="J120" s="185"/>
      <c r="K120" s="185"/>
      <c r="L120" s="172"/>
      <c r="M120" s="172"/>
      <c r="N120" s="172"/>
    </row>
    <row r="121" spans="1:14" ht="12.75">
      <c r="A121" s="172"/>
      <c r="B121" s="185" t="s">
        <v>4061</v>
      </c>
      <c r="C121" s="1981" t="s">
        <v>3696</v>
      </c>
      <c r="D121" s="1982"/>
      <c r="E121" s="172"/>
      <c r="F121" s="172"/>
      <c r="G121" s="172"/>
      <c r="H121" s="177"/>
      <c r="I121" s="177"/>
      <c r="J121" s="177"/>
      <c r="K121" s="172"/>
      <c r="L121" s="172"/>
      <c r="M121" s="172"/>
      <c r="N121" s="172"/>
    </row>
    <row r="122" spans="1:14" ht="12.75">
      <c r="A122" s="172" t="s">
        <v>3712</v>
      </c>
      <c r="B122" s="1969" t="s">
        <v>3697</v>
      </c>
      <c r="C122" s="1970"/>
      <c r="D122" s="1971"/>
      <c r="E122" s="171">
        <f>E106+E111+E114+E118+E119+E121</f>
        <v>0</v>
      </c>
      <c r="F122" s="171">
        <f>F106+F111+F114+F118+F119+F121</f>
        <v>20</v>
      </c>
      <c r="G122" s="171">
        <f>G106+G111+G114+G118+G119+G121</f>
        <v>20</v>
      </c>
      <c r="H122" s="177"/>
      <c r="I122" s="1969" t="s">
        <v>3713</v>
      </c>
      <c r="J122" s="1970"/>
      <c r="K122" s="1971"/>
      <c r="L122" s="171">
        <f>L107+L108+L114+L115</f>
        <v>0</v>
      </c>
      <c r="M122" s="171">
        <f>M107+M108+M114+M115</f>
        <v>13477</v>
      </c>
      <c r="N122" s="171">
        <f>N107+N108+N114+N115</f>
        <v>9640</v>
      </c>
    </row>
    <row r="123" spans="1:14" ht="12.75">
      <c r="A123" s="172" t="s">
        <v>3714</v>
      </c>
      <c r="B123" s="1969" t="s">
        <v>3698</v>
      </c>
      <c r="C123" s="1970"/>
      <c r="D123" s="1971"/>
      <c r="E123" s="171">
        <f>E122-L122</f>
        <v>0</v>
      </c>
      <c r="F123" s="171">
        <f>F122-M122</f>
        <v>-13457</v>
      </c>
      <c r="G123" s="171">
        <f>G122-N122</f>
        <v>-9620</v>
      </c>
      <c r="H123" s="177"/>
      <c r="I123" s="1969" t="s">
        <v>3698</v>
      </c>
      <c r="J123" s="1972"/>
      <c r="K123" s="1973"/>
      <c r="L123" s="195"/>
      <c r="M123" s="195"/>
      <c r="N123" s="195"/>
    </row>
    <row r="124" spans="1:14" ht="12.75">
      <c r="A124" s="172" t="s">
        <v>3715</v>
      </c>
      <c r="B124" s="1977" t="s">
        <v>3716</v>
      </c>
      <c r="C124" s="1978"/>
      <c r="D124" s="1979"/>
      <c r="E124" s="172">
        <v>0</v>
      </c>
      <c r="F124" s="172">
        <v>13457</v>
      </c>
      <c r="G124" s="172">
        <v>9620</v>
      </c>
      <c r="H124" s="177"/>
      <c r="L124" s="172"/>
      <c r="M124" s="172"/>
      <c r="N124" s="172"/>
    </row>
    <row r="125" spans="1:14" ht="12.75">
      <c r="A125" s="172" t="s">
        <v>3717</v>
      </c>
      <c r="B125" s="1977" t="s">
        <v>3718</v>
      </c>
      <c r="C125" s="1978"/>
      <c r="D125" s="1979"/>
      <c r="E125" s="172">
        <f>E123*-1</f>
        <v>0</v>
      </c>
      <c r="F125" s="172"/>
      <c r="G125" s="172"/>
      <c r="H125" s="177"/>
      <c r="I125" s="177"/>
      <c r="J125" s="177"/>
      <c r="K125" s="172"/>
      <c r="L125" s="172"/>
      <c r="M125" s="172"/>
      <c r="N125" s="172"/>
    </row>
    <row r="126" spans="1:14" ht="12.75">
      <c r="A126" s="172" t="s">
        <v>3719</v>
      </c>
      <c r="B126" s="1969" t="s">
        <v>3720</v>
      </c>
      <c r="C126" s="1970"/>
      <c r="D126" s="1971"/>
      <c r="E126" s="171"/>
      <c r="F126" s="171"/>
      <c r="G126" s="171"/>
      <c r="H126" s="177"/>
      <c r="I126" s="189"/>
      <c r="J126" s="182"/>
      <c r="K126" s="207"/>
      <c r="L126" s="172"/>
      <c r="M126" s="172"/>
      <c r="N126" s="172"/>
    </row>
    <row r="127" spans="1:14" ht="12.75">
      <c r="A127" s="172" t="s">
        <v>3721</v>
      </c>
      <c r="B127" s="1974" t="s">
        <v>3722</v>
      </c>
      <c r="C127" s="1975"/>
      <c r="D127" s="1976"/>
      <c r="E127" s="171">
        <f>E122+E126</f>
        <v>0</v>
      </c>
      <c r="F127" s="171">
        <f>F122+F124</f>
        <v>13477</v>
      </c>
      <c r="G127" s="171">
        <f>G122+G124</f>
        <v>9640</v>
      </c>
      <c r="H127" s="177"/>
      <c r="I127" s="1974" t="s">
        <v>3722</v>
      </c>
      <c r="J127" s="1975"/>
      <c r="K127" s="1976"/>
      <c r="L127" s="171">
        <f>L122</f>
        <v>0</v>
      </c>
      <c r="M127" s="171">
        <f>M122</f>
        <v>13477</v>
      </c>
      <c r="N127" s="171">
        <f>N122</f>
        <v>9640</v>
      </c>
    </row>
    <row r="128" spans="1:15" ht="12.75">
      <c r="A128" s="172"/>
      <c r="B128" s="1996" t="s">
        <v>1191</v>
      </c>
      <c r="C128" s="1996"/>
      <c r="D128" s="1996"/>
      <c r="E128" s="176">
        <f>E35+E59+E103+E127</f>
        <v>1942465</v>
      </c>
      <c r="F128" s="176">
        <f>F35+F59+F103+F127</f>
        <v>790818</v>
      </c>
      <c r="G128" s="176">
        <f>G127+G103+G59+G35</f>
        <v>807952</v>
      </c>
      <c r="H128" s="176"/>
      <c r="I128" s="1996" t="s">
        <v>1191</v>
      </c>
      <c r="J128" s="1996"/>
      <c r="K128" s="1996"/>
      <c r="L128" s="176">
        <f>L35+L59+L103+L127</f>
        <v>1942465</v>
      </c>
      <c r="M128" s="176">
        <f>M35+M59+M103+M127</f>
        <v>790818</v>
      </c>
      <c r="N128" s="176">
        <f>N35+N59+N103+N127</f>
        <v>708887</v>
      </c>
      <c r="O128" s="210"/>
    </row>
    <row r="129" ht="12.75">
      <c r="I129" s="1519"/>
    </row>
    <row r="130" spans="5:15" ht="12.75">
      <c r="E130" s="181">
        <f>E128-L128</f>
        <v>0</v>
      </c>
      <c r="F130" s="181"/>
      <c r="G130" s="181"/>
      <c r="I130" s="1519"/>
      <c r="L130" s="169">
        <v>1942668</v>
      </c>
      <c r="N130" s="181"/>
      <c r="O130" s="181"/>
    </row>
    <row r="131" spans="7:14" ht="12.75">
      <c r="G131" s="181"/>
      <c r="H131" s="209"/>
      <c r="I131" s="209"/>
      <c r="J131" s="209"/>
      <c r="K131" s="208"/>
      <c r="L131" s="208"/>
      <c r="M131" s="208"/>
      <c r="N131" s="208"/>
    </row>
    <row r="132" spans="8:14" ht="12.75">
      <c r="H132" s="209"/>
      <c r="I132" s="209"/>
      <c r="J132" s="209"/>
      <c r="K132" s="208"/>
      <c r="L132" s="210">
        <f>L130-L128</f>
        <v>203</v>
      </c>
      <c r="M132" s="208"/>
      <c r="N132" s="208"/>
    </row>
    <row r="133" spans="5:7" ht="12.75">
      <c r="E133" s="181"/>
      <c r="F133" s="181"/>
      <c r="G133" s="181"/>
    </row>
    <row r="134" ht="12.75">
      <c r="G134" s="214"/>
    </row>
    <row r="135" ht="12.75">
      <c r="F135" s="214"/>
    </row>
    <row r="137" spans="6:7" ht="12.75">
      <c r="F137" s="181"/>
      <c r="G137" s="181"/>
    </row>
    <row r="140" ht="12.75">
      <c r="G140" s="181"/>
    </row>
  </sheetData>
  <sheetProtection/>
  <mergeCells count="110">
    <mergeCell ref="B128:D128"/>
    <mergeCell ref="I128:K128"/>
    <mergeCell ref="A71:G71"/>
    <mergeCell ref="H71:N71"/>
    <mergeCell ref="A72:D72"/>
    <mergeCell ref="H72:K72"/>
    <mergeCell ref="B73:D73"/>
    <mergeCell ref="I73:K73"/>
    <mergeCell ref="A1:N1"/>
    <mergeCell ref="A2:N2"/>
    <mergeCell ref="A3:G3"/>
    <mergeCell ref="H3:N3"/>
    <mergeCell ref="A70:N70"/>
    <mergeCell ref="J115:K115"/>
    <mergeCell ref="C6:D6"/>
    <mergeCell ref="J6:K6"/>
    <mergeCell ref="J7:K7"/>
    <mergeCell ref="J8:K8"/>
    <mergeCell ref="A4:D4"/>
    <mergeCell ref="H4:K4"/>
    <mergeCell ref="B5:D5"/>
    <mergeCell ref="I5:K5"/>
    <mergeCell ref="C19:D19"/>
    <mergeCell ref="J19:K19"/>
    <mergeCell ref="C26:D26"/>
    <mergeCell ref="C30:D30"/>
    <mergeCell ref="J9:K9"/>
    <mergeCell ref="J10:K10"/>
    <mergeCell ref="C11:D11"/>
    <mergeCell ref="C18:D18"/>
    <mergeCell ref="I34:K34"/>
    <mergeCell ref="B34:D34"/>
    <mergeCell ref="B35:D35"/>
    <mergeCell ref="I35:K35"/>
    <mergeCell ref="C31:D31"/>
    <mergeCell ref="I32:K32"/>
    <mergeCell ref="B32:D32"/>
    <mergeCell ref="I33:K33"/>
    <mergeCell ref="B33:D33"/>
    <mergeCell ref="A37:D37"/>
    <mergeCell ref="J40:K40"/>
    <mergeCell ref="A36:G36"/>
    <mergeCell ref="H36:N36"/>
    <mergeCell ref="H37:K37"/>
    <mergeCell ref="B38:D38"/>
    <mergeCell ref="J38:K38"/>
    <mergeCell ref="C43:D43"/>
    <mergeCell ref="J45:K45"/>
    <mergeCell ref="C46:D46"/>
    <mergeCell ref="J46:K46"/>
    <mergeCell ref="C39:D39"/>
    <mergeCell ref="J39:K39"/>
    <mergeCell ref="I55:K55"/>
    <mergeCell ref="B56:D56"/>
    <mergeCell ref="B57:D57"/>
    <mergeCell ref="C50:D50"/>
    <mergeCell ref="C51:D51"/>
    <mergeCell ref="C53:D53"/>
    <mergeCell ref="I53:K53"/>
    <mergeCell ref="C74:D74"/>
    <mergeCell ref="J74:K74"/>
    <mergeCell ref="J75:K75"/>
    <mergeCell ref="J76:K76"/>
    <mergeCell ref="B54:D54"/>
    <mergeCell ref="I54:K54"/>
    <mergeCell ref="B58:D58"/>
    <mergeCell ref="B59:D59"/>
    <mergeCell ref="I59:K59"/>
    <mergeCell ref="B55:D55"/>
    <mergeCell ref="C87:D87"/>
    <mergeCell ref="J87:K87"/>
    <mergeCell ref="C94:D94"/>
    <mergeCell ref="C98:D98"/>
    <mergeCell ref="J77:K77"/>
    <mergeCell ref="J78:K78"/>
    <mergeCell ref="C79:D79"/>
    <mergeCell ref="C86:D86"/>
    <mergeCell ref="B102:D102"/>
    <mergeCell ref="I102:K102"/>
    <mergeCell ref="B103:D103"/>
    <mergeCell ref="I103:K103"/>
    <mergeCell ref="C99:D99"/>
    <mergeCell ref="B100:D100"/>
    <mergeCell ref="I100:K100"/>
    <mergeCell ref="B101:D101"/>
    <mergeCell ref="I101:K101"/>
    <mergeCell ref="B106:D106"/>
    <mergeCell ref="I106:K106"/>
    <mergeCell ref="C107:D107"/>
    <mergeCell ref="J107:K107"/>
    <mergeCell ref="A104:G104"/>
    <mergeCell ref="H104:N104"/>
    <mergeCell ref="A105:D105"/>
    <mergeCell ref="H105:K105"/>
    <mergeCell ref="C118:D118"/>
    <mergeCell ref="C119:D119"/>
    <mergeCell ref="C121:D121"/>
    <mergeCell ref="B122:D122"/>
    <mergeCell ref="J108:K108"/>
    <mergeCell ref="J109:K109"/>
    <mergeCell ref="C111:D111"/>
    <mergeCell ref="C114:D114"/>
    <mergeCell ref="I122:K122"/>
    <mergeCell ref="B123:D123"/>
    <mergeCell ref="I123:K123"/>
    <mergeCell ref="I127:K127"/>
    <mergeCell ref="B124:D124"/>
    <mergeCell ref="B125:D125"/>
    <mergeCell ref="B126:D126"/>
    <mergeCell ref="B127:D1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74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7.125" style="857" customWidth="1"/>
    <col min="2" max="2" width="54.00390625" style="857" customWidth="1"/>
    <col min="3" max="3" width="10.75390625" style="857" customWidth="1"/>
    <col min="4" max="4" width="11.00390625" style="857" customWidth="1"/>
    <col min="5" max="16384" width="9.125" style="857" customWidth="1"/>
  </cols>
  <sheetData>
    <row r="1" spans="1:4" ht="12.75">
      <c r="A1" s="2103" t="s">
        <v>5295</v>
      </c>
      <c r="B1" s="2103"/>
      <c r="C1" s="2103"/>
      <c r="D1" s="2103"/>
    </row>
    <row r="2" spans="1:4" ht="12.75">
      <c r="A2" s="2213" t="s">
        <v>2806</v>
      </c>
      <c r="B2" s="2213"/>
      <c r="C2" s="2213"/>
      <c r="D2" s="2213"/>
    </row>
    <row r="3" spans="1:4" ht="12.75">
      <c r="A3" s="858"/>
      <c r="B3" s="858"/>
      <c r="C3" s="858"/>
      <c r="D3" s="858"/>
    </row>
    <row r="4" spans="1:4" ht="12.75">
      <c r="A4" s="858"/>
      <c r="B4" s="858"/>
      <c r="C4" s="858"/>
      <c r="D4" s="859" t="s">
        <v>1364</v>
      </c>
    </row>
    <row r="5" spans="1:5" ht="33.75">
      <c r="A5" s="1867" t="s">
        <v>1365</v>
      </c>
      <c r="B5" s="1868" t="s">
        <v>4579</v>
      </c>
      <c r="C5" s="1868" t="s">
        <v>1194</v>
      </c>
      <c r="D5" s="1868" t="s">
        <v>1195</v>
      </c>
      <c r="E5" s="421"/>
    </row>
    <row r="6" spans="1:5" ht="12.75">
      <c r="A6" s="1869" t="s">
        <v>1197</v>
      </c>
      <c r="B6" s="1870" t="s">
        <v>1366</v>
      </c>
      <c r="C6" s="993">
        <f>'[3]önk'!C5+'[3]ph'!C5+'[3]óvoda'!C5+'[3]gond'!C5+'[3]műv'!C5+'[3]gamesz'!C5</f>
        <v>0</v>
      </c>
      <c r="D6" s="993">
        <f>'[3]önk'!D5+'[3]ph'!D5+'[3]óvoda'!D5+'[3]gond'!D5+'[3]műv'!D5+'[3]gamesz'!D5</f>
        <v>0</v>
      </c>
      <c r="E6" s="421"/>
    </row>
    <row r="7" spans="1:5" ht="12.75">
      <c r="A7" s="1869" t="s">
        <v>2473</v>
      </c>
      <c r="B7" s="1870" t="s">
        <v>1367</v>
      </c>
      <c r="C7" s="993">
        <f>'[3]önk'!C6+'[3]ph'!C6+'[3]óvoda'!C6+'[3]gond'!C6+'[3]műv'!C6+'[3]gamesz'!C6</f>
        <v>0</v>
      </c>
      <c r="D7" s="993">
        <f>'[3]önk'!D6+'[3]ph'!D6+'[3]óvoda'!D6+'[3]gond'!D6+'[3]műv'!D6+'[3]gamesz'!D6</f>
        <v>0</v>
      </c>
      <c r="E7" s="421"/>
    </row>
    <row r="8" spans="1:5" ht="12.75">
      <c r="A8" s="1869" t="s">
        <v>1198</v>
      </c>
      <c r="B8" s="1870" t="s">
        <v>1368</v>
      </c>
      <c r="C8" s="993">
        <f>'[3]önk'!C7+'[3]ph'!C7+'[3]óvoda'!C7+'[3]gond'!C7+'[3]műv'!C7+'[3]gamesz'!C7</f>
        <v>4935</v>
      </c>
      <c r="D8" s="993">
        <f>'[3]önk'!D7+'[3]ph'!D7+'[3]óvoda'!D7+'[3]gond'!D7+'[3]műv'!D7+'[3]gamesz'!D7</f>
        <v>4946</v>
      </c>
      <c r="E8" s="421"/>
    </row>
    <row r="9" spans="1:5" ht="12.75">
      <c r="A9" s="1869" t="s">
        <v>1199</v>
      </c>
      <c r="B9" s="1870" t="s">
        <v>1369</v>
      </c>
      <c r="C9" s="993">
        <f>'[3]önk'!C8+'[3]ph'!C8+'[3]óvoda'!C8+'[3]gond'!C8+'[3]műv'!C8+'[3]gamesz'!C8</f>
        <v>13822</v>
      </c>
      <c r="D9" s="993">
        <f>'[3]önk'!D8+'[3]ph'!D8+'[3]óvoda'!D8+'[3]gond'!D8+'[3]műv'!D8+'[3]gamesz'!D8</f>
        <v>13822</v>
      </c>
      <c r="E9" s="421"/>
    </row>
    <row r="10" spans="1:5" ht="12.75">
      <c r="A10" s="1869" t="s">
        <v>2603</v>
      </c>
      <c r="B10" s="1870" t="s">
        <v>1370</v>
      </c>
      <c r="C10" s="993">
        <f>'[3]önk'!C9+'[3]ph'!C9+'[3]óvoda'!C9+'[3]gond'!C9+'[3]műv'!C9+'[3]gamesz'!C9</f>
        <v>0</v>
      </c>
      <c r="D10" s="993">
        <f>'[3]önk'!D9+'[3]ph'!D9+'[3]óvoda'!D9+'[3]gond'!D9+'[3]műv'!D9+'[3]gamesz'!D9</f>
        <v>0</v>
      </c>
      <c r="E10" s="421"/>
    </row>
    <row r="11" spans="1:5" ht="12.75">
      <c r="A11" s="1869" t="s">
        <v>1200</v>
      </c>
      <c r="B11" s="1870" t="s">
        <v>1371</v>
      </c>
      <c r="C11" s="993">
        <f>'[3]önk'!C10+'[3]ph'!C10+'[3]óvoda'!C10+'[3]gond'!C10+'[3]műv'!C10+'[3]gamesz'!C10</f>
        <v>0</v>
      </c>
      <c r="D11" s="993">
        <f>'[3]önk'!D10+'[3]ph'!D10+'[3]óvoda'!D10+'[3]gond'!D10+'[3]műv'!D10+'[3]gamesz'!D10</f>
        <v>0</v>
      </c>
      <c r="E11" s="421"/>
    </row>
    <row r="12" spans="1:5" ht="12.75">
      <c r="A12" s="1871" t="s">
        <v>2628</v>
      </c>
      <c r="B12" s="1872" t="s">
        <v>1201</v>
      </c>
      <c r="C12" s="993">
        <f>'[3]önk'!C11+'[3]ph'!C11+'[3]óvoda'!C11+'[3]gond'!C11+'[3]műv'!C11+'[3]gamesz'!C11</f>
        <v>18757</v>
      </c>
      <c r="D12" s="993">
        <f>'[3]önk'!D11+'[3]ph'!D11+'[3]óvoda'!D11+'[3]gond'!D11+'[3]műv'!D11+'[3]gamesz'!D11</f>
        <v>18768</v>
      </c>
      <c r="E12" s="421"/>
    </row>
    <row r="13" spans="1:5" ht="12.75">
      <c r="A13" s="1869" t="s">
        <v>1202</v>
      </c>
      <c r="B13" s="1870" t="s">
        <v>1372</v>
      </c>
      <c r="C13" s="993">
        <f>'[3]önk'!C12+'[3]ph'!C12+'[3]óvoda'!C12+'[3]gond'!C12+'[3]műv'!C12+'[3]gamesz'!C12</f>
        <v>2018093</v>
      </c>
      <c r="D13" s="993">
        <f>'[3]önk'!D12+'[3]ph'!D12+'[3]óvoda'!D12+'[3]gond'!D12+'[3]műv'!D12+'[3]gamesz'!D12</f>
        <v>1990793</v>
      </c>
      <c r="E13" s="421"/>
    </row>
    <row r="14" spans="1:5" ht="12.75">
      <c r="A14" s="1869" t="s">
        <v>1203</v>
      </c>
      <c r="B14" s="1870" t="s">
        <v>1373</v>
      </c>
      <c r="C14" s="993">
        <f>'[3]önk'!C13+'[3]ph'!C13+'[3]óvoda'!C13+'[3]gond'!C13+'[3]műv'!C13+'[3]gamesz'!C13</f>
        <v>32967</v>
      </c>
      <c r="D14" s="993">
        <f>'[3]önk'!D13+'[3]ph'!D13+'[3]óvoda'!D13+'[3]gond'!D13+'[3]műv'!D13+'[3]gamesz'!D13</f>
        <v>59501</v>
      </c>
      <c r="E14" s="421"/>
    </row>
    <row r="15" spans="1:5" ht="12.75">
      <c r="A15" s="1869" t="s">
        <v>1204</v>
      </c>
      <c r="B15" s="1870" t="s">
        <v>1374</v>
      </c>
      <c r="C15" s="993">
        <f>'[3]önk'!C14+'[3]ph'!C14+'[3]óvoda'!C14+'[3]gond'!C14+'[3]műv'!C14+'[3]gamesz'!C14</f>
        <v>10064</v>
      </c>
      <c r="D15" s="993">
        <f>'[3]önk'!D14+'[3]ph'!D14+'[3]óvoda'!D14+'[3]gond'!D14+'[3]műv'!D14+'[3]gamesz'!D14</f>
        <v>16176</v>
      </c>
      <c r="E15" s="421"/>
    </row>
    <row r="16" spans="1:5" ht="12.75">
      <c r="A16" s="1869" t="s">
        <v>1205</v>
      </c>
      <c r="B16" s="1870" t="s">
        <v>1375</v>
      </c>
      <c r="C16" s="993">
        <f>'[3]önk'!C15+'[3]ph'!C15+'[3]óvoda'!C15+'[3]gond'!C15+'[3]műv'!C15+'[3]gamesz'!C15</f>
        <v>0</v>
      </c>
      <c r="D16" s="993">
        <f>'[3]önk'!D15+'[3]ph'!D15+'[3]óvoda'!D15+'[3]gond'!D15+'[3]műv'!D15+'[3]gamesz'!D15</f>
        <v>0</v>
      </c>
      <c r="E16" s="421"/>
    </row>
    <row r="17" spans="1:5" ht="12.75">
      <c r="A17" s="1869" t="s">
        <v>1206</v>
      </c>
      <c r="B17" s="1870" t="s">
        <v>1376</v>
      </c>
      <c r="C17" s="993">
        <f>'[3]önk'!C16+'[3]ph'!C16+'[3]óvoda'!C16+'[3]gond'!C16+'[3]műv'!C16+'[3]gamesz'!C16</f>
        <v>112237</v>
      </c>
      <c r="D17" s="993">
        <f>'[3]önk'!D16+'[3]ph'!D16+'[3]óvoda'!D16+'[3]gond'!D16+'[3]műv'!D16+'[3]gamesz'!D16+20949</f>
        <v>116821</v>
      </c>
      <c r="E17" s="421"/>
    </row>
    <row r="18" spans="1:5" ht="12.75">
      <c r="A18" s="1869" t="s">
        <v>1207</v>
      </c>
      <c r="B18" s="1870" t="s">
        <v>1377</v>
      </c>
      <c r="C18" s="993">
        <f>'[3]önk'!C17+'[3]ph'!C17+'[3]óvoda'!C17+'[3]gond'!C17+'[3]műv'!C17+'[3]gamesz'!C17</f>
        <v>0</v>
      </c>
      <c r="D18" s="993">
        <f>'[3]önk'!D17+'[3]ph'!D17+'[3]óvoda'!D17+'[3]gond'!D17+'[3]műv'!D17+'[3]gamesz'!D17</f>
        <v>0</v>
      </c>
      <c r="E18" s="421"/>
    </row>
    <row r="19" spans="1:5" ht="12.75">
      <c r="A19" s="1869" t="s">
        <v>1208</v>
      </c>
      <c r="B19" s="1870" t="s">
        <v>1378</v>
      </c>
      <c r="C19" s="993">
        <f>'[3]önk'!C18+'[3]ph'!C18+'[3]óvoda'!C18+'[3]gond'!C18+'[3]műv'!C18+'[3]gamesz'!C18</f>
        <v>0</v>
      </c>
      <c r="D19" s="993">
        <f>'[3]önk'!D18+'[3]ph'!D18+'[3]óvoda'!D18+'[3]gond'!D18+'[3]műv'!D18+'[3]gamesz'!D18</f>
        <v>0</v>
      </c>
      <c r="E19" s="421"/>
    </row>
    <row r="20" spans="1:5" ht="12.75">
      <c r="A20" s="1869" t="s">
        <v>1209</v>
      </c>
      <c r="B20" s="1870" t="s">
        <v>1379</v>
      </c>
      <c r="C20" s="993">
        <f>'[3]önk'!C19+'[3]ph'!C19+'[3]óvoda'!C19+'[3]gond'!C19+'[3]műv'!C19+'[3]gamesz'!C19</f>
        <v>0</v>
      </c>
      <c r="D20" s="993">
        <f>'[3]önk'!D19+'[3]ph'!D19+'[3]óvoda'!D19+'[3]gond'!D19+'[3]műv'!D19+'[3]gamesz'!D19</f>
        <v>0</v>
      </c>
      <c r="E20" s="421"/>
    </row>
    <row r="21" spans="1:5" ht="12.75">
      <c r="A21" s="1871" t="s">
        <v>1210</v>
      </c>
      <c r="B21" s="1872" t="s">
        <v>1211</v>
      </c>
      <c r="C21" s="993">
        <f>'[3]önk'!C20+'[3]ph'!C20+'[3]óvoda'!C20+'[3]gond'!C20+'[3]műv'!C20+'[3]gamesz'!C20</f>
        <v>2173361</v>
      </c>
      <c r="D21" s="993">
        <f>'[3]önk'!D20+'[3]ph'!D20+'[3]óvoda'!D20+'[3]gond'!D20+'[3]műv'!D20+'[3]gamesz'!D20+20949</f>
        <v>2183291</v>
      </c>
      <c r="E21" s="421"/>
    </row>
    <row r="22" spans="1:5" ht="12.75">
      <c r="A22" s="1869" t="s">
        <v>1212</v>
      </c>
      <c r="B22" s="1870" t="s">
        <v>1380</v>
      </c>
      <c r="C22" s="993">
        <f>'[3]önk'!C21+'[3]ph'!C21+'[3]óvoda'!C21+'[3]gond'!C21+'[3]műv'!C21+'[3]gamesz'!C21</f>
        <v>8963</v>
      </c>
      <c r="D22" s="993">
        <f>'[3]önk'!D21+'[3]ph'!D21+'[3]óvoda'!D21+'[3]gond'!D21+'[3]műv'!D21+'[3]gamesz'!D21</f>
        <v>9063</v>
      </c>
      <c r="E22" s="421"/>
    </row>
    <row r="23" spans="1:5" ht="12.75">
      <c r="A23" s="1869" t="s">
        <v>1213</v>
      </c>
      <c r="B23" s="1870" t="s">
        <v>1381</v>
      </c>
      <c r="C23" s="993">
        <f>'[3]önk'!C22+'[3]ph'!C22+'[3]óvoda'!C22+'[3]gond'!C22+'[3]műv'!C22+'[3]gamesz'!C22</f>
        <v>0</v>
      </c>
      <c r="D23" s="993">
        <f>'[3]önk'!D22+'[3]ph'!D22+'[3]óvoda'!D22+'[3]gond'!D22+'[3]műv'!D22+'[3]gamesz'!D22</f>
        <v>0</v>
      </c>
      <c r="E23" s="421"/>
    </row>
    <row r="24" spans="1:5" ht="12.75">
      <c r="A24" s="1869" t="s">
        <v>1214</v>
      </c>
      <c r="B24" s="1870" t="s">
        <v>1382</v>
      </c>
      <c r="C24" s="993">
        <f>'[3]önk'!C23+'[3]ph'!C23+'[3]óvoda'!C23+'[3]gond'!C23+'[3]műv'!C23+'[3]gamesz'!C23</f>
        <v>0</v>
      </c>
      <c r="D24" s="993">
        <f>'[3]önk'!D23+'[3]ph'!D23+'[3]óvoda'!D23+'[3]gond'!D23+'[3]műv'!D23+'[3]gamesz'!D23</f>
        <v>0</v>
      </c>
      <c r="E24" s="421"/>
    </row>
    <row r="25" spans="1:5" ht="12.75">
      <c r="A25" s="1869" t="s">
        <v>1215</v>
      </c>
      <c r="B25" s="1870" t="s">
        <v>1383</v>
      </c>
      <c r="C25" s="993">
        <f>'[3]önk'!C24+'[3]ph'!C24+'[3]óvoda'!C24+'[3]gond'!C24+'[3]műv'!C24+'[3]gamesz'!C24</f>
        <v>0</v>
      </c>
      <c r="D25" s="993">
        <f>'[3]önk'!D24+'[3]ph'!D24+'[3]óvoda'!D24+'[3]gond'!D24+'[3]műv'!D24+'[3]gamesz'!D24</f>
        <v>0</v>
      </c>
      <c r="E25" s="421"/>
    </row>
    <row r="26" spans="1:5" ht="12.75">
      <c r="A26" s="1869" t="s">
        <v>1216</v>
      </c>
      <c r="B26" s="1870" t="s">
        <v>1384</v>
      </c>
      <c r="C26" s="993">
        <f>'[3]önk'!C25+'[3]ph'!C25+'[3]óvoda'!C25+'[3]gond'!C25+'[3]műv'!C25+'[3]gamesz'!C25</f>
        <v>0</v>
      </c>
      <c r="D26" s="993">
        <f>'[3]önk'!D25+'[3]ph'!D25+'[3]óvoda'!D25+'[3]gond'!D25+'[3]műv'!D25+'[3]gamesz'!D25</f>
        <v>0</v>
      </c>
      <c r="E26" s="421"/>
    </row>
    <row r="27" spans="1:5" ht="12.75">
      <c r="A27" s="1869" t="s">
        <v>1217</v>
      </c>
      <c r="B27" s="1870" t="s">
        <v>1385</v>
      </c>
      <c r="C27" s="993">
        <f>'[3]önk'!C26+'[3]ph'!C26+'[3]óvoda'!C26+'[3]gond'!C26+'[3]műv'!C26+'[3]gamesz'!C26</f>
        <v>0</v>
      </c>
      <c r="D27" s="993">
        <f>'[3]önk'!D26+'[3]ph'!D26+'[3]óvoda'!D26+'[3]gond'!D26+'[3]műv'!D26+'[3]gamesz'!D26</f>
        <v>0</v>
      </c>
      <c r="E27" s="421"/>
    </row>
    <row r="28" spans="1:5" ht="12.75">
      <c r="A28" s="1869" t="s">
        <v>1218</v>
      </c>
      <c r="B28" s="1870" t="s">
        <v>1386</v>
      </c>
      <c r="C28" s="993">
        <f>'[3]önk'!C27+'[3]ph'!C27+'[3]óvoda'!C27+'[3]gond'!C27+'[3]műv'!C27+'[3]gamesz'!C27</f>
        <v>0</v>
      </c>
      <c r="D28" s="993">
        <f>'[3]önk'!D27+'[3]ph'!D27+'[3]óvoda'!D27+'[3]gond'!D27+'[3]műv'!D27+'[3]gamesz'!D27</f>
        <v>0</v>
      </c>
      <c r="E28" s="421"/>
    </row>
    <row r="29" spans="1:5" ht="12.75">
      <c r="A29" s="1869" t="s">
        <v>1219</v>
      </c>
      <c r="B29" s="1870" t="s">
        <v>1387</v>
      </c>
      <c r="C29" s="993">
        <f>'[3]önk'!C28+'[3]ph'!C28+'[3]óvoda'!C28+'[3]gond'!C28+'[3]műv'!C28+'[3]gamesz'!C28</f>
        <v>0</v>
      </c>
      <c r="D29" s="993">
        <f>'[3]önk'!D28+'[3]ph'!D28+'[3]óvoda'!D28+'[3]gond'!D28+'[3]műv'!D28+'[3]gamesz'!D28</f>
        <v>0</v>
      </c>
      <c r="E29" s="421"/>
    </row>
    <row r="30" spans="1:5" ht="12.75">
      <c r="A30" s="1869" t="s">
        <v>1220</v>
      </c>
      <c r="B30" s="1870" t="s">
        <v>1388</v>
      </c>
      <c r="C30" s="993">
        <f>'[3]önk'!C29+'[3]ph'!C29+'[3]óvoda'!C29+'[3]gond'!C29+'[3]műv'!C29+'[3]gamesz'!C29</f>
        <v>0</v>
      </c>
      <c r="D30" s="993">
        <f>'[3]önk'!D29+'[3]ph'!D29+'[3]óvoda'!D29+'[3]gond'!D29+'[3]műv'!D29+'[3]gamesz'!D29</f>
        <v>0</v>
      </c>
      <c r="E30" s="421"/>
    </row>
    <row r="31" spans="1:5" ht="13.5" customHeight="1">
      <c r="A31" s="1871" t="s">
        <v>1221</v>
      </c>
      <c r="B31" s="1872" t="s">
        <v>1222</v>
      </c>
      <c r="C31" s="993">
        <f>'[3]önk'!C30+'[3]ph'!C30+'[3]óvoda'!C30+'[3]gond'!C30+'[3]műv'!C30+'[3]gamesz'!C30</f>
        <v>8963</v>
      </c>
      <c r="D31" s="993">
        <f>'[3]önk'!D30+'[3]ph'!D30+'[3]óvoda'!D30+'[3]gond'!D30+'[3]műv'!D30+'[3]gamesz'!D30</f>
        <v>9063</v>
      </c>
      <c r="E31" s="421"/>
    </row>
    <row r="32" spans="1:5" ht="12.75">
      <c r="A32" s="1869" t="s">
        <v>1223</v>
      </c>
      <c r="B32" s="1870" t="s">
        <v>1389</v>
      </c>
      <c r="C32" s="993">
        <f>'[3]önk'!C31+'[3]ph'!C31+'[3]óvoda'!C31+'[3]gond'!C31+'[3]műv'!C31+'[3]gamesz'!C31</f>
        <v>150559</v>
      </c>
      <c r="D32" s="993">
        <f>'[3]önk'!D31+'[3]ph'!D31+'[3]óvoda'!D31+'[3]gond'!D31+'[3]műv'!D31+'[3]gamesz'!D31</f>
        <v>144082</v>
      </c>
      <c r="E32" s="421"/>
    </row>
    <row r="33" spans="1:5" ht="12.75">
      <c r="A33" s="1869" t="s">
        <v>1224</v>
      </c>
      <c r="B33" s="1870" t="s">
        <v>1390</v>
      </c>
      <c r="C33" s="993">
        <f>'[3]önk'!C32+'[3]ph'!C32+'[3]óvoda'!C32+'[3]gond'!C32+'[3]műv'!C32+'[3]gamesz'!C32</f>
        <v>0</v>
      </c>
      <c r="D33" s="993">
        <f>'[3]önk'!D32+'[3]ph'!D32+'[3]óvoda'!D32+'[3]gond'!D32+'[3]műv'!D32+'[3]gamesz'!D32</f>
        <v>0</v>
      </c>
      <c r="E33" s="421"/>
    </row>
    <row r="34" spans="1:5" ht="12.75">
      <c r="A34" s="1869" t="s">
        <v>1225</v>
      </c>
      <c r="B34" s="1870" t="s">
        <v>1391</v>
      </c>
      <c r="C34" s="993">
        <f>'[3]önk'!C33+'[3]ph'!C33+'[3]óvoda'!C33+'[3]gond'!C33+'[3]műv'!C33+'[3]gamesz'!C33</f>
        <v>0</v>
      </c>
      <c r="D34" s="993">
        <f>'[3]önk'!D33+'[3]ph'!D33+'[3]óvoda'!D33+'[3]gond'!D33+'[3]műv'!D33+'[3]gamesz'!D33</f>
        <v>0</v>
      </c>
      <c r="E34" s="421"/>
    </row>
    <row r="35" spans="1:5" ht="12.75">
      <c r="A35" s="1869" t="s">
        <v>1226</v>
      </c>
      <c r="B35" s="1870" t="s">
        <v>1392</v>
      </c>
      <c r="C35" s="993">
        <f>'[3]önk'!C34+'[3]ph'!C34+'[3]óvoda'!C34+'[3]gond'!C34+'[3]műv'!C34+'[3]gamesz'!C34</f>
        <v>0</v>
      </c>
      <c r="D35" s="993">
        <f>'[3]önk'!D34+'[3]ph'!D34+'[3]óvoda'!D34+'[3]gond'!D34+'[3]műv'!D34+'[3]gamesz'!D34</f>
        <v>0</v>
      </c>
      <c r="E35" s="421"/>
    </row>
    <row r="36" spans="1:5" ht="22.5">
      <c r="A36" s="1869" t="s">
        <v>1227</v>
      </c>
      <c r="B36" s="1870" t="s">
        <v>1393</v>
      </c>
      <c r="C36" s="993">
        <f>'[3]önk'!C35+'[3]ph'!C35+'[3]óvoda'!C35+'[3]gond'!C35+'[3]műv'!C35+'[3]gamesz'!C35</f>
        <v>0</v>
      </c>
      <c r="D36" s="993">
        <f>'[3]önk'!D35+'[3]ph'!D35+'[3]óvoda'!D35+'[3]gond'!D35+'[3]műv'!D35+'[3]gamesz'!D35</f>
        <v>0</v>
      </c>
      <c r="E36" s="421"/>
    </row>
    <row r="37" spans="1:5" ht="26.25" customHeight="1">
      <c r="A37" s="1871" t="s">
        <v>1228</v>
      </c>
      <c r="B37" s="1872" t="s">
        <v>1229</v>
      </c>
      <c r="C37" s="993">
        <f>'[3]önk'!C36+'[3]ph'!C36+'[3]óvoda'!C36+'[3]gond'!C36+'[3]műv'!C36+'[3]gamesz'!C36</f>
        <v>150559</v>
      </c>
      <c r="D37" s="993">
        <f>'[3]önk'!D36+'[3]ph'!D36+'[3]óvoda'!D36+'[3]gond'!D36+'[3]műv'!D36+'[3]gamesz'!D36</f>
        <v>144082</v>
      </c>
      <c r="E37" s="421"/>
    </row>
    <row r="38" spans="1:5" ht="12.75">
      <c r="A38" s="1871" t="s">
        <v>1230</v>
      </c>
      <c r="B38" s="1872" t="s">
        <v>1231</v>
      </c>
      <c r="C38" s="993">
        <f>'[3]önk'!C37+'[3]ph'!C37+'[3]óvoda'!C37+'[3]gond'!C37+'[3]műv'!C37+'[3]gamesz'!C37</f>
        <v>2351640</v>
      </c>
      <c r="D38" s="993">
        <f>'[3]önk'!D37+'[3]ph'!D37+'[3]óvoda'!D37+'[3]gond'!D37+'[3]műv'!D37+'[3]gamesz'!D37+20949</f>
        <v>2355204</v>
      </c>
      <c r="E38" s="421"/>
    </row>
    <row r="39" spans="1:5" ht="12.75">
      <c r="A39" s="1869" t="s">
        <v>1232</v>
      </c>
      <c r="B39" s="1870" t="s">
        <v>1394</v>
      </c>
      <c r="C39" s="993">
        <f>'[3]önk'!C38+'[3]ph'!C38+'[3]óvoda'!C38+'[3]gond'!C38+'[3]műv'!C38+'[3]gamesz'!C38</f>
        <v>1959</v>
      </c>
      <c r="D39" s="993">
        <f>'[3]önk'!D38+'[3]ph'!D38+'[3]óvoda'!D38+'[3]gond'!D38+'[3]műv'!D38+'[3]gamesz'!D38</f>
        <v>2404</v>
      </c>
      <c r="E39" s="421"/>
    </row>
    <row r="40" spans="1:5" ht="12.75">
      <c r="A40" s="1869" t="s">
        <v>1233</v>
      </c>
      <c r="B40" s="1870" t="s">
        <v>1395</v>
      </c>
      <c r="C40" s="993">
        <f>'[3]önk'!C39+'[3]ph'!C39+'[3]óvoda'!C39+'[3]gond'!C39+'[3]műv'!C39+'[3]gamesz'!C39</f>
        <v>0</v>
      </c>
      <c r="D40" s="993">
        <f>'[3]önk'!D39+'[3]ph'!D39+'[3]óvoda'!D39+'[3]gond'!D39+'[3]műv'!D39+'[3]gamesz'!D39</f>
        <v>0</v>
      </c>
      <c r="E40" s="421"/>
    </row>
    <row r="41" spans="1:5" ht="12.75">
      <c r="A41" s="1869" t="s">
        <v>1234</v>
      </c>
      <c r="B41" s="1870" t="s">
        <v>1396</v>
      </c>
      <c r="C41" s="993">
        <f>'[3]önk'!C40+'[3]ph'!C40+'[3]óvoda'!C40+'[3]gond'!C40+'[3]műv'!C40+'[3]gamesz'!C40</f>
        <v>0</v>
      </c>
      <c r="D41" s="993">
        <f>'[3]önk'!D40+'[3]ph'!D40+'[3]óvoda'!D40+'[3]gond'!D40+'[3]műv'!D40+'[3]gamesz'!D40</f>
        <v>0</v>
      </c>
      <c r="E41" s="421"/>
    </row>
    <row r="42" spans="1:5" ht="12.75">
      <c r="A42" s="1869" t="s">
        <v>1235</v>
      </c>
      <c r="B42" s="1870" t="s">
        <v>1397</v>
      </c>
      <c r="C42" s="993">
        <f>'[3]önk'!C41+'[3]ph'!C41+'[3]óvoda'!C41+'[3]gond'!C41+'[3]műv'!C41+'[3]gamesz'!C41</f>
        <v>2016</v>
      </c>
      <c r="D42" s="993">
        <f>'[3]önk'!D41+'[3]ph'!D41+'[3]óvoda'!D41+'[3]gond'!D41+'[3]műv'!D41+'[3]gamesz'!D41</f>
        <v>1381</v>
      </c>
      <c r="E42" s="421"/>
    </row>
    <row r="43" spans="1:5" ht="12.75">
      <c r="A43" s="1869" t="s">
        <v>1236</v>
      </c>
      <c r="B43" s="1870" t="s">
        <v>1398</v>
      </c>
      <c r="C43" s="993">
        <f>'[3]önk'!C42+'[3]ph'!C42+'[3]óvoda'!C42+'[3]gond'!C42+'[3]műv'!C42+'[3]gamesz'!C42</f>
        <v>0</v>
      </c>
      <c r="D43" s="993">
        <f>'[3]önk'!D42+'[3]ph'!D42+'[3]óvoda'!D42+'[3]gond'!D42+'[3]műv'!D42+'[3]gamesz'!D42</f>
        <v>0</v>
      </c>
      <c r="E43" s="421"/>
    </row>
    <row r="44" spans="1:5" ht="12.75">
      <c r="A44" s="1869" t="s">
        <v>1237</v>
      </c>
      <c r="B44" s="1870" t="s">
        <v>1399</v>
      </c>
      <c r="C44" s="993">
        <f>'[3]önk'!C43+'[3]ph'!C43+'[3]óvoda'!C43+'[3]gond'!C43+'[3]műv'!C43+'[3]gamesz'!C43</f>
        <v>0</v>
      </c>
      <c r="D44" s="993">
        <f>'[3]önk'!D43+'[3]ph'!D43+'[3]óvoda'!D43+'[3]gond'!D43+'[3]műv'!D43+'[3]gamesz'!D43</f>
        <v>0</v>
      </c>
      <c r="E44" s="421"/>
    </row>
    <row r="45" spans="1:5" ht="12.75">
      <c r="A45" s="1871" t="s">
        <v>1238</v>
      </c>
      <c r="B45" s="1872" t="s">
        <v>1239</v>
      </c>
      <c r="C45" s="993">
        <f>'[3]önk'!C44+'[3]ph'!C44+'[3]óvoda'!C44+'[3]gond'!C44+'[3]műv'!C44+'[3]gamesz'!C44</f>
        <v>3975</v>
      </c>
      <c r="D45" s="993">
        <f>'[3]önk'!D44+'[3]ph'!D44+'[3]óvoda'!D44+'[3]gond'!D44+'[3]műv'!D44+'[3]gamesz'!D44</f>
        <v>3785</v>
      </c>
      <c r="E45" s="421"/>
    </row>
    <row r="46" spans="1:5" ht="12.75">
      <c r="A46" s="1869" t="s">
        <v>1240</v>
      </c>
      <c r="B46" s="1870" t="s">
        <v>1400</v>
      </c>
      <c r="C46" s="993">
        <f>'[3]önk'!C45+'[3]ph'!C45+'[3]óvoda'!C45+'[3]gond'!C45+'[3]műv'!C45+'[3]gamesz'!C45</f>
        <v>4914</v>
      </c>
      <c r="D46" s="993">
        <f>'[3]önk'!D45+'[3]ph'!D45+'[3]óvoda'!D45+'[3]gond'!D45+'[3]műv'!D45+'[3]gamesz'!D45</f>
        <v>5905</v>
      </c>
      <c r="E46" s="421"/>
    </row>
    <row r="47" spans="1:5" ht="12.75">
      <c r="A47" s="1869" t="s">
        <v>1241</v>
      </c>
      <c r="B47" s="1870" t="s">
        <v>1401</v>
      </c>
      <c r="C47" s="993">
        <f>'[3]önk'!C46+'[3]ph'!C46+'[3]óvoda'!C46+'[3]gond'!C46+'[3]műv'!C46+'[3]gamesz'!C46</f>
        <v>19842</v>
      </c>
      <c r="D47" s="993">
        <f>'[3]önk'!D46+'[3]ph'!D46+'[3]óvoda'!D46+'[3]gond'!D46+'[3]műv'!D46+'[3]gamesz'!D46</f>
        <v>31709</v>
      </c>
      <c r="E47" s="421"/>
    </row>
    <row r="48" spans="1:5" ht="12.75">
      <c r="A48" s="1869" t="s">
        <v>1242</v>
      </c>
      <c r="B48" s="1870" t="s">
        <v>1402</v>
      </c>
      <c r="C48" s="993">
        <f>'[3]önk'!C47+'[3]ph'!C47+'[3]óvoda'!C47+'[3]gond'!C47+'[3]műv'!C47+'[3]gamesz'!C47</f>
        <v>5808</v>
      </c>
      <c r="D48" s="993">
        <f>'[3]önk'!D47+'[3]ph'!D47+'[3]óvoda'!D47+'[3]gond'!D47+'[3]műv'!D47+'[3]gamesz'!D47</f>
        <v>8890</v>
      </c>
      <c r="E48" s="421"/>
    </row>
    <row r="49" spans="1:5" ht="22.5">
      <c r="A49" s="1869" t="s">
        <v>1243</v>
      </c>
      <c r="B49" s="1870" t="s">
        <v>1403</v>
      </c>
      <c r="C49" s="993">
        <f>'[3]önk'!C48+'[3]ph'!C48+'[3]óvoda'!C48+'[3]gond'!C48+'[3]műv'!C48+'[3]gamesz'!C48</f>
        <v>4761</v>
      </c>
      <c r="D49" s="993">
        <f>'[3]önk'!D48+'[3]ph'!D48+'[3]óvoda'!D48+'[3]gond'!D48+'[3]műv'!D48+'[3]gamesz'!D48</f>
        <v>0</v>
      </c>
      <c r="E49" s="421"/>
    </row>
    <row r="50" spans="1:5" ht="12.75">
      <c r="A50" s="1869" t="s">
        <v>1244</v>
      </c>
      <c r="B50" s="1870" t="s">
        <v>1404</v>
      </c>
      <c r="C50" s="993">
        <f>'[3]önk'!C49+'[3]ph'!C49+'[3]óvoda'!C49+'[3]gond'!C49+'[3]műv'!C49+'[3]gamesz'!C49</f>
        <v>8</v>
      </c>
      <c r="D50" s="993">
        <f>'[3]önk'!D49+'[3]ph'!D49+'[3]óvoda'!D49+'[3]gond'!D49+'[3]műv'!D49+'[3]gamesz'!D49</f>
        <v>9191</v>
      </c>
      <c r="E50" s="421"/>
    </row>
    <row r="51" spans="1:5" ht="12.75">
      <c r="A51" s="1869" t="s">
        <v>1245</v>
      </c>
      <c r="B51" s="1870" t="s">
        <v>1405</v>
      </c>
      <c r="C51" s="993">
        <f>'[3]önk'!C50+'[3]ph'!C50+'[3]óvoda'!C50+'[3]gond'!C50+'[3]műv'!C50+'[3]gamesz'!C50</f>
        <v>0</v>
      </c>
      <c r="D51" s="993">
        <f>'[3]önk'!D50+'[3]ph'!D50+'[3]óvoda'!D50+'[3]gond'!D50+'[3]műv'!D50+'[3]gamesz'!D50</f>
        <v>0</v>
      </c>
      <c r="E51" s="421"/>
    </row>
    <row r="52" spans="1:5" ht="12.75">
      <c r="A52" s="1869" t="s">
        <v>1246</v>
      </c>
      <c r="B52" s="1873" t="s">
        <v>1406</v>
      </c>
      <c r="C52" s="993">
        <f>'[3]önk'!C51+'[3]ph'!C51+'[3]óvoda'!C51+'[3]gond'!C51+'[3]műv'!C51+'[3]gamesz'!C51</f>
        <v>0</v>
      </c>
      <c r="D52" s="993">
        <f>'[3]önk'!D51+'[3]ph'!D51+'[3]óvoda'!D51+'[3]gond'!D51+'[3]műv'!D51+'[3]gamesz'!D51</f>
        <v>0</v>
      </c>
      <c r="E52" s="421"/>
    </row>
    <row r="53" spans="1:5" ht="12.75">
      <c r="A53" s="1869" t="s">
        <v>1247</v>
      </c>
      <c r="B53" s="1874" t="s">
        <v>1407</v>
      </c>
      <c r="C53" s="993">
        <f>'[3]önk'!C52+'[3]ph'!C52+'[3]óvoda'!C52+'[3]gond'!C52+'[3]műv'!C52+'[3]gamesz'!C52</f>
        <v>0</v>
      </c>
      <c r="D53" s="993">
        <f>'[3]önk'!D52+'[3]ph'!D52+'[3]óvoda'!D52+'[3]gond'!D52+'[3]műv'!D52+'[3]gamesz'!D52</f>
        <v>0</v>
      </c>
      <c r="E53" s="421"/>
    </row>
    <row r="54" spans="1:5" ht="12.75">
      <c r="A54" s="1869" t="s">
        <v>1248</v>
      </c>
      <c r="B54" s="1874" t="s">
        <v>1408</v>
      </c>
      <c r="C54" s="993">
        <f>'[3]önk'!C53+'[3]ph'!C53+'[3]óvoda'!C53+'[3]gond'!C53+'[3]műv'!C53+'[3]gamesz'!C53</f>
        <v>0</v>
      </c>
      <c r="D54" s="993">
        <f>'[3]önk'!D53+'[3]ph'!D53+'[3]óvoda'!D53+'[3]gond'!D53+'[3]műv'!D53+'[3]gamesz'!D53</f>
        <v>0</v>
      </c>
      <c r="E54" s="421"/>
    </row>
    <row r="55" spans="1:5" ht="12.75">
      <c r="A55" s="1869" t="s">
        <v>1249</v>
      </c>
      <c r="B55" s="1874" t="s">
        <v>1409</v>
      </c>
      <c r="C55" s="993">
        <f>'[3]önk'!C54+'[3]ph'!C54+'[3]óvoda'!C54+'[3]gond'!C54+'[3]műv'!C54+'[3]gamesz'!C54</f>
        <v>0</v>
      </c>
      <c r="D55" s="993">
        <f>'[3]önk'!D54+'[3]ph'!D54+'[3]óvoda'!D54+'[3]gond'!D54+'[3]műv'!D54+'[3]gamesz'!D54</f>
        <v>0</v>
      </c>
      <c r="E55" s="421"/>
    </row>
    <row r="56" spans="1:5" ht="22.5">
      <c r="A56" s="1869" t="s">
        <v>3479</v>
      </c>
      <c r="B56" s="1874" t="s">
        <v>1410</v>
      </c>
      <c r="C56" s="993">
        <f>'[3]önk'!C55+'[3]ph'!C55+'[3]óvoda'!C55+'[3]gond'!C55+'[3]műv'!C55+'[3]gamesz'!C55</f>
        <v>0</v>
      </c>
      <c r="D56" s="993">
        <f>'[3]önk'!D55+'[3]ph'!D55+'[3]óvoda'!D55+'[3]gond'!D55+'[3]műv'!D55+'[3]gamesz'!D55</f>
        <v>0</v>
      </c>
      <c r="E56" s="421"/>
    </row>
    <row r="57" spans="1:5" ht="12.75">
      <c r="A57" s="1871" t="s">
        <v>1250</v>
      </c>
      <c r="B57" s="1872" t="s">
        <v>1251</v>
      </c>
      <c r="C57" s="993">
        <f>'[3]önk'!C56+'[3]ph'!C56+'[3]óvoda'!C56+'[3]gond'!C56+'[3]műv'!C56+'[3]gamesz'!C56</f>
        <v>30572</v>
      </c>
      <c r="D57" s="993">
        <f>'[3]önk'!D56+'[3]ph'!D56+'[3]óvoda'!D56+'[3]gond'!D56+'[3]műv'!D56+'[3]gamesz'!D56</f>
        <v>55695</v>
      </c>
      <c r="E57" s="421"/>
    </row>
    <row r="58" spans="1:5" ht="12.75">
      <c r="A58" s="1869" t="s">
        <v>1252</v>
      </c>
      <c r="B58" s="1870" t="s">
        <v>1411</v>
      </c>
      <c r="C58" s="993">
        <f>'[3]önk'!C57+'[3]ph'!C57+'[3]óvoda'!C57+'[3]gond'!C57+'[3]műv'!C57+'[3]gamesz'!C57</f>
        <v>0</v>
      </c>
      <c r="D58" s="993">
        <f>'[3]önk'!D57+'[3]ph'!D57+'[3]óvoda'!D57+'[3]gond'!D57+'[3]műv'!D57+'[3]gamesz'!D57</f>
        <v>0</v>
      </c>
      <c r="E58" s="421"/>
    </row>
    <row r="59" spans="1:5" ht="12.75">
      <c r="A59" s="1869" t="s">
        <v>3185</v>
      </c>
      <c r="B59" s="1870" t="s">
        <v>1412</v>
      </c>
      <c r="C59" s="993">
        <f>'[3]önk'!C58+'[3]ph'!C58+'[3]óvoda'!C58+'[3]gond'!C58+'[3]műv'!C58+'[3]gamesz'!C58</f>
        <v>0</v>
      </c>
      <c r="D59" s="993">
        <f>'[3]önk'!D58+'[3]ph'!D58+'[3]óvoda'!D58+'[3]gond'!D58+'[3]műv'!D58+'[3]gamesz'!D58</f>
        <v>0</v>
      </c>
      <c r="E59" s="421"/>
    </row>
    <row r="60" spans="1:5" ht="12.75">
      <c r="A60" s="1869" t="s">
        <v>1253</v>
      </c>
      <c r="B60" s="1870" t="s">
        <v>1413</v>
      </c>
      <c r="C60" s="993">
        <f>'[3]önk'!C59+'[3]ph'!C59+'[3]óvoda'!C59+'[3]gond'!C59+'[3]műv'!C59+'[3]gamesz'!C59</f>
        <v>0</v>
      </c>
      <c r="D60" s="993">
        <f>'[3]önk'!D59+'[3]ph'!D59+'[3]óvoda'!D59+'[3]gond'!D59+'[3]műv'!D59+'[3]gamesz'!D59</f>
        <v>0</v>
      </c>
      <c r="E60" s="421"/>
    </row>
    <row r="61" spans="1:5" ht="12.75">
      <c r="A61" s="1869" t="s">
        <v>1254</v>
      </c>
      <c r="B61" s="1870" t="s">
        <v>1414</v>
      </c>
      <c r="C61" s="993">
        <f>'[3]önk'!C60+'[3]ph'!C60+'[3]óvoda'!C60+'[3]gond'!C60+'[3]műv'!C60+'[3]gamesz'!C60</f>
        <v>0</v>
      </c>
      <c r="D61" s="993">
        <f>'[3]önk'!D60+'[3]ph'!D60+'[3]óvoda'!D60+'[3]gond'!D60+'[3]műv'!D60+'[3]gamesz'!D60</f>
        <v>0</v>
      </c>
      <c r="E61" s="421"/>
    </row>
    <row r="62" spans="1:5" ht="22.5">
      <c r="A62" s="1869" t="s">
        <v>1255</v>
      </c>
      <c r="B62" s="1870" t="s">
        <v>1415</v>
      </c>
      <c r="C62" s="993">
        <f>'[3]önk'!C61+'[3]ph'!C61+'[3]óvoda'!C61+'[3]gond'!C61+'[3]műv'!C61+'[3]gamesz'!C61</f>
        <v>0</v>
      </c>
      <c r="D62" s="993">
        <f>'[3]önk'!D61+'[3]ph'!D61+'[3]óvoda'!D61+'[3]gond'!D61+'[3]műv'!D61+'[3]gamesz'!D61</f>
        <v>0</v>
      </c>
      <c r="E62" s="421"/>
    </row>
    <row r="63" spans="1:5" ht="22.5">
      <c r="A63" s="1869" t="s">
        <v>1256</v>
      </c>
      <c r="B63" s="1870" t="s">
        <v>1416</v>
      </c>
      <c r="C63" s="993">
        <f>'[3]önk'!C62+'[3]ph'!C62+'[3]óvoda'!C62+'[3]gond'!C62+'[3]műv'!C62+'[3]gamesz'!C62</f>
        <v>0</v>
      </c>
      <c r="D63" s="993">
        <f>'[3]önk'!D62+'[3]ph'!D62+'[3]óvoda'!D62+'[3]gond'!D62+'[3]műv'!D62+'[3]gamesz'!D62</f>
        <v>0</v>
      </c>
      <c r="E63" s="421"/>
    </row>
    <row r="64" spans="1:5" ht="12.75">
      <c r="A64" s="1871" t="s">
        <v>1257</v>
      </c>
      <c r="B64" s="1872" t="s">
        <v>1258</v>
      </c>
      <c r="C64" s="993">
        <f>'[3]önk'!C63+'[3]ph'!C63+'[3]óvoda'!C63+'[3]gond'!C63+'[3]műv'!C63+'[3]gamesz'!C63</f>
        <v>0</v>
      </c>
      <c r="D64" s="993">
        <f>'[3]önk'!D63+'[3]ph'!D63+'[3]óvoda'!D63+'[3]gond'!D63+'[3]műv'!D63+'[3]gamesz'!D63</f>
        <v>0</v>
      </c>
      <c r="E64" s="421"/>
    </row>
    <row r="65" spans="1:5" ht="12.75">
      <c r="A65" s="1869" t="s">
        <v>1259</v>
      </c>
      <c r="B65" s="1870" t="s">
        <v>1417</v>
      </c>
      <c r="C65" s="993">
        <f>'[3]önk'!C64+'[3]ph'!C64+'[3]óvoda'!C64+'[3]gond'!C64+'[3]műv'!C64+'[3]gamesz'!C64</f>
        <v>264</v>
      </c>
      <c r="D65" s="993">
        <f>'[3]önk'!D64+'[3]ph'!D64+'[3]óvoda'!D64+'[3]gond'!D64+'[3]műv'!D64+'[3]gamesz'!D64</f>
        <v>166</v>
      </c>
      <c r="E65" s="421"/>
    </row>
    <row r="66" spans="1:5" ht="12.75">
      <c r="A66" s="1869" t="s">
        <v>1260</v>
      </c>
      <c r="B66" s="1870" t="s">
        <v>1418</v>
      </c>
      <c r="C66" s="993">
        <f>'[3]önk'!C65+'[3]ph'!C65+'[3]óvoda'!C65+'[3]gond'!C65+'[3]műv'!C65+'[3]gamesz'!C65</f>
        <v>72045</v>
      </c>
      <c r="D66" s="993">
        <f>'[3]önk'!D65+'[3]ph'!D65+'[3]óvoda'!D65+'[3]gond'!D65+'[3]műv'!D65+'[3]gamesz'!D65+1063</f>
        <v>126838</v>
      </c>
      <c r="E66" s="421"/>
    </row>
    <row r="67" spans="1:5" ht="22.5">
      <c r="A67" s="1869" t="s">
        <v>1261</v>
      </c>
      <c r="B67" s="1870" t="s">
        <v>1419</v>
      </c>
      <c r="C67" s="993">
        <f>'[3]önk'!C66+'[3]ph'!C66+'[3]óvoda'!C66+'[3]gond'!C66+'[3]műv'!C66+'[3]gamesz'!C66</f>
        <v>72045</v>
      </c>
      <c r="D67" s="993">
        <f>'[3]önk'!D66+'[3]ph'!D66+'[3]óvoda'!D66+'[3]gond'!D66+'[3]műv'!D66+'[3]gamesz'!D66+1063</f>
        <v>126838</v>
      </c>
      <c r="E67" s="421"/>
    </row>
    <row r="68" spans="1:5" ht="12.75">
      <c r="A68" s="1869" t="s">
        <v>1262</v>
      </c>
      <c r="B68" s="1870" t="s">
        <v>1420</v>
      </c>
      <c r="C68" s="993">
        <f>'[3]önk'!C67+'[3]ph'!C67+'[3]óvoda'!C67+'[3]gond'!C67+'[3]műv'!C67+'[3]gamesz'!C67</f>
        <v>0</v>
      </c>
      <c r="D68" s="993">
        <f>'[3]önk'!D67+'[3]ph'!D67+'[3]óvoda'!D67+'[3]gond'!D67+'[3]műv'!D67+'[3]gamesz'!D67</f>
        <v>0</v>
      </c>
      <c r="E68" s="421"/>
    </row>
    <row r="69" spans="1:5" ht="12.75">
      <c r="A69" s="1869" t="s">
        <v>1263</v>
      </c>
      <c r="B69" s="1870" t="s">
        <v>1421</v>
      </c>
      <c r="C69" s="993">
        <f>'[3]önk'!C68+'[3]ph'!C68+'[3]óvoda'!C68+'[3]gond'!C68+'[3]műv'!C68+'[3]gamesz'!C68</f>
        <v>0</v>
      </c>
      <c r="D69" s="993">
        <f>'[3]önk'!D68+'[3]ph'!D68+'[3]óvoda'!D68+'[3]gond'!D68+'[3]műv'!D68+'[3]gamesz'!D68</f>
        <v>0</v>
      </c>
      <c r="E69" s="421"/>
    </row>
    <row r="70" spans="1:5" ht="12.75">
      <c r="A70" s="1869" t="s">
        <v>1264</v>
      </c>
      <c r="B70" s="1870" t="s">
        <v>1422</v>
      </c>
      <c r="C70" s="993">
        <f>'[3]önk'!C69+'[3]ph'!C69+'[3]óvoda'!C69+'[3]gond'!C69+'[3]műv'!C69+'[3]gamesz'!C69</f>
        <v>7</v>
      </c>
      <c r="D70" s="993">
        <v>554</v>
      </c>
      <c r="E70" s="421"/>
    </row>
    <row r="71" spans="1:5" ht="12.75">
      <c r="A71" s="1869" t="s">
        <v>1265</v>
      </c>
      <c r="B71" s="1870" t="s">
        <v>1423</v>
      </c>
      <c r="C71" s="993">
        <f>'[3]önk'!C70+'[3]ph'!C70+'[3]óvoda'!C70+'[3]gond'!C70+'[3]műv'!C70+'[3]gamesz'!C70</f>
        <v>7</v>
      </c>
      <c r="D71" s="993">
        <v>554</v>
      </c>
      <c r="E71" s="421"/>
    </row>
    <row r="72" spans="1:5" ht="12.75">
      <c r="A72" s="1869" t="s">
        <v>1266</v>
      </c>
      <c r="B72" s="1870" t="s">
        <v>1424</v>
      </c>
      <c r="C72" s="993">
        <f>'[3]önk'!C71+'[3]ph'!C71+'[3]óvoda'!C71+'[3]gond'!C71+'[3]műv'!C71+'[3]gamesz'!C71</f>
        <v>0</v>
      </c>
      <c r="D72" s="993">
        <f>'[3]önk'!D71+'[3]ph'!D71+'[3]óvoda'!D71+'[3]gond'!D71+'[3]műv'!D71+'[3]gamesz'!D71</f>
        <v>0</v>
      </c>
      <c r="E72" s="421"/>
    </row>
    <row r="73" spans="1:5" ht="12.75">
      <c r="A73" s="1871" t="s">
        <v>1267</v>
      </c>
      <c r="B73" s="1872" t="s">
        <v>1268</v>
      </c>
      <c r="C73" s="993">
        <f>'[3]önk'!C72+'[3]ph'!C72+'[3]óvoda'!C72+'[3]gond'!C72+'[3]műv'!C72+'[3]gamesz'!C72</f>
        <v>72316</v>
      </c>
      <c r="D73" s="993">
        <f>'[3]önk'!D72+'[3]ph'!D72+'[3]óvoda'!D72+'[3]gond'!D72+'[3]műv'!D72+'[3]gamesz'!D72+1063+554</f>
        <v>127558</v>
      </c>
      <c r="E73" s="421"/>
    </row>
    <row r="74" spans="1:5" ht="12.75">
      <c r="A74" s="1869" t="s">
        <v>1269</v>
      </c>
      <c r="B74" s="1870" t="s">
        <v>1425</v>
      </c>
      <c r="C74" s="993">
        <f>'[3]önk'!C73+'[3]ph'!C73+'[3]óvoda'!C73+'[3]gond'!C73+'[3]műv'!C73+'[3]gamesz'!C73</f>
        <v>7261</v>
      </c>
      <c r="D74" s="993">
        <f>'[3]önk'!D73+'[3]ph'!D73+'[3]óvoda'!D73+'[3]gond'!D73+'[3]műv'!D73+'[3]gamesz'!D73</f>
        <v>899</v>
      </c>
      <c r="E74" s="421"/>
    </row>
    <row r="75" spans="1:5" ht="12.75">
      <c r="A75" s="1869" t="s">
        <v>1270</v>
      </c>
      <c r="B75" s="1870" t="s">
        <v>1426</v>
      </c>
      <c r="C75" s="993">
        <f>'[3]önk'!C74+'[3]ph'!C74+'[3]óvoda'!C74+'[3]gond'!C74+'[3]műv'!C74+'[3]gamesz'!C74</f>
        <v>220</v>
      </c>
      <c r="D75" s="993">
        <f>'[3]önk'!D74+'[3]ph'!D74+'[3]óvoda'!D74+'[3]gond'!D74+'[3]műv'!D74+'[3]gamesz'!D74</f>
        <v>0</v>
      </c>
      <c r="E75" s="421"/>
    </row>
    <row r="76" spans="1:5" ht="12.75">
      <c r="A76" s="1869" t="s">
        <v>1271</v>
      </c>
      <c r="B76" s="1870" t="s">
        <v>1427</v>
      </c>
      <c r="C76" s="993">
        <f>'[3]önk'!C75+'[3]ph'!C75+'[3]óvoda'!C75+'[3]gond'!C75+'[3]műv'!C75+'[3]gamesz'!C75</f>
        <v>0</v>
      </c>
      <c r="D76" s="993">
        <f>'[3]önk'!D75+'[3]ph'!D75+'[3]óvoda'!D75+'[3]gond'!D75+'[3]műv'!D75+'[3]gamesz'!D75</f>
        <v>0</v>
      </c>
      <c r="E76" s="421"/>
    </row>
    <row r="77" spans="1:5" ht="12.75">
      <c r="A77" s="1869" t="s">
        <v>1272</v>
      </c>
      <c r="B77" s="1870" t="s">
        <v>1428</v>
      </c>
      <c r="C77" s="993">
        <f>'[3]önk'!C76+'[3]ph'!C76+'[3]óvoda'!C76+'[3]gond'!C76+'[3]műv'!C76+'[3]gamesz'!C76</f>
        <v>0</v>
      </c>
      <c r="D77" s="993">
        <f>'[3]önk'!D76+'[3]ph'!D76+'[3]óvoda'!D76+'[3]gond'!D76+'[3]műv'!D76+'[3]gamesz'!D76</f>
        <v>0</v>
      </c>
      <c r="E77" s="421"/>
    </row>
    <row r="78" spans="1:5" ht="12.75">
      <c r="A78" s="1871" t="s">
        <v>1273</v>
      </c>
      <c r="B78" s="1872" t="s">
        <v>1274</v>
      </c>
      <c r="C78" s="993">
        <f>'[3]önk'!C77+'[3]ph'!C77+'[3]óvoda'!C77+'[3]gond'!C77+'[3]műv'!C77+'[3]gamesz'!C77</f>
        <v>7481</v>
      </c>
      <c r="D78" s="993">
        <f>'[3]önk'!D77+'[3]ph'!D77+'[3]óvoda'!D77+'[3]gond'!D77+'[3]műv'!D77+'[3]gamesz'!D77</f>
        <v>899</v>
      </c>
      <c r="E78" s="421"/>
    </row>
    <row r="79" spans="1:5" ht="12.75">
      <c r="A79" s="1871" t="s">
        <v>1275</v>
      </c>
      <c r="B79" s="1872" t="s">
        <v>1276</v>
      </c>
      <c r="C79" s="993">
        <f>'[3]önk'!C78+'[3]ph'!C78+'[3]óvoda'!C78+'[3]gond'!C78+'[3]műv'!C78+'[3]gamesz'!C78</f>
        <v>114344</v>
      </c>
      <c r="D79" s="993">
        <f>'[3]önk'!D78+'[3]ph'!D78+'[3]óvoda'!D78+'[3]gond'!D78+'[3]műv'!D78+'[3]gamesz'!D78+1063+554</f>
        <v>187937</v>
      </c>
      <c r="E79" s="421"/>
    </row>
    <row r="80" spans="1:6" ht="12.75">
      <c r="A80" s="1871" t="s">
        <v>1277</v>
      </c>
      <c r="B80" s="1872" t="s">
        <v>1278</v>
      </c>
      <c r="C80" s="993">
        <f>'[3]önk'!C79+'[3]ph'!C79+'[3]óvoda'!C79+'[3]gond'!C79+'[3]műv'!C79+'[3]gamesz'!C79</f>
        <v>2465984</v>
      </c>
      <c r="D80" s="993">
        <f>'[3]önk'!D79+'[3]ph'!D79+'[3]óvoda'!D79+'[3]gond'!D79+'[3]műv'!D79+'[3]gamesz'!D79+20949+1063+554</f>
        <v>2543141</v>
      </c>
      <c r="E80" s="421"/>
      <c r="F80" s="861"/>
    </row>
    <row r="81" spans="1:5" ht="12.75">
      <c r="A81" s="1875"/>
      <c r="B81" s="421"/>
      <c r="C81" s="1876"/>
      <c r="D81" s="1876"/>
      <c r="E81" s="421"/>
    </row>
    <row r="82" spans="1:5" ht="12.75">
      <c r="A82" s="1875"/>
      <c r="B82" s="1877"/>
      <c r="C82" s="1876"/>
      <c r="D82" s="1876"/>
      <c r="E82" s="421"/>
    </row>
    <row r="83" spans="1:5" ht="12.75">
      <c r="A83" s="1878" t="s">
        <v>1196</v>
      </c>
      <c r="B83" s="1879" t="s">
        <v>1279</v>
      </c>
      <c r="C83" s="1880"/>
      <c r="D83" s="1880"/>
      <c r="E83" s="421"/>
    </row>
    <row r="84" spans="1:5" ht="12.75">
      <c r="A84" s="1881" t="s">
        <v>1280</v>
      </c>
      <c r="B84" s="1882" t="s">
        <v>1429</v>
      </c>
      <c r="C84" s="1883">
        <v>0</v>
      </c>
      <c r="D84" s="1883">
        <v>0</v>
      </c>
      <c r="E84" s="421"/>
    </row>
    <row r="85" spans="1:5" ht="12.75">
      <c r="A85" s="1881" t="s">
        <v>1281</v>
      </c>
      <c r="B85" s="1882" t="s">
        <v>1430</v>
      </c>
      <c r="C85" s="1884">
        <f>'[3]önk'!C84+'[3]ph'!C84+'[3]óvoda'!C84+'[3]gond'!C84+'[3]műv'!C84+'[3]gamesz'!C84</f>
        <v>292749</v>
      </c>
      <c r="D85" s="1884">
        <f>'[3]önk'!D84+'[3]ph'!D84+'[3]óvoda'!D84+'[3]gond'!D84+'[3]műv'!D84+'[3]gamesz'!D84</f>
        <v>292749</v>
      </c>
      <c r="E85" s="421"/>
    </row>
    <row r="86" spans="1:5" ht="12.75">
      <c r="A86" s="1885" t="s">
        <v>1282</v>
      </c>
      <c r="B86" s="1886" t="s">
        <v>1283</v>
      </c>
      <c r="C86" s="1884">
        <v>292749</v>
      </c>
      <c r="D86" s="1884">
        <v>292749</v>
      </c>
      <c r="E86" s="421"/>
    </row>
    <row r="87" spans="1:5" ht="12.75">
      <c r="A87" s="1881" t="s">
        <v>1284</v>
      </c>
      <c r="B87" s="1882" t="s">
        <v>1431</v>
      </c>
      <c r="C87" s="1887"/>
      <c r="D87" s="1887"/>
      <c r="E87" s="421"/>
    </row>
    <row r="88" spans="1:5" ht="12.75">
      <c r="A88" s="1881" t="s">
        <v>1285</v>
      </c>
      <c r="B88" s="1882" t="s">
        <v>1432</v>
      </c>
      <c r="C88" s="1884">
        <f>'[3]önk'!C87+'[3]ph'!C87+'[3]óvoda'!C87+'[3]gond'!C87+'[3]műv'!C87+'[3]gamesz'!C87</f>
        <v>2088422</v>
      </c>
      <c r="D88" s="1884">
        <f>'[3]önk'!D87+'[3]ph'!D87+'[3]óvoda'!D87+'[3]gond'!D87+'[3]műv'!D87+'[3]gamesz'!D87+17032</f>
        <v>2093641</v>
      </c>
      <c r="E88" s="421"/>
    </row>
    <row r="89" spans="1:5" ht="12.75">
      <c r="A89" s="1885" t="s">
        <v>1286</v>
      </c>
      <c r="B89" s="1886" t="s">
        <v>1287</v>
      </c>
      <c r="C89" s="1884">
        <f>'[3]önk'!C86+'[3]ph'!C86+'[3]óvoda'!C86+'[3]gond'!C86+'[3]műv'!C86+'[3]gamesz'!C86</f>
        <v>2088422</v>
      </c>
      <c r="D89" s="1884">
        <f>'[3]önk'!D86+'[3]ph'!D86+'[3]óvoda'!D86+'[3]gond'!D86+'[3]műv'!D86+'[3]gamesz'!D86+17032</f>
        <v>2093641</v>
      </c>
      <c r="E89" s="421"/>
    </row>
    <row r="90" spans="1:5" ht="12.75">
      <c r="A90" s="1881" t="s">
        <v>1288</v>
      </c>
      <c r="B90" s="1882" t="s">
        <v>1433</v>
      </c>
      <c r="C90" s="1884">
        <f>'[3]önk'!C89+'[3]ph'!C89+'[3]óvoda'!C89+'[3]gond'!C89+'[3]műv'!C89+'[3]gamesz'!C89</f>
        <v>0</v>
      </c>
      <c r="D90" s="1884">
        <f>'[3]önk'!D89+'[3]ph'!D89+'[3]óvoda'!D89+'[3]gond'!D89+'[3]műv'!D89+'[3]gamesz'!D89</f>
        <v>0</v>
      </c>
      <c r="E90" s="421"/>
    </row>
    <row r="91" spans="1:5" ht="12.75">
      <c r="A91" s="1881" t="s">
        <v>1289</v>
      </c>
      <c r="B91" s="1882" t="s">
        <v>1434</v>
      </c>
      <c r="C91" s="1884">
        <f>'[3]önk'!C90+'[3]ph'!C90+'[3]óvoda'!C90+'[3]gond'!C90+'[3]műv'!C90+'[3]gamesz'!C90</f>
        <v>0</v>
      </c>
      <c r="D91" s="1884">
        <f>'[3]önk'!D90+'[3]ph'!D90+'[3]óvoda'!D90+'[3]gond'!D90+'[3]műv'!D90+'[3]gamesz'!D90</f>
        <v>0</v>
      </c>
      <c r="E91" s="421"/>
    </row>
    <row r="92" spans="1:5" ht="12.75">
      <c r="A92" s="1885" t="s">
        <v>1290</v>
      </c>
      <c r="B92" s="1886" t="s">
        <v>1291</v>
      </c>
      <c r="C92" s="1887"/>
      <c r="D92" s="1887"/>
      <c r="E92" s="421"/>
    </row>
    <row r="93" spans="1:5" ht="12.75">
      <c r="A93" s="1885" t="s">
        <v>1292</v>
      </c>
      <c r="B93" s="1886" t="s">
        <v>1293</v>
      </c>
      <c r="C93" s="1884">
        <f>'[3]önk'!C91+'[3]ph'!C91+'[3]óvoda'!C91+'[3]gond'!C91+'[3]műv'!C91+'[3]gamesz'!C91</f>
        <v>2381171</v>
      </c>
      <c r="D93" s="1884">
        <f>'[3]önk'!D91+'[3]ph'!D91+'[3]óvoda'!D91+'[3]gond'!D91+'[3]műv'!D91+'[3]gamesz'!D91+17032</f>
        <v>2386390</v>
      </c>
      <c r="E93" s="421"/>
    </row>
    <row r="94" spans="1:5" ht="12.75">
      <c r="A94" s="1881" t="s">
        <v>5191</v>
      </c>
      <c r="B94" s="1882" t="s">
        <v>1435</v>
      </c>
      <c r="C94" s="1884">
        <f>'[3]önk'!C92+'[3]ph'!C92+'[3]óvoda'!C92+'[3]gond'!C92+'[3]műv'!C92+'[3]gamesz'!C92</f>
        <v>63992</v>
      </c>
      <c r="D94" s="1884">
        <f>'[3]önk'!D92+'[3]ph'!D92+'[3]óvoda'!D92+'[3]gond'!D92+'[3]műv'!D92+'[3]gamesz'!D92+1063</f>
        <v>105973</v>
      </c>
      <c r="E94" s="421"/>
    </row>
    <row r="95" spans="1:5" ht="12.75">
      <c r="A95" s="1881" t="s">
        <v>1294</v>
      </c>
      <c r="B95" s="1882" t="s">
        <v>1436</v>
      </c>
      <c r="C95" s="1884">
        <f>'[3]önk'!C93+'[3]ph'!C93+'[3]óvoda'!C93+'[3]gond'!C93+'[3]műv'!C93+'[3]gamesz'!C93</f>
        <v>62681</v>
      </c>
      <c r="D95" s="1884">
        <f>'[3]önk'!D93+'[3]ph'!D93+'[3]óvoda'!D93+'[3]gond'!D93+'[3]műv'!D93+'[3]gamesz'!D93+1063</f>
        <v>105973</v>
      </c>
      <c r="E95" s="421"/>
    </row>
    <row r="96" spans="1:5" ht="12.75">
      <c r="A96" s="1881" t="s">
        <v>1295</v>
      </c>
      <c r="B96" s="1882" t="s">
        <v>2690</v>
      </c>
      <c r="C96" s="1884">
        <f>'[3]önk'!C94+'[3]ph'!C94+'[3]óvoda'!C94+'[3]gond'!C94+'[3]műv'!C94+'[3]gamesz'!C94</f>
        <v>1311</v>
      </c>
      <c r="D96" s="1884">
        <f>'[3]önk'!D94+'[3]ph'!D94+'[3]óvoda'!D94+'[3]gond'!D94+'[3]műv'!D94+'[3]gamesz'!D94</f>
        <v>0</v>
      </c>
      <c r="E96" s="421"/>
    </row>
    <row r="97" spans="1:5" ht="12.75">
      <c r="A97" s="1881" t="s">
        <v>1296</v>
      </c>
      <c r="B97" s="1882" t="s">
        <v>2691</v>
      </c>
      <c r="C97" s="1884">
        <f>'[3]önk'!C95+'[3]ph'!C95+'[3]óvoda'!C95+'[3]gond'!C95+'[3]műv'!C95+'[3]gamesz'!C95</f>
        <v>4185</v>
      </c>
      <c r="D97" s="1884">
        <f>'[3]önk'!D95+'[3]ph'!D95+'[3]óvoda'!D95+'[3]gond'!D95+'[3]műv'!D95+'[3]gamesz'!D95</f>
        <v>4087</v>
      </c>
      <c r="E97" s="421"/>
    </row>
    <row r="98" spans="1:5" ht="12.75">
      <c r="A98" s="1881" t="s">
        <v>1297</v>
      </c>
      <c r="B98" s="1882" t="s">
        <v>2692</v>
      </c>
      <c r="C98" s="1884">
        <f>'[3]önk'!C96+'[3]ph'!C96+'[3]óvoda'!C96+'[3]gond'!C96+'[3]műv'!C96+'[3]gamesz'!C96</f>
        <v>0</v>
      </c>
      <c r="D98" s="1884">
        <f>'[3]önk'!D96+'[3]ph'!D96+'[3]óvoda'!D96+'[3]gond'!D96+'[3]műv'!D96+'[3]gamesz'!D96</f>
        <v>0</v>
      </c>
      <c r="E98" s="421"/>
    </row>
    <row r="99" spans="1:5" ht="12.75">
      <c r="A99" s="1881" t="s">
        <v>545</v>
      </c>
      <c r="B99" s="1882" t="s">
        <v>2693</v>
      </c>
      <c r="C99" s="1884">
        <f>'[3]önk'!C97+'[3]ph'!C97+'[3]óvoda'!C97+'[3]gond'!C97+'[3]műv'!C97+'[3]gamesz'!C97</f>
        <v>0</v>
      </c>
      <c r="D99" s="1884">
        <f>'[3]önk'!D97+'[3]ph'!D97+'[3]óvoda'!D97+'[3]gond'!D97+'[3]műv'!D97+'[3]gamesz'!D97</f>
        <v>0</v>
      </c>
      <c r="E99" s="421"/>
    </row>
    <row r="100" spans="1:5" ht="12.75">
      <c r="A100" s="1881" t="s">
        <v>1298</v>
      </c>
      <c r="B100" s="1882" t="s">
        <v>2694</v>
      </c>
      <c r="C100" s="1884">
        <f>'[3]önk'!C98+'[3]ph'!C98+'[3]óvoda'!C98+'[3]gond'!C98+'[3]műv'!C98+'[3]gamesz'!C98</f>
        <v>0</v>
      </c>
      <c r="D100" s="1884">
        <f>'[3]önk'!D98+'[3]ph'!D98+'[3]óvoda'!D98+'[3]gond'!D98+'[3]műv'!D98+'[3]gamesz'!D98</f>
        <v>0</v>
      </c>
      <c r="E100" s="421"/>
    </row>
    <row r="101" spans="1:5" ht="12.75">
      <c r="A101" s="1885" t="s">
        <v>1299</v>
      </c>
      <c r="B101" s="1886" t="s">
        <v>1300</v>
      </c>
      <c r="C101" s="1884">
        <f>'[3]önk'!C99+'[3]ph'!C99+'[3]óvoda'!C99+'[3]gond'!C99+'[3]műv'!C99+'[3]gamesz'!C99</f>
        <v>68177</v>
      </c>
      <c r="D101" s="1884">
        <f>'[3]önk'!D99+'[3]ph'!D99+'[3]óvoda'!D99+'[3]gond'!D99+'[3]műv'!D99+'[3]gamesz'!D99+1063</f>
        <v>110060</v>
      </c>
      <c r="E101" s="421"/>
    </row>
    <row r="102" spans="1:5" ht="12.75">
      <c r="A102" s="1881" t="s">
        <v>1301</v>
      </c>
      <c r="B102" s="1882" t="s">
        <v>2695</v>
      </c>
      <c r="C102" s="1884">
        <f>'[3]önk'!C100+'[3]ph'!C100+'[3]óvoda'!C100+'[3]gond'!C100+'[3]műv'!C100+'[3]gamesz'!C100</f>
        <v>0</v>
      </c>
      <c r="D102" s="1884">
        <f>'[3]önk'!D100+'[3]ph'!D100+'[3]óvoda'!D100+'[3]gond'!D100+'[3]műv'!D100+'[3]gamesz'!D100</f>
        <v>0</v>
      </c>
      <c r="E102" s="421"/>
    </row>
    <row r="103" spans="1:5" ht="12.75">
      <c r="A103" s="1881" t="s">
        <v>1302</v>
      </c>
      <c r="B103" s="1882" t="s">
        <v>2696</v>
      </c>
      <c r="C103" s="1884">
        <f>'[3]önk'!C101+'[3]ph'!C101+'[3]óvoda'!C101+'[3]gond'!C101+'[3]műv'!C101+'[3]gamesz'!C101</f>
        <v>0</v>
      </c>
      <c r="D103" s="1884">
        <f>'[3]önk'!D101+'[3]ph'!D101+'[3]óvoda'!D101+'[3]gond'!D101+'[3]műv'!D101+'[3]gamesz'!D101</f>
        <v>0</v>
      </c>
      <c r="E103" s="421"/>
    </row>
    <row r="104" spans="1:5" ht="12.75">
      <c r="A104" s="1881" t="s">
        <v>1303</v>
      </c>
      <c r="B104" s="1882" t="s">
        <v>2697</v>
      </c>
      <c r="C104" s="1884">
        <f>'[3]önk'!C102+'[3]ph'!C102+'[3]óvoda'!C102+'[3]gond'!C102+'[3]műv'!C102+'[3]gamesz'!C102</f>
        <v>0</v>
      </c>
      <c r="D104" s="1884">
        <f>'[3]önk'!D102+'[3]ph'!D102+'[3]óvoda'!D102+'[3]gond'!D102+'[3]műv'!D102+'[3]gamesz'!D102</f>
        <v>0</v>
      </c>
      <c r="E104" s="421"/>
    </row>
    <row r="105" spans="1:5" ht="12.75">
      <c r="A105" s="1881" t="s">
        <v>1304</v>
      </c>
      <c r="B105" s="1882" t="s">
        <v>2698</v>
      </c>
      <c r="C105" s="1884">
        <f>'[3]önk'!C103+'[3]ph'!C103+'[3]óvoda'!C103+'[3]gond'!C103+'[3]műv'!C103+'[3]gamesz'!C103</f>
        <v>0</v>
      </c>
      <c r="D105" s="1884">
        <f>'[3]önk'!D103+'[3]ph'!D103+'[3]óvoda'!D103+'[3]gond'!D103+'[3]műv'!D103+'[3]gamesz'!D103</f>
        <v>0</v>
      </c>
      <c r="E105" s="421"/>
    </row>
    <row r="106" spans="1:5" ht="12.75">
      <c r="A106" s="1881" t="s">
        <v>1305</v>
      </c>
      <c r="B106" s="1882" t="s">
        <v>2699</v>
      </c>
      <c r="C106" s="1884">
        <f>'[3]önk'!C104+'[3]ph'!C104+'[3]óvoda'!C104+'[3]gond'!C104+'[3]műv'!C104+'[3]gamesz'!C104</f>
        <v>0</v>
      </c>
      <c r="D106" s="1884">
        <f>'[3]önk'!D104+'[3]ph'!D104+'[3]óvoda'!D104+'[3]gond'!D104+'[3]műv'!D104+'[3]gamesz'!D104</f>
        <v>0</v>
      </c>
      <c r="E106" s="421"/>
    </row>
    <row r="107" spans="1:5" ht="12.75">
      <c r="A107" s="1881" t="s">
        <v>1306</v>
      </c>
      <c r="B107" s="1882" t="s">
        <v>2700</v>
      </c>
      <c r="C107" s="1884">
        <f>'[3]önk'!C105+'[3]ph'!C105+'[3]óvoda'!C105+'[3]gond'!C105+'[3]műv'!C105+'[3]gamesz'!C105</f>
        <v>0</v>
      </c>
      <c r="D107" s="1884">
        <f>'[3]önk'!D105+'[3]ph'!D105+'[3]óvoda'!D105+'[3]gond'!D105+'[3]műv'!D105+'[3]gamesz'!D105</f>
        <v>0</v>
      </c>
      <c r="E107" s="421"/>
    </row>
    <row r="108" spans="1:5" ht="12.75">
      <c r="A108" s="1885" t="s">
        <v>1307</v>
      </c>
      <c r="B108" s="1886" t="s">
        <v>1308</v>
      </c>
      <c r="C108" s="1884">
        <f>'[3]önk'!C106+'[3]ph'!C106+'[3]óvoda'!C106+'[3]gond'!C106+'[3]műv'!C106+'[3]gamesz'!C106</f>
        <v>0</v>
      </c>
      <c r="D108" s="1884">
        <f>'[3]önk'!D106+'[3]ph'!D106+'[3]óvoda'!D106+'[3]gond'!D106+'[3]műv'!D106+'[3]gamesz'!D106</f>
        <v>0</v>
      </c>
      <c r="E108" s="421"/>
    </row>
    <row r="109" spans="1:5" ht="12.75">
      <c r="A109" s="1885" t="s">
        <v>1309</v>
      </c>
      <c r="B109" s="1886" t="s">
        <v>1310</v>
      </c>
      <c r="C109" s="1884">
        <f>'[3]önk'!C107+'[3]ph'!C107+'[3]óvoda'!C107+'[3]gond'!C107+'[3]műv'!C107+'[3]gamesz'!C107</f>
        <v>68177</v>
      </c>
      <c r="D109" s="1884">
        <f>'[3]önk'!D107+'[3]ph'!D107+'[3]óvoda'!D107+'[3]gond'!D107+'[3]műv'!D107+'[3]gamesz'!D107+1063</f>
        <v>110060</v>
      </c>
      <c r="E109" s="421"/>
    </row>
    <row r="110" spans="1:5" ht="12.75">
      <c r="A110" s="1881" t="s">
        <v>1311</v>
      </c>
      <c r="B110" s="1882" t="s">
        <v>2701</v>
      </c>
      <c r="C110" s="1884">
        <f>'[3]önk'!C108+'[3]ph'!C108+'[3]óvoda'!C108+'[3]gond'!C108+'[3]műv'!C108+'[3]gamesz'!C108</f>
        <v>0</v>
      </c>
      <c r="D110" s="1884">
        <f>'[3]önk'!D108+'[3]ph'!D108+'[3]óvoda'!D108+'[3]gond'!D108+'[3]műv'!D108+'[3]gamesz'!D108</f>
        <v>0</v>
      </c>
      <c r="E110" s="421"/>
    </row>
    <row r="111" spans="1:5" ht="12.75">
      <c r="A111" s="1881" t="s">
        <v>1312</v>
      </c>
      <c r="B111" s="1882" t="s">
        <v>2702</v>
      </c>
      <c r="C111" s="1884">
        <f>'[3]önk'!C109+'[3]ph'!C109+'[3]óvoda'!C109+'[3]gond'!C109+'[3]műv'!C109+'[3]gamesz'!C109</f>
        <v>0</v>
      </c>
      <c r="D111" s="1884">
        <f>'[3]önk'!D109+'[3]ph'!D109+'[3]óvoda'!D109+'[3]gond'!D109+'[3]műv'!D109+'[3]gamesz'!D109</f>
        <v>0</v>
      </c>
      <c r="E111" s="421"/>
    </row>
    <row r="112" spans="1:5" ht="12.75">
      <c r="A112" s="1881" t="s">
        <v>1313</v>
      </c>
      <c r="B112" s="1882" t="s">
        <v>2703</v>
      </c>
      <c r="C112" s="1884">
        <f>'[3]önk'!C110+'[3]ph'!C110+'[3]óvoda'!C110+'[3]gond'!C110+'[3]műv'!C110+'[3]gamesz'!C110</f>
        <v>0</v>
      </c>
      <c r="D112" s="1884">
        <f>'[3]önk'!D110+'[3]ph'!D110+'[3]óvoda'!D110+'[3]gond'!D110+'[3]műv'!D110+'[3]gamesz'!D110</f>
        <v>0</v>
      </c>
      <c r="E112" s="421"/>
    </row>
    <row r="113" spans="1:5" ht="12.75">
      <c r="A113" s="1881" t="s">
        <v>1314</v>
      </c>
      <c r="B113" s="1882" t="s">
        <v>2704</v>
      </c>
      <c r="C113" s="1884">
        <f>'[3]önk'!C111+'[3]ph'!C111+'[3]óvoda'!C111+'[3]gond'!C111+'[3]műv'!C111+'[3]gamesz'!C111</f>
        <v>0</v>
      </c>
      <c r="D113" s="1884">
        <f>'[3]önk'!D111+'[3]ph'!D111+'[3]óvoda'!D111+'[3]gond'!D111+'[3]műv'!D111+'[3]gamesz'!D111</f>
        <v>0</v>
      </c>
      <c r="E113" s="421"/>
    </row>
    <row r="114" spans="1:5" ht="12.75">
      <c r="A114" s="1881" t="s">
        <v>1315</v>
      </c>
      <c r="B114" s="1882" t="s">
        <v>2705</v>
      </c>
      <c r="C114" s="1884">
        <f>'[3]önk'!C112+'[3]ph'!C112+'[3]óvoda'!C112+'[3]gond'!C112+'[3]műv'!C112+'[3]gamesz'!C112</f>
        <v>0</v>
      </c>
      <c r="D114" s="1884">
        <f>'[3]önk'!D112+'[3]ph'!D112+'[3]óvoda'!D112+'[3]gond'!D112+'[3]műv'!D112+'[3]gamesz'!D112</f>
        <v>0</v>
      </c>
      <c r="E114" s="421"/>
    </row>
    <row r="115" spans="1:5" ht="12.75">
      <c r="A115" s="1881" t="s">
        <v>1316</v>
      </c>
      <c r="B115" s="1882" t="s">
        <v>2706</v>
      </c>
      <c r="C115" s="1884">
        <f>'[3]önk'!C113+'[3]ph'!C113+'[3]óvoda'!C113+'[3]gond'!C113+'[3]műv'!C113+'[3]gamesz'!C113</f>
        <v>0</v>
      </c>
      <c r="D115" s="1884">
        <f>'[3]önk'!D113+'[3]ph'!D113+'[3]óvoda'!D113+'[3]gond'!D113+'[3]műv'!D113+'[3]gamesz'!D113</f>
        <v>0</v>
      </c>
      <c r="E115" s="421"/>
    </row>
    <row r="116" spans="1:5" ht="12.75">
      <c r="A116" s="1881" t="s">
        <v>1317</v>
      </c>
      <c r="B116" s="1882" t="s">
        <v>2707</v>
      </c>
      <c r="C116" s="1884">
        <f>'[3]önk'!C114+'[3]ph'!C114+'[3]óvoda'!C114+'[3]gond'!C114+'[3]műv'!C114+'[3]gamesz'!C114</f>
        <v>0</v>
      </c>
      <c r="D116" s="1884">
        <f>'[3]önk'!D114+'[3]ph'!D114+'[3]óvoda'!D114+'[3]gond'!D114+'[3]műv'!D114+'[3]gamesz'!D114</f>
        <v>0</v>
      </c>
      <c r="E116" s="421"/>
    </row>
    <row r="117" spans="1:5" ht="12.75">
      <c r="A117" s="1881" t="s">
        <v>1318</v>
      </c>
      <c r="B117" s="1882" t="s">
        <v>2708</v>
      </c>
      <c r="C117" s="1884">
        <f>'[3]önk'!C115+'[3]ph'!C115+'[3]óvoda'!C115+'[3]gond'!C115+'[3]műv'!C115+'[3]gamesz'!C115</f>
        <v>0</v>
      </c>
      <c r="D117" s="1884">
        <f>'[3]önk'!D115+'[3]ph'!D115+'[3]óvoda'!D115+'[3]gond'!D115+'[3]műv'!D115+'[3]gamesz'!D115</f>
        <v>0</v>
      </c>
      <c r="E117" s="421"/>
    </row>
    <row r="118" spans="1:5" ht="12.75">
      <c r="A118" s="1885" t="s">
        <v>1319</v>
      </c>
      <c r="B118" s="1886" t="s">
        <v>1320</v>
      </c>
      <c r="C118" s="1884">
        <f>'[3]önk'!C116+'[3]ph'!C116+'[3]óvoda'!C116+'[3]gond'!C116+'[3]műv'!C116+'[3]gamesz'!C116</f>
        <v>0</v>
      </c>
      <c r="D118" s="1884">
        <f>'[3]önk'!D116+'[3]ph'!D116+'[3]óvoda'!D116+'[3]gond'!D116+'[3]műv'!D116+'[3]gamesz'!D116</f>
        <v>0</v>
      </c>
      <c r="E118" s="421"/>
    </row>
    <row r="119" spans="1:5" ht="12.75">
      <c r="A119" s="1881" t="s">
        <v>1321</v>
      </c>
      <c r="B119" s="1882" t="s">
        <v>2709</v>
      </c>
      <c r="C119" s="1884">
        <f>'[3]önk'!C117+'[3]ph'!C117+'[3]óvoda'!C117+'[3]gond'!C117+'[3]műv'!C117+'[3]gamesz'!C117</f>
        <v>1047</v>
      </c>
      <c r="D119" s="1884">
        <v>3837</v>
      </c>
      <c r="E119" s="421"/>
    </row>
    <row r="120" spans="1:5" ht="22.5">
      <c r="A120" s="1881" t="s">
        <v>3416</v>
      </c>
      <c r="B120" s="1882" t="s">
        <v>2710</v>
      </c>
      <c r="C120" s="1884">
        <f>'[3]önk'!C118+'[3]ph'!C118+'[3]óvoda'!C118+'[3]gond'!C118+'[3]műv'!C118+'[3]gamesz'!C118</f>
        <v>0</v>
      </c>
      <c r="D120" s="1884">
        <f>'[3]önk'!D118+'[3]ph'!D118+'[3]óvoda'!D118+'[3]gond'!D118+'[3]műv'!D118+'[3]gamesz'!D118</f>
        <v>0</v>
      </c>
      <c r="E120" s="421"/>
    </row>
    <row r="121" spans="1:5" ht="12.75">
      <c r="A121" s="1881" t="s">
        <v>1322</v>
      </c>
      <c r="B121" s="1882" t="s">
        <v>2711</v>
      </c>
      <c r="C121" s="1884">
        <f>'[3]önk'!C119+'[3]ph'!C119+'[3]óvoda'!C119+'[3]gond'!C119+'[3]műv'!C119+'[3]gamesz'!C119</f>
        <v>0</v>
      </c>
      <c r="D121" s="1884">
        <f>'[3]önk'!D119+'[3]ph'!D119+'[3]óvoda'!D119+'[3]gond'!D119+'[3]műv'!D119+'[3]gamesz'!D119</f>
        <v>0</v>
      </c>
      <c r="E121" s="421"/>
    </row>
    <row r="122" spans="1:5" ht="12.75">
      <c r="A122" s="1881" t="s">
        <v>1323</v>
      </c>
      <c r="B122" s="1882" t="s">
        <v>2712</v>
      </c>
      <c r="C122" s="1884">
        <f>'[3]önk'!C120+'[3]ph'!C120+'[3]óvoda'!C120+'[3]gond'!C120+'[3]műv'!C120+'[3]gamesz'!C120</f>
        <v>0</v>
      </c>
      <c r="D122" s="1884">
        <f>'[3]önk'!D120+'[3]ph'!D120+'[3]óvoda'!D120+'[3]gond'!D120+'[3]műv'!D120+'[3]gamesz'!D120</f>
        <v>0</v>
      </c>
      <c r="E122" s="421"/>
    </row>
    <row r="123" spans="1:5" ht="12.75">
      <c r="A123" s="1881" t="s">
        <v>1324</v>
      </c>
      <c r="B123" s="1888" t="s">
        <v>2713</v>
      </c>
      <c r="C123" s="1884">
        <f>'[3]önk'!C121+'[3]ph'!C121+'[3]óvoda'!C121+'[3]gond'!C121+'[3]műv'!C121+'[3]gamesz'!C121</f>
        <v>0</v>
      </c>
      <c r="D123" s="1884">
        <f>'[3]önk'!D121+'[3]ph'!D121+'[3]óvoda'!D121+'[3]gond'!D121+'[3]műv'!D121+'[3]gamesz'!D121</f>
        <v>0</v>
      </c>
      <c r="E123" s="421"/>
    </row>
    <row r="124" spans="1:5" ht="22.5">
      <c r="A124" s="1881" t="s">
        <v>1325</v>
      </c>
      <c r="B124" s="1888" t="s">
        <v>2714</v>
      </c>
      <c r="C124" s="1884">
        <f>'[3]önk'!C122+'[3]ph'!C122+'[3]óvoda'!C122+'[3]gond'!C122+'[3]műv'!C122+'[3]gamesz'!C122</f>
        <v>0</v>
      </c>
      <c r="D124" s="1884">
        <f>'[3]önk'!D122+'[3]ph'!D122+'[3]óvoda'!D122+'[3]gond'!D122+'[3]műv'!D122+'[3]gamesz'!D122</f>
        <v>0</v>
      </c>
      <c r="E124" s="421"/>
    </row>
    <row r="125" spans="1:5" ht="12.75">
      <c r="A125" s="1881" t="s">
        <v>1326</v>
      </c>
      <c r="B125" s="1882" t="s">
        <v>2715</v>
      </c>
      <c r="C125" s="1884">
        <f>'[3]önk'!C123+'[3]ph'!C123+'[3]óvoda'!C123+'[3]gond'!C123+'[3]műv'!C123+'[3]gamesz'!C123</f>
        <v>0</v>
      </c>
      <c r="D125" s="1884">
        <f>'[3]önk'!D123+'[3]ph'!D123+'[3]óvoda'!D123+'[3]gond'!D123+'[3]műv'!D123+'[3]gamesz'!D123</f>
        <v>0</v>
      </c>
      <c r="E125" s="421"/>
    </row>
    <row r="126" spans="1:5" ht="12.75">
      <c r="A126" s="1881" t="s">
        <v>1327</v>
      </c>
      <c r="B126" s="1882" t="s">
        <v>2716</v>
      </c>
      <c r="C126" s="1884">
        <f>'[3]önk'!C124+'[3]ph'!C124+'[3]óvoda'!C124+'[3]gond'!C124+'[3]műv'!C124+'[3]gamesz'!C124</f>
        <v>0</v>
      </c>
      <c r="D126" s="1884">
        <f>'[3]önk'!D124+'[3]ph'!D124+'[3]óvoda'!D124+'[3]gond'!D124+'[3]műv'!D124+'[3]gamesz'!D124</f>
        <v>0</v>
      </c>
      <c r="E126" s="421"/>
    </row>
    <row r="127" spans="1:5" ht="22.5">
      <c r="A127" s="1881" t="s">
        <v>1328</v>
      </c>
      <c r="B127" s="1888" t="s">
        <v>2062</v>
      </c>
      <c r="C127" s="1884">
        <f>'[3]önk'!C125+'[3]ph'!C125+'[3]óvoda'!C125+'[3]gond'!C125+'[3]műv'!C125+'[3]gamesz'!C125</f>
        <v>0</v>
      </c>
      <c r="D127" s="1884">
        <f>'[3]önk'!D125+'[3]ph'!D125+'[3]óvoda'!D125+'[3]gond'!D125+'[3]műv'!D125+'[3]gamesz'!D125</f>
        <v>0</v>
      </c>
      <c r="E127" s="421"/>
    </row>
    <row r="128" spans="1:5" ht="22.5">
      <c r="A128" s="1881" t="s">
        <v>1329</v>
      </c>
      <c r="B128" s="1888" t="s">
        <v>2063</v>
      </c>
      <c r="C128" s="1884">
        <f>'[3]önk'!C126+'[3]ph'!C126+'[3]óvoda'!C126+'[3]gond'!C126+'[3]műv'!C126+'[3]gamesz'!C126</f>
        <v>0</v>
      </c>
      <c r="D128" s="1884">
        <f>'[3]önk'!D126+'[3]ph'!D126+'[3]óvoda'!D126+'[3]gond'!D126+'[3]műv'!D126+'[3]gamesz'!D126</f>
        <v>0</v>
      </c>
      <c r="E128" s="421"/>
    </row>
    <row r="129" spans="1:5" ht="12.75">
      <c r="A129" s="1881" t="s">
        <v>1330</v>
      </c>
      <c r="B129" s="1882" t="s">
        <v>2064</v>
      </c>
      <c r="C129" s="1884">
        <f>'[3]önk'!C127+'[3]ph'!C127+'[3]óvoda'!C127+'[3]gond'!C127+'[3]műv'!C127+'[3]gamesz'!C127</f>
        <v>1022</v>
      </c>
      <c r="D129" s="1884">
        <f>'[3]önk'!D127+'[3]ph'!D127+'[3]óvoda'!D127+'[3]gond'!D127+'[3]műv'!D127+'[3]gamesz'!D127</f>
        <v>150</v>
      </c>
      <c r="E129" s="421"/>
    </row>
    <row r="130" spans="1:5" ht="12.75">
      <c r="A130" s="1881" t="s">
        <v>1331</v>
      </c>
      <c r="B130" s="1882" t="s">
        <v>1332</v>
      </c>
      <c r="C130" s="1884">
        <f>'[3]önk'!C128+'[3]ph'!C128+'[3]óvoda'!C128+'[3]gond'!C128+'[3]műv'!C128+'[3]gamesz'!C128</f>
        <v>1022</v>
      </c>
      <c r="D130" s="1884">
        <f>'[3]önk'!D128+'[3]ph'!D128+'[3]óvoda'!D128+'[3]gond'!D128+'[3]műv'!D128+'[3]gamesz'!D128</f>
        <v>150</v>
      </c>
      <c r="E130" s="421"/>
    </row>
    <row r="131" spans="1:5" ht="12.75">
      <c r="A131" s="1881" t="s">
        <v>1333</v>
      </c>
      <c r="B131" s="1882" t="s">
        <v>1334</v>
      </c>
      <c r="C131" s="1884">
        <f>'[3]önk'!C129+'[3]ph'!C129+'[3]óvoda'!C129+'[3]gond'!C129+'[3]műv'!C129+'[3]gamesz'!C129</f>
        <v>0</v>
      </c>
      <c r="D131" s="1884">
        <f>'[3]önk'!D129+'[3]ph'!D129+'[3]óvoda'!D129+'[3]gond'!D129+'[3]műv'!D129+'[3]gamesz'!D129</f>
        <v>0</v>
      </c>
      <c r="E131" s="421"/>
    </row>
    <row r="132" spans="1:5" ht="12.75">
      <c r="A132" s="1881" t="s">
        <v>1335</v>
      </c>
      <c r="B132" s="1882" t="s">
        <v>2065</v>
      </c>
      <c r="C132" s="1884">
        <f>'[3]önk'!C130+'[3]ph'!C130+'[3]óvoda'!C130+'[3]gond'!C130+'[3]műv'!C130+'[3]gamesz'!C130</f>
        <v>2947</v>
      </c>
      <c r="D132" s="1884">
        <f>'[3]önk'!D130+'[3]ph'!D130+'[3]óvoda'!D130+'[3]gond'!D130+'[3]műv'!D130+'[3]gamesz'!D130+80</f>
        <v>24307</v>
      </c>
      <c r="E132" s="421"/>
    </row>
    <row r="133" spans="1:5" ht="12.75">
      <c r="A133" s="1881" t="s">
        <v>1336</v>
      </c>
      <c r="B133" s="1882" t="s">
        <v>2066</v>
      </c>
      <c r="C133" s="1884">
        <f>'[3]önk'!C131+'[3]ph'!C131+'[3]óvoda'!C131+'[3]gond'!C131+'[3]műv'!C131+'[3]gamesz'!C131</f>
        <v>0</v>
      </c>
      <c r="D133" s="1884">
        <f>'[3]önk'!D131+'[3]ph'!D131+'[3]óvoda'!D131+'[3]gond'!D131+'[3]műv'!D131+'[3]gamesz'!D131</f>
        <v>0</v>
      </c>
      <c r="E133" s="421"/>
    </row>
    <row r="134" spans="1:5" ht="12.75">
      <c r="A134" s="1881" t="s">
        <v>1337</v>
      </c>
      <c r="B134" s="1888" t="s">
        <v>2067</v>
      </c>
      <c r="C134" s="1884">
        <f>'[3]önk'!C132+'[3]ph'!C132+'[3]óvoda'!C132+'[3]gond'!C132+'[3]műv'!C132+'[3]gamesz'!C132</f>
        <v>0</v>
      </c>
      <c r="D134" s="1884">
        <f>'[3]önk'!D132+'[3]ph'!D132+'[3]óvoda'!D132+'[3]gond'!D132+'[3]műv'!D132+'[3]gamesz'!D132</f>
        <v>0</v>
      </c>
      <c r="E134" s="421"/>
    </row>
    <row r="135" spans="1:5" ht="12.75">
      <c r="A135" s="1881" t="s">
        <v>1338</v>
      </c>
      <c r="B135" s="1888" t="s">
        <v>2068</v>
      </c>
      <c r="C135" s="1884">
        <f>'[3]önk'!C133+'[3]ph'!C133+'[3]óvoda'!C133+'[3]gond'!C133+'[3]műv'!C133+'[3]gamesz'!C133</f>
        <v>0</v>
      </c>
      <c r="D135" s="1884">
        <f>'[3]önk'!D133+'[3]ph'!D133+'[3]óvoda'!D133+'[3]gond'!D133+'[3]műv'!D133+'[3]gamesz'!D133</f>
        <v>0</v>
      </c>
      <c r="E135" s="421"/>
    </row>
    <row r="136" spans="1:5" ht="12.75">
      <c r="A136" s="1881" t="s">
        <v>1339</v>
      </c>
      <c r="B136" s="1888" t="s">
        <v>2069</v>
      </c>
      <c r="C136" s="1884">
        <f>'[3]önk'!C134+'[3]ph'!C134+'[3]óvoda'!C134+'[3]gond'!C134+'[3]műv'!C134+'[3]gamesz'!C134</f>
        <v>2947</v>
      </c>
      <c r="D136" s="1884">
        <f>'[3]önk'!D134+'[3]ph'!D134+'[3]óvoda'!D134+'[3]gond'!D134+'[3]műv'!D134+'[3]gamesz'!D134</f>
        <v>5960</v>
      </c>
      <c r="E136" s="421"/>
    </row>
    <row r="137" spans="1:5" ht="12.75">
      <c r="A137" s="1881" t="s">
        <v>1340</v>
      </c>
      <c r="B137" s="1888" t="s">
        <v>2070</v>
      </c>
      <c r="C137" s="1884">
        <f>'[3]önk'!C135+'[3]ph'!C135+'[3]óvoda'!C135+'[3]gond'!C135+'[3]műv'!C135+'[3]gamesz'!C135</f>
        <v>0</v>
      </c>
      <c r="D137" s="1884">
        <f>'[3]önk'!D135+'[3]ph'!D135+'[3]óvoda'!D135+'[3]gond'!D135+'[3]műv'!D135+'[3]gamesz'!D135</f>
        <v>0</v>
      </c>
      <c r="E137" s="421"/>
    </row>
    <row r="138" spans="1:5" ht="12.75">
      <c r="A138" s="1881" t="s">
        <v>1341</v>
      </c>
      <c r="B138" s="1888" t="s">
        <v>2071</v>
      </c>
      <c r="C138" s="1884">
        <f>'[3]önk'!C136+'[3]ph'!C136+'[3]óvoda'!C136+'[3]gond'!C136+'[3]műv'!C136+'[3]gamesz'!C136</f>
        <v>0</v>
      </c>
      <c r="D138" s="1884">
        <f>'[3]önk'!D136+'[3]ph'!D136+'[3]óvoda'!D136+'[3]gond'!D136+'[3]műv'!D136+'[3]gamesz'!D136</f>
        <v>0</v>
      </c>
      <c r="E138" s="421"/>
    </row>
    <row r="139" spans="1:5" ht="12.75">
      <c r="A139" s="1881" t="s">
        <v>1342</v>
      </c>
      <c r="B139" s="1888" t="s">
        <v>5090</v>
      </c>
      <c r="C139" s="1884">
        <f>'[3]önk'!C137+'[3]ph'!C137+'[3]óvoda'!C137+'[3]gond'!C137+'[3]műv'!C137+'[3]gamesz'!C137</f>
        <v>0</v>
      </c>
      <c r="D139" s="1884">
        <f>'[3]önk'!D137+'[3]ph'!D137+'[3]óvoda'!D137+'[3]gond'!D137+'[3]műv'!D137+'[3]gamesz'!D137</f>
        <v>0</v>
      </c>
      <c r="E139" s="421"/>
    </row>
    <row r="140" spans="1:5" ht="12.75">
      <c r="A140" s="1881" t="s">
        <v>1343</v>
      </c>
      <c r="B140" s="1888" t="s">
        <v>5091</v>
      </c>
      <c r="C140" s="1884">
        <f>'[3]önk'!C138+'[3]ph'!C138+'[3]óvoda'!C138+'[3]gond'!C138+'[3]műv'!C138+'[3]gamesz'!C138</f>
        <v>0</v>
      </c>
      <c r="D140" s="1884">
        <f>'[3]önk'!D138+'[3]ph'!D138+'[3]óvoda'!D138+'[3]gond'!D138+'[3]műv'!D138+'[3]gamesz'!D138</f>
        <v>0</v>
      </c>
      <c r="E140" s="421"/>
    </row>
    <row r="141" spans="1:5" ht="12.75">
      <c r="A141" s="1881" t="s">
        <v>1344</v>
      </c>
      <c r="B141" s="1888" t="s">
        <v>5092</v>
      </c>
      <c r="C141" s="1884">
        <f>'[3]önk'!C139+'[3]ph'!C139+'[3]óvoda'!C139+'[3]gond'!C139+'[3]műv'!C139+'[3]gamesz'!C139</f>
        <v>0</v>
      </c>
      <c r="D141" s="1884">
        <f>'[3]önk'!D139+'[3]ph'!D139+'[3]óvoda'!D139+'[3]gond'!D139+'[3]műv'!D139+'[3]gamesz'!D139</f>
        <v>0</v>
      </c>
      <c r="E141" s="421"/>
    </row>
    <row r="142" spans="1:5" ht="22.5">
      <c r="A142" s="1881" t="s">
        <v>1345</v>
      </c>
      <c r="B142" s="1888" t="s">
        <v>5093</v>
      </c>
      <c r="C142" s="1884">
        <f>'[3]önk'!C140+'[3]ph'!C140+'[3]óvoda'!C140+'[3]gond'!C140+'[3]műv'!C140+'[3]gamesz'!C140</f>
        <v>0</v>
      </c>
      <c r="D142" s="1884">
        <f>'[3]önk'!D140+'[3]ph'!D140+'[3]óvoda'!D140+'[3]gond'!D140+'[3]műv'!D140+'[3]gamesz'!D140</f>
        <v>0</v>
      </c>
      <c r="E142" s="421"/>
    </row>
    <row r="143" spans="1:5" ht="12.75">
      <c r="A143" s="1881" t="s">
        <v>1346</v>
      </c>
      <c r="B143" s="1888" t="s">
        <v>5094</v>
      </c>
      <c r="C143" s="1884">
        <f>'[3]önk'!C141+'[3]ph'!C141+'[3]óvoda'!C141+'[3]gond'!C141+'[3]műv'!C141+'[3]gamesz'!C141</f>
        <v>0</v>
      </c>
      <c r="D143" s="1884">
        <f>'[3]önk'!D141+'[3]ph'!D141+'[3]óvoda'!D141+'[3]gond'!D141+'[3]műv'!D141+'[3]gamesz'!D141+80</f>
        <v>113</v>
      </c>
      <c r="E143" s="421"/>
    </row>
    <row r="144" spans="1:5" ht="18" customHeight="1">
      <c r="A144" s="1881" t="s">
        <v>1347</v>
      </c>
      <c r="B144" s="1888" t="s">
        <v>5095</v>
      </c>
      <c r="C144" s="1884">
        <f>'[3]önk'!C142+'[3]ph'!C142+'[3]óvoda'!C142+'[3]gond'!C142+'[3]műv'!C142+'[3]gamesz'!C142</f>
        <v>0</v>
      </c>
      <c r="D144" s="1884">
        <f>'[3]önk'!D142+'[3]ph'!D142+'[3]óvoda'!D142+'[3]gond'!D142+'[3]műv'!D142+'[3]gamesz'!D142</f>
        <v>0</v>
      </c>
      <c r="E144" s="421"/>
    </row>
    <row r="145" spans="1:5" ht="12.75">
      <c r="A145" s="1881" t="s">
        <v>1348</v>
      </c>
      <c r="B145" s="1888" t="s">
        <v>1349</v>
      </c>
      <c r="C145" s="1884">
        <f>'[3]önk'!C143+'[3]ph'!C143+'[3]óvoda'!C143+'[3]gond'!C143+'[3]műv'!C143+'[3]gamesz'!C143</f>
        <v>0</v>
      </c>
      <c r="D145" s="1884">
        <f>'[3]önk'!D143+'[3]ph'!D143+'[3]óvoda'!D143+'[3]gond'!D143+'[3]műv'!D143+'[3]gamesz'!D143</f>
        <v>18234</v>
      </c>
      <c r="E145" s="421"/>
    </row>
    <row r="146" spans="1:5" ht="12.75">
      <c r="A146" s="1885" t="s">
        <v>1350</v>
      </c>
      <c r="B146" s="1886" t="s">
        <v>1351</v>
      </c>
      <c r="C146" s="1884">
        <f>'[3]önk'!C144+'[3]ph'!C144+'[3]óvoda'!C144+'[3]gond'!C144+'[3]műv'!C144+'[3]gamesz'!C144</f>
        <v>5016</v>
      </c>
      <c r="D146" s="1884">
        <f>'[3]önk'!D144+'[3]ph'!D144+'[3]óvoda'!D144+'[3]gond'!D144+'[3]műv'!D144+'[3]gamesz'!D144+3837+80</f>
        <v>28294</v>
      </c>
      <c r="E146" s="421"/>
    </row>
    <row r="147" spans="1:5" ht="12.75">
      <c r="A147" s="1881" t="s">
        <v>1352</v>
      </c>
      <c r="B147" s="1882" t="s">
        <v>5096</v>
      </c>
      <c r="C147" s="1884">
        <f>'[3]önk'!C145+'[3]ph'!C145+'[3]óvoda'!C145+'[3]gond'!C145+'[3]műv'!C145+'[3]gamesz'!C145</f>
        <v>6537</v>
      </c>
      <c r="D147" s="1884">
        <f>'[3]önk'!D145+'[3]ph'!D145+'[3]óvoda'!D145+'[3]gond'!D145+'[3]műv'!D145+'[3]gamesz'!D145</f>
        <v>1959</v>
      </c>
      <c r="E147" s="421"/>
    </row>
    <row r="148" spans="1:5" ht="12.75">
      <c r="A148" s="1881" t="s">
        <v>1353</v>
      </c>
      <c r="B148" s="1882" t="s">
        <v>5097</v>
      </c>
      <c r="C148" s="1884">
        <f>'[3]önk'!C146+'[3]ph'!C146+'[3]óvoda'!C146+'[3]gond'!C146+'[3]műv'!C146+'[3]gamesz'!C146</f>
        <v>5076</v>
      </c>
      <c r="D148" s="1884">
        <f>'[3]önk'!D146+'[3]ph'!D146+'[3]óvoda'!D146+'[3]gond'!D146+'[3]műv'!D146+'[3]gamesz'!D146</f>
        <v>15884</v>
      </c>
      <c r="E148" s="421"/>
    </row>
    <row r="149" spans="1:5" ht="12.75">
      <c r="A149" s="1881" t="s">
        <v>1354</v>
      </c>
      <c r="B149" s="1882" t="s">
        <v>5098</v>
      </c>
      <c r="C149" s="1884">
        <f>'[3]önk'!C147+'[3]ph'!C147+'[3]óvoda'!C147+'[3]gond'!C147+'[3]műv'!C147+'[3]gamesz'!C147</f>
        <v>0</v>
      </c>
      <c r="D149" s="1884">
        <f>'[3]önk'!D147+'[3]ph'!D147+'[3]óvoda'!D147+'[3]gond'!D147+'[3]műv'!D147+'[3]gamesz'!D147</f>
        <v>0</v>
      </c>
      <c r="E149" s="421"/>
    </row>
    <row r="150" spans="1:5" ht="12.75">
      <c r="A150" s="1881" t="s">
        <v>1355</v>
      </c>
      <c r="B150" s="1882" t="s">
        <v>5099</v>
      </c>
      <c r="C150" s="1884">
        <f>'[3]önk'!C148+'[3]ph'!C148+'[3]óvoda'!C148+'[3]gond'!C148+'[3]műv'!C148+'[3]gamesz'!C148</f>
        <v>7</v>
      </c>
      <c r="D150" s="1884">
        <f>'[3]önk'!D148+'[3]ph'!D148+'[3]óvoda'!D148+'[3]gond'!D148+'[3]műv'!D148+'[3]gamesz'!D148</f>
        <v>0</v>
      </c>
      <c r="E150" s="421"/>
    </row>
    <row r="151" spans="1:5" ht="12.75">
      <c r="A151" s="1881" t="s">
        <v>1356</v>
      </c>
      <c r="B151" s="1882" t="s">
        <v>5100</v>
      </c>
      <c r="C151" s="1884">
        <f>'[3]önk'!C149+'[3]ph'!C149+'[3]óvoda'!C149+'[3]gond'!C149+'[3]műv'!C149+'[3]gamesz'!C149</f>
        <v>0</v>
      </c>
      <c r="D151" s="1884">
        <f>'[3]önk'!D149+'[3]ph'!D149+'[3]óvoda'!D149+'[3]gond'!D149+'[3]műv'!D149+'[3]gamesz'!D149</f>
        <v>0</v>
      </c>
      <c r="E151" s="421"/>
    </row>
    <row r="152" spans="1:5" ht="12.75">
      <c r="A152" s="1881" t="s">
        <v>1357</v>
      </c>
      <c r="B152" s="1888" t="s">
        <v>5101</v>
      </c>
      <c r="C152" s="1884">
        <f>'[3]önk'!C150+'[3]ph'!C150+'[3]óvoda'!C150+'[3]gond'!C150+'[3]műv'!C150+'[3]gamesz'!C150</f>
        <v>0</v>
      </c>
      <c r="D152" s="1884">
        <f>'[3]önk'!D150+'[3]ph'!D150+'[3]óvoda'!D150+'[3]gond'!D150+'[3]műv'!D150+'[3]gamesz'!D150</f>
        <v>0</v>
      </c>
      <c r="E152" s="421"/>
    </row>
    <row r="153" spans="1:5" ht="12.75">
      <c r="A153" s="1885" t="s">
        <v>1358</v>
      </c>
      <c r="B153" s="1886" t="s">
        <v>1359</v>
      </c>
      <c r="C153" s="1884">
        <f>'[3]önk'!C151+'[3]ph'!C151+'[3]óvoda'!C151+'[3]gond'!C151+'[3]műv'!C151+'[3]gamesz'!C151</f>
        <v>11620</v>
      </c>
      <c r="D153" s="1884">
        <f>'[3]önk'!D151+'[3]ph'!D151+'[3]óvoda'!D151+'[3]gond'!D151+'[3]műv'!D151+'[3]gamesz'!D151+554</f>
        <v>18397</v>
      </c>
      <c r="E153" s="421"/>
    </row>
    <row r="154" spans="1:5" ht="12.75">
      <c r="A154" s="1881" t="s">
        <v>1360</v>
      </c>
      <c r="B154" s="1882" t="s">
        <v>1361</v>
      </c>
      <c r="C154" s="1884">
        <f>'[3]önk'!C152+'[3]ph'!C152+'[3]óvoda'!C152+'[3]gond'!C152+'[3]műv'!C152+'[3]gamesz'!C152</f>
        <v>16636</v>
      </c>
      <c r="D154" s="1884">
        <f>'[3]önk'!D152+'[3]ph'!D152+'[3]óvoda'!D152+'[3]gond'!D152+'[3]műv'!D152+'[3]gamesz'!D152+3837+80+554</f>
        <v>46691</v>
      </c>
      <c r="E154" s="421"/>
    </row>
    <row r="155" spans="1:7" ht="12.75">
      <c r="A155" s="1885" t="s">
        <v>1362</v>
      </c>
      <c r="B155" s="1886" t="s">
        <v>1363</v>
      </c>
      <c r="C155" s="1884">
        <f>'[3]önk'!C153+'[3]ph'!C153+'[3]óvoda'!C153+'[3]gond'!C153+'[3]műv'!C153+'[3]gamesz'!C153</f>
        <v>2465984</v>
      </c>
      <c r="D155" s="1884">
        <f>'[3]önk'!D153+'[3]ph'!D153+'[3]óvoda'!D153+'[3]gond'!D153+'[3]műv'!D153+'[3]gamesz'!D153+17032+3837+80+554+1063</f>
        <v>2543141</v>
      </c>
      <c r="E155" s="421"/>
      <c r="G155" s="861"/>
    </row>
    <row r="156" spans="3:4" ht="12.75">
      <c r="C156" s="180"/>
      <c r="D156" s="180"/>
    </row>
    <row r="158" ht="12.75">
      <c r="F158" s="861"/>
    </row>
    <row r="174" spans="1:4" ht="12.75">
      <c r="A174" s="860"/>
      <c r="B174" s="860"/>
      <c r="C174" s="860"/>
      <c r="D174" s="860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M2421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7.75390625" style="1107" customWidth="1"/>
    <col min="2" max="2" width="9.00390625" style="1108" customWidth="1"/>
    <col min="3" max="3" width="15.00390625" style="707" customWidth="1"/>
    <col min="4" max="4" width="30.75390625" style="1109" customWidth="1"/>
    <col min="5" max="5" width="13.625" style="1110" customWidth="1"/>
    <col min="6" max="6" width="12.375" style="1086" customWidth="1"/>
    <col min="7" max="7" width="15.75390625" style="1002" customWidth="1"/>
    <col min="8" max="9" width="15.375" style="705" bestFit="1" customWidth="1"/>
    <col min="10" max="10" width="15.375" style="1002" bestFit="1" customWidth="1"/>
    <col min="11" max="12" width="16.00390625" style="543" bestFit="1" customWidth="1"/>
    <col min="13" max="13" width="13.375" style="543" customWidth="1"/>
    <col min="15" max="15" width="15.375" style="0" bestFit="1" customWidth="1"/>
    <col min="16" max="16" width="16.00390625" style="0" bestFit="1" customWidth="1"/>
  </cols>
  <sheetData>
    <row r="1" spans="1:10" s="591" customFormat="1" ht="12.75">
      <c r="A1" s="2243" t="s">
        <v>2807</v>
      </c>
      <c r="B1" s="2244"/>
      <c r="C1" s="2244"/>
      <c r="D1" s="2244"/>
      <c r="E1" s="2244"/>
      <c r="F1" s="2244"/>
      <c r="G1" s="1001"/>
      <c r="H1" s="817"/>
      <c r="I1" s="817"/>
      <c r="J1" s="686"/>
    </row>
    <row r="2" spans="1:13" ht="12.75">
      <c r="A2" s="2103" t="s">
        <v>5296</v>
      </c>
      <c r="B2" s="2103"/>
      <c r="C2" s="2103"/>
      <c r="D2" s="2103"/>
      <c r="E2" s="2103"/>
      <c r="F2" s="2103"/>
      <c r="J2" s="543"/>
      <c r="K2"/>
      <c r="L2"/>
      <c r="M2"/>
    </row>
    <row r="3" spans="1:13" ht="12.75" customHeight="1">
      <c r="A3" s="2245" t="s">
        <v>4598</v>
      </c>
      <c r="B3" s="2245"/>
      <c r="C3" s="2245"/>
      <c r="D3" s="2245"/>
      <c r="E3" s="2245"/>
      <c r="F3" s="2245"/>
      <c r="J3" s="543"/>
      <c r="K3"/>
      <c r="L3"/>
      <c r="M3"/>
    </row>
    <row r="4" spans="1:13" ht="12.75">
      <c r="A4" s="2246" t="s">
        <v>2808</v>
      </c>
      <c r="B4" s="2246"/>
      <c r="C4" s="2246"/>
      <c r="D4" s="2246"/>
      <c r="E4" s="2246"/>
      <c r="F4" s="2246"/>
      <c r="J4" s="543"/>
      <c r="K4"/>
      <c r="L4"/>
      <c r="M4"/>
    </row>
    <row r="5" spans="1:13" ht="12.75" customHeight="1">
      <c r="A5" s="2247"/>
      <c r="B5" s="2245"/>
      <c r="C5" s="2245"/>
      <c r="D5" s="2245"/>
      <c r="E5" s="2245"/>
      <c r="F5" s="2245"/>
      <c r="J5" s="543"/>
      <c r="K5"/>
      <c r="L5"/>
      <c r="M5"/>
    </row>
    <row r="6" spans="1:13" ht="12.75" customHeight="1">
      <c r="A6" s="1003"/>
      <c r="B6" s="593"/>
      <c r="C6" s="639"/>
      <c r="D6" s="640"/>
      <c r="E6" s="1004"/>
      <c r="F6" s="1004"/>
      <c r="J6" s="543"/>
      <c r="K6"/>
      <c r="L6"/>
      <c r="M6"/>
    </row>
    <row r="7" spans="1:13" ht="12.75" customHeight="1">
      <c r="A7" s="1003"/>
      <c r="B7" s="593"/>
      <c r="C7" s="639"/>
      <c r="D7" s="640"/>
      <c r="E7" s="1004"/>
      <c r="F7" s="1004"/>
      <c r="J7" s="543"/>
      <c r="K7"/>
      <c r="L7"/>
      <c r="M7"/>
    </row>
    <row r="8" spans="1:13" ht="12.75" customHeight="1">
      <c r="A8" s="2237" t="s">
        <v>4599</v>
      </c>
      <c r="B8" s="2238"/>
      <c r="C8" s="2238"/>
      <c r="D8" s="2238"/>
      <c r="E8" s="1006"/>
      <c r="F8" s="1006"/>
      <c r="J8" s="543"/>
      <c r="K8"/>
      <c r="L8"/>
      <c r="M8"/>
    </row>
    <row r="9" spans="1:10" s="591" customFormat="1" ht="13.5" thickBot="1">
      <c r="A9" s="2227" t="s">
        <v>4600</v>
      </c>
      <c r="B9" s="2227"/>
      <c r="C9" s="2227"/>
      <c r="D9" s="2227"/>
      <c r="E9" s="2227"/>
      <c r="F9" s="2227"/>
      <c r="G9" s="1001"/>
      <c r="H9" s="817"/>
      <c r="I9" s="817"/>
      <c r="J9" s="686"/>
    </row>
    <row r="10" spans="1:10" s="1012" customFormat="1" ht="48.75" thickBot="1">
      <c r="A10" s="1007" t="s">
        <v>4597</v>
      </c>
      <c r="B10" s="606" t="s">
        <v>4601</v>
      </c>
      <c r="C10" s="1008" t="s">
        <v>4602</v>
      </c>
      <c r="D10" s="606" t="s">
        <v>4603</v>
      </c>
      <c r="E10" s="1889" t="s">
        <v>4604</v>
      </c>
      <c r="F10" s="1890" t="s">
        <v>4605</v>
      </c>
      <c r="G10" s="1009"/>
      <c r="H10" s="1010"/>
      <c r="I10" s="1010"/>
      <c r="J10" s="1011"/>
    </row>
    <row r="11" spans="1:9" s="543" customFormat="1" ht="12.75">
      <c r="A11" s="1013" t="s">
        <v>4029</v>
      </c>
      <c r="B11" s="1014">
        <v>11133</v>
      </c>
      <c r="C11" s="595" t="s">
        <v>1077</v>
      </c>
      <c r="D11" s="596" t="s">
        <v>4606</v>
      </c>
      <c r="E11" s="1015">
        <v>81250</v>
      </c>
      <c r="F11" s="1016">
        <v>51795</v>
      </c>
      <c r="G11" s="1002"/>
      <c r="H11" s="705"/>
      <c r="I11" s="705"/>
    </row>
    <row r="12" spans="1:9" s="543" customFormat="1" ht="12.75">
      <c r="A12" s="1013" t="s">
        <v>4031</v>
      </c>
      <c r="B12" s="1014"/>
      <c r="C12" s="595" t="s">
        <v>1077</v>
      </c>
      <c r="D12" s="596" t="s">
        <v>4607</v>
      </c>
      <c r="E12" s="1015">
        <v>32500</v>
      </c>
      <c r="F12" s="1016">
        <v>17669</v>
      </c>
      <c r="G12" s="1002"/>
      <c r="H12" s="705"/>
      <c r="I12" s="705"/>
    </row>
    <row r="13" spans="1:9" s="543" customFormat="1" ht="13.5" customHeight="1">
      <c r="A13" s="1013" t="s">
        <v>4041</v>
      </c>
      <c r="B13" s="1017"/>
      <c r="C13" s="595" t="s">
        <v>1077</v>
      </c>
      <c r="D13" s="598" t="s">
        <v>4608</v>
      </c>
      <c r="E13" s="761">
        <v>1000</v>
      </c>
      <c r="F13" s="758">
        <v>547</v>
      </c>
      <c r="G13" s="1002"/>
      <c r="H13" s="705"/>
      <c r="I13" s="705"/>
    </row>
    <row r="14" spans="1:9" s="543" customFormat="1" ht="12.75">
      <c r="A14" s="1013" t="s">
        <v>4166</v>
      </c>
      <c r="B14" s="1017"/>
      <c r="C14" s="595" t="s">
        <v>1077</v>
      </c>
      <c r="D14" s="598" t="s">
        <v>4609</v>
      </c>
      <c r="E14" s="761">
        <v>120000</v>
      </c>
      <c r="F14" s="758">
        <v>66978</v>
      </c>
      <c r="G14" s="1002"/>
      <c r="H14" s="705"/>
      <c r="I14" s="705"/>
    </row>
    <row r="15" spans="1:9" s="543" customFormat="1" ht="12.75" customHeight="1">
      <c r="A15" s="1013" t="s">
        <v>4061</v>
      </c>
      <c r="B15" s="1017"/>
      <c r="C15" s="595" t="s">
        <v>1077</v>
      </c>
      <c r="D15" s="598" t="s">
        <v>4610</v>
      </c>
      <c r="E15" s="761">
        <v>596250</v>
      </c>
      <c r="F15" s="758">
        <v>333312</v>
      </c>
      <c r="G15" s="1002"/>
      <c r="H15" s="705"/>
      <c r="I15" s="705"/>
    </row>
    <row r="16" spans="1:9" s="543" customFormat="1" ht="12.75">
      <c r="A16" s="1013" t="s">
        <v>4074</v>
      </c>
      <c r="B16" s="1017"/>
      <c r="C16" s="595" t="s">
        <v>1077</v>
      </c>
      <c r="D16" s="598" t="s">
        <v>4611</v>
      </c>
      <c r="E16" s="761">
        <v>21000</v>
      </c>
      <c r="F16" s="758">
        <v>11739</v>
      </c>
      <c r="G16" s="1002"/>
      <c r="H16" s="705"/>
      <c r="I16" s="705"/>
    </row>
    <row r="17" spans="1:9" s="543" customFormat="1" ht="12.75">
      <c r="A17" s="1013" t="s">
        <v>4195</v>
      </c>
      <c r="B17" s="1017"/>
      <c r="C17" s="595" t="s">
        <v>1077</v>
      </c>
      <c r="D17" s="598" t="s">
        <v>4612</v>
      </c>
      <c r="E17" s="761">
        <v>52500</v>
      </c>
      <c r="F17" s="758">
        <v>29350</v>
      </c>
      <c r="G17" s="1002"/>
      <c r="H17" s="705"/>
      <c r="I17" s="705"/>
    </row>
    <row r="18" spans="1:9" s="543" customFormat="1" ht="12.75">
      <c r="A18" s="1013" t="s">
        <v>4094</v>
      </c>
      <c r="B18" s="1017"/>
      <c r="C18" s="595" t="s">
        <v>1077</v>
      </c>
      <c r="D18" s="598" t="s">
        <v>4613</v>
      </c>
      <c r="E18" s="761">
        <v>289900</v>
      </c>
      <c r="F18" s="758">
        <v>162060</v>
      </c>
      <c r="G18" s="1002"/>
      <c r="H18" s="705"/>
      <c r="I18" s="705"/>
    </row>
    <row r="19" spans="1:9" s="543" customFormat="1" ht="12.75" customHeight="1">
      <c r="A19" s="1013" t="s">
        <v>4102</v>
      </c>
      <c r="B19" s="1017"/>
      <c r="C19" s="595" t="s">
        <v>1077</v>
      </c>
      <c r="D19" s="598" t="s">
        <v>4614</v>
      </c>
      <c r="E19" s="761">
        <v>299000</v>
      </c>
      <c r="F19" s="758">
        <v>167147</v>
      </c>
      <c r="G19" s="1002"/>
      <c r="H19" s="705"/>
      <c r="I19" s="705"/>
    </row>
    <row r="20" spans="1:9" s="543" customFormat="1" ht="12.75">
      <c r="A20" s="1013" t="s">
        <v>1113</v>
      </c>
      <c r="B20" s="1017"/>
      <c r="C20" s="595" t="s">
        <v>1077</v>
      </c>
      <c r="D20" s="598" t="s">
        <v>4615</v>
      </c>
      <c r="E20" s="761">
        <v>205000</v>
      </c>
      <c r="F20" s="758">
        <v>114598</v>
      </c>
      <c r="G20" s="1002"/>
      <c r="H20" s="705"/>
      <c r="I20" s="705"/>
    </row>
    <row r="21" spans="1:9" s="543" customFormat="1" ht="12.75">
      <c r="A21" s="1013" t="s">
        <v>4129</v>
      </c>
      <c r="B21" s="1017"/>
      <c r="C21" s="595" t="s">
        <v>1077</v>
      </c>
      <c r="D21" s="598" t="s">
        <v>4616</v>
      </c>
      <c r="E21" s="761">
        <v>1149000</v>
      </c>
      <c r="F21" s="758">
        <v>741530</v>
      </c>
      <c r="G21" s="1002"/>
      <c r="H21" s="705"/>
      <c r="I21" s="705"/>
    </row>
    <row r="22" spans="1:9" s="543" customFormat="1" ht="12.75">
      <c r="A22" s="1013" t="s">
        <v>5107</v>
      </c>
      <c r="B22" s="1017"/>
      <c r="C22" s="595" t="s">
        <v>1077</v>
      </c>
      <c r="D22" s="598" t="s">
        <v>4617</v>
      </c>
      <c r="E22" s="761">
        <v>30001</v>
      </c>
      <c r="F22" s="758">
        <v>26845</v>
      </c>
      <c r="G22" s="1002"/>
      <c r="H22" s="705"/>
      <c r="I22" s="705"/>
    </row>
    <row r="23" spans="1:9" s="543" customFormat="1" ht="12.75">
      <c r="A23" s="1013" t="s">
        <v>5110</v>
      </c>
      <c r="B23" s="1017"/>
      <c r="C23" s="595" t="s">
        <v>1077</v>
      </c>
      <c r="D23" s="598" t="s">
        <v>4618</v>
      </c>
      <c r="E23" s="761">
        <v>30000</v>
      </c>
      <c r="F23" s="758">
        <v>26844</v>
      </c>
      <c r="G23" s="1002"/>
      <c r="H23" s="705"/>
      <c r="I23" s="705"/>
    </row>
    <row r="24" spans="1:9" s="543" customFormat="1" ht="12.75">
      <c r="A24" s="1013" t="s">
        <v>5113</v>
      </c>
      <c r="B24" s="1017"/>
      <c r="C24" s="595" t="s">
        <v>1077</v>
      </c>
      <c r="D24" s="598" t="s">
        <v>4619</v>
      </c>
      <c r="E24" s="761">
        <v>30000</v>
      </c>
      <c r="F24" s="758">
        <v>26844</v>
      </c>
      <c r="G24" s="1002"/>
      <c r="H24" s="705"/>
      <c r="I24" s="705"/>
    </row>
    <row r="25" spans="1:9" s="543" customFormat="1" ht="12.75">
      <c r="A25" s="1013" t="s">
        <v>5115</v>
      </c>
      <c r="B25" s="1017"/>
      <c r="C25" s="595" t="s">
        <v>1077</v>
      </c>
      <c r="D25" s="598" t="s">
        <v>4620</v>
      </c>
      <c r="E25" s="761">
        <v>30000</v>
      </c>
      <c r="F25" s="758">
        <v>26844</v>
      </c>
      <c r="G25" s="1002"/>
      <c r="H25" s="705"/>
      <c r="I25" s="705"/>
    </row>
    <row r="26" spans="1:9" s="543" customFormat="1" ht="12.75">
      <c r="A26" s="1013" t="s">
        <v>5117</v>
      </c>
      <c r="B26" s="1017"/>
      <c r="C26" s="595" t="s">
        <v>1077</v>
      </c>
      <c r="D26" s="598" t="s">
        <v>4621</v>
      </c>
      <c r="E26" s="761">
        <v>30000</v>
      </c>
      <c r="F26" s="758">
        <v>26844</v>
      </c>
      <c r="G26" s="1002"/>
      <c r="H26" s="705"/>
      <c r="I26" s="705"/>
    </row>
    <row r="27" spans="1:9" s="543" customFormat="1" ht="12.75">
      <c r="A27" s="1013" t="s">
        <v>5120</v>
      </c>
      <c r="B27" s="1017"/>
      <c r="C27" s="595" t="s">
        <v>1077</v>
      </c>
      <c r="D27" s="598" t="s">
        <v>4622</v>
      </c>
      <c r="E27" s="761">
        <v>30000</v>
      </c>
      <c r="F27" s="758">
        <v>26844</v>
      </c>
      <c r="G27" s="1002"/>
      <c r="H27" s="705"/>
      <c r="I27" s="705"/>
    </row>
    <row r="28" spans="1:9" s="543" customFormat="1" ht="12.75">
      <c r="A28" s="1013" t="s">
        <v>5123</v>
      </c>
      <c r="B28" s="1017"/>
      <c r="C28" s="595" t="s">
        <v>1077</v>
      </c>
      <c r="D28" s="598" t="s">
        <v>4623</v>
      </c>
      <c r="E28" s="761">
        <v>30000</v>
      </c>
      <c r="F28" s="758">
        <v>26844</v>
      </c>
      <c r="G28" s="1002"/>
      <c r="H28" s="705"/>
      <c r="I28" s="705"/>
    </row>
    <row r="29" spans="1:9" s="543" customFormat="1" ht="12.75">
      <c r="A29" s="1013" t="s">
        <v>5218</v>
      </c>
      <c r="B29" s="1017"/>
      <c r="C29" s="595" t="s">
        <v>1077</v>
      </c>
      <c r="D29" s="598" t="s">
        <v>4624</v>
      </c>
      <c r="E29" s="761">
        <v>30000</v>
      </c>
      <c r="F29" s="758">
        <v>26844</v>
      </c>
      <c r="G29" s="1002"/>
      <c r="H29" s="705"/>
      <c r="I29" s="705"/>
    </row>
    <row r="30" spans="1:9" s="543" customFormat="1" ht="12.75">
      <c r="A30" s="1013" t="s">
        <v>5220</v>
      </c>
      <c r="B30" s="1017"/>
      <c r="C30" s="595" t="s">
        <v>1077</v>
      </c>
      <c r="D30" s="598" t="s">
        <v>4625</v>
      </c>
      <c r="E30" s="761">
        <v>30000</v>
      </c>
      <c r="F30" s="758">
        <v>26844</v>
      </c>
      <c r="G30" s="1002"/>
      <c r="H30" s="705"/>
      <c r="I30" s="705"/>
    </row>
    <row r="31" spans="1:9" s="543" customFormat="1" ht="12.75">
      <c r="A31" s="1013" t="s">
        <v>5222</v>
      </c>
      <c r="B31" s="1017"/>
      <c r="C31" s="595" t="s">
        <v>1077</v>
      </c>
      <c r="D31" s="598" t="s">
        <v>4626</v>
      </c>
      <c r="E31" s="761">
        <v>30000</v>
      </c>
      <c r="F31" s="758">
        <v>26844</v>
      </c>
      <c r="G31" s="1002"/>
      <c r="H31" s="705"/>
      <c r="I31" s="705"/>
    </row>
    <row r="32" spans="1:9" s="543" customFormat="1" ht="12.75">
      <c r="A32" s="1013" t="s">
        <v>5224</v>
      </c>
      <c r="B32" s="1017"/>
      <c r="C32" s="595" t="s">
        <v>1077</v>
      </c>
      <c r="D32" s="598" t="s">
        <v>4627</v>
      </c>
      <c r="E32" s="761">
        <v>30000</v>
      </c>
      <c r="F32" s="758">
        <v>26844</v>
      </c>
      <c r="G32" s="1002"/>
      <c r="H32" s="705"/>
      <c r="I32" s="705"/>
    </row>
    <row r="33" spans="1:9" s="543" customFormat="1" ht="12.75">
      <c r="A33" s="1013" t="s">
        <v>5227</v>
      </c>
      <c r="B33" s="1017"/>
      <c r="C33" s="595" t="s">
        <v>1077</v>
      </c>
      <c r="D33" s="598" t="s">
        <v>4628</v>
      </c>
      <c r="E33" s="761">
        <v>30000</v>
      </c>
      <c r="F33" s="758">
        <v>26844</v>
      </c>
      <c r="G33" s="1002"/>
      <c r="H33" s="705"/>
      <c r="I33" s="705"/>
    </row>
    <row r="34" spans="1:9" s="543" customFormat="1" ht="12.75">
      <c r="A34" s="1013" t="s">
        <v>5230</v>
      </c>
      <c r="B34" s="1017"/>
      <c r="C34" s="595" t="s">
        <v>1077</v>
      </c>
      <c r="D34" s="598" t="s">
        <v>4629</v>
      </c>
      <c r="E34" s="761">
        <v>30000</v>
      </c>
      <c r="F34" s="758">
        <v>26844</v>
      </c>
      <c r="G34" s="1002"/>
      <c r="H34" s="705"/>
      <c r="I34" s="705"/>
    </row>
    <row r="35" spans="1:9" s="543" customFormat="1" ht="12.75">
      <c r="A35" s="1013" t="s">
        <v>5232</v>
      </c>
      <c r="B35" s="1017"/>
      <c r="C35" s="595" t="s">
        <v>1077</v>
      </c>
      <c r="D35" s="598" t="s">
        <v>4630</v>
      </c>
      <c r="E35" s="761">
        <v>14989</v>
      </c>
      <c r="F35" s="758">
        <v>14247</v>
      </c>
      <c r="G35" s="1002"/>
      <c r="H35" s="705"/>
      <c r="I35" s="705"/>
    </row>
    <row r="36" spans="1:9" s="543" customFormat="1" ht="12.75">
      <c r="A36" s="1013" t="s">
        <v>5234</v>
      </c>
      <c r="B36" s="1017"/>
      <c r="C36" s="595" t="s">
        <v>1077</v>
      </c>
      <c r="D36" s="598" t="s">
        <v>4630</v>
      </c>
      <c r="E36" s="761">
        <v>14989</v>
      </c>
      <c r="F36" s="758">
        <v>14247</v>
      </c>
      <c r="G36" s="1002"/>
      <c r="H36" s="705"/>
      <c r="I36" s="705"/>
    </row>
    <row r="37" spans="1:9" s="543" customFormat="1" ht="12.75">
      <c r="A37" s="1013" t="s">
        <v>5237</v>
      </c>
      <c r="B37" s="1017"/>
      <c r="C37" s="595" t="s">
        <v>1077</v>
      </c>
      <c r="D37" s="598" t="s">
        <v>4630</v>
      </c>
      <c r="E37" s="761">
        <v>14989</v>
      </c>
      <c r="F37" s="758">
        <v>14247</v>
      </c>
      <c r="G37" s="1002"/>
      <c r="H37" s="705"/>
      <c r="I37" s="705"/>
    </row>
    <row r="38" spans="1:9" s="543" customFormat="1" ht="12.75">
      <c r="A38" s="1013" t="s">
        <v>5240</v>
      </c>
      <c r="B38" s="1017"/>
      <c r="C38" s="595" t="s">
        <v>1077</v>
      </c>
      <c r="D38" s="598" t="s">
        <v>4631</v>
      </c>
      <c r="E38" s="761">
        <v>14989</v>
      </c>
      <c r="F38" s="758">
        <v>14247</v>
      </c>
      <c r="G38" s="1002"/>
      <c r="H38" s="705"/>
      <c r="I38" s="705"/>
    </row>
    <row r="39" spans="1:9" s="543" customFormat="1" ht="12.75">
      <c r="A39" s="1013" t="s">
        <v>5243</v>
      </c>
      <c r="B39" s="1017"/>
      <c r="C39" s="595" t="s">
        <v>1077</v>
      </c>
      <c r="D39" s="598" t="s">
        <v>4631</v>
      </c>
      <c r="E39" s="761">
        <v>14989</v>
      </c>
      <c r="F39" s="758">
        <v>14247</v>
      </c>
      <c r="G39" s="1002"/>
      <c r="H39" s="705"/>
      <c r="I39" s="705"/>
    </row>
    <row r="40" spans="1:9" s="543" customFormat="1" ht="12.75">
      <c r="A40" s="1013" t="s">
        <v>5245</v>
      </c>
      <c r="B40" s="1017"/>
      <c r="C40" s="595" t="s">
        <v>1077</v>
      </c>
      <c r="D40" s="598" t="s">
        <v>4631</v>
      </c>
      <c r="E40" s="761">
        <v>14989</v>
      </c>
      <c r="F40" s="758">
        <v>14247</v>
      </c>
      <c r="G40" s="1002"/>
      <c r="H40" s="705"/>
      <c r="I40" s="705"/>
    </row>
    <row r="41" spans="1:9" s="543" customFormat="1" ht="12.75">
      <c r="A41" s="1013" t="s">
        <v>5247</v>
      </c>
      <c r="B41" s="1017"/>
      <c r="C41" s="595" t="s">
        <v>1077</v>
      </c>
      <c r="D41" s="598" t="s">
        <v>4631</v>
      </c>
      <c r="E41" s="761">
        <v>14989</v>
      </c>
      <c r="F41" s="758">
        <v>14247</v>
      </c>
      <c r="G41" s="1002"/>
      <c r="H41" s="705"/>
      <c r="I41" s="705"/>
    </row>
    <row r="42" spans="1:9" s="543" customFormat="1" ht="12.75">
      <c r="A42" s="1013" t="s">
        <v>5249</v>
      </c>
      <c r="B42" s="1017"/>
      <c r="C42" s="595" t="s">
        <v>1077</v>
      </c>
      <c r="D42" s="598" t="s">
        <v>4631</v>
      </c>
      <c r="E42" s="761">
        <v>14989</v>
      </c>
      <c r="F42" s="758">
        <v>14247</v>
      </c>
      <c r="G42" s="1002"/>
      <c r="H42" s="705"/>
      <c r="I42" s="705"/>
    </row>
    <row r="43" spans="1:9" s="543" customFormat="1" ht="12.75">
      <c r="A43" s="1013" t="s">
        <v>5251</v>
      </c>
      <c r="B43" s="1017"/>
      <c r="C43" s="595" t="s">
        <v>1077</v>
      </c>
      <c r="D43" s="598" t="s">
        <v>4631</v>
      </c>
      <c r="E43" s="761">
        <v>14989</v>
      </c>
      <c r="F43" s="758">
        <v>14247</v>
      </c>
      <c r="G43" s="1002"/>
      <c r="H43" s="705"/>
      <c r="I43" s="705"/>
    </row>
    <row r="44" spans="1:9" s="543" customFormat="1" ht="12.75">
      <c r="A44" s="1013" t="s">
        <v>5253</v>
      </c>
      <c r="B44" s="1017"/>
      <c r="C44" s="595" t="s">
        <v>1077</v>
      </c>
      <c r="D44" s="598" t="s">
        <v>4631</v>
      </c>
      <c r="E44" s="761">
        <v>14989</v>
      </c>
      <c r="F44" s="758">
        <v>14247</v>
      </c>
      <c r="G44" s="1002"/>
      <c r="H44" s="705"/>
      <c r="I44" s="705"/>
    </row>
    <row r="45" spans="1:9" s="543" customFormat="1" ht="12.75">
      <c r="A45" s="1013" t="s">
        <v>5255</v>
      </c>
      <c r="B45" s="1017"/>
      <c r="C45" s="595" t="s">
        <v>1077</v>
      </c>
      <c r="D45" s="598" t="s">
        <v>4631</v>
      </c>
      <c r="E45" s="761">
        <v>14989</v>
      </c>
      <c r="F45" s="758">
        <v>14247</v>
      </c>
      <c r="G45" s="1002"/>
      <c r="H45" s="705"/>
      <c r="I45" s="705"/>
    </row>
    <row r="46" spans="1:9" s="543" customFormat="1" ht="12.75">
      <c r="A46" s="1013" t="s">
        <v>5257</v>
      </c>
      <c r="B46" s="1017"/>
      <c r="C46" s="595" t="s">
        <v>1077</v>
      </c>
      <c r="D46" s="598" t="s">
        <v>4631</v>
      </c>
      <c r="E46" s="761">
        <v>14990</v>
      </c>
      <c r="F46" s="758">
        <v>14247</v>
      </c>
      <c r="G46" s="1002"/>
      <c r="H46" s="705"/>
      <c r="I46" s="705"/>
    </row>
    <row r="47" spans="1:9" s="543" customFormat="1" ht="12.75">
      <c r="A47" s="1013" t="s">
        <v>5260</v>
      </c>
      <c r="B47" s="1017"/>
      <c r="C47" s="595" t="s">
        <v>1077</v>
      </c>
      <c r="D47" s="598" t="s">
        <v>4631</v>
      </c>
      <c r="E47" s="761">
        <v>14999</v>
      </c>
      <c r="F47" s="758">
        <v>14256</v>
      </c>
      <c r="G47" s="1002"/>
      <c r="H47" s="705"/>
      <c r="I47" s="705"/>
    </row>
    <row r="48" spans="1:9" s="543" customFormat="1" ht="12.75">
      <c r="A48" s="1013" t="s">
        <v>5262</v>
      </c>
      <c r="B48" s="1017"/>
      <c r="C48" s="595" t="s">
        <v>1077</v>
      </c>
      <c r="D48" s="598" t="s">
        <v>4632</v>
      </c>
      <c r="E48" s="761">
        <v>1524999</v>
      </c>
      <c r="F48" s="758">
        <v>1449460</v>
      </c>
      <c r="G48" s="1002"/>
      <c r="H48" s="705"/>
      <c r="I48" s="705"/>
    </row>
    <row r="49" spans="1:10" ht="12.75">
      <c r="A49" s="1013" t="s">
        <v>5265</v>
      </c>
      <c r="B49" s="1017"/>
      <c r="C49" s="595" t="s">
        <v>1077</v>
      </c>
      <c r="D49" s="598" t="s">
        <v>4633</v>
      </c>
      <c r="E49" s="761">
        <v>99534</v>
      </c>
      <c r="F49" s="758">
        <v>36546</v>
      </c>
      <c r="J49" s="543"/>
    </row>
    <row r="50" spans="1:10" ht="25.5">
      <c r="A50" s="1013" t="s">
        <v>2415</v>
      </c>
      <c r="B50" s="1018"/>
      <c r="C50" s="595" t="s">
        <v>1077</v>
      </c>
      <c r="D50" s="600" t="s">
        <v>2653</v>
      </c>
      <c r="E50" s="763">
        <v>24250</v>
      </c>
      <c r="F50" s="760">
        <v>6453</v>
      </c>
      <c r="J50" s="543"/>
    </row>
    <row r="51" spans="1:10" ht="12.75">
      <c r="A51" s="1013" t="s">
        <v>2417</v>
      </c>
      <c r="B51" s="1018"/>
      <c r="C51" s="595" t="s">
        <v>1077</v>
      </c>
      <c r="D51" s="600" t="s">
        <v>2654</v>
      </c>
      <c r="E51" s="763">
        <v>500000</v>
      </c>
      <c r="F51" s="760">
        <v>175185</v>
      </c>
      <c r="J51" s="543"/>
    </row>
    <row r="52" spans="1:10" ht="12" customHeight="1">
      <c r="A52" s="1013" t="s">
        <v>2419</v>
      </c>
      <c r="B52" s="1018"/>
      <c r="C52" s="595" t="s">
        <v>1077</v>
      </c>
      <c r="D52" s="600" t="s">
        <v>2655</v>
      </c>
      <c r="E52" s="763">
        <v>1137500</v>
      </c>
      <c r="F52" s="760">
        <v>415559</v>
      </c>
      <c r="J52" s="543"/>
    </row>
    <row r="53" spans="1:10" ht="25.5">
      <c r="A53" s="1013" t="s">
        <v>2421</v>
      </c>
      <c r="B53" s="1018"/>
      <c r="C53" s="595" t="s">
        <v>1077</v>
      </c>
      <c r="D53" s="600" t="s">
        <v>2656</v>
      </c>
      <c r="E53" s="763">
        <v>33900</v>
      </c>
      <c r="F53" s="760">
        <v>13856</v>
      </c>
      <c r="J53" s="543"/>
    </row>
    <row r="54" spans="1:10" ht="25.5">
      <c r="A54" s="1013" t="s">
        <v>2423</v>
      </c>
      <c r="B54" s="1018"/>
      <c r="C54" s="595" t="s">
        <v>1077</v>
      </c>
      <c r="D54" s="600" t="s">
        <v>2656</v>
      </c>
      <c r="E54" s="763">
        <v>33900</v>
      </c>
      <c r="F54" s="760">
        <v>13856</v>
      </c>
      <c r="J54" s="543"/>
    </row>
    <row r="55" spans="1:10" ht="25.5">
      <c r="A55" s="1013" t="s">
        <v>2425</v>
      </c>
      <c r="B55" s="1018"/>
      <c r="C55" s="595" t="s">
        <v>1077</v>
      </c>
      <c r="D55" s="600" t="s">
        <v>2656</v>
      </c>
      <c r="E55" s="763">
        <v>33900</v>
      </c>
      <c r="F55" s="760">
        <v>13856</v>
      </c>
      <c r="J55" s="543"/>
    </row>
    <row r="56" spans="1:10" ht="15.75" customHeight="1" thickBot="1">
      <c r="A56" s="1013" t="s">
        <v>2427</v>
      </c>
      <c r="B56" s="1018"/>
      <c r="C56" s="595" t="s">
        <v>1077</v>
      </c>
      <c r="D56" s="600" t="s">
        <v>2657</v>
      </c>
      <c r="E56" s="763">
        <v>26200</v>
      </c>
      <c r="F56" s="760">
        <v>10876</v>
      </c>
      <c r="J56" s="543"/>
    </row>
    <row r="57" spans="1:10" s="1012" customFormat="1" ht="48.75" thickBot="1">
      <c r="A57" s="1007" t="s">
        <v>4597</v>
      </c>
      <c r="B57" s="606" t="s">
        <v>4601</v>
      </c>
      <c r="C57" s="1008" t="s">
        <v>4602</v>
      </c>
      <c r="D57" s="606" t="s">
        <v>4603</v>
      </c>
      <c r="E57" s="738" t="s">
        <v>4604</v>
      </c>
      <c r="F57" s="739" t="s">
        <v>4605</v>
      </c>
      <c r="G57" s="1009"/>
      <c r="H57" s="1010"/>
      <c r="I57" s="1010"/>
      <c r="J57" s="1011"/>
    </row>
    <row r="58" spans="1:10" ht="14.25" customHeight="1">
      <c r="A58" s="1019" t="s">
        <v>2430</v>
      </c>
      <c r="B58" s="1018"/>
      <c r="C58" s="595" t="s">
        <v>1077</v>
      </c>
      <c r="D58" s="600" t="s">
        <v>2657</v>
      </c>
      <c r="E58" s="763">
        <v>26200</v>
      </c>
      <c r="F58" s="760">
        <v>10876</v>
      </c>
      <c r="J58" s="543"/>
    </row>
    <row r="59" spans="1:10" ht="25.5">
      <c r="A59" s="1019" t="s">
        <v>2432</v>
      </c>
      <c r="B59" s="1018"/>
      <c r="C59" s="595" t="s">
        <v>1077</v>
      </c>
      <c r="D59" s="600" t="s">
        <v>2658</v>
      </c>
      <c r="E59" s="763">
        <v>26200</v>
      </c>
      <c r="F59" s="760">
        <v>10876</v>
      </c>
      <c r="J59" s="543"/>
    </row>
    <row r="60" spans="1:10" s="400" customFormat="1" ht="12.75">
      <c r="A60" s="1019" t="s">
        <v>2434</v>
      </c>
      <c r="B60" s="1020"/>
      <c r="C60" s="1021" t="s">
        <v>4592</v>
      </c>
      <c r="D60" s="783" t="s">
        <v>1016</v>
      </c>
      <c r="E60" s="1022">
        <v>31132</v>
      </c>
      <c r="F60" s="788">
        <v>902</v>
      </c>
      <c r="G60" s="1002"/>
      <c r="H60" s="705"/>
      <c r="I60" s="705"/>
      <c r="J60" s="543"/>
    </row>
    <row r="61" spans="1:10" s="400" customFormat="1" ht="25.5">
      <c r="A61" s="1019" t="s">
        <v>2436</v>
      </c>
      <c r="B61" s="1020"/>
      <c r="C61" s="1021" t="s">
        <v>4592</v>
      </c>
      <c r="D61" s="783" t="s">
        <v>1017</v>
      </c>
      <c r="E61" s="1022">
        <v>21744</v>
      </c>
      <c r="F61" s="788">
        <v>2117</v>
      </c>
      <c r="G61" s="1002"/>
      <c r="H61" s="705"/>
      <c r="I61" s="705"/>
      <c r="J61" s="543"/>
    </row>
    <row r="62" spans="1:10" s="400" customFormat="1" ht="12.75">
      <c r="A62" s="1019" t="s">
        <v>2438</v>
      </c>
      <c r="B62" s="1020"/>
      <c r="C62" s="1021" t="s">
        <v>4592</v>
      </c>
      <c r="D62" s="783" t="s">
        <v>1018</v>
      </c>
      <c r="E62" s="1022">
        <v>46368</v>
      </c>
      <c r="F62" s="788">
        <v>5271</v>
      </c>
      <c r="G62" s="1002"/>
      <c r="H62" s="705"/>
      <c r="I62" s="705"/>
      <c r="J62" s="543"/>
    </row>
    <row r="63" spans="1:10" s="400" customFormat="1" ht="12.75">
      <c r="A63" s="1019" t="s">
        <v>2440</v>
      </c>
      <c r="B63" s="1020"/>
      <c r="C63" s="1021" t="s">
        <v>4592</v>
      </c>
      <c r="D63" s="783" t="s">
        <v>1019</v>
      </c>
      <c r="E63" s="1022">
        <v>30000</v>
      </c>
      <c r="F63" s="788">
        <v>3933</v>
      </c>
      <c r="G63" s="1002"/>
      <c r="H63" s="705"/>
      <c r="I63" s="1023"/>
      <c r="J63" s="543"/>
    </row>
    <row r="64" spans="1:10" s="400" customFormat="1" ht="12.75">
      <c r="A64" s="1019" t="s">
        <v>2443</v>
      </c>
      <c r="B64" s="1020"/>
      <c r="C64" s="1021" t="s">
        <v>4592</v>
      </c>
      <c r="D64" s="783" t="s">
        <v>1019</v>
      </c>
      <c r="E64" s="1022">
        <v>38400</v>
      </c>
      <c r="F64" s="788">
        <v>9384</v>
      </c>
      <c r="G64" s="1002"/>
      <c r="H64" s="705"/>
      <c r="I64" s="705"/>
      <c r="J64" s="543"/>
    </row>
    <row r="65" spans="1:10" s="400" customFormat="1" ht="12.75">
      <c r="A65" s="1019" t="s">
        <v>2446</v>
      </c>
      <c r="B65" s="1020"/>
      <c r="C65" s="1021" t="s">
        <v>4592</v>
      </c>
      <c r="D65" s="783" t="s">
        <v>1020</v>
      </c>
      <c r="E65" s="1022">
        <v>28749</v>
      </c>
      <c r="F65" s="788">
        <v>11927</v>
      </c>
      <c r="G65" s="1002"/>
      <c r="H65" s="705"/>
      <c r="I65" s="705"/>
      <c r="J65" s="543"/>
    </row>
    <row r="66" spans="1:10" s="400" customFormat="1" ht="25.5">
      <c r="A66" s="1019" t="s">
        <v>2448</v>
      </c>
      <c r="B66" s="1020"/>
      <c r="C66" s="1021" t="s">
        <v>4592</v>
      </c>
      <c r="D66" s="783" t="s">
        <v>1021</v>
      </c>
      <c r="E66" s="1022">
        <v>21450</v>
      </c>
      <c r="F66" s="788">
        <v>9010</v>
      </c>
      <c r="G66" s="1002"/>
      <c r="H66" s="705"/>
      <c r="I66" s="705"/>
      <c r="J66" s="543"/>
    </row>
    <row r="67" spans="1:10" s="400" customFormat="1" ht="12.75">
      <c r="A67" s="1019" t="s">
        <v>2451</v>
      </c>
      <c r="B67" s="1020"/>
      <c r="C67" s="1024" t="s">
        <v>4592</v>
      </c>
      <c r="D67" s="1025" t="s">
        <v>1022</v>
      </c>
      <c r="E67" s="1022">
        <v>228067</v>
      </c>
      <c r="F67" s="788">
        <v>155183</v>
      </c>
      <c r="G67" s="1002"/>
      <c r="H67" s="705"/>
      <c r="I67" s="705"/>
      <c r="J67" s="543"/>
    </row>
    <row r="68" spans="1:10" s="400" customFormat="1" ht="12.75">
      <c r="A68" s="1019" t="s">
        <v>2453</v>
      </c>
      <c r="B68" s="1020"/>
      <c r="C68" s="1024" t="s">
        <v>4592</v>
      </c>
      <c r="D68" s="1025" t="s">
        <v>1023</v>
      </c>
      <c r="E68" s="1022">
        <v>39218</v>
      </c>
      <c r="F68" s="788">
        <v>28863</v>
      </c>
      <c r="G68" s="1002"/>
      <c r="H68" s="705"/>
      <c r="I68" s="705"/>
      <c r="J68" s="543"/>
    </row>
    <row r="69" spans="1:10" s="400" customFormat="1" ht="12.75">
      <c r="A69" s="1019" t="s">
        <v>2455</v>
      </c>
      <c r="B69" s="1020"/>
      <c r="C69" s="1024" t="s">
        <v>4592</v>
      </c>
      <c r="D69" s="1025" t="s">
        <v>1024</v>
      </c>
      <c r="E69" s="1022">
        <v>28918</v>
      </c>
      <c r="F69" s="788">
        <v>21372</v>
      </c>
      <c r="G69" s="1002"/>
      <c r="H69" s="705"/>
      <c r="I69" s="705"/>
      <c r="J69" s="543"/>
    </row>
    <row r="70" spans="1:10" s="400" customFormat="1" ht="12.75">
      <c r="A70" s="1019" t="s">
        <v>2457</v>
      </c>
      <c r="B70" s="1026"/>
      <c r="C70" s="1027" t="s">
        <v>4592</v>
      </c>
      <c r="D70" s="1028" t="s">
        <v>1025</v>
      </c>
      <c r="E70" s="1029">
        <v>29210</v>
      </c>
      <c r="F70" s="1030">
        <v>25190</v>
      </c>
      <c r="G70" s="1002"/>
      <c r="H70" s="705"/>
      <c r="I70" s="705"/>
      <c r="J70" s="543"/>
    </row>
    <row r="71" spans="1:13" ht="12.75">
      <c r="A71" s="1019" t="s">
        <v>2460</v>
      </c>
      <c r="B71" s="1031">
        <v>11133</v>
      </c>
      <c r="C71" s="1032" t="s">
        <v>1026</v>
      </c>
      <c r="D71" s="1033" t="s">
        <v>1027</v>
      </c>
      <c r="E71" s="761">
        <v>72000</v>
      </c>
      <c r="F71" s="758">
        <v>7325</v>
      </c>
      <c r="J71" s="543"/>
      <c r="K71"/>
      <c r="L71"/>
      <c r="M71"/>
    </row>
    <row r="72" spans="1:13" ht="25.5">
      <c r="A72" s="1019" t="s">
        <v>2462</v>
      </c>
      <c r="B72" s="1034"/>
      <c r="C72" s="1032" t="s">
        <v>1026</v>
      </c>
      <c r="D72" s="1033" t="s">
        <v>1028</v>
      </c>
      <c r="E72" s="761">
        <v>21168</v>
      </c>
      <c r="F72" s="758">
        <v>2743</v>
      </c>
      <c r="J72" s="543"/>
      <c r="K72"/>
      <c r="L72"/>
      <c r="M72"/>
    </row>
    <row r="73" spans="1:10" s="400" customFormat="1" ht="25.5">
      <c r="A73" s="1019" t="s">
        <v>2464</v>
      </c>
      <c r="B73" s="1035">
        <v>11133</v>
      </c>
      <c r="C73" s="1036" t="s">
        <v>1029</v>
      </c>
      <c r="D73" s="1037" t="s">
        <v>1030</v>
      </c>
      <c r="E73" s="1038">
        <v>24900</v>
      </c>
      <c r="F73" s="1039">
        <v>10494</v>
      </c>
      <c r="G73" s="1002"/>
      <c r="H73" s="705"/>
      <c r="I73" s="705"/>
      <c r="J73" s="543"/>
    </row>
    <row r="74" spans="1:10" s="400" customFormat="1" ht="12.75">
      <c r="A74" s="1019" t="s">
        <v>2466</v>
      </c>
      <c r="B74" s="1040"/>
      <c r="C74" s="1041" t="s">
        <v>1029</v>
      </c>
      <c r="D74" s="768" t="s">
        <v>1031</v>
      </c>
      <c r="E74" s="1022">
        <v>21500</v>
      </c>
      <c r="F74" s="788">
        <v>927</v>
      </c>
      <c r="G74" s="1002"/>
      <c r="H74" s="705"/>
      <c r="I74" s="705"/>
      <c r="J74" s="543"/>
    </row>
    <row r="75" spans="1:10" s="400" customFormat="1" ht="12" customHeight="1">
      <c r="A75" s="1019" t="s">
        <v>2469</v>
      </c>
      <c r="B75" s="1040"/>
      <c r="C75" s="1041" t="s">
        <v>1029</v>
      </c>
      <c r="D75" s="768" t="s">
        <v>1032</v>
      </c>
      <c r="E75" s="1022">
        <v>18700</v>
      </c>
      <c r="F75" s="788">
        <v>1108</v>
      </c>
      <c r="G75" s="1002"/>
      <c r="H75" s="705"/>
      <c r="I75" s="705"/>
      <c r="J75" s="543"/>
    </row>
    <row r="76" spans="1:10" s="400" customFormat="1" ht="12.75" customHeight="1">
      <c r="A76" s="1019" t="s">
        <v>2472</v>
      </c>
      <c r="B76" s="1040"/>
      <c r="C76" s="1041" t="s">
        <v>1029</v>
      </c>
      <c r="D76" s="768" t="s">
        <v>1032</v>
      </c>
      <c r="E76" s="1022">
        <v>18699</v>
      </c>
      <c r="F76" s="788">
        <v>1107</v>
      </c>
      <c r="G76" s="1002"/>
      <c r="H76" s="705"/>
      <c r="I76" s="705"/>
      <c r="J76" s="543"/>
    </row>
    <row r="77" spans="1:10" s="400" customFormat="1" ht="12.75">
      <c r="A77" s="1019" t="s">
        <v>2475</v>
      </c>
      <c r="B77" s="1040"/>
      <c r="C77" s="1041" t="s">
        <v>1029</v>
      </c>
      <c r="D77" s="768" t="s">
        <v>1033</v>
      </c>
      <c r="E77" s="1022">
        <v>39999</v>
      </c>
      <c r="F77" s="788">
        <v>1745</v>
      </c>
      <c r="G77" s="1002"/>
      <c r="H77" s="705"/>
      <c r="I77" s="705"/>
      <c r="J77" s="543"/>
    </row>
    <row r="78" spans="1:10" s="400" customFormat="1" ht="12.75">
      <c r="A78" s="1019" t="s">
        <v>2477</v>
      </c>
      <c r="B78" s="1040"/>
      <c r="C78" s="1041" t="s">
        <v>1029</v>
      </c>
      <c r="D78" s="768" t="s">
        <v>1033</v>
      </c>
      <c r="E78" s="1022">
        <v>40000</v>
      </c>
      <c r="F78" s="788">
        <v>1746</v>
      </c>
      <c r="G78" s="1002"/>
      <c r="H78" s="705"/>
      <c r="I78" s="705"/>
      <c r="J78" s="543"/>
    </row>
    <row r="79" spans="1:10" s="400" customFormat="1" ht="12.75">
      <c r="A79" s="1019" t="s">
        <v>2479</v>
      </c>
      <c r="B79" s="1040"/>
      <c r="C79" s="1041" t="s">
        <v>1029</v>
      </c>
      <c r="D79" s="768" t="s">
        <v>1034</v>
      </c>
      <c r="E79" s="1022">
        <v>17000</v>
      </c>
      <c r="F79" s="788">
        <v>2582</v>
      </c>
      <c r="G79" s="1002"/>
      <c r="H79" s="705"/>
      <c r="I79" s="705"/>
      <c r="J79" s="543"/>
    </row>
    <row r="80" spans="1:10" s="400" customFormat="1" ht="12.75">
      <c r="A80" s="1019" t="s">
        <v>2481</v>
      </c>
      <c r="B80" s="1040"/>
      <c r="C80" s="1041" t="s">
        <v>1029</v>
      </c>
      <c r="D80" s="768" t="s">
        <v>1035</v>
      </c>
      <c r="E80" s="1022">
        <v>17000</v>
      </c>
      <c r="F80" s="788">
        <v>2582</v>
      </c>
      <c r="G80" s="1002"/>
      <c r="H80" s="705"/>
      <c r="I80" s="705"/>
      <c r="J80" s="543"/>
    </row>
    <row r="81" spans="1:10" s="400" customFormat="1" ht="12.75">
      <c r="A81" s="1019" t="s">
        <v>2483</v>
      </c>
      <c r="B81" s="1040"/>
      <c r="C81" s="1041" t="s">
        <v>1029</v>
      </c>
      <c r="D81" s="768" t="s">
        <v>1035</v>
      </c>
      <c r="E81" s="1022">
        <v>17000</v>
      </c>
      <c r="F81" s="788">
        <v>2582</v>
      </c>
      <c r="G81" s="1002"/>
      <c r="H81" s="705"/>
      <c r="I81" s="705"/>
      <c r="J81" s="543"/>
    </row>
    <row r="82" spans="1:10" s="400" customFormat="1" ht="12.75">
      <c r="A82" s="1019" t="s">
        <v>2485</v>
      </c>
      <c r="B82" s="1040"/>
      <c r="C82" s="1041" t="s">
        <v>1029</v>
      </c>
      <c r="D82" s="768" t="s">
        <v>1036</v>
      </c>
      <c r="E82" s="1022">
        <v>20400</v>
      </c>
      <c r="F82" s="788">
        <v>6990</v>
      </c>
      <c r="G82" s="1002"/>
      <c r="H82" s="705"/>
      <c r="I82" s="705"/>
      <c r="J82" s="543"/>
    </row>
    <row r="83" spans="1:10" s="400" customFormat="1" ht="12.75">
      <c r="A83" s="1019" t="s">
        <v>2488</v>
      </c>
      <c r="B83" s="1040"/>
      <c r="C83" s="1041" t="s">
        <v>1029</v>
      </c>
      <c r="D83" s="768" t="s">
        <v>1037</v>
      </c>
      <c r="E83" s="1022">
        <v>26900</v>
      </c>
      <c r="F83" s="788">
        <v>21455</v>
      </c>
      <c r="G83" s="1002"/>
      <c r="H83" s="705"/>
      <c r="I83" s="705"/>
      <c r="J83" s="543"/>
    </row>
    <row r="84" spans="1:10" s="855" customFormat="1" ht="12.75">
      <c r="A84" s="1019" t="s">
        <v>2490</v>
      </c>
      <c r="B84" s="1042"/>
      <c r="C84" s="1043" t="s">
        <v>1038</v>
      </c>
      <c r="D84" s="1044" t="s">
        <v>1039</v>
      </c>
      <c r="E84" s="1045">
        <v>29930</v>
      </c>
      <c r="F84" s="1046">
        <v>25154</v>
      </c>
      <c r="G84" s="1047"/>
      <c r="H84" s="708"/>
      <c r="I84" s="708"/>
      <c r="J84" s="694"/>
    </row>
    <row r="85" spans="1:10" s="855" customFormat="1" ht="12.75">
      <c r="A85" s="1019" t="s">
        <v>2493</v>
      </c>
      <c r="B85" s="735"/>
      <c r="C85" s="1048" t="s">
        <v>1038</v>
      </c>
      <c r="D85" s="734" t="s">
        <v>1040</v>
      </c>
      <c r="E85" s="736">
        <v>29930</v>
      </c>
      <c r="F85" s="737">
        <v>25154</v>
      </c>
      <c r="G85" s="1047"/>
      <c r="H85" s="708"/>
      <c r="I85" s="708"/>
      <c r="J85" s="694"/>
    </row>
    <row r="86" spans="1:10" s="855" customFormat="1" ht="12.75">
      <c r="A86" s="1019" t="s">
        <v>2496</v>
      </c>
      <c r="B86" s="735"/>
      <c r="C86" s="1048" t="s">
        <v>1038</v>
      </c>
      <c r="D86" s="734" t="s">
        <v>1041</v>
      </c>
      <c r="E86" s="736">
        <v>33387</v>
      </c>
      <c r="F86" s="737">
        <v>28060</v>
      </c>
      <c r="G86" s="1047"/>
      <c r="H86" s="708"/>
      <c r="I86" s="708"/>
      <c r="J86" s="694"/>
    </row>
    <row r="87" spans="1:10" s="855" customFormat="1" ht="12.75">
      <c r="A87" s="1019" t="s">
        <v>2498</v>
      </c>
      <c r="B87" s="735"/>
      <c r="C87" s="1048" t="s">
        <v>1038</v>
      </c>
      <c r="D87" s="734" t="s">
        <v>1042</v>
      </c>
      <c r="E87" s="736">
        <v>33387</v>
      </c>
      <c r="F87" s="737">
        <v>28060</v>
      </c>
      <c r="G87" s="1047"/>
      <c r="H87" s="708"/>
      <c r="I87" s="708"/>
      <c r="J87" s="694"/>
    </row>
    <row r="88" spans="1:10" s="855" customFormat="1" ht="12.75">
      <c r="A88" s="1019" t="s">
        <v>2501</v>
      </c>
      <c r="B88" s="735"/>
      <c r="C88" s="1048" t="s">
        <v>1038</v>
      </c>
      <c r="D88" s="734" t="s">
        <v>1043</v>
      </c>
      <c r="E88" s="736">
        <v>28400</v>
      </c>
      <c r="F88" s="737">
        <v>27367</v>
      </c>
      <c r="G88" s="1047"/>
      <c r="H88" s="708"/>
      <c r="I88" s="708"/>
      <c r="J88" s="694"/>
    </row>
    <row r="89" spans="1:10" s="855" customFormat="1" ht="12.75">
      <c r="A89" s="1019" t="s">
        <v>2503</v>
      </c>
      <c r="B89" s="735"/>
      <c r="C89" s="1048" t="s">
        <v>1038</v>
      </c>
      <c r="D89" s="734" t="s">
        <v>1044</v>
      </c>
      <c r="E89" s="736">
        <v>28399</v>
      </c>
      <c r="F89" s="737">
        <v>27366</v>
      </c>
      <c r="G89" s="1047"/>
      <c r="H89" s="708"/>
      <c r="I89" s="708"/>
      <c r="J89" s="694"/>
    </row>
    <row r="90" spans="1:10" s="855" customFormat="1" ht="12.75">
      <c r="A90" s="1019" t="s">
        <v>2505</v>
      </c>
      <c r="B90" s="735"/>
      <c r="C90" s="1048" t="s">
        <v>1038</v>
      </c>
      <c r="D90" s="734" t="s">
        <v>1045</v>
      </c>
      <c r="E90" s="736">
        <v>29006</v>
      </c>
      <c r="F90" s="737">
        <v>28269</v>
      </c>
      <c r="G90" s="1047"/>
      <c r="H90" s="708"/>
      <c r="I90" s="708"/>
      <c r="J90" s="694"/>
    </row>
    <row r="91" spans="1:10" s="855" customFormat="1" ht="12.75">
      <c r="A91" s="1019" t="s">
        <v>2507</v>
      </c>
      <c r="B91" s="735"/>
      <c r="C91" s="1048" t="s">
        <v>1038</v>
      </c>
      <c r="D91" s="734" t="s">
        <v>1046</v>
      </c>
      <c r="E91" s="736">
        <v>32649</v>
      </c>
      <c r="F91" s="737">
        <v>32334</v>
      </c>
      <c r="G91" s="1047"/>
      <c r="H91" s="708"/>
      <c r="I91" s="708"/>
      <c r="J91" s="694"/>
    </row>
    <row r="92" spans="1:13" ht="12.75">
      <c r="A92" s="1019" t="s">
        <v>2510</v>
      </c>
      <c r="B92" s="1049"/>
      <c r="C92" s="611" t="s">
        <v>2659</v>
      </c>
      <c r="D92" s="1050" t="s">
        <v>2660</v>
      </c>
      <c r="E92" s="1051">
        <f>SUM(E11:E91)</f>
        <v>8042462</v>
      </c>
      <c r="F92" s="1052">
        <f>SUM(F11:F91)</f>
        <v>4946619</v>
      </c>
      <c r="J92" s="543"/>
      <c r="K92"/>
      <c r="L92"/>
      <c r="M92"/>
    </row>
    <row r="93" spans="1:13" ht="16.5" customHeight="1">
      <c r="A93" s="2239" t="s">
        <v>2661</v>
      </c>
      <c r="B93" s="2240"/>
      <c r="C93" s="2240"/>
      <c r="D93" s="2240"/>
      <c r="E93" s="2240"/>
      <c r="F93" s="698"/>
      <c r="J93" s="543"/>
      <c r="K93"/>
      <c r="L93"/>
      <c r="M93"/>
    </row>
    <row r="94" spans="1:9" s="543" customFormat="1" ht="16.5" customHeight="1">
      <c r="A94" s="1013" t="s">
        <v>2512</v>
      </c>
      <c r="B94" s="1049">
        <v>111933</v>
      </c>
      <c r="C94" s="595" t="s">
        <v>1077</v>
      </c>
      <c r="D94" s="598" t="s">
        <v>2662</v>
      </c>
      <c r="E94" s="761">
        <v>14412</v>
      </c>
      <c r="F94" s="758">
        <v>0</v>
      </c>
      <c r="G94" s="1002"/>
      <c r="H94" s="705"/>
      <c r="I94" s="705"/>
    </row>
    <row r="95" spans="1:9" s="543" customFormat="1" ht="25.5">
      <c r="A95" s="1013" t="s">
        <v>2514</v>
      </c>
      <c r="B95" s="1017"/>
      <c r="C95" s="595" t="s">
        <v>1077</v>
      </c>
      <c r="D95" s="598" t="s">
        <v>2663</v>
      </c>
      <c r="E95" s="761">
        <v>71021</v>
      </c>
      <c r="F95" s="758">
        <v>0</v>
      </c>
      <c r="G95" s="1002"/>
      <c r="H95" s="705"/>
      <c r="I95" s="705"/>
    </row>
    <row r="96" spans="1:9" s="543" customFormat="1" ht="15" customHeight="1">
      <c r="A96" s="1013" t="s">
        <v>2517</v>
      </c>
      <c r="B96" s="1017"/>
      <c r="C96" s="595" t="s">
        <v>1077</v>
      </c>
      <c r="D96" s="598" t="s">
        <v>2664</v>
      </c>
      <c r="E96" s="761">
        <v>71021</v>
      </c>
      <c r="F96" s="758">
        <v>0</v>
      </c>
      <c r="G96" s="1002"/>
      <c r="H96" s="705"/>
      <c r="I96" s="705"/>
    </row>
    <row r="97" spans="1:9" s="543" customFormat="1" ht="12.75">
      <c r="A97" s="1013" t="s">
        <v>3992</v>
      </c>
      <c r="B97" s="1017"/>
      <c r="C97" s="595" t="s">
        <v>1077</v>
      </c>
      <c r="D97" s="598" t="s">
        <v>2662</v>
      </c>
      <c r="E97" s="761">
        <v>14412</v>
      </c>
      <c r="F97" s="758">
        <v>0</v>
      </c>
      <c r="G97" s="1002"/>
      <c r="H97" s="705"/>
      <c r="I97" s="705"/>
    </row>
    <row r="98" spans="1:9" s="543" customFormat="1" ht="25.5">
      <c r="A98" s="1013" t="s">
        <v>2519</v>
      </c>
      <c r="B98" s="1017"/>
      <c r="C98" s="595" t="s">
        <v>1077</v>
      </c>
      <c r="D98" s="598" t="s">
        <v>2665</v>
      </c>
      <c r="E98" s="761">
        <v>459000</v>
      </c>
      <c r="F98" s="758">
        <v>0</v>
      </c>
      <c r="G98" s="1002"/>
      <c r="H98" s="705"/>
      <c r="I98" s="705"/>
    </row>
    <row r="99" spans="1:9" s="543" customFormat="1" ht="25.5">
      <c r="A99" s="1013" t="s">
        <v>2521</v>
      </c>
      <c r="B99" s="1017"/>
      <c r="C99" s="595" t="s">
        <v>1077</v>
      </c>
      <c r="D99" s="598" t="s">
        <v>2666</v>
      </c>
      <c r="E99" s="761">
        <v>9072</v>
      </c>
      <c r="F99" s="758">
        <v>0</v>
      </c>
      <c r="G99" s="1002"/>
      <c r="H99" s="705"/>
      <c r="I99" s="705"/>
    </row>
    <row r="100" spans="1:9" s="543" customFormat="1" ht="25.5">
      <c r="A100" s="1013" t="s">
        <v>2523</v>
      </c>
      <c r="B100" s="1017"/>
      <c r="C100" s="595" t="s">
        <v>1077</v>
      </c>
      <c r="D100" s="598" t="s">
        <v>2667</v>
      </c>
      <c r="E100" s="761">
        <v>26400</v>
      </c>
      <c r="F100" s="758">
        <v>0</v>
      </c>
      <c r="G100" s="1002"/>
      <c r="H100" s="705"/>
      <c r="I100" s="705"/>
    </row>
    <row r="101" spans="1:9" s="543" customFormat="1" ht="25.5">
      <c r="A101" s="1013" t="s">
        <v>2525</v>
      </c>
      <c r="B101" s="1018"/>
      <c r="C101" s="1053" t="s">
        <v>1077</v>
      </c>
      <c r="D101" s="600" t="s">
        <v>2668</v>
      </c>
      <c r="E101" s="763">
        <v>23880</v>
      </c>
      <c r="F101" s="760">
        <v>0</v>
      </c>
      <c r="G101" s="1002"/>
      <c r="H101" s="705"/>
      <c r="I101" s="705"/>
    </row>
    <row r="102" spans="1:9" s="543" customFormat="1" ht="26.25" thickBot="1">
      <c r="A102" s="1013" t="s">
        <v>2528</v>
      </c>
      <c r="B102" s="1054"/>
      <c r="C102" s="1055" t="s">
        <v>1077</v>
      </c>
      <c r="D102" s="604" t="s">
        <v>2669</v>
      </c>
      <c r="E102" s="1056">
        <v>18500</v>
      </c>
      <c r="F102" s="1057">
        <v>0</v>
      </c>
      <c r="G102" s="1002"/>
      <c r="H102" s="705"/>
      <c r="I102" s="705"/>
    </row>
    <row r="103" spans="1:9" s="543" customFormat="1" ht="48.75" thickBot="1">
      <c r="A103" s="605" t="s">
        <v>4597</v>
      </c>
      <c r="B103" s="606" t="s">
        <v>4601</v>
      </c>
      <c r="C103" s="1008" t="s">
        <v>4602</v>
      </c>
      <c r="D103" s="606" t="s">
        <v>4603</v>
      </c>
      <c r="E103" s="738" t="s">
        <v>4604</v>
      </c>
      <c r="F103" s="739" t="s">
        <v>4605</v>
      </c>
      <c r="G103" s="1002"/>
      <c r="H103" s="705"/>
      <c r="I103" s="705"/>
    </row>
    <row r="104" spans="1:9" s="543" customFormat="1" ht="12.75" customHeight="1">
      <c r="A104" s="1019" t="s">
        <v>2530</v>
      </c>
      <c r="B104" s="1017"/>
      <c r="C104" s="595" t="s">
        <v>1077</v>
      </c>
      <c r="D104" s="598" t="s">
        <v>2670</v>
      </c>
      <c r="E104" s="761">
        <v>38016</v>
      </c>
      <c r="F104" s="758">
        <v>0</v>
      </c>
      <c r="G104" s="1002"/>
      <c r="H104" s="705"/>
      <c r="I104" s="705"/>
    </row>
    <row r="105" spans="1:9" s="543" customFormat="1" ht="15.75" customHeight="1">
      <c r="A105" s="1019" t="s">
        <v>2532</v>
      </c>
      <c r="B105" s="1017"/>
      <c r="C105" s="595" t="s">
        <v>1077</v>
      </c>
      <c r="D105" s="598" t="s">
        <v>2670</v>
      </c>
      <c r="E105" s="761">
        <v>38016</v>
      </c>
      <c r="F105" s="758">
        <v>0</v>
      </c>
      <c r="G105" s="1002"/>
      <c r="H105" s="705"/>
      <c r="I105" s="705"/>
    </row>
    <row r="106" spans="1:9" s="543" customFormat="1" ht="12.75">
      <c r="A106" s="1019" t="s">
        <v>2534</v>
      </c>
      <c r="B106" s="630">
        <v>111933</v>
      </c>
      <c r="C106" s="595" t="s">
        <v>1077</v>
      </c>
      <c r="D106" s="608" t="s">
        <v>2671</v>
      </c>
      <c r="E106" s="697">
        <v>15000</v>
      </c>
      <c r="F106" s="758">
        <v>0</v>
      </c>
      <c r="G106" s="1002"/>
      <c r="H106" s="705"/>
      <c r="I106" s="705"/>
    </row>
    <row r="107" spans="1:9" s="543" customFormat="1" ht="12.75">
      <c r="A107" s="1019" t="s">
        <v>2536</v>
      </c>
      <c r="B107" s="630"/>
      <c r="C107" s="595" t="s">
        <v>1077</v>
      </c>
      <c r="D107" s="608" t="s">
        <v>2671</v>
      </c>
      <c r="E107" s="697">
        <v>15000</v>
      </c>
      <c r="F107" s="758">
        <v>0</v>
      </c>
      <c r="G107" s="1002"/>
      <c r="H107" s="705"/>
      <c r="I107" s="705"/>
    </row>
    <row r="108" spans="1:9" s="543" customFormat="1" ht="12.75">
      <c r="A108" s="1019" t="s">
        <v>2538</v>
      </c>
      <c r="B108" s="630"/>
      <c r="C108" s="595" t="s">
        <v>1077</v>
      </c>
      <c r="D108" s="608" t="s">
        <v>2671</v>
      </c>
      <c r="E108" s="697">
        <v>15000</v>
      </c>
      <c r="F108" s="758">
        <v>0</v>
      </c>
      <c r="G108" s="1002"/>
      <c r="H108" s="705"/>
      <c r="I108" s="705"/>
    </row>
    <row r="109" spans="1:9" s="543" customFormat="1" ht="12.75">
      <c r="A109" s="1019" t="s">
        <v>2540</v>
      </c>
      <c r="B109" s="630"/>
      <c r="C109" s="595" t="s">
        <v>1077</v>
      </c>
      <c r="D109" s="608" t="s">
        <v>2671</v>
      </c>
      <c r="E109" s="697">
        <v>3750</v>
      </c>
      <c r="F109" s="758">
        <v>0</v>
      </c>
      <c r="G109" s="1002"/>
      <c r="H109" s="705"/>
      <c r="I109" s="705"/>
    </row>
    <row r="110" spans="1:9" s="543" customFormat="1" ht="12.75">
      <c r="A110" s="1019" t="s">
        <v>2543</v>
      </c>
      <c r="B110" s="630"/>
      <c r="C110" s="595" t="s">
        <v>1077</v>
      </c>
      <c r="D110" s="608" t="s">
        <v>2671</v>
      </c>
      <c r="E110" s="697">
        <v>3750</v>
      </c>
      <c r="F110" s="758">
        <v>0</v>
      </c>
      <c r="G110" s="1002"/>
      <c r="H110" s="705"/>
      <c r="I110" s="705"/>
    </row>
    <row r="111" spans="1:9" s="543" customFormat="1" ht="12.75">
      <c r="A111" s="1019" t="s">
        <v>2546</v>
      </c>
      <c r="B111" s="630"/>
      <c r="C111" s="595" t="s">
        <v>1077</v>
      </c>
      <c r="D111" s="608" t="s">
        <v>2671</v>
      </c>
      <c r="E111" s="697">
        <v>3750</v>
      </c>
      <c r="F111" s="758">
        <v>0</v>
      </c>
      <c r="G111" s="1002"/>
      <c r="H111" s="705"/>
      <c r="I111" s="705"/>
    </row>
    <row r="112" spans="1:9" s="543" customFormat="1" ht="25.5">
      <c r="A112" s="1019" t="s">
        <v>2548</v>
      </c>
      <c r="B112" s="630"/>
      <c r="C112" s="595" t="s">
        <v>1077</v>
      </c>
      <c r="D112" s="608" t="s">
        <v>2672</v>
      </c>
      <c r="E112" s="697">
        <v>50000</v>
      </c>
      <c r="F112" s="758">
        <v>0</v>
      </c>
      <c r="G112" s="1002"/>
      <c r="H112" s="705"/>
      <c r="I112" s="705"/>
    </row>
    <row r="113" spans="1:9" s="543" customFormat="1" ht="12.75">
      <c r="A113" s="1019" t="s">
        <v>2551</v>
      </c>
      <c r="B113" s="1014"/>
      <c r="C113" s="609" t="s">
        <v>1077</v>
      </c>
      <c r="D113" s="610" t="s">
        <v>2673</v>
      </c>
      <c r="E113" s="1058">
        <v>135393</v>
      </c>
      <c r="F113" s="1016">
        <v>0</v>
      </c>
      <c r="G113" s="1002"/>
      <c r="H113" s="705"/>
      <c r="I113" s="705"/>
    </row>
    <row r="114" spans="1:9" s="543" customFormat="1" ht="12.75">
      <c r="A114" s="1019" t="s">
        <v>2553</v>
      </c>
      <c r="B114" s="630"/>
      <c r="C114" s="595" t="s">
        <v>1077</v>
      </c>
      <c r="D114" s="598" t="s">
        <v>2674</v>
      </c>
      <c r="E114" s="761">
        <v>57000</v>
      </c>
      <c r="F114" s="758">
        <v>0</v>
      </c>
      <c r="G114" s="1002"/>
      <c r="H114" s="705"/>
      <c r="I114" s="705"/>
    </row>
    <row r="115" spans="1:9" s="543" customFormat="1" ht="12.75">
      <c r="A115" s="1019" t="s">
        <v>2556</v>
      </c>
      <c r="B115" s="822"/>
      <c r="C115" s="595" t="s">
        <v>1077</v>
      </c>
      <c r="D115" s="598" t="s">
        <v>2675</v>
      </c>
      <c r="E115" s="761">
        <v>38125</v>
      </c>
      <c r="F115" s="758">
        <v>0</v>
      </c>
      <c r="G115" s="1002"/>
      <c r="H115" s="705"/>
      <c r="I115" s="705"/>
    </row>
    <row r="116" spans="1:9" s="543" customFormat="1" ht="12.75">
      <c r="A116" s="1019" t="s">
        <v>4017</v>
      </c>
      <c r="B116" s="822"/>
      <c r="C116" s="595" t="s">
        <v>1077</v>
      </c>
      <c r="D116" s="598" t="s">
        <v>2676</v>
      </c>
      <c r="E116" s="761">
        <v>8500</v>
      </c>
      <c r="F116" s="758">
        <v>0</v>
      </c>
      <c r="G116" s="1002"/>
      <c r="H116" s="705"/>
      <c r="I116" s="705"/>
    </row>
    <row r="117" spans="1:9" s="543" customFormat="1" ht="12.75">
      <c r="A117" s="1019" t="s">
        <v>2559</v>
      </c>
      <c r="B117" s="822"/>
      <c r="C117" s="595" t="s">
        <v>1077</v>
      </c>
      <c r="D117" s="598" t="s">
        <v>2677</v>
      </c>
      <c r="E117" s="761">
        <v>8500</v>
      </c>
      <c r="F117" s="758">
        <v>0</v>
      </c>
      <c r="G117" s="1002"/>
      <c r="H117" s="705"/>
      <c r="I117" s="705"/>
    </row>
    <row r="118" spans="1:9" s="543" customFormat="1" ht="12.75">
      <c r="A118" s="1019" t="s">
        <v>2561</v>
      </c>
      <c r="B118" s="822"/>
      <c r="C118" s="595" t="s">
        <v>1077</v>
      </c>
      <c r="D118" s="598" t="s">
        <v>2678</v>
      </c>
      <c r="E118" s="761">
        <v>165750</v>
      </c>
      <c r="F118" s="758">
        <v>0</v>
      </c>
      <c r="G118" s="1002"/>
      <c r="H118" s="705"/>
      <c r="I118" s="705"/>
    </row>
    <row r="119" spans="1:9" s="543" customFormat="1" ht="12.75">
      <c r="A119" s="1019" t="s">
        <v>2564</v>
      </c>
      <c r="B119" s="822"/>
      <c r="C119" s="595" t="s">
        <v>1077</v>
      </c>
      <c r="D119" s="598" t="s">
        <v>2675</v>
      </c>
      <c r="E119" s="761">
        <v>29900</v>
      </c>
      <c r="F119" s="758">
        <v>0</v>
      </c>
      <c r="G119" s="1002"/>
      <c r="H119" s="705"/>
      <c r="I119" s="705"/>
    </row>
    <row r="120" spans="1:9" s="543" customFormat="1" ht="13.5" customHeight="1">
      <c r="A120" s="1019" t="s">
        <v>2566</v>
      </c>
      <c r="B120" s="822"/>
      <c r="C120" s="595" t="s">
        <v>1077</v>
      </c>
      <c r="D120" s="598" t="s">
        <v>2679</v>
      </c>
      <c r="E120" s="761">
        <v>14000</v>
      </c>
      <c r="F120" s="758">
        <v>0</v>
      </c>
      <c r="G120" s="1002"/>
      <c r="H120" s="705"/>
      <c r="I120" s="705"/>
    </row>
    <row r="121" spans="1:9" s="543" customFormat="1" ht="12" customHeight="1">
      <c r="A121" s="1019" t="s">
        <v>2568</v>
      </c>
      <c r="B121" s="822"/>
      <c r="C121" s="595" t="s">
        <v>1077</v>
      </c>
      <c r="D121" s="598" t="s">
        <v>2680</v>
      </c>
      <c r="E121" s="761">
        <v>98625</v>
      </c>
      <c r="F121" s="758">
        <v>0</v>
      </c>
      <c r="G121" s="1002"/>
      <c r="H121" s="705"/>
      <c r="I121" s="705"/>
    </row>
    <row r="122" spans="1:9" s="543" customFormat="1" ht="13.5" customHeight="1">
      <c r="A122" s="1019" t="s">
        <v>2570</v>
      </c>
      <c r="B122" s="822"/>
      <c r="C122" s="595" t="s">
        <v>1077</v>
      </c>
      <c r="D122" s="598" t="s">
        <v>2680</v>
      </c>
      <c r="E122" s="761">
        <v>197250</v>
      </c>
      <c r="F122" s="758">
        <v>0</v>
      </c>
      <c r="G122" s="1002"/>
      <c r="H122" s="705"/>
      <c r="I122" s="705"/>
    </row>
    <row r="123" spans="1:9" s="543" customFormat="1" ht="12.75">
      <c r="A123" s="1019" t="s">
        <v>2572</v>
      </c>
      <c r="B123" s="822"/>
      <c r="C123" s="595" t="s">
        <v>1077</v>
      </c>
      <c r="D123" s="598" t="s">
        <v>2681</v>
      </c>
      <c r="E123" s="761">
        <v>31563</v>
      </c>
      <c r="F123" s="758">
        <v>0</v>
      </c>
      <c r="G123" s="1002"/>
      <c r="H123" s="705"/>
      <c r="I123" s="705"/>
    </row>
    <row r="124" spans="1:9" s="543" customFormat="1" ht="12.75">
      <c r="A124" s="1019" t="s">
        <v>2574</v>
      </c>
      <c r="B124" s="822"/>
      <c r="C124" s="595" t="s">
        <v>1077</v>
      </c>
      <c r="D124" s="598" t="s">
        <v>2682</v>
      </c>
      <c r="E124" s="761">
        <v>46789</v>
      </c>
      <c r="F124" s="758">
        <v>0</v>
      </c>
      <c r="G124" s="1002"/>
      <c r="H124" s="705"/>
      <c r="I124" s="705"/>
    </row>
    <row r="125" spans="1:9" s="543" customFormat="1" ht="12.75">
      <c r="A125" s="1019" t="s">
        <v>2576</v>
      </c>
      <c r="B125" s="822"/>
      <c r="C125" s="595" t="s">
        <v>1077</v>
      </c>
      <c r="D125" s="598" t="s">
        <v>2682</v>
      </c>
      <c r="E125" s="761">
        <v>46789</v>
      </c>
      <c r="F125" s="758">
        <v>0</v>
      </c>
      <c r="G125" s="1002"/>
      <c r="H125" s="705"/>
      <c r="I125" s="705"/>
    </row>
    <row r="126" spans="1:9" s="543" customFormat="1" ht="12.75">
      <c r="A126" s="1019" t="s">
        <v>2584</v>
      </c>
      <c r="B126" s="822"/>
      <c r="C126" s="595" t="s">
        <v>1077</v>
      </c>
      <c r="D126" s="598" t="s">
        <v>2683</v>
      </c>
      <c r="E126" s="761">
        <v>33525</v>
      </c>
      <c r="F126" s="758">
        <v>0</v>
      </c>
      <c r="G126" s="1002"/>
      <c r="H126" s="705"/>
      <c r="I126" s="705"/>
    </row>
    <row r="127" spans="1:9" s="543" customFormat="1" ht="12.75">
      <c r="A127" s="1019" t="s">
        <v>2586</v>
      </c>
      <c r="B127" s="822"/>
      <c r="C127" s="595" t="s">
        <v>1077</v>
      </c>
      <c r="D127" s="598" t="s">
        <v>2683</v>
      </c>
      <c r="E127" s="761">
        <v>73750</v>
      </c>
      <c r="F127" s="758">
        <v>0</v>
      </c>
      <c r="G127" s="1002"/>
      <c r="H127" s="705"/>
      <c r="I127" s="705"/>
    </row>
    <row r="128" spans="1:9" s="543" customFormat="1" ht="12.75">
      <c r="A128" s="1019" t="s">
        <v>1047</v>
      </c>
      <c r="B128" s="822"/>
      <c r="C128" s="595" t="s">
        <v>1077</v>
      </c>
      <c r="D128" s="598" t="s">
        <v>2684</v>
      </c>
      <c r="E128" s="761">
        <v>20000</v>
      </c>
      <c r="F128" s="758">
        <v>0</v>
      </c>
      <c r="G128" s="1002"/>
      <c r="H128" s="705"/>
      <c r="I128" s="705"/>
    </row>
    <row r="129" spans="1:9" s="543" customFormat="1" ht="12.75">
      <c r="A129" s="1019" t="s">
        <v>2588</v>
      </c>
      <c r="B129" s="1059"/>
      <c r="C129" s="595" t="s">
        <v>1077</v>
      </c>
      <c r="D129" s="600" t="s">
        <v>2685</v>
      </c>
      <c r="E129" s="763">
        <v>50000</v>
      </c>
      <c r="F129" s="760">
        <v>0</v>
      </c>
      <c r="G129" s="1002"/>
      <c r="H129" s="705"/>
      <c r="I129" s="705"/>
    </row>
    <row r="130" spans="1:9" s="543" customFormat="1" ht="12.75">
      <c r="A130" s="1019" t="s">
        <v>2590</v>
      </c>
      <c r="B130" s="822"/>
      <c r="C130" s="595" t="s">
        <v>1077</v>
      </c>
      <c r="D130" s="598" t="s">
        <v>2686</v>
      </c>
      <c r="E130" s="761">
        <v>24570</v>
      </c>
      <c r="F130" s="758">
        <v>0</v>
      </c>
      <c r="G130" s="1002"/>
      <c r="H130" s="705"/>
      <c r="I130" s="705"/>
    </row>
    <row r="131" spans="1:9" s="543" customFormat="1" ht="12.75">
      <c r="A131" s="1019" t="s">
        <v>2592</v>
      </c>
      <c r="B131" s="822"/>
      <c r="C131" s="595" t="s">
        <v>1077</v>
      </c>
      <c r="D131" s="598" t="s">
        <v>2687</v>
      </c>
      <c r="E131" s="761">
        <v>28118</v>
      </c>
      <c r="F131" s="758">
        <v>0</v>
      </c>
      <c r="G131" s="1002"/>
      <c r="H131" s="705"/>
      <c r="I131" s="705"/>
    </row>
    <row r="132" spans="1:9" s="543" customFormat="1" ht="25.5">
      <c r="A132" s="1019" t="s">
        <v>2595</v>
      </c>
      <c r="B132" s="722"/>
      <c r="C132" s="595" t="s">
        <v>1077</v>
      </c>
      <c r="D132" s="608" t="s">
        <v>2688</v>
      </c>
      <c r="E132" s="697">
        <v>225000</v>
      </c>
      <c r="F132" s="698">
        <v>0</v>
      </c>
      <c r="G132" s="1002"/>
      <c r="H132" s="705"/>
      <c r="I132" s="705"/>
    </row>
    <row r="133" spans="1:9" s="543" customFormat="1" ht="15.75" customHeight="1">
      <c r="A133" s="1019" t="s">
        <v>2597</v>
      </c>
      <c r="B133" s="722"/>
      <c r="C133" s="595" t="s">
        <v>1077</v>
      </c>
      <c r="D133" s="608" t="s">
        <v>2689</v>
      </c>
      <c r="E133" s="697">
        <v>67830</v>
      </c>
      <c r="F133" s="698">
        <v>0</v>
      </c>
      <c r="G133" s="1002"/>
      <c r="H133" s="705"/>
      <c r="I133" s="705"/>
    </row>
    <row r="134" spans="1:9" s="543" customFormat="1" ht="12.75">
      <c r="A134" s="1019" t="s">
        <v>2600</v>
      </c>
      <c r="B134" s="722"/>
      <c r="C134" s="595" t="s">
        <v>1077</v>
      </c>
      <c r="D134" s="608" t="s">
        <v>343</v>
      </c>
      <c r="E134" s="697">
        <v>67830</v>
      </c>
      <c r="F134" s="698">
        <v>0</v>
      </c>
      <c r="G134" s="1002"/>
      <c r="H134" s="705"/>
      <c r="I134" s="705"/>
    </row>
    <row r="135" spans="1:9" s="543" customFormat="1" ht="12.75">
      <c r="A135" s="1019" t="s">
        <v>2602</v>
      </c>
      <c r="B135" s="722"/>
      <c r="C135" s="1060" t="s">
        <v>1077</v>
      </c>
      <c r="D135" s="608" t="s">
        <v>344</v>
      </c>
      <c r="E135" s="697">
        <v>67830</v>
      </c>
      <c r="F135" s="698">
        <v>0</v>
      </c>
      <c r="G135" s="1002"/>
      <c r="H135" s="705"/>
      <c r="I135" s="705"/>
    </row>
    <row r="136" spans="1:9" s="543" customFormat="1" ht="12.75">
      <c r="A136" s="1019" t="s">
        <v>2605</v>
      </c>
      <c r="B136" s="722"/>
      <c r="C136" s="1060" t="s">
        <v>1077</v>
      </c>
      <c r="D136" s="608" t="s">
        <v>345</v>
      </c>
      <c r="E136" s="697">
        <v>67830</v>
      </c>
      <c r="F136" s="698">
        <v>0</v>
      </c>
      <c r="G136" s="1002"/>
      <c r="H136" s="705"/>
      <c r="I136" s="705"/>
    </row>
    <row r="137" spans="1:9" s="543" customFormat="1" ht="12.75">
      <c r="A137" s="1019" t="s">
        <v>2607</v>
      </c>
      <c r="B137" s="722"/>
      <c r="C137" s="1060" t="s">
        <v>1077</v>
      </c>
      <c r="D137" s="608" t="s">
        <v>346</v>
      </c>
      <c r="E137" s="697">
        <v>67830</v>
      </c>
      <c r="F137" s="698">
        <v>0</v>
      </c>
      <c r="G137" s="1002"/>
      <c r="H137" s="705"/>
      <c r="I137" s="705"/>
    </row>
    <row r="138" spans="1:9" s="543" customFormat="1" ht="12.75">
      <c r="A138" s="1019" t="s">
        <v>2609</v>
      </c>
      <c r="B138" s="722"/>
      <c r="C138" s="1060" t="s">
        <v>1077</v>
      </c>
      <c r="D138" s="608" t="s">
        <v>347</v>
      </c>
      <c r="E138" s="697">
        <v>67830</v>
      </c>
      <c r="F138" s="698">
        <v>0</v>
      </c>
      <c r="G138" s="1002"/>
      <c r="H138" s="705"/>
      <c r="I138" s="705"/>
    </row>
    <row r="139" spans="1:9" s="543" customFormat="1" ht="12.75">
      <c r="A139" s="1019" t="s">
        <v>2611</v>
      </c>
      <c r="B139" s="722"/>
      <c r="C139" s="1060" t="s">
        <v>1077</v>
      </c>
      <c r="D139" s="608" t="s">
        <v>348</v>
      </c>
      <c r="E139" s="697">
        <v>67830</v>
      </c>
      <c r="F139" s="698">
        <v>0</v>
      </c>
      <c r="G139" s="1002"/>
      <c r="H139" s="705"/>
      <c r="I139" s="705"/>
    </row>
    <row r="140" spans="1:9" s="543" customFormat="1" ht="12.75">
      <c r="A140" s="1019" t="s">
        <v>2613</v>
      </c>
      <c r="B140" s="722"/>
      <c r="C140" s="1060" t="s">
        <v>1077</v>
      </c>
      <c r="D140" s="608" t="s">
        <v>349</v>
      </c>
      <c r="E140" s="697">
        <v>67830</v>
      </c>
      <c r="F140" s="698">
        <v>0</v>
      </c>
      <c r="G140" s="1002"/>
      <c r="H140" s="705"/>
      <c r="I140" s="705"/>
    </row>
    <row r="141" spans="1:9" s="543" customFormat="1" ht="12.75">
      <c r="A141" s="1019" t="s">
        <v>2615</v>
      </c>
      <c r="B141" s="722"/>
      <c r="C141" s="1060" t="s">
        <v>1077</v>
      </c>
      <c r="D141" s="608" t="s">
        <v>350</v>
      </c>
      <c r="E141" s="697">
        <v>123750</v>
      </c>
      <c r="F141" s="698">
        <v>0</v>
      </c>
      <c r="G141" s="1002"/>
      <c r="H141" s="705"/>
      <c r="I141" s="705"/>
    </row>
    <row r="142" spans="1:9" s="543" customFormat="1" ht="25.5">
      <c r="A142" s="1019" t="s">
        <v>2617</v>
      </c>
      <c r="B142" s="722"/>
      <c r="C142" s="1060" t="s">
        <v>1077</v>
      </c>
      <c r="D142" s="608" t="s">
        <v>351</v>
      </c>
      <c r="E142" s="697">
        <v>46050</v>
      </c>
      <c r="F142" s="698">
        <v>0</v>
      </c>
      <c r="G142" s="1002"/>
      <c r="H142" s="705"/>
      <c r="I142" s="705"/>
    </row>
    <row r="143" spans="1:9" s="543" customFormat="1" ht="25.5">
      <c r="A143" s="1019" t="s">
        <v>2619</v>
      </c>
      <c r="B143" s="722"/>
      <c r="C143" s="1060" t="s">
        <v>1077</v>
      </c>
      <c r="D143" s="608" t="s">
        <v>352</v>
      </c>
      <c r="E143" s="697">
        <v>46050</v>
      </c>
      <c r="F143" s="698">
        <v>0</v>
      </c>
      <c r="G143" s="1002"/>
      <c r="H143" s="705"/>
      <c r="I143" s="705"/>
    </row>
    <row r="144" spans="1:9" s="543" customFormat="1" ht="25.5">
      <c r="A144" s="1019" t="s">
        <v>2621</v>
      </c>
      <c r="B144" s="722"/>
      <c r="C144" s="1060" t="s">
        <v>1077</v>
      </c>
      <c r="D144" s="608" t="s">
        <v>353</v>
      </c>
      <c r="E144" s="697">
        <v>46050</v>
      </c>
      <c r="F144" s="698">
        <v>0</v>
      </c>
      <c r="G144" s="1002"/>
      <c r="H144" s="705"/>
      <c r="I144" s="705"/>
    </row>
    <row r="145" spans="1:9" s="543" customFormat="1" ht="25.5">
      <c r="A145" s="1019" t="s">
        <v>2623</v>
      </c>
      <c r="B145" s="722"/>
      <c r="C145" s="1060" t="s">
        <v>1077</v>
      </c>
      <c r="D145" s="608" t="s">
        <v>354</v>
      </c>
      <c r="E145" s="697">
        <v>46050</v>
      </c>
      <c r="F145" s="698">
        <v>0</v>
      </c>
      <c r="G145" s="1002"/>
      <c r="H145" s="705"/>
      <c r="I145" s="705"/>
    </row>
    <row r="146" spans="1:9" s="543" customFormat="1" ht="25.5">
      <c r="A146" s="1019" t="s">
        <v>2625</v>
      </c>
      <c r="B146" s="722"/>
      <c r="C146" s="1060" t="s">
        <v>1077</v>
      </c>
      <c r="D146" s="608" t="s">
        <v>354</v>
      </c>
      <c r="E146" s="697">
        <v>46050</v>
      </c>
      <c r="F146" s="698">
        <v>0</v>
      </c>
      <c r="G146" s="1002"/>
      <c r="H146" s="705"/>
      <c r="I146" s="705"/>
    </row>
    <row r="147" spans="1:9" s="543" customFormat="1" ht="25.5">
      <c r="A147" s="1019" t="s">
        <v>2627</v>
      </c>
      <c r="B147" s="722"/>
      <c r="C147" s="1060" t="s">
        <v>1077</v>
      </c>
      <c r="D147" s="608" t="s">
        <v>355</v>
      </c>
      <c r="E147" s="697">
        <v>46050</v>
      </c>
      <c r="F147" s="698">
        <v>0</v>
      </c>
      <c r="G147" s="1002"/>
      <c r="H147" s="705"/>
      <c r="I147" s="705"/>
    </row>
    <row r="148" spans="1:9" s="543" customFormat="1" ht="25.5">
      <c r="A148" s="1019" t="s">
        <v>2629</v>
      </c>
      <c r="B148" s="722"/>
      <c r="C148" s="1060" t="s">
        <v>1077</v>
      </c>
      <c r="D148" s="608" t="s">
        <v>356</v>
      </c>
      <c r="E148" s="697">
        <v>283012</v>
      </c>
      <c r="F148" s="698">
        <v>0</v>
      </c>
      <c r="G148" s="1002"/>
      <c r="H148" s="705"/>
      <c r="I148" s="705"/>
    </row>
    <row r="149" spans="1:9" s="543" customFormat="1" ht="25.5">
      <c r="A149" s="1019" t="s">
        <v>2631</v>
      </c>
      <c r="B149" s="722"/>
      <c r="C149" s="1060" t="s">
        <v>1077</v>
      </c>
      <c r="D149" s="608" t="s">
        <v>357</v>
      </c>
      <c r="E149" s="697">
        <v>46050</v>
      </c>
      <c r="F149" s="698">
        <v>0</v>
      </c>
      <c r="G149" s="1002"/>
      <c r="H149" s="705"/>
      <c r="I149" s="705"/>
    </row>
    <row r="150" spans="1:9" s="543" customFormat="1" ht="12.75">
      <c r="A150" s="687" t="s">
        <v>2633</v>
      </c>
      <c r="B150" s="722"/>
      <c r="C150" s="1060" t="s">
        <v>1077</v>
      </c>
      <c r="D150" s="608" t="s">
        <v>358</v>
      </c>
      <c r="E150" s="697">
        <v>46050</v>
      </c>
      <c r="F150" s="698">
        <v>0</v>
      </c>
      <c r="G150" s="1002"/>
      <c r="H150" s="705"/>
      <c r="I150" s="705"/>
    </row>
    <row r="151" spans="1:9" s="543" customFormat="1" ht="12.75">
      <c r="A151" s="687" t="s">
        <v>2635</v>
      </c>
      <c r="B151" s="722"/>
      <c r="C151" s="1060" t="s">
        <v>1077</v>
      </c>
      <c r="D151" s="608" t="s">
        <v>359</v>
      </c>
      <c r="E151" s="697">
        <v>46050</v>
      </c>
      <c r="F151" s="698">
        <v>0</v>
      </c>
      <c r="G151" s="1002"/>
      <c r="H151" s="705"/>
      <c r="I151" s="705"/>
    </row>
    <row r="152" spans="1:9" s="543" customFormat="1" ht="25.5">
      <c r="A152" s="687" t="s">
        <v>2638</v>
      </c>
      <c r="B152" s="722"/>
      <c r="C152" s="1060" t="s">
        <v>1077</v>
      </c>
      <c r="D152" s="608" t="s">
        <v>360</v>
      </c>
      <c r="E152" s="697">
        <v>82975</v>
      </c>
      <c r="F152" s="698">
        <v>0</v>
      </c>
      <c r="G152" s="1002"/>
      <c r="H152" s="705"/>
      <c r="I152" s="705" t="s">
        <v>1048</v>
      </c>
    </row>
    <row r="153" spans="1:9" s="543" customFormat="1" ht="12.75" customHeight="1" thickBot="1">
      <c r="A153" s="687" t="s">
        <v>2640</v>
      </c>
      <c r="B153" s="722"/>
      <c r="C153" s="1060" t="s">
        <v>1077</v>
      </c>
      <c r="D153" s="608" t="s">
        <v>361</v>
      </c>
      <c r="E153" s="697">
        <v>82975</v>
      </c>
      <c r="F153" s="698">
        <v>0</v>
      </c>
      <c r="G153" s="1002"/>
      <c r="H153" s="705"/>
      <c r="I153" s="705"/>
    </row>
    <row r="154" spans="1:9" s="543" customFormat="1" ht="48.75" thickBot="1">
      <c r="A154" s="605" t="s">
        <v>4597</v>
      </c>
      <c r="B154" s="606" t="s">
        <v>4601</v>
      </c>
      <c r="C154" s="1008" t="s">
        <v>4602</v>
      </c>
      <c r="D154" s="606" t="s">
        <v>4603</v>
      </c>
      <c r="E154" s="738" t="s">
        <v>4604</v>
      </c>
      <c r="F154" s="739" t="s">
        <v>4605</v>
      </c>
      <c r="G154" s="1002"/>
      <c r="H154" s="705"/>
      <c r="I154" s="705"/>
    </row>
    <row r="155" spans="1:9" s="543" customFormat="1" ht="25.5">
      <c r="A155" s="687" t="s">
        <v>2643</v>
      </c>
      <c r="B155" s="722"/>
      <c r="C155" s="1060" t="s">
        <v>1077</v>
      </c>
      <c r="D155" s="608" t="s">
        <v>362</v>
      </c>
      <c r="E155" s="697">
        <v>82975</v>
      </c>
      <c r="F155" s="698">
        <v>0</v>
      </c>
      <c r="G155" s="1002"/>
      <c r="H155" s="705"/>
      <c r="I155" s="705"/>
    </row>
    <row r="156" spans="1:9" s="543" customFormat="1" ht="25.5">
      <c r="A156" s="687" t="s">
        <v>2645</v>
      </c>
      <c r="B156" s="722"/>
      <c r="C156" s="1060" t="s">
        <v>1077</v>
      </c>
      <c r="D156" s="608" t="s">
        <v>363</v>
      </c>
      <c r="E156" s="697">
        <v>82975</v>
      </c>
      <c r="F156" s="698">
        <v>0</v>
      </c>
      <c r="G156" s="1002"/>
      <c r="H156" s="705"/>
      <c r="I156" s="705"/>
    </row>
    <row r="157" spans="1:9" s="543" customFormat="1" ht="25.5">
      <c r="A157" s="687" t="s">
        <v>2648</v>
      </c>
      <c r="B157" s="722"/>
      <c r="C157" s="1060" t="s">
        <v>1077</v>
      </c>
      <c r="D157" s="608" t="s">
        <v>364</v>
      </c>
      <c r="E157" s="697">
        <v>82975</v>
      </c>
      <c r="F157" s="698">
        <v>0</v>
      </c>
      <c r="G157" s="1002"/>
      <c r="H157" s="705"/>
      <c r="I157" s="705"/>
    </row>
    <row r="158" spans="1:9" s="543" customFormat="1" ht="25.5">
      <c r="A158" s="687" t="s">
        <v>2651</v>
      </c>
      <c r="B158" s="722"/>
      <c r="C158" s="1060" t="s">
        <v>1077</v>
      </c>
      <c r="D158" s="608" t="s">
        <v>365</v>
      </c>
      <c r="E158" s="697">
        <v>82975</v>
      </c>
      <c r="F158" s="698">
        <v>0</v>
      </c>
      <c r="G158" s="1002"/>
      <c r="H158" s="705"/>
      <c r="I158" s="705"/>
    </row>
    <row r="159" spans="1:9" s="543" customFormat="1" ht="25.5">
      <c r="A159" s="687" t="s">
        <v>3483</v>
      </c>
      <c r="B159" s="722"/>
      <c r="C159" s="1060" t="s">
        <v>1077</v>
      </c>
      <c r="D159" s="608" t="s">
        <v>365</v>
      </c>
      <c r="E159" s="697">
        <v>82975</v>
      </c>
      <c r="F159" s="698">
        <v>0</v>
      </c>
      <c r="G159" s="1002"/>
      <c r="H159" s="705"/>
      <c r="I159" s="705"/>
    </row>
    <row r="160" spans="1:9" s="543" customFormat="1" ht="25.5">
      <c r="A160" s="687" t="s">
        <v>3486</v>
      </c>
      <c r="B160" s="722"/>
      <c r="C160" s="1060" t="s">
        <v>1077</v>
      </c>
      <c r="D160" s="608" t="s">
        <v>365</v>
      </c>
      <c r="E160" s="697">
        <v>82975</v>
      </c>
      <c r="F160" s="698">
        <v>0</v>
      </c>
      <c r="G160" s="1002"/>
      <c r="H160" s="705"/>
      <c r="I160" s="705"/>
    </row>
    <row r="161" spans="1:9" s="543" customFormat="1" ht="25.5">
      <c r="A161" s="687" t="s">
        <v>3489</v>
      </c>
      <c r="B161" s="722"/>
      <c r="C161" s="1060" t="s">
        <v>1077</v>
      </c>
      <c r="D161" s="608" t="s">
        <v>366</v>
      </c>
      <c r="E161" s="697">
        <v>107688</v>
      </c>
      <c r="F161" s="698">
        <v>0</v>
      </c>
      <c r="G161" s="1002"/>
      <c r="H161" s="705"/>
      <c r="I161" s="705"/>
    </row>
    <row r="162" spans="1:9" s="543" customFormat="1" ht="12.75">
      <c r="A162" s="687" t="s">
        <v>3492</v>
      </c>
      <c r="B162" s="722"/>
      <c r="C162" s="1060" t="s">
        <v>1077</v>
      </c>
      <c r="D162" s="608" t="s">
        <v>367</v>
      </c>
      <c r="E162" s="697">
        <v>20800</v>
      </c>
      <c r="F162" s="698">
        <v>0</v>
      </c>
      <c r="G162" s="1002"/>
      <c r="H162" s="705"/>
      <c r="I162" s="705"/>
    </row>
    <row r="163" spans="1:9" s="543" customFormat="1" ht="12.75">
      <c r="A163" s="687" t="s">
        <v>3495</v>
      </c>
      <c r="B163" s="722"/>
      <c r="C163" s="1060" t="s">
        <v>1077</v>
      </c>
      <c r="D163" s="608" t="s">
        <v>368</v>
      </c>
      <c r="E163" s="697">
        <v>20800</v>
      </c>
      <c r="F163" s="698">
        <v>0</v>
      </c>
      <c r="G163" s="1002"/>
      <c r="H163" s="705"/>
      <c r="I163" s="705"/>
    </row>
    <row r="164" spans="1:9" s="543" customFormat="1" ht="12.75">
      <c r="A164" s="687" t="s">
        <v>3498</v>
      </c>
      <c r="B164" s="722"/>
      <c r="C164" s="1060" t="s">
        <v>1077</v>
      </c>
      <c r="D164" s="608" t="s">
        <v>369</v>
      </c>
      <c r="E164" s="697">
        <v>20800</v>
      </c>
      <c r="F164" s="698">
        <v>0</v>
      </c>
      <c r="G164" s="1002"/>
      <c r="H164" s="705"/>
      <c r="I164" s="705"/>
    </row>
    <row r="165" spans="1:9" s="543" customFormat="1" ht="12.75">
      <c r="A165" s="687" t="s">
        <v>3501</v>
      </c>
      <c r="B165" s="722"/>
      <c r="C165" s="1060" t="s">
        <v>1077</v>
      </c>
      <c r="D165" s="608" t="s">
        <v>370</v>
      </c>
      <c r="E165" s="697">
        <v>20800</v>
      </c>
      <c r="F165" s="698">
        <v>0</v>
      </c>
      <c r="G165" s="1002"/>
      <c r="H165" s="705"/>
      <c r="I165" s="705"/>
    </row>
    <row r="166" spans="1:9" s="543" customFormat="1" ht="12.75">
      <c r="A166" s="687" t="s">
        <v>3504</v>
      </c>
      <c r="B166" s="722"/>
      <c r="C166" s="1060" t="s">
        <v>1077</v>
      </c>
      <c r="D166" s="608" t="s">
        <v>371</v>
      </c>
      <c r="E166" s="697">
        <v>20800</v>
      </c>
      <c r="F166" s="698">
        <v>0</v>
      </c>
      <c r="G166" s="1002"/>
      <c r="H166" s="705"/>
      <c r="I166" s="705"/>
    </row>
    <row r="167" spans="1:9" s="543" customFormat="1" ht="14.25" customHeight="1">
      <c r="A167" s="687" t="s">
        <v>3507</v>
      </c>
      <c r="B167" s="722"/>
      <c r="C167" s="1060" t="s">
        <v>1077</v>
      </c>
      <c r="D167" s="608" t="s">
        <v>372</v>
      </c>
      <c r="E167" s="697">
        <v>20800</v>
      </c>
      <c r="F167" s="698">
        <v>0</v>
      </c>
      <c r="G167" s="1002"/>
      <c r="H167" s="705"/>
      <c r="I167" s="705"/>
    </row>
    <row r="168" spans="1:9" s="543" customFormat="1" ht="12.75">
      <c r="A168" s="687" t="s">
        <v>3510</v>
      </c>
      <c r="B168" s="722"/>
      <c r="C168" s="1060" t="s">
        <v>1077</v>
      </c>
      <c r="D168" s="608" t="s">
        <v>373</v>
      </c>
      <c r="E168" s="697">
        <v>9575</v>
      </c>
      <c r="F168" s="698">
        <v>0</v>
      </c>
      <c r="G168" s="1002"/>
      <c r="H168" s="705"/>
      <c r="I168" s="705"/>
    </row>
    <row r="169" spans="1:9" s="543" customFormat="1" ht="25.5">
      <c r="A169" s="687" t="s">
        <v>3513</v>
      </c>
      <c r="B169" s="722"/>
      <c r="C169" s="1060" t="s">
        <v>1077</v>
      </c>
      <c r="D169" s="608" t="s">
        <v>374</v>
      </c>
      <c r="E169" s="697">
        <v>25600</v>
      </c>
      <c r="F169" s="698">
        <v>0</v>
      </c>
      <c r="G169" s="1002"/>
      <c r="H169" s="705"/>
      <c r="I169" s="705"/>
    </row>
    <row r="170" spans="1:9" s="543" customFormat="1" ht="12.75">
      <c r="A170" s="687" t="s">
        <v>3516</v>
      </c>
      <c r="B170" s="722"/>
      <c r="C170" s="1060" t="s">
        <v>1077</v>
      </c>
      <c r="D170" s="608" t="s">
        <v>375</v>
      </c>
      <c r="E170" s="697">
        <v>67830</v>
      </c>
      <c r="F170" s="698">
        <v>0</v>
      </c>
      <c r="G170" s="1002"/>
      <c r="H170" s="705"/>
      <c r="I170" s="705"/>
    </row>
    <row r="171" spans="1:9" s="543" customFormat="1" ht="12.75">
      <c r="A171" s="687" t="s">
        <v>3519</v>
      </c>
      <c r="B171" s="1061"/>
      <c r="C171" s="1062" t="s">
        <v>1077</v>
      </c>
      <c r="D171" s="1063" t="s">
        <v>376</v>
      </c>
      <c r="E171" s="1064">
        <v>30000</v>
      </c>
      <c r="F171" s="1065">
        <v>0</v>
      </c>
      <c r="G171" s="1002"/>
      <c r="H171" s="705"/>
      <c r="I171" s="705"/>
    </row>
    <row r="172" spans="1:13" ht="12.75">
      <c r="A172" s="687" t="s">
        <v>3522</v>
      </c>
      <c r="B172" s="630">
        <v>1119338</v>
      </c>
      <c r="C172" s="1032" t="s">
        <v>1517</v>
      </c>
      <c r="D172" s="1066" t="s">
        <v>1518</v>
      </c>
      <c r="E172" s="697">
        <v>33125</v>
      </c>
      <c r="F172" s="698">
        <v>0</v>
      </c>
      <c r="J172" s="543"/>
      <c r="K172"/>
      <c r="L172"/>
      <c r="M172"/>
    </row>
    <row r="173" spans="1:10" s="400" customFormat="1" ht="12.75">
      <c r="A173" s="687" t="s">
        <v>3525</v>
      </c>
      <c r="B173" s="726">
        <v>111933</v>
      </c>
      <c r="C173" s="1032" t="s">
        <v>4592</v>
      </c>
      <c r="D173" s="598" t="s">
        <v>1519</v>
      </c>
      <c r="E173" s="1067">
        <v>10000</v>
      </c>
      <c r="F173" s="784">
        <v>0</v>
      </c>
      <c r="G173" s="1002"/>
      <c r="H173" s="705"/>
      <c r="I173" s="705"/>
      <c r="J173" s="543"/>
    </row>
    <row r="174" spans="1:10" s="400" customFormat="1" ht="12.75">
      <c r="A174" s="687" t="s">
        <v>3528</v>
      </c>
      <c r="B174" s="1020"/>
      <c r="C174" s="1021" t="s">
        <v>4592</v>
      </c>
      <c r="D174" s="783" t="s">
        <v>1520</v>
      </c>
      <c r="E174" s="1022">
        <v>8388</v>
      </c>
      <c r="F174" s="788">
        <v>0</v>
      </c>
      <c r="G174" s="1002"/>
      <c r="H174" s="705"/>
      <c r="I174" s="705"/>
      <c r="J174" s="543"/>
    </row>
    <row r="175" spans="1:10" s="400" customFormat="1" ht="12.75">
      <c r="A175" s="687" t="s">
        <v>3531</v>
      </c>
      <c r="B175" s="1020"/>
      <c r="C175" s="1021" t="s">
        <v>4592</v>
      </c>
      <c r="D175" s="783" t="s">
        <v>1521</v>
      </c>
      <c r="E175" s="1022">
        <v>324744</v>
      </c>
      <c r="F175" s="788">
        <v>0</v>
      </c>
      <c r="G175" s="1002"/>
      <c r="H175" s="705"/>
      <c r="I175" s="705"/>
      <c r="J175" s="543"/>
    </row>
    <row r="176" spans="1:10" s="400" customFormat="1" ht="12.75">
      <c r="A176" s="687" t="s">
        <v>3534</v>
      </c>
      <c r="B176" s="1020"/>
      <c r="C176" s="1021" t="s">
        <v>4592</v>
      </c>
      <c r="D176" s="783" t="s">
        <v>1522</v>
      </c>
      <c r="E176" s="1022">
        <v>37522</v>
      </c>
      <c r="F176" s="788">
        <v>0</v>
      </c>
      <c r="G176" s="1002"/>
      <c r="H176" s="705"/>
      <c r="I176" s="705"/>
      <c r="J176" s="543"/>
    </row>
    <row r="177" spans="1:10" s="400" customFormat="1" ht="12.75">
      <c r="A177" s="687" t="s">
        <v>3537</v>
      </c>
      <c r="B177" s="1068">
        <v>11133</v>
      </c>
      <c r="C177" s="1069" t="s">
        <v>4592</v>
      </c>
      <c r="D177" s="1070" t="s">
        <v>1523</v>
      </c>
      <c r="E177" s="1038">
        <v>38125</v>
      </c>
      <c r="F177" s="1039">
        <v>0</v>
      </c>
      <c r="G177" s="1002"/>
      <c r="H177" s="705"/>
      <c r="I177" s="705"/>
      <c r="J177" s="543"/>
    </row>
    <row r="178" spans="1:10" s="400" customFormat="1" ht="13.5" customHeight="1">
      <c r="A178" s="687" t="s">
        <v>3540</v>
      </c>
      <c r="B178" s="722"/>
      <c r="C178" s="1032" t="s">
        <v>4592</v>
      </c>
      <c r="D178" s="598" t="s">
        <v>1524</v>
      </c>
      <c r="E178" s="1022">
        <v>8940</v>
      </c>
      <c r="F178" s="788">
        <v>0</v>
      </c>
      <c r="G178" s="1002"/>
      <c r="H178" s="705"/>
      <c r="I178" s="705"/>
      <c r="J178" s="543"/>
    </row>
    <row r="179" spans="1:10" s="400" customFormat="1" ht="12.75">
      <c r="A179" s="687" t="s">
        <v>3543</v>
      </c>
      <c r="B179" s="822"/>
      <c r="C179" s="1032" t="s">
        <v>4592</v>
      </c>
      <c r="D179" s="598" t="s">
        <v>1525</v>
      </c>
      <c r="E179" s="1022">
        <v>8500</v>
      </c>
      <c r="F179" s="788">
        <v>0</v>
      </c>
      <c r="G179" s="1002"/>
      <c r="H179" s="705"/>
      <c r="I179" s="705"/>
      <c r="J179" s="543"/>
    </row>
    <row r="180" spans="1:10" s="400" customFormat="1" ht="12.75">
      <c r="A180" s="687" t="s">
        <v>3546</v>
      </c>
      <c r="B180" s="822"/>
      <c r="C180" s="1032" t="s">
        <v>4592</v>
      </c>
      <c r="D180" s="598" t="s">
        <v>1526</v>
      </c>
      <c r="E180" s="1022">
        <v>80750</v>
      </c>
      <c r="F180" s="788">
        <v>0</v>
      </c>
      <c r="G180" s="1002"/>
      <c r="H180" s="705"/>
      <c r="I180" s="705"/>
      <c r="J180" s="543"/>
    </row>
    <row r="181" spans="1:10" s="400" customFormat="1" ht="12.75">
      <c r="A181" s="687" t="s">
        <v>3549</v>
      </c>
      <c r="B181" s="822"/>
      <c r="C181" s="1032" t="s">
        <v>4592</v>
      </c>
      <c r="D181" s="598" t="s">
        <v>1526</v>
      </c>
      <c r="E181" s="1022">
        <v>163750</v>
      </c>
      <c r="F181" s="788">
        <v>0</v>
      </c>
      <c r="G181" s="1002"/>
      <c r="H181" s="705"/>
      <c r="I181" s="705"/>
      <c r="J181" s="543"/>
    </row>
    <row r="182" spans="1:10" s="400" customFormat="1" ht="12.75">
      <c r="A182" s="687" t="s">
        <v>2846</v>
      </c>
      <c r="B182" s="822"/>
      <c r="C182" s="1032" t="s">
        <v>4592</v>
      </c>
      <c r="D182" s="598" t="s">
        <v>1526</v>
      </c>
      <c r="E182" s="1022">
        <v>193750</v>
      </c>
      <c r="F182" s="788">
        <v>0</v>
      </c>
      <c r="G182" s="1002"/>
      <c r="H182" s="705"/>
      <c r="I182" s="705"/>
      <c r="J182" s="543"/>
    </row>
    <row r="183" spans="1:10" s="400" customFormat="1" ht="12.75">
      <c r="A183" s="687" t="s">
        <v>2849</v>
      </c>
      <c r="B183" s="822"/>
      <c r="C183" s="1021" t="s">
        <v>4592</v>
      </c>
      <c r="D183" s="783" t="s">
        <v>1527</v>
      </c>
      <c r="E183" s="1022">
        <v>15000</v>
      </c>
      <c r="F183" s="788">
        <v>0</v>
      </c>
      <c r="G183" s="1002"/>
      <c r="H183" s="705"/>
      <c r="I183" s="705"/>
      <c r="J183" s="543"/>
    </row>
    <row r="184" spans="1:10" s="400" customFormat="1" ht="12.75">
      <c r="A184" s="687" t="s">
        <v>2852</v>
      </c>
      <c r="B184" s="822"/>
      <c r="C184" s="1021" t="s">
        <v>4592</v>
      </c>
      <c r="D184" s="783" t="s">
        <v>1528</v>
      </c>
      <c r="E184" s="1022">
        <v>50000</v>
      </c>
      <c r="F184" s="788">
        <v>0</v>
      </c>
      <c r="G184" s="1002"/>
      <c r="H184" s="705"/>
      <c r="I184" s="705"/>
      <c r="J184" s="543"/>
    </row>
    <row r="185" spans="1:10" s="400" customFormat="1" ht="12.75">
      <c r="A185" s="687" t="s">
        <v>2855</v>
      </c>
      <c r="B185" s="822"/>
      <c r="C185" s="1032" t="s">
        <v>4592</v>
      </c>
      <c r="D185" s="598" t="s">
        <v>1529</v>
      </c>
      <c r="E185" s="1022">
        <v>10000</v>
      </c>
      <c r="F185" s="788">
        <v>0</v>
      </c>
      <c r="G185" s="1002"/>
      <c r="H185" s="705"/>
      <c r="I185" s="705"/>
      <c r="J185" s="543"/>
    </row>
    <row r="186" spans="1:10" s="400" customFormat="1" ht="12.75">
      <c r="A186" s="687" t="s">
        <v>2858</v>
      </c>
      <c r="B186" s="822"/>
      <c r="C186" s="1032" t="s">
        <v>4592</v>
      </c>
      <c r="D186" s="598" t="s">
        <v>1529</v>
      </c>
      <c r="E186" s="1022">
        <v>10000</v>
      </c>
      <c r="F186" s="788">
        <v>0</v>
      </c>
      <c r="G186" s="1002"/>
      <c r="H186" s="705"/>
      <c r="I186" s="705"/>
      <c r="J186" s="543"/>
    </row>
    <row r="187" spans="1:10" s="400" customFormat="1" ht="12.75">
      <c r="A187" s="687" t="s">
        <v>2861</v>
      </c>
      <c r="B187" s="822"/>
      <c r="C187" s="1032" t="s">
        <v>4592</v>
      </c>
      <c r="D187" s="598" t="s">
        <v>1529</v>
      </c>
      <c r="E187" s="1022">
        <v>10000</v>
      </c>
      <c r="F187" s="788">
        <v>0</v>
      </c>
      <c r="G187" s="1002"/>
      <c r="H187" s="705"/>
      <c r="I187" s="705"/>
      <c r="J187" s="543"/>
    </row>
    <row r="188" spans="1:10" s="400" customFormat="1" ht="12.75">
      <c r="A188" s="687" t="s">
        <v>2864</v>
      </c>
      <c r="B188" s="822"/>
      <c r="C188" s="1032" t="s">
        <v>4592</v>
      </c>
      <c r="D188" s="598" t="s">
        <v>1530</v>
      </c>
      <c r="E188" s="1022">
        <v>93750</v>
      </c>
      <c r="F188" s="788">
        <v>0</v>
      </c>
      <c r="G188" s="1002"/>
      <c r="H188" s="705"/>
      <c r="I188" s="705"/>
      <c r="J188" s="543"/>
    </row>
    <row r="189" spans="1:10" s="400" customFormat="1" ht="12.75">
      <c r="A189" s="687" t="s">
        <v>2867</v>
      </c>
      <c r="B189" s="822"/>
      <c r="C189" s="1021" t="s">
        <v>4592</v>
      </c>
      <c r="D189" s="1025" t="s">
        <v>1531</v>
      </c>
      <c r="E189" s="1022">
        <v>25800</v>
      </c>
      <c r="F189" s="788">
        <v>0</v>
      </c>
      <c r="G189" s="1002"/>
      <c r="H189" s="705"/>
      <c r="I189" s="705"/>
      <c r="J189" s="543"/>
    </row>
    <row r="190" spans="1:10" s="400" customFormat="1" ht="25.5">
      <c r="A190" s="687" t="s">
        <v>2870</v>
      </c>
      <c r="B190" s="822"/>
      <c r="C190" s="1069" t="s">
        <v>4592</v>
      </c>
      <c r="D190" s="1070" t="s">
        <v>1532</v>
      </c>
      <c r="E190" s="1038">
        <v>55080</v>
      </c>
      <c r="F190" s="1039">
        <v>0</v>
      </c>
      <c r="G190" s="1002"/>
      <c r="H190" s="705"/>
      <c r="I190" s="705"/>
      <c r="J190" s="543"/>
    </row>
    <row r="191" spans="1:13" ht="12.75">
      <c r="A191" s="687" t="s">
        <v>2873</v>
      </c>
      <c r="B191" s="1014">
        <v>111933</v>
      </c>
      <c r="C191" s="1071" t="s">
        <v>1026</v>
      </c>
      <c r="D191" s="1072" t="s">
        <v>1533</v>
      </c>
      <c r="E191" s="1015">
        <v>36300</v>
      </c>
      <c r="F191" s="1016">
        <v>0</v>
      </c>
      <c r="J191" s="543"/>
      <c r="K191"/>
      <c r="L191"/>
      <c r="M191"/>
    </row>
    <row r="192" spans="1:13" ht="12.75">
      <c r="A192" s="687" t="s">
        <v>2875</v>
      </c>
      <c r="B192" s="822"/>
      <c r="C192" s="1032" t="s">
        <v>1026</v>
      </c>
      <c r="D192" s="1033" t="s">
        <v>1534</v>
      </c>
      <c r="E192" s="761">
        <v>44490</v>
      </c>
      <c r="F192" s="758">
        <v>0</v>
      </c>
      <c r="J192" s="543"/>
      <c r="K192"/>
      <c r="L192"/>
      <c r="M192"/>
    </row>
    <row r="193" spans="1:13" ht="12.75">
      <c r="A193" s="687" t="s">
        <v>2878</v>
      </c>
      <c r="B193" s="822"/>
      <c r="C193" s="1032" t="s">
        <v>1026</v>
      </c>
      <c r="D193" s="1033" t="s">
        <v>1534</v>
      </c>
      <c r="E193" s="761">
        <v>14950</v>
      </c>
      <c r="F193" s="758">
        <v>0</v>
      </c>
      <c r="J193" s="543"/>
      <c r="K193"/>
      <c r="L193"/>
      <c r="M193"/>
    </row>
    <row r="194" spans="1:13" ht="12.75">
      <c r="A194" s="687" t="s">
        <v>2881</v>
      </c>
      <c r="B194" s="822"/>
      <c r="C194" s="1032" t="s">
        <v>1026</v>
      </c>
      <c r="D194" s="1033" t="s">
        <v>1534</v>
      </c>
      <c r="E194" s="761">
        <v>9850</v>
      </c>
      <c r="F194" s="758">
        <v>0</v>
      </c>
      <c r="J194" s="543"/>
      <c r="K194"/>
      <c r="L194"/>
      <c r="M194"/>
    </row>
    <row r="195" spans="1:13" ht="12.75">
      <c r="A195" s="687" t="s">
        <v>2884</v>
      </c>
      <c r="B195" s="1059"/>
      <c r="C195" s="1073" t="s">
        <v>1026</v>
      </c>
      <c r="D195" s="1074" t="s">
        <v>1535</v>
      </c>
      <c r="E195" s="763">
        <v>35000</v>
      </c>
      <c r="F195" s="760">
        <v>0</v>
      </c>
      <c r="J195" s="543"/>
      <c r="K195"/>
      <c r="L195"/>
      <c r="M195"/>
    </row>
    <row r="196" spans="1:13" ht="12.75">
      <c r="A196" s="687" t="s">
        <v>2887</v>
      </c>
      <c r="B196" s="630">
        <v>111933</v>
      </c>
      <c r="C196" s="1032" t="s">
        <v>1536</v>
      </c>
      <c r="D196" s="1033" t="s">
        <v>1537</v>
      </c>
      <c r="E196" s="697">
        <v>30000</v>
      </c>
      <c r="F196" s="698">
        <v>0</v>
      </c>
      <c r="K196"/>
      <c r="L196"/>
      <c r="M196"/>
    </row>
    <row r="197" spans="1:13" ht="12.75">
      <c r="A197" s="687" t="s">
        <v>2889</v>
      </c>
      <c r="B197" s="645"/>
      <c r="C197" s="1071" t="s">
        <v>1536</v>
      </c>
      <c r="D197" s="1072" t="s">
        <v>1534</v>
      </c>
      <c r="E197" s="1058">
        <v>120000</v>
      </c>
      <c r="F197" s="1075">
        <v>0</v>
      </c>
      <c r="J197" s="543"/>
      <c r="K197"/>
      <c r="L197"/>
      <c r="M197"/>
    </row>
    <row r="198" spans="1:13" ht="12.75">
      <c r="A198" s="687" t="s">
        <v>2892</v>
      </c>
      <c r="B198" s="822"/>
      <c r="C198" s="1032" t="s">
        <v>1536</v>
      </c>
      <c r="D198" s="1033" t="s">
        <v>1538</v>
      </c>
      <c r="E198" s="697">
        <v>192500</v>
      </c>
      <c r="F198" s="698">
        <v>0</v>
      </c>
      <c r="J198" s="543"/>
      <c r="K198"/>
      <c r="L198"/>
      <c r="M198"/>
    </row>
    <row r="199" spans="1:13" ht="12.75">
      <c r="A199" s="687" t="s">
        <v>2895</v>
      </c>
      <c r="B199" s="822"/>
      <c r="C199" s="1032" t="s">
        <v>1536</v>
      </c>
      <c r="D199" s="1033" t="s">
        <v>1539</v>
      </c>
      <c r="E199" s="697">
        <v>26250</v>
      </c>
      <c r="F199" s="698">
        <v>0</v>
      </c>
      <c r="J199" s="543"/>
      <c r="K199"/>
      <c r="L199"/>
      <c r="M199"/>
    </row>
    <row r="200" spans="1:13" ht="12.75">
      <c r="A200" s="687" t="s">
        <v>2898</v>
      </c>
      <c r="B200" s="822"/>
      <c r="C200" s="1032" t="s">
        <v>1536</v>
      </c>
      <c r="D200" s="1033" t="s">
        <v>1540</v>
      </c>
      <c r="E200" s="697">
        <v>68840</v>
      </c>
      <c r="F200" s="698">
        <v>0</v>
      </c>
      <c r="J200" s="543"/>
      <c r="K200"/>
      <c r="L200"/>
      <c r="M200"/>
    </row>
    <row r="201" spans="1:13" ht="13.5" thickBot="1">
      <c r="A201" s="687" t="s">
        <v>2900</v>
      </c>
      <c r="B201" s="1076"/>
      <c r="C201" s="1077" t="s">
        <v>1536</v>
      </c>
      <c r="D201" s="1078" t="s">
        <v>1541</v>
      </c>
      <c r="E201" s="1079">
        <v>300000</v>
      </c>
      <c r="F201" s="790">
        <v>0</v>
      </c>
      <c r="J201" s="543"/>
      <c r="K201"/>
      <c r="L201"/>
      <c r="M201"/>
    </row>
    <row r="202" spans="1:13" ht="13.5" thickBot="1">
      <c r="A202" s="1080"/>
      <c r="B202" s="1081" t="s">
        <v>394</v>
      </c>
      <c r="C202" s="2241" t="s">
        <v>1542</v>
      </c>
      <c r="D202" s="2242"/>
      <c r="E202" s="621">
        <f>SUM(E94:E201)</f>
        <v>6671696</v>
      </c>
      <c r="F202" s="614">
        <f>SUM(F172:F201)</f>
        <v>0</v>
      </c>
      <c r="J202" s="543"/>
      <c r="K202"/>
      <c r="L202"/>
      <c r="M202"/>
    </row>
    <row r="203" spans="1:13" ht="12.75">
      <c r="A203" s="1082"/>
      <c r="B203" s="1083"/>
      <c r="C203" s="623"/>
      <c r="D203" s="1084"/>
      <c r="E203" s="624"/>
      <c r="F203" s="1085"/>
      <c r="J203" s="543"/>
      <c r="K203"/>
      <c r="L203"/>
      <c r="M203"/>
    </row>
    <row r="204" spans="1:13" ht="12.75" customHeight="1" thickBot="1">
      <c r="A204" s="2233" t="s">
        <v>1543</v>
      </c>
      <c r="B204" s="2234"/>
      <c r="C204" s="2234"/>
      <c r="D204" s="2234"/>
      <c r="E204" s="624">
        <f>E202+E92</f>
        <v>14714158</v>
      </c>
      <c r="F204" s="1085">
        <f>F202+F92</f>
        <v>4946619</v>
      </c>
      <c r="K204"/>
      <c r="L204"/>
      <c r="M204"/>
    </row>
    <row r="205" spans="1:9" s="543" customFormat="1" ht="48.75" thickBot="1">
      <c r="A205" s="605" t="s">
        <v>4597</v>
      </c>
      <c r="B205" s="606" t="s">
        <v>4601</v>
      </c>
      <c r="C205" s="1008" t="s">
        <v>4602</v>
      </c>
      <c r="D205" s="606" t="s">
        <v>4603</v>
      </c>
      <c r="E205" s="738" t="s">
        <v>4604</v>
      </c>
      <c r="F205" s="739" t="s">
        <v>4605</v>
      </c>
      <c r="G205" s="1002"/>
      <c r="H205" s="705"/>
      <c r="I205" s="705"/>
    </row>
    <row r="206" spans="1:9" s="543" customFormat="1" ht="13.5" thickBot="1">
      <c r="A206" s="2227" t="s">
        <v>377</v>
      </c>
      <c r="B206" s="2227"/>
      <c r="C206" s="2227"/>
      <c r="D206" s="2227"/>
      <c r="E206" s="1006"/>
      <c r="F206" s="1086"/>
      <c r="G206" s="1002"/>
      <c r="H206" s="705"/>
      <c r="I206" s="705"/>
    </row>
    <row r="207" spans="1:9" s="543" customFormat="1" ht="12.75">
      <c r="A207" s="703" t="s">
        <v>2903</v>
      </c>
      <c r="B207" s="819">
        <v>111943</v>
      </c>
      <c r="C207" s="1087" t="s">
        <v>1077</v>
      </c>
      <c r="D207" s="616" t="s">
        <v>378</v>
      </c>
      <c r="E207" s="715">
        <v>1293600</v>
      </c>
      <c r="F207" s="716">
        <v>0</v>
      </c>
      <c r="G207" s="1002"/>
      <c r="H207" s="705"/>
      <c r="I207" s="705"/>
    </row>
    <row r="208" spans="1:9" s="617" customFormat="1" ht="12.75">
      <c r="A208" s="699" t="s">
        <v>2906</v>
      </c>
      <c r="B208" s="822"/>
      <c r="C208" s="1088" t="s">
        <v>1077</v>
      </c>
      <c r="D208" s="598" t="s">
        <v>379</v>
      </c>
      <c r="E208" s="761">
        <v>55000</v>
      </c>
      <c r="F208" s="758">
        <v>0</v>
      </c>
      <c r="G208" s="1089"/>
      <c r="H208" s="1090"/>
      <c r="I208" s="1090"/>
    </row>
    <row r="209" spans="1:9" s="617" customFormat="1" ht="12.75">
      <c r="A209" s="699" t="s">
        <v>2909</v>
      </c>
      <c r="B209" s="822"/>
      <c r="C209" s="1088" t="s">
        <v>1077</v>
      </c>
      <c r="D209" s="598" t="s">
        <v>380</v>
      </c>
      <c r="E209" s="761">
        <v>604950</v>
      </c>
      <c r="F209" s="758">
        <v>0</v>
      </c>
      <c r="G209" s="1089"/>
      <c r="H209" s="1090"/>
      <c r="I209" s="1090"/>
    </row>
    <row r="210" spans="1:9" s="617" customFormat="1" ht="12.75">
      <c r="A210" s="699" t="s">
        <v>2912</v>
      </c>
      <c r="B210" s="822"/>
      <c r="C210" s="1088" t="s">
        <v>1077</v>
      </c>
      <c r="D210" s="598" t="s">
        <v>381</v>
      </c>
      <c r="E210" s="761">
        <v>160000</v>
      </c>
      <c r="F210" s="758">
        <v>0</v>
      </c>
      <c r="G210" s="1089"/>
      <c r="H210" s="1090"/>
      <c r="I210" s="1090"/>
    </row>
    <row r="211" spans="1:9" s="617" customFormat="1" ht="25.5">
      <c r="A211" s="699" t="s">
        <v>2915</v>
      </c>
      <c r="B211" s="822"/>
      <c r="C211" s="1088" t="s">
        <v>1077</v>
      </c>
      <c r="D211" s="598" t="s">
        <v>382</v>
      </c>
      <c r="E211" s="761">
        <v>4050000</v>
      </c>
      <c r="F211" s="758">
        <v>0</v>
      </c>
      <c r="G211" s="1089"/>
      <c r="H211" s="1090"/>
      <c r="I211" s="1090"/>
    </row>
    <row r="212" spans="1:9" s="617" customFormat="1" ht="13.5" thickBot="1">
      <c r="A212" s="701" t="s">
        <v>2918</v>
      </c>
      <c r="B212" s="1076"/>
      <c r="C212" s="1091" t="s">
        <v>1077</v>
      </c>
      <c r="D212" s="604" t="s">
        <v>383</v>
      </c>
      <c r="E212" s="1056">
        <v>4880287</v>
      </c>
      <c r="F212" s="1057">
        <v>0</v>
      </c>
      <c r="G212" s="1089"/>
      <c r="H212" s="1090"/>
      <c r="I212" s="1090"/>
    </row>
    <row r="213" spans="1:9" s="617" customFormat="1" ht="13.5" thickBot="1">
      <c r="A213" s="619"/>
      <c r="B213" s="1092">
        <f>B207</f>
        <v>111943</v>
      </c>
      <c r="C213" s="664" t="s">
        <v>384</v>
      </c>
      <c r="D213" s="620" t="s">
        <v>1499</v>
      </c>
      <c r="E213" s="621">
        <f>SUM(E207:E212)</f>
        <v>11043837</v>
      </c>
      <c r="F213" s="614">
        <f>SUM(F207:F212)</f>
        <v>0</v>
      </c>
      <c r="G213" s="1089"/>
      <c r="H213" s="1090"/>
      <c r="I213" s="1090"/>
    </row>
    <row r="214" spans="1:10" s="856" customFormat="1" ht="12.75">
      <c r="A214" s="1093"/>
      <c r="B214" s="625"/>
      <c r="C214" s="638"/>
      <c r="D214" s="1094"/>
      <c r="E214" s="624"/>
      <c r="F214" s="1085"/>
      <c r="G214" s="1089"/>
      <c r="H214" s="1090"/>
      <c r="I214" s="1090"/>
      <c r="J214" s="617"/>
    </row>
    <row r="215" spans="1:10" s="856" customFormat="1" ht="13.5" thickBot="1">
      <c r="A215" s="2235" t="s">
        <v>385</v>
      </c>
      <c r="B215" s="2235"/>
      <c r="C215" s="2235"/>
      <c r="D215" s="2235"/>
      <c r="E215" s="2235"/>
      <c r="F215" s="2235"/>
      <c r="G215" s="1089"/>
      <c r="H215" s="1090"/>
      <c r="I215" s="1090"/>
      <c r="J215" s="617"/>
    </row>
    <row r="216" spans="1:13" ht="12.75">
      <c r="A216" s="1095" t="s">
        <v>2921</v>
      </c>
      <c r="B216" s="819">
        <v>117413</v>
      </c>
      <c r="C216" s="1096" t="s">
        <v>1077</v>
      </c>
      <c r="D216" s="1097" t="s">
        <v>386</v>
      </c>
      <c r="E216" s="692">
        <v>5435000</v>
      </c>
      <c r="F216" s="693">
        <v>5435000</v>
      </c>
      <c r="J216" s="543"/>
      <c r="K216"/>
      <c r="L216"/>
      <c r="M216"/>
    </row>
    <row r="217" spans="1:13" ht="25.5">
      <c r="A217" s="1098" t="s">
        <v>2924</v>
      </c>
      <c r="B217" s="630"/>
      <c r="C217" s="1060" t="s">
        <v>1077</v>
      </c>
      <c r="D217" s="747" t="s">
        <v>387</v>
      </c>
      <c r="E217" s="697">
        <v>603125</v>
      </c>
      <c r="F217" s="698">
        <v>603125</v>
      </c>
      <c r="J217" s="543"/>
      <c r="K217"/>
      <c r="L217"/>
      <c r="M217"/>
    </row>
    <row r="218" spans="1:13" ht="25.5">
      <c r="A218" s="1098" t="s">
        <v>2927</v>
      </c>
      <c r="B218" s="630"/>
      <c r="C218" s="1060" t="s">
        <v>1077</v>
      </c>
      <c r="D218" s="747" t="s">
        <v>388</v>
      </c>
      <c r="E218" s="697">
        <v>837500</v>
      </c>
      <c r="F218" s="698">
        <v>837500</v>
      </c>
      <c r="J218" s="543"/>
      <c r="K218"/>
      <c r="L218"/>
      <c r="M218"/>
    </row>
    <row r="219" spans="1:13" ht="18" customHeight="1">
      <c r="A219" s="1098" t="s">
        <v>2930</v>
      </c>
      <c r="B219" s="630"/>
      <c r="C219" s="1060" t="s">
        <v>1077</v>
      </c>
      <c r="D219" s="747" t="s">
        <v>389</v>
      </c>
      <c r="E219" s="697">
        <v>2450000</v>
      </c>
      <c r="F219" s="698">
        <v>2450000</v>
      </c>
      <c r="J219" s="543"/>
      <c r="K219"/>
      <c r="L219"/>
      <c r="M219"/>
    </row>
    <row r="220" spans="1:9" s="543" customFormat="1" ht="15" customHeight="1">
      <c r="A220" s="1098" t="s">
        <v>2932</v>
      </c>
      <c r="B220" s="630"/>
      <c r="C220" s="1060" t="s">
        <v>1077</v>
      </c>
      <c r="D220" s="747" t="s">
        <v>390</v>
      </c>
      <c r="E220" s="697">
        <v>2714000</v>
      </c>
      <c r="F220" s="698">
        <v>2714000</v>
      </c>
      <c r="G220" s="1099"/>
      <c r="H220" s="705"/>
      <c r="I220" s="705"/>
    </row>
    <row r="221" spans="1:13" ht="12.75">
      <c r="A221" s="1098" t="s">
        <v>2935</v>
      </c>
      <c r="B221" s="630"/>
      <c r="C221" s="1060" t="s">
        <v>1077</v>
      </c>
      <c r="D221" s="747" t="s">
        <v>391</v>
      </c>
      <c r="E221" s="697">
        <v>600000</v>
      </c>
      <c r="F221" s="698">
        <v>600000</v>
      </c>
      <c r="J221" s="543"/>
      <c r="K221"/>
      <c r="L221"/>
      <c r="M221"/>
    </row>
    <row r="222" spans="1:13" ht="12.75">
      <c r="A222" s="1098" t="s">
        <v>2938</v>
      </c>
      <c r="B222" s="630"/>
      <c r="C222" s="1060" t="s">
        <v>1077</v>
      </c>
      <c r="D222" s="747" t="s">
        <v>392</v>
      </c>
      <c r="E222" s="697">
        <v>168000</v>
      </c>
      <c r="F222" s="698">
        <v>168000</v>
      </c>
      <c r="J222" s="543"/>
      <c r="K222"/>
      <c r="L222"/>
      <c r="M222"/>
    </row>
    <row r="223" spans="1:13" ht="12.75">
      <c r="A223" s="1098" t="s">
        <v>2941</v>
      </c>
      <c r="B223" s="630"/>
      <c r="C223" s="1060" t="s">
        <v>1077</v>
      </c>
      <c r="D223" s="747" t="s">
        <v>393</v>
      </c>
      <c r="E223" s="697">
        <v>639600</v>
      </c>
      <c r="F223" s="698">
        <v>639600</v>
      </c>
      <c r="J223" s="543"/>
      <c r="K223"/>
      <c r="L223"/>
      <c r="M223"/>
    </row>
    <row r="224" spans="1:13" ht="12.75">
      <c r="A224" s="1098" t="s">
        <v>2944</v>
      </c>
      <c r="B224" s="726"/>
      <c r="C224" s="695" t="s">
        <v>1544</v>
      </c>
      <c r="D224" s="668" t="s">
        <v>1545</v>
      </c>
      <c r="E224" s="697">
        <v>375000</v>
      </c>
      <c r="F224" s="698">
        <v>375000</v>
      </c>
      <c r="J224" s="543"/>
      <c r="K224"/>
      <c r="L224"/>
      <c r="M224"/>
    </row>
    <row r="225" spans="1:13" ht="13.5" thickBot="1">
      <c r="A225" s="1100"/>
      <c r="B225" s="1076">
        <v>117413</v>
      </c>
      <c r="C225" s="662"/>
      <c r="D225" s="1101" t="s">
        <v>2660</v>
      </c>
      <c r="E225" s="799">
        <f>SUM(E216:E224)</f>
        <v>13822225</v>
      </c>
      <c r="F225" s="800">
        <f>SUM(F216:F224)</f>
        <v>13822225</v>
      </c>
      <c r="J225" s="543"/>
      <c r="K225"/>
      <c r="L225"/>
      <c r="M225"/>
    </row>
    <row r="226" spans="1:13" ht="12.75">
      <c r="A226" s="1102"/>
      <c r="B226" s="821"/>
      <c r="C226" s="638"/>
      <c r="D226" s="640"/>
      <c r="E226" s="1103"/>
      <c r="F226" s="1104"/>
      <c r="J226" s="543"/>
      <c r="K226"/>
      <c r="L226"/>
      <c r="M226"/>
    </row>
    <row r="227" spans="1:13" ht="12.75">
      <c r="A227" s="1102"/>
      <c r="B227" s="821"/>
      <c r="C227" s="2236" t="s">
        <v>1546</v>
      </c>
      <c r="D227" s="2217"/>
      <c r="E227" s="1103">
        <f>E225+E213</f>
        <v>24866062</v>
      </c>
      <c r="F227" s="1104">
        <f>F225+F213</f>
        <v>13822225</v>
      </c>
      <c r="J227" s="543"/>
      <c r="K227"/>
      <c r="L227"/>
      <c r="M227"/>
    </row>
    <row r="228" spans="1:13" ht="12.75">
      <c r="A228" s="1102"/>
      <c r="B228" s="821"/>
      <c r="C228" s="638"/>
      <c r="D228" s="640"/>
      <c r="E228" s="1103"/>
      <c r="F228" s="1104"/>
      <c r="J228" s="543"/>
      <c r="K228"/>
      <c r="L228"/>
      <c r="M228"/>
    </row>
    <row r="229" spans="1:13" ht="12.75">
      <c r="A229" s="2230" t="s">
        <v>395</v>
      </c>
      <c r="B229" s="2230"/>
      <c r="C229" s="2230"/>
      <c r="D229" s="2230"/>
      <c r="E229" s="624">
        <f>E227+E204</f>
        <v>39580220</v>
      </c>
      <c r="F229" s="1085">
        <f>F227+F204</f>
        <v>18768844</v>
      </c>
      <c r="K229"/>
      <c r="L229"/>
      <c r="M229"/>
    </row>
    <row r="230" spans="1:13" ht="12.75">
      <c r="A230" s="1093"/>
      <c r="B230" s="625"/>
      <c r="C230" s="626"/>
      <c r="D230" s="1094"/>
      <c r="E230" s="624" t="s">
        <v>396</v>
      </c>
      <c r="F230" s="1085"/>
      <c r="J230" s="543"/>
      <c r="K230"/>
      <c r="L230"/>
      <c r="M230"/>
    </row>
    <row r="231" spans="1:13" ht="12.75">
      <c r="A231" s="1093"/>
      <c r="B231" s="625"/>
      <c r="C231" s="626"/>
      <c r="D231" s="1094"/>
      <c r="E231" s="624"/>
      <c r="F231" s="1085"/>
      <c r="J231" s="543"/>
      <c r="K231"/>
      <c r="L231"/>
      <c r="M231"/>
    </row>
    <row r="232" spans="1:13" ht="12.75">
      <c r="A232" s="2232" t="s">
        <v>397</v>
      </c>
      <c r="B232" s="2232"/>
      <c r="C232" s="2232"/>
      <c r="D232" s="2232"/>
      <c r="E232" s="2232"/>
      <c r="F232" s="2232"/>
      <c r="J232" s="543"/>
      <c r="K232"/>
      <c r="L232"/>
      <c r="M232"/>
    </row>
    <row r="233" spans="1:13" ht="12.75">
      <c r="A233" s="1105"/>
      <c r="B233" s="593"/>
      <c r="C233" s="639"/>
      <c r="D233" s="640"/>
      <c r="E233" s="1004"/>
      <c r="F233" s="1106"/>
      <c r="J233" s="543"/>
      <c r="K233"/>
      <c r="L233"/>
      <c r="M233"/>
    </row>
    <row r="234" spans="1:13" ht="12.75">
      <c r="A234" s="2232" t="s">
        <v>398</v>
      </c>
      <c r="B234" s="2232"/>
      <c r="C234" s="2232"/>
      <c r="D234" s="2232"/>
      <c r="E234" s="2232"/>
      <c r="F234" s="2232"/>
      <c r="J234" s="543"/>
      <c r="K234"/>
      <c r="L234"/>
      <c r="M234"/>
    </row>
    <row r="235" spans="10:13" ht="12.75">
      <c r="J235" s="543"/>
      <c r="K235"/>
      <c r="L235"/>
      <c r="M235"/>
    </row>
    <row r="236" spans="1:9" s="543" customFormat="1" ht="12.75">
      <c r="A236" s="2232" t="s">
        <v>397</v>
      </c>
      <c r="B236" s="2232"/>
      <c r="C236" s="2232"/>
      <c r="D236" s="2232"/>
      <c r="E236" s="2232"/>
      <c r="F236" s="2232"/>
      <c r="G236" s="1002"/>
      <c r="H236" s="705"/>
      <c r="I236" s="705"/>
    </row>
    <row r="237" spans="1:9" s="543" customFormat="1" ht="12.75">
      <c r="A237" s="1111"/>
      <c r="B237" s="593"/>
      <c r="C237" s="639"/>
      <c r="D237" s="640"/>
      <c r="E237" s="1004"/>
      <c r="F237" s="1106"/>
      <c r="G237" s="1002"/>
      <c r="H237" s="705"/>
      <c r="I237" s="705"/>
    </row>
    <row r="238" spans="1:9" s="543" customFormat="1" ht="13.5" thickBot="1">
      <c r="A238" s="2232" t="s">
        <v>398</v>
      </c>
      <c r="B238" s="2232"/>
      <c r="C238" s="2232"/>
      <c r="D238" s="2232"/>
      <c r="E238" s="2232"/>
      <c r="F238" s="2232"/>
      <c r="G238" s="1002"/>
      <c r="H238" s="705"/>
      <c r="I238" s="705"/>
    </row>
    <row r="239" spans="1:9" s="543" customFormat="1" ht="48.75" thickBot="1">
      <c r="A239" s="605" t="s">
        <v>4597</v>
      </c>
      <c r="B239" s="606" t="s">
        <v>4601</v>
      </c>
      <c r="C239" s="1008" t="s">
        <v>4602</v>
      </c>
      <c r="D239" s="606" t="s">
        <v>4603</v>
      </c>
      <c r="E239" s="738" t="s">
        <v>4604</v>
      </c>
      <c r="F239" s="739" t="s">
        <v>4605</v>
      </c>
      <c r="G239" s="1002"/>
      <c r="H239" s="705"/>
      <c r="I239" s="705"/>
    </row>
    <row r="240" spans="1:9" s="543" customFormat="1" ht="13.5" thickBot="1">
      <c r="A240" s="2225" t="s">
        <v>399</v>
      </c>
      <c r="B240" s="2220"/>
      <c r="C240" s="2220"/>
      <c r="D240" s="2220"/>
      <c r="E240" s="1112"/>
      <c r="F240" s="1113"/>
      <c r="G240" s="1002"/>
      <c r="H240" s="705"/>
      <c r="I240" s="705"/>
    </row>
    <row r="241" spans="1:9" s="543" customFormat="1" ht="12.75">
      <c r="A241" s="642" t="s">
        <v>2947</v>
      </c>
      <c r="B241" s="1114"/>
      <c r="C241" s="1115" t="s">
        <v>400</v>
      </c>
      <c r="D241" s="616" t="s">
        <v>5103</v>
      </c>
      <c r="E241" s="692">
        <v>3749254</v>
      </c>
      <c r="F241" s="693">
        <v>3749254</v>
      </c>
      <c r="G241" s="1002"/>
      <c r="H241" s="705"/>
      <c r="I241" s="705"/>
    </row>
    <row r="242" spans="1:9" s="543" customFormat="1" ht="12.75">
      <c r="A242" s="660" t="s">
        <v>2950</v>
      </c>
      <c r="B242" s="645">
        <v>12112</v>
      </c>
      <c r="C242" s="594">
        <v>1030</v>
      </c>
      <c r="D242" s="646" t="s">
        <v>5104</v>
      </c>
      <c r="E242" s="1116">
        <v>783586</v>
      </c>
      <c r="F242" s="647">
        <v>783586</v>
      </c>
      <c r="G242" s="1002"/>
      <c r="H242" s="705"/>
      <c r="I242" s="705"/>
    </row>
    <row r="243" spans="1:9" s="543" customFormat="1" ht="13.5" customHeight="1">
      <c r="A243" s="660" t="s">
        <v>2953</v>
      </c>
      <c r="B243" s="649"/>
      <c r="C243" s="1117" t="s">
        <v>5105</v>
      </c>
      <c r="D243" s="650" t="s">
        <v>5106</v>
      </c>
      <c r="E243" s="1116">
        <v>100000</v>
      </c>
      <c r="F243" s="647">
        <v>100000</v>
      </c>
      <c r="G243" s="1002"/>
      <c r="H243" s="705"/>
      <c r="I243" s="705"/>
    </row>
    <row r="244" spans="1:9" s="543" customFormat="1" ht="13.5" customHeight="1">
      <c r="A244" s="660" t="s">
        <v>2956</v>
      </c>
      <c r="B244" s="649"/>
      <c r="C244" s="1118" t="s">
        <v>5108</v>
      </c>
      <c r="D244" s="651" t="s">
        <v>5109</v>
      </c>
      <c r="E244" s="1116">
        <v>100000</v>
      </c>
      <c r="F244" s="647">
        <v>100000</v>
      </c>
      <c r="G244" s="1002"/>
      <c r="H244" s="705"/>
      <c r="I244" s="705"/>
    </row>
    <row r="245" spans="1:9" s="543" customFormat="1" ht="12.75">
      <c r="A245" s="660" t="s">
        <v>2958</v>
      </c>
      <c r="B245" s="676"/>
      <c r="C245" s="1119" t="s">
        <v>5111</v>
      </c>
      <c r="D245" s="652" t="s">
        <v>5112</v>
      </c>
      <c r="E245" s="1120">
        <v>291279</v>
      </c>
      <c r="F245" s="653">
        <v>291279</v>
      </c>
      <c r="G245" s="1002"/>
      <c r="H245" s="705"/>
      <c r="I245" s="705"/>
    </row>
    <row r="246" spans="1:9" s="543" customFormat="1" ht="12.75">
      <c r="A246" s="660" t="s">
        <v>2961</v>
      </c>
      <c r="B246" s="676"/>
      <c r="C246" s="1119" t="s">
        <v>5114</v>
      </c>
      <c r="D246" s="652" t="s">
        <v>5112</v>
      </c>
      <c r="E246" s="1120">
        <v>460605</v>
      </c>
      <c r="F246" s="653">
        <v>460605</v>
      </c>
      <c r="G246" s="1002"/>
      <c r="H246" s="705"/>
      <c r="I246" s="705"/>
    </row>
    <row r="247" spans="1:9" s="543" customFormat="1" ht="12.75">
      <c r="A247" s="660" t="s">
        <v>2964</v>
      </c>
      <c r="B247" s="676"/>
      <c r="C247" s="1119" t="s">
        <v>5116</v>
      </c>
      <c r="D247" s="652" t="s">
        <v>5112</v>
      </c>
      <c r="E247" s="1120">
        <v>305116</v>
      </c>
      <c r="F247" s="653">
        <v>305116</v>
      </c>
      <c r="G247" s="1002"/>
      <c r="H247" s="705"/>
      <c r="I247" s="705"/>
    </row>
    <row r="248" spans="1:9" s="543" customFormat="1" ht="12.75">
      <c r="A248" s="660" t="s">
        <v>2967</v>
      </c>
      <c r="B248" s="676"/>
      <c r="C248" s="1121" t="s">
        <v>5118</v>
      </c>
      <c r="D248" s="655" t="s">
        <v>5119</v>
      </c>
      <c r="E248" s="1120">
        <v>139264</v>
      </c>
      <c r="F248" s="653">
        <v>139264</v>
      </c>
      <c r="G248" s="1002"/>
      <c r="H248" s="705"/>
      <c r="I248" s="705"/>
    </row>
    <row r="249" spans="1:9" s="543" customFormat="1" ht="12.75">
      <c r="A249" s="660" t="s">
        <v>2970</v>
      </c>
      <c r="B249" s="676"/>
      <c r="C249" s="1121" t="s">
        <v>5121</v>
      </c>
      <c r="D249" s="655" t="s">
        <v>5122</v>
      </c>
      <c r="E249" s="1120">
        <v>103798</v>
      </c>
      <c r="F249" s="653">
        <v>103798</v>
      </c>
      <c r="G249" s="1002"/>
      <c r="H249" s="705"/>
      <c r="I249" s="705"/>
    </row>
    <row r="250" spans="1:9" s="543" customFormat="1" ht="12.75">
      <c r="A250" s="660" t="s">
        <v>2973</v>
      </c>
      <c r="B250" s="676"/>
      <c r="C250" s="1060"/>
      <c r="D250" s="654" t="s">
        <v>5124</v>
      </c>
      <c r="E250" s="1120">
        <v>2072</v>
      </c>
      <c r="F250" s="653">
        <v>2072</v>
      </c>
      <c r="G250" s="1002"/>
      <c r="H250" s="705"/>
      <c r="I250" s="705"/>
    </row>
    <row r="251" spans="1:9" s="543" customFormat="1" ht="13.5" thickBot="1">
      <c r="A251" s="656"/>
      <c r="B251" s="1122">
        <f>B242</f>
        <v>12112</v>
      </c>
      <c r="C251" s="1123" t="s">
        <v>5125</v>
      </c>
      <c r="D251" s="657" t="s">
        <v>1499</v>
      </c>
      <c r="E251" s="658">
        <f>SUM(E241:E250)</f>
        <v>6034974</v>
      </c>
      <c r="F251" s="659">
        <f>SUM(F241:F250)</f>
        <v>6034974</v>
      </c>
      <c r="G251" s="1002"/>
      <c r="H251" s="705"/>
      <c r="I251" s="705"/>
    </row>
    <row r="252" spans="1:9" s="543" customFormat="1" ht="13.5" thickBot="1">
      <c r="A252" s="2227" t="s">
        <v>5126</v>
      </c>
      <c r="B252" s="2227"/>
      <c r="C252" s="2227"/>
      <c r="D252" s="2227"/>
      <c r="E252" s="2227"/>
      <c r="F252" s="2227"/>
      <c r="G252" s="1002"/>
      <c r="H252" s="705"/>
      <c r="I252" s="705"/>
    </row>
    <row r="253" spans="1:9" s="543" customFormat="1" ht="12.75">
      <c r="A253" s="703" t="s">
        <v>2978</v>
      </c>
      <c r="B253" s="819">
        <v>12113</v>
      </c>
      <c r="C253" s="1115" t="s">
        <v>5127</v>
      </c>
      <c r="D253" s="616" t="s">
        <v>5103</v>
      </c>
      <c r="E253" s="715">
        <v>76000</v>
      </c>
      <c r="F253" s="716">
        <v>76000</v>
      </c>
      <c r="G253" s="1002"/>
      <c r="H253" s="705"/>
      <c r="I253" s="705"/>
    </row>
    <row r="254" spans="1:9" s="543" customFormat="1" ht="13.5" thickBot="1">
      <c r="A254" s="699" t="s">
        <v>2981</v>
      </c>
      <c r="B254" s="630"/>
      <c r="C254" s="1032" t="s">
        <v>5128</v>
      </c>
      <c r="D254" s="598" t="s">
        <v>5129</v>
      </c>
      <c r="E254" s="761">
        <v>75900</v>
      </c>
      <c r="F254" s="758">
        <v>75900</v>
      </c>
      <c r="G254" s="1002"/>
      <c r="H254" s="705"/>
      <c r="I254" s="705"/>
    </row>
    <row r="255" spans="1:9" s="543" customFormat="1" ht="48.75" thickBot="1">
      <c r="A255" s="605" t="s">
        <v>4597</v>
      </c>
      <c r="B255" s="606" t="s">
        <v>4601</v>
      </c>
      <c r="C255" s="1008" t="s">
        <v>4602</v>
      </c>
      <c r="D255" s="606" t="s">
        <v>4603</v>
      </c>
      <c r="E255" s="738" t="s">
        <v>4604</v>
      </c>
      <c r="F255" s="739" t="s">
        <v>4605</v>
      </c>
      <c r="G255" s="1002"/>
      <c r="H255" s="705"/>
      <c r="I255" s="705"/>
    </row>
    <row r="256" spans="1:9" s="543" customFormat="1" ht="12.75">
      <c r="A256" s="699" t="s">
        <v>2984</v>
      </c>
      <c r="B256" s="1017"/>
      <c r="C256" s="1088" t="s">
        <v>5130</v>
      </c>
      <c r="D256" s="598" t="s">
        <v>5131</v>
      </c>
      <c r="E256" s="697">
        <v>544800</v>
      </c>
      <c r="F256" s="698">
        <v>544800</v>
      </c>
      <c r="G256" s="1002"/>
      <c r="H256" s="705"/>
      <c r="I256" s="705"/>
    </row>
    <row r="257" spans="1:9" s="543" customFormat="1" ht="12.75">
      <c r="A257" s="699" t="s">
        <v>2841</v>
      </c>
      <c r="B257" s="1017"/>
      <c r="C257" s="1032">
        <v>20</v>
      </c>
      <c r="D257" s="598" t="s">
        <v>5132</v>
      </c>
      <c r="E257" s="697">
        <v>92000</v>
      </c>
      <c r="F257" s="698">
        <v>92000</v>
      </c>
      <c r="G257" s="1002"/>
      <c r="H257" s="705"/>
      <c r="I257" s="705"/>
    </row>
    <row r="258" spans="1:9" s="543" customFormat="1" ht="14.25" customHeight="1">
      <c r="A258" s="699" t="s">
        <v>2986</v>
      </c>
      <c r="B258" s="1017"/>
      <c r="C258" s="1032" t="s">
        <v>5133</v>
      </c>
      <c r="D258" s="598" t="s">
        <v>5134</v>
      </c>
      <c r="E258" s="697">
        <v>37129</v>
      </c>
      <c r="F258" s="698">
        <v>37129</v>
      </c>
      <c r="G258" s="1002"/>
      <c r="H258" s="705"/>
      <c r="I258" s="705"/>
    </row>
    <row r="259" spans="1:9" s="543" customFormat="1" ht="12.75">
      <c r="A259" s="699" t="s">
        <v>2989</v>
      </c>
      <c r="B259" s="1017"/>
      <c r="C259" s="1088" t="s">
        <v>5135</v>
      </c>
      <c r="D259" s="598" t="s">
        <v>5136</v>
      </c>
      <c r="E259" s="697">
        <v>318410</v>
      </c>
      <c r="F259" s="698">
        <v>318410</v>
      </c>
      <c r="G259" s="1002"/>
      <c r="H259" s="705"/>
      <c r="I259" s="705"/>
    </row>
    <row r="260" spans="1:9" s="543" customFormat="1" ht="12.75">
      <c r="A260" s="699" t="s">
        <v>2992</v>
      </c>
      <c r="B260" s="630"/>
      <c r="C260" s="1032" t="s">
        <v>5137</v>
      </c>
      <c r="D260" s="598" t="s">
        <v>5138</v>
      </c>
      <c r="E260" s="697">
        <v>1706000</v>
      </c>
      <c r="F260" s="698">
        <v>1706000</v>
      </c>
      <c r="G260" s="1002"/>
      <c r="H260" s="705"/>
      <c r="I260" s="705"/>
    </row>
    <row r="261" spans="1:9" s="543" customFormat="1" ht="12.75">
      <c r="A261" s="699" t="s">
        <v>2995</v>
      </c>
      <c r="B261" s="630"/>
      <c r="C261" s="1032" t="s">
        <v>5139</v>
      </c>
      <c r="D261" s="598" t="s">
        <v>5140</v>
      </c>
      <c r="E261" s="697">
        <v>1619000</v>
      </c>
      <c r="F261" s="698">
        <v>1619000</v>
      </c>
      <c r="G261" s="1002"/>
      <c r="H261" s="705"/>
      <c r="I261" s="705"/>
    </row>
    <row r="262" spans="1:9" s="543" customFormat="1" ht="12.75">
      <c r="A262" s="699" t="s">
        <v>2998</v>
      </c>
      <c r="B262" s="630"/>
      <c r="C262" s="1032" t="s">
        <v>5141</v>
      </c>
      <c r="D262" s="598" t="s">
        <v>5142</v>
      </c>
      <c r="E262" s="697">
        <v>644000</v>
      </c>
      <c r="F262" s="698">
        <v>644000</v>
      </c>
      <c r="G262" s="1002"/>
      <c r="H262" s="705"/>
      <c r="I262" s="705"/>
    </row>
    <row r="263" spans="1:9" s="543" customFormat="1" ht="12.75">
      <c r="A263" s="699" t="s">
        <v>3001</v>
      </c>
      <c r="B263" s="630"/>
      <c r="C263" s="1032" t="s">
        <v>5143</v>
      </c>
      <c r="D263" s="598" t="s">
        <v>5144</v>
      </c>
      <c r="E263" s="697">
        <v>832562</v>
      </c>
      <c r="F263" s="698">
        <v>832562</v>
      </c>
      <c r="G263" s="1002"/>
      <c r="H263" s="705"/>
      <c r="I263" s="705"/>
    </row>
    <row r="264" spans="1:9" s="543" customFormat="1" ht="12.75">
      <c r="A264" s="699" t="s">
        <v>3004</v>
      </c>
      <c r="B264" s="630"/>
      <c r="C264" s="1032" t="s">
        <v>5145</v>
      </c>
      <c r="D264" s="598" t="s">
        <v>5103</v>
      </c>
      <c r="E264" s="697">
        <v>600000</v>
      </c>
      <c r="F264" s="698">
        <v>600000</v>
      </c>
      <c r="G264" s="1002"/>
      <c r="H264" s="705"/>
      <c r="I264" s="705"/>
    </row>
    <row r="265" spans="1:9" s="543" customFormat="1" ht="12.75">
      <c r="A265" s="699" t="s">
        <v>3007</v>
      </c>
      <c r="B265" s="630"/>
      <c r="C265" s="1032" t="s">
        <v>5146</v>
      </c>
      <c r="D265" s="598" t="s">
        <v>5103</v>
      </c>
      <c r="E265" s="697">
        <v>4950</v>
      </c>
      <c r="F265" s="698">
        <v>4950</v>
      </c>
      <c r="G265" s="1002"/>
      <c r="H265" s="705"/>
      <c r="I265" s="705"/>
    </row>
    <row r="266" spans="1:9" s="543" customFormat="1" ht="12.75">
      <c r="A266" s="699" t="s">
        <v>404</v>
      </c>
      <c r="B266" s="630"/>
      <c r="C266" s="1032" t="s">
        <v>5147</v>
      </c>
      <c r="D266" s="598" t="s">
        <v>5148</v>
      </c>
      <c r="E266" s="697">
        <v>1032000</v>
      </c>
      <c r="F266" s="698">
        <v>1032000</v>
      </c>
      <c r="G266" s="1002"/>
      <c r="H266" s="705"/>
      <c r="I266" s="705"/>
    </row>
    <row r="267" spans="1:9" s="543" customFormat="1" ht="12.75">
      <c r="A267" s="699" t="s">
        <v>407</v>
      </c>
      <c r="B267" s="630"/>
      <c r="C267" s="1032" t="s">
        <v>5149</v>
      </c>
      <c r="D267" s="598" t="s">
        <v>5150</v>
      </c>
      <c r="E267" s="697">
        <v>11000</v>
      </c>
      <c r="F267" s="698">
        <v>11000</v>
      </c>
      <c r="G267" s="1002"/>
      <c r="H267" s="705"/>
      <c r="I267" s="705"/>
    </row>
    <row r="268" spans="1:9" s="543" customFormat="1" ht="12.75">
      <c r="A268" s="699" t="s">
        <v>410</v>
      </c>
      <c r="B268" s="630"/>
      <c r="C268" s="1032" t="s">
        <v>5151</v>
      </c>
      <c r="D268" s="598" t="s">
        <v>5150</v>
      </c>
      <c r="E268" s="697">
        <v>11000</v>
      </c>
      <c r="F268" s="698">
        <v>11000</v>
      </c>
      <c r="G268" s="1002"/>
      <c r="H268" s="705"/>
      <c r="I268" s="705"/>
    </row>
    <row r="269" spans="1:9" s="543" customFormat="1" ht="12.75">
      <c r="A269" s="699" t="s">
        <v>412</v>
      </c>
      <c r="B269" s="630"/>
      <c r="C269" s="1032" t="s">
        <v>5152</v>
      </c>
      <c r="D269" s="598" t="s">
        <v>5150</v>
      </c>
      <c r="E269" s="697">
        <v>27000</v>
      </c>
      <c r="F269" s="698">
        <v>27000</v>
      </c>
      <c r="G269" s="1002"/>
      <c r="H269" s="705"/>
      <c r="I269" s="705"/>
    </row>
    <row r="270" spans="1:9" s="543" customFormat="1" ht="12.75">
      <c r="A270" s="699" t="s">
        <v>415</v>
      </c>
      <c r="B270" s="630"/>
      <c r="C270" s="1032" t="s">
        <v>5153</v>
      </c>
      <c r="D270" s="598" t="s">
        <v>5150</v>
      </c>
      <c r="E270" s="697">
        <v>64000</v>
      </c>
      <c r="F270" s="698">
        <v>64000</v>
      </c>
      <c r="G270" s="1002"/>
      <c r="H270" s="705"/>
      <c r="I270" s="705"/>
    </row>
    <row r="271" spans="1:9" s="543" customFormat="1" ht="12.75">
      <c r="A271" s="699" t="s">
        <v>418</v>
      </c>
      <c r="B271" s="630"/>
      <c r="C271" s="1032" t="s">
        <v>5154</v>
      </c>
      <c r="D271" s="598" t="s">
        <v>5150</v>
      </c>
      <c r="E271" s="697">
        <v>30000</v>
      </c>
      <c r="F271" s="698">
        <v>30000</v>
      </c>
      <c r="G271" s="1002"/>
      <c r="H271" s="705"/>
      <c r="I271" s="705"/>
    </row>
    <row r="272" spans="1:9" s="543" customFormat="1" ht="12.75">
      <c r="A272" s="699" t="s">
        <v>421</v>
      </c>
      <c r="B272" s="630"/>
      <c r="C272" s="1032" t="s">
        <v>5155</v>
      </c>
      <c r="D272" s="598" t="s">
        <v>5103</v>
      </c>
      <c r="E272" s="697">
        <v>1000</v>
      </c>
      <c r="F272" s="698">
        <v>1000</v>
      </c>
      <c r="G272" s="1002"/>
      <c r="H272" s="705"/>
      <c r="I272" s="705"/>
    </row>
    <row r="273" spans="1:9" s="543" customFormat="1" ht="12.75">
      <c r="A273" s="699" t="s">
        <v>424</v>
      </c>
      <c r="B273" s="630"/>
      <c r="C273" s="1032">
        <v>10169</v>
      </c>
      <c r="D273" s="598" t="s">
        <v>5156</v>
      </c>
      <c r="E273" s="697">
        <v>5000</v>
      </c>
      <c r="F273" s="698">
        <v>5000</v>
      </c>
      <c r="G273" s="1002"/>
      <c r="H273" s="705"/>
      <c r="I273" s="705"/>
    </row>
    <row r="274" spans="1:9" s="543" customFormat="1" ht="12.75">
      <c r="A274" s="699" t="s">
        <v>427</v>
      </c>
      <c r="B274" s="630"/>
      <c r="C274" s="1032" t="s">
        <v>5157</v>
      </c>
      <c r="D274" s="598" t="s">
        <v>5158</v>
      </c>
      <c r="E274" s="697">
        <v>8900</v>
      </c>
      <c r="F274" s="698">
        <v>8900</v>
      </c>
      <c r="G274" s="1002"/>
      <c r="H274" s="705"/>
      <c r="I274" s="705"/>
    </row>
    <row r="275" spans="1:9" s="543" customFormat="1" ht="12.75">
      <c r="A275" s="699" t="s">
        <v>430</v>
      </c>
      <c r="B275" s="630"/>
      <c r="C275" s="1032">
        <v>10435</v>
      </c>
      <c r="D275" s="598" t="s">
        <v>5156</v>
      </c>
      <c r="E275" s="697">
        <v>4000</v>
      </c>
      <c r="F275" s="698">
        <v>4000</v>
      </c>
      <c r="G275" s="1002"/>
      <c r="H275" s="705"/>
      <c r="I275" s="705"/>
    </row>
    <row r="276" spans="1:9" s="543" customFormat="1" ht="12.75">
      <c r="A276" s="699" t="s">
        <v>433</v>
      </c>
      <c r="B276" s="630"/>
      <c r="C276" s="1032">
        <v>10436</v>
      </c>
      <c r="D276" s="598" t="s">
        <v>5156</v>
      </c>
      <c r="E276" s="697">
        <v>7000</v>
      </c>
      <c r="F276" s="698">
        <v>7000</v>
      </c>
      <c r="G276" s="1002"/>
      <c r="H276" s="705"/>
      <c r="I276" s="705"/>
    </row>
    <row r="277" spans="1:9" s="543" customFormat="1" ht="12.75">
      <c r="A277" s="699" t="s">
        <v>436</v>
      </c>
      <c r="B277" s="630"/>
      <c r="C277" s="1032" t="s">
        <v>5159</v>
      </c>
      <c r="D277" s="598" t="s">
        <v>5160</v>
      </c>
      <c r="E277" s="697">
        <v>9033</v>
      </c>
      <c r="F277" s="698">
        <v>9033</v>
      </c>
      <c r="G277" s="1002"/>
      <c r="H277" s="705"/>
      <c r="I277" s="705"/>
    </row>
    <row r="278" spans="1:9" s="543" customFormat="1" ht="12.75">
      <c r="A278" s="699" t="s">
        <v>439</v>
      </c>
      <c r="B278" s="630"/>
      <c r="C278" s="1032">
        <v>10499</v>
      </c>
      <c r="D278" s="598" t="s">
        <v>5138</v>
      </c>
      <c r="E278" s="697">
        <v>19000</v>
      </c>
      <c r="F278" s="698">
        <v>19000</v>
      </c>
      <c r="G278" s="1002"/>
      <c r="H278" s="705"/>
      <c r="I278" s="705"/>
    </row>
    <row r="279" spans="1:9" s="543" customFormat="1" ht="12.75">
      <c r="A279" s="699" t="s">
        <v>442</v>
      </c>
      <c r="B279" s="630"/>
      <c r="C279" s="1032" t="s">
        <v>5161</v>
      </c>
      <c r="D279" s="598" t="s">
        <v>5138</v>
      </c>
      <c r="E279" s="697">
        <v>177000</v>
      </c>
      <c r="F279" s="698">
        <v>177000</v>
      </c>
      <c r="G279" s="1002"/>
      <c r="H279" s="705"/>
      <c r="I279" s="705"/>
    </row>
    <row r="280" spans="1:9" s="543" customFormat="1" ht="12.75">
      <c r="A280" s="699" t="s">
        <v>445</v>
      </c>
      <c r="B280" s="630"/>
      <c r="C280" s="1032" t="s">
        <v>5162</v>
      </c>
      <c r="D280" s="598" t="s">
        <v>5138</v>
      </c>
      <c r="E280" s="697">
        <v>20000</v>
      </c>
      <c r="F280" s="698">
        <v>20000</v>
      </c>
      <c r="G280" s="1002"/>
      <c r="H280" s="705"/>
      <c r="I280" s="705"/>
    </row>
    <row r="281" spans="1:9" s="543" customFormat="1" ht="12.75">
      <c r="A281" s="699" t="s">
        <v>448</v>
      </c>
      <c r="B281" s="630"/>
      <c r="C281" s="1032" t="s">
        <v>5163</v>
      </c>
      <c r="D281" s="598" t="s">
        <v>5156</v>
      </c>
      <c r="E281" s="697">
        <v>14000</v>
      </c>
      <c r="F281" s="698">
        <v>14000</v>
      </c>
      <c r="G281" s="1002"/>
      <c r="H281" s="705"/>
      <c r="I281" s="705"/>
    </row>
    <row r="282" spans="1:9" s="543" customFormat="1" ht="12.75">
      <c r="A282" s="699" t="s">
        <v>450</v>
      </c>
      <c r="B282" s="630"/>
      <c r="C282" s="1032" t="s">
        <v>5164</v>
      </c>
      <c r="D282" s="598" t="s">
        <v>5165</v>
      </c>
      <c r="E282" s="697">
        <v>1314</v>
      </c>
      <c r="F282" s="698">
        <v>1314</v>
      </c>
      <c r="G282" s="1002"/>
      <c r="H282" s="705"/>
      <c r="I282" s="705"/>
    </row>
    <row r="283" spans="1:9" s="543" customFormat="1" ht="12.75">
      <c r="A283" s="699" t="s">
        <v>453</v>
      </c>
      <c r="B283" s="630"/>
      <c r="C283" s="1032">
        <v>1208</v>
      </c>
      <c r="D283" s="598" t="s">
        <v>5166</v>
      </c>
      <c r="E283" s="697">
        <v>26000</v>
      </c>
      <c r="F283" s="698">
        <v>26000</v>
      </c>
      <c r="G283" s="1002"/>
      <c r="H283" s="705"/>
      <c r="I283" s="705"/>
    </row>
    <row r="284" spans="1:9" s="543" customFormat="1" ht="12.75">
      <c r="A284" s="699" t="s">
        <v>456</v>
      </c>
      <c r="B284" s="630"/>
      <c r="C284" s="1032">
        <v>1209</v>
      </c>
      <c r="D284" s="598" t="s">
        <v>5166</v>
      </c>
      <c r="E284" s="697">
        <v>30000</v>
      </c>
      <c r="F284" s="698">
        <v>30000</v>
      </c>
      <c r="G284" s="1002"/>
      <c r="H284" s="705"/>
      <c r="I284" s="705"/>
    </row>
    <row r="285" spans="1:9" s="543" customFormat="1" ht="12.75">
      <c r="A285" s="699" t="s">
        <v>459</v>
      </c>
      <c r="B285" s="630"/>
      <c r="C285" s="1032">
        <v>1916</v>
      </c>
      <c r="D285" s="598" t="s">
        <v>5167</v>
      </c>
      <c r="E285" s="697">
        <v>767000</v>
      </c>
      <c r="F285" s="698">
        <v>767000</v>
      </c>
      <c r="G285" s="1002"/>
      <c r="H285" s="705"/>
      <c r="I285" s="705"/>
    </row>
    <row r="286" spans="1:9" s="543" customFormat="1" ht="12.75">
      <c r="A286" s="699" t="s">
        <v>462</v>
      </c>
      <c r="B286" s="630"/>
      <c r="C286" s="1032">
        <v>1918</v>
      </c>
      <c r="D286" s="598" t="s">
        <v>5168</v>
      </c>
      <c r="E286" s="697">
        <v>191000</v>
      </c>
      <c r="F286" s="698">
        <v>191000</v>
      </c>
      <c r="G286" s="1002"/>
      <c r="H286" s="705"/>
      <c r="I286" s="705"/>
    </row>
    <row r="287" spans="1:9" s="543" customFormat="1" ht="12.75">
      <c r="A287" s="699" t="s">
        <v>464</v>
      </c>
      <c r="B287" s="630"/>
      <c r="C287" s="1032">
        <v>1919</v>
      </c>
      <c r="D287" s="598" t="s">
        <v>5168</v>
      </c>
      <c r="E287" s="697">
        <v>247000</v>
      </c>
      <c r="F287" s="698">
        <v>247000</v>
      </c>
      <c r="G287" s="1002"/>
      <c r="H287" s="705"/>
      <c r="I287" s="705"/>
    </row>
    <row r="288" spans="1:9" s="543" customFormat="1" ht="12.75">
      <c r="A288" s="699" t="s">
        <v>466</v>
      </c>
      <c r="B288" s="630"/>
      <c r="C288" s="1032" t="s">
        <v>5169</v>
      </c>
      <c r="D288" s="598" t="s">
        <v>5170</v>
      </c>
      <c r="E288" s="697">
        <v>434000</v>
      </c>
      <c r="F288" s="698">
        <v>434000</v>
      </c>
      <c r="G288" s="1002"/>
      <c r="H288" s="705"/>
      <c r="I288" s="705"/>
    </row>
    <row r="289" spans="1:9" s="543" customFormat="1" ht="12.75">
      <c r="A289" s="699" t="s">
        <v>468</v>
      </c>
      <c r="B289" s="630"/>
      <c r="C289" s="1032" t="s">
        <v>5171</v>
      </c>
      <c r="D289" s="598" t="s">
        <v>5172</v>
      </c>
      <c r="E289" s="697">
        <v>42000</v>
      </c>
      <c r="F289" s="698">
        <v>42000</v>
      </c>
      <c r="G289" s="1002"/>
      <c r="H289" s="705"/>
      <c r="I289" s="705"/>
    </row>
    <row r="290" spans="1:9" s="543" customFormat="1" ht="12.75">
      <c r="A290" s="699" t="s">
        <v>470</v>
      </c>
      <c r="B290" s="630"/>
      <c r="C290" s="1032" t="s">
        <v>5173</v>
      </c>
      <c r="D290" s="598" t="s">
        <v>5174</v>
      </c>
      <c r="E290" s="697">
        <v>127997</v>
      </c>
      <c r="F290" s="698">
        <v>127997</v>
      </c>
      <c r="G290" s="1002"/>
      <c r="H290" s="705"/>
      <c r="I290" s="705"/>
    </row>
    <row r="291" spans="1:9" s="543" customFormat="1" ht="12.75">
      <c r="A291" s="699" t="s">
        <v>473</v>
      </c>
      <c r="B291" s="630"/>
      <c r="C291" s="1032" t="s">
        <v>5175</v>
      </c>
      <c r="D291" s="598" t="s">
        <v>5176</v>
      </c>
      <c r="E291" s="697">
        <v>28000</v>
      </c>
      <c r="F291" s="698">
        <v>28000</v>
      </c>
      <c r="G291" s="1002"/>
      <c r="H291" s="705"/>
      <c r="I291" s="705"/>
    </row>
    <row r="292" spans="1:9" s="543" customFormat="1" ht="12.75">
      <c r="A292" s="699" t="s">
        <v>476</v>
      </c>
      <c r="B292" s="630"/>
      <c r="C292" s="1032" t="s">
        <v>5177</v>
      </c>
      <c r="D292" s="598" t="s">
        <v>5178</v>
      </c>
      <c r="E292" s="697">
        <v>61000</v>
      </c>
      <c r="F292" s="698">
        <v>61000</v>
      </c>
      <c r="G292" s="1002"/>
      <c r="H292" s="705"/>
      <c r="I292" s="705"/>
    </row>
    <row r="293" spans="1:9" s="543" customFormat="1" ht="12.75">
      <c r="A293" s="699" t="s">
        <v>479</v>
      </c>
      <c r="B293" s="630"/>
      <c r="C293" s="1032" t="s">
        <v>5179</v>
      </c>
      <c r="D293" s="598" t="s">
        <v>5178</v>
      </c>
      <c r="E293" s="697">
        <v>53000</v>
      </c>
      <c r="F293" s="698">
        <v>53000</v>
      </c>
      <c r="G293" s="1002"/>
      <c r="H293" s="705"/>
      <c r="I293" s="705"/>
    </row>
    <row r="294" spans="1:9" s="543" customFormat="1" ht="12.75">
      <c r="A294" s="699" t="s">
        <v>481</v>
      </c>
      <c r="B294" s="630"/>
      <c r="C294" s="1032" t="s">
        <v>5180</v>
      </c>
      <c r="D294" s="598" t="s">
        <v>5181</v>
      </c>
      <c r="E294" s="697">
        <v>443000</v>
      </c>
      <c r="F294" s="698">
        <v>443000</v>
      </c>
      <c r="G294" s="1002"/>
      <c r="H294" s="705"/>
      <c r="I294" s="705"/>
    </row>
    <row r="295" spans="1:9" s="543" customFormat="1" ht="12.75">
      <c r="A295" s="699" t="s">
        <v>483</v>
      </c>
      <c r="B295" s="630"/>
      <c r="C295" s="1032" t="s">
        <v>5182</v>
      </c>
      <c r="D295" s="598" t="s">
        <v>5167</v>
      </c>
      <c r="E295" s="697">
        <v>227000</v>
      </c>
      <c r="F295" s="698">
        <v>227000</v>
      </c>
      <c r="G295" s="1002"/>
      <c r="H295" s="705"/>
      <c r="I295" s="705"/>
    </row>
    <row r="296" spans="1:9" s="543" customFormat="1" ht="12.75">
      <c r="A296" s="699" t="s">
        <v>485</v>
      </c>
      <c r="B296" s="630"/>
      <c r="C296" s="1032" t="s">
        <v>5183</v>
      </c>
      <c r="D296" s="598" t="s">
        <v>5184</v>
      </c>
      <c r="E296" s="697">
        <v>136090</v>
      </c>
      <c r="F296" s="698">
        <v>136090</v>
      </c>
      <c r="G296" s="1002"/>
      <c r="H296" s="705"/>
      <c r="I296" s="705"/>
    </row>
    <row r="297" spans="1:9" s="543" customFormat="1" ht="12.75">
      <c r="A297" s="699" t="s">
        <v>487</v>
      </c>
      <c r="B297" s="630"/>
      <c r="C297" s="1032" t="s">
        <v>5185</v>
      </c>
      <c r="D297" s="598" t="s">
        <v>5178</v>
      </c>
      <c r="E297" s="697">
        <v>45000</v>
      </c>
      <c r="F297" s="698">
        <v>45000</v>
      </c>
      <c r="G297" s="1002"/>
      <c r="H297" s="705"/>
      <c r="I297" s="705"/>
    </row>
    <row r="298" spans="1:9" s="543" customFormat="1" ht="12.75">
      <c r="A298" s="699" t="s">
        <v>489</v>
      </c>
      <c r="B298" s="630"/>
      <c r="C298" s="1032" t="s">
        <v>5186</v>
      </c>
      <c r="D298" s="598" t="s">
        <v>5187</v>
      </c>
      <c r="E298" s="697">
        <v>304366</v>
      </c>
      <c r="F298" s="698">
        <v>304366</v>
      </c>
      <c r="G298" s="1002"/>
      <c r="H298" s="705"/>
      <c r="I298" s="705"/>
    </row>
    <row r="299" spans="1:9" s="543" customFormat="1" ht="12.75">
      <c r="A299" s="699" t="s">
        <v>491</v>
      </c>
      <c r="B299" s="630"/>
      <c r="C299" s="1032" t="s">
        <v>5188</v>
      </c>
      <c r="D299" s="598" t="s">
        <v>5189</v>
      </c>
      <c r="E299" s="697">
        <v>527400</v>
      </c>
      <c r="F299" s="698">
        <v>527400</v>
      </c>
      <c r="G299" s="1002"/>
      <c r="H299" s="705"/>
      <c r="I299" s="705"/>
    </row>
    <row r="300" spans="1:9" s="543" customFormat="1" ht="12.75">
      <c r="A300" s="699" t="s">
        <v>493</v>
      </c>
      <c r="B300" s="630"/>
      <c r="C300" s="1032" t="s">
        <v>5190</v>
      </c>
      <c r="D300" s="598" t="s">
        <v>5189</v>
      </c>
      <c r="E300" s="697">
        <v>180560</v>
      </c>
      <c r="F300" s="698">
        <v>180560</v>
      </c>
      <c r="G300" s="1002"/>
      <c r="H300" s="705"/>
      <c r="I300" s="705"/>
    </row>
    <row r="301" spans="1:9" s="543" customFormat="1" ht="13.5" thickBot="1">
      <c r="A301" s="701" t="s">
        <v>495</v>
      </c>
      <c r="B301" s="633"/>
      <c r="C301" s="1077" t="s">
        <v>5191</v>
      </c>
      <c r="D301" s="604" t="s">
        <v>5192</v>
      </c>
      <c r="E301" s="1079">
        <v>10000</v>
      </c>
      <c r="F301" s="698">
        <v>10000</v>
      </c>
      <c r="G301" s="1002"/>
      <c r="H301" s="705"/>
      <c r="I301" s="705"/>
    </row>
    <row r="302" spans="1:9" s="543" customFormat="1" ht="13.5" thickBot="1">
      <c r="A302" s="663"/>
      <c r="B302" s="1124">
        <f>B253</f>
        <v>12113</v>
      </c>
      <c r="C302" s="664" t="s">
        <v>5193</v>
      </c>
      <c r="D302" s="665" t="s">
        <v>1499</v>
      </c>
      <c r="E302" s="773">
        <f>SUM(E253:E301)</f>
        <v>11872411</v>
      </c>
      <c r="F302" s="774">
        <f>SUM(F253:F301)</f>
        <v>11872411</v>
      </c>
      <c r="G302" s="1002"/>
      <c r="H302" s="705"/>
      <c r="I302" s="705"/>
    </row>
    <row r="303" spans="1:9" s="543" customFormat="1" ht="13.5" thickBot="1">
      <c r="A303" s="2232" t="s">
        <v>5194</v>
      </c>
      <c r="B303" s="2232"/>
      <c r="C303" s="2232"/>
      <c r="D303" s="2232"/>
      <c r="E303" s="1004"/>
      <c r="F303" s="1106"/>
      <c r="G303" s="1002"/>
      <c r="H303" s="705"/>
      <c r="I303" s="705"/>
    </row>
    <row r="304" spans="1:9" s="543" customFormat="1" ht="12.75">
      <c r="A304" s="703" t="s">
        <v>497</v>
      </c>
      <c r="B304" s="1125">
        <v>121211</v>
      </c>
      <c r="C304" s="629" t="s">
        <v>5195</v>
      </c>
      <c r="D304" s="1097" t="s">
        <v>5196</v>
      </c>
      <c r="E304" s="715">
        <v>300800</v>
      </c>
      <c r="F304" s="716">
        <v>300800</v>
      </c>
      <c r="G304" s="1002"/>
      <c r="H304" s="705"/>
      <c r="I304" s="705"/>
    </row>
    <row r="305" spans="1:9" s="543" customFormat="1" ht="12.75">
      <c r="A305" s="699" t="s">
        <v>499</v>
      </c>
      <c r="B305" s="667"/>
      <c r="C305" s="675">
        <v>114</v>
      </c>
      <c r="D305" s="669" t="s">
        <v>5197</v>
      </c>
      <c r="E305" s="761">
        <v>1546133</v>
      </c>
      <c r="F305" s="758">
        <v>1546133</v>
      </c>
      <c r="G305" s="1002"/>
      <c r="H305" s="705"/>
      <c r="I305" s="705"/>
    </row>
    <row r="306" spans="1:9" s="543" customFormat="1" ht="12.75">
      <c r="A306" s="1126" t="s">
        <v>501</v>
      </c>
      <c r="B306" s="667"/>
      <c r="C306" s="608" t="s">
        <v>5198</v>
      </c>
      <c r="D306" s="669" t="s">
        <v>5197</v>
      </c>
      <c r="E306" s="761">
        <v>1954596</v>
      </c>
      <c r="F306" s="758">
        <v>1954596</v>
      </c>
      <c r="G306" s="1002"/>
      <c r="H306" s="705"/>
      <c r="I306" s="705"/>
    </row>
    <row r="307" spans="1:9" s="543" customFormat="1" ht="12.75">
      <c r="A307" s="1126" t="s">
        <v>503</v>
      </c>
      <c r="B307" s="667"/>
      <c r="C307" s="608" t="s">
        <v>5199</v>
      </c>
      <c r="D307" s="669" t="s">
        <v>5200</v>
      </c>
      <c r="E307" s="761">
        <v>1093351</v>
      </c>
      <c r="F307" s="758">
        <v>1093351</v>
      </c>
      <c r="G307" s="1002"/>
      <c r="H307" s="705"/>
      <c r="I307" s="705"/>
    </row>
    <row r="308" spans="1:9" s="543" customFormat="1" ht="12.75">
      <c r="A308" s="1126" t="s">
        <v>505</v>
      </c>
      <c r="B308" s="822"/>
      <c r="C308" s="1032"/>
      <c r="D308" s="597" t="s">
        <v>5201</v>
      </c>
      <c r="E308" s="697">
        <v>51000</v>
      </c>
      <c r="F308" s="698">
        <v>51000</v>
      </c>
      <c r="G308" s="1002"/>
      <c r="H308" s="705"/>
      <c r="I308" s="705"/>
    </row>
    <row r="309" spans="1:9" s="543" customFormat="1" ht="15" customHeight="1">
      <c r="A309" s="1126" t="s">
        <v>508</v>
      </c>
      <c r="B309" s="630"/>
      <c r="C309" s="1032" t="s">
        <v>5202</v>
      </c>
      <c r="D309" s="597" t="s">
        <v>5203</v>
      </c>
      <c r="E309" s="697">
        <v>433000</v>
      </c>
      <c r="F309" s="698">
        <v>433000</v>
      </c>
      <c r="G309" s="1002"/>
      <c r="H309" s="705"/>
      <c r="I309" s="705"/>
    </row>
    <row r="310" spans="1:9" s="543" customFormat="1" ht="12.75">
      <c r="A310" s="1126" t="s">
        <v>511</v>
      </c>
      <c r="B310" s="630"/>
      <c r="C310" s="1032">
        <v>573</v>
      </c>
      <c r="D310" s="597" t="s">
        <v>5204</v>
      </c>
      <c r="E310" s="697">
        <v>387000</v>
      </c>
      <c r="F310" s="698">
        <v>387000</v>
      </c>
      <c r="G310" s="1002"/>
      <c r="H310" s="705"/>
      <c r="I310" s="705"/>
    </row>
    <row r="311" spans="1:9" s="543" customFormat="1" ht="13.5" thickBot="1">
      <c r="A311" s="1126" t="s">
        <v>514</v>
      </c>
      <c r="B311" s="630"/>
      <c r="C311" s="1032">
        <v>107</v>
      </c>
      <c r="D311" s="597" t="s">
        <v>5205</v>
      </c>
      <c r="E311" s="697">
        <v>1056000</v>
      </c>
      <c r="F311" s="698">
        <v>1056000</v>
      </c>
      <c r="G311" s="1002"/>
      <c r="H311" s="705"/>
      <c r="I311" s="705"/>
    </row>
    <row r="312" spans="1:9" s="666" customFormat="1" ht="48.75" thickBot="1">
      <c r="A312" s="605" t="s">
        <v>4597</v>
      </c>
      <c r="B312" s="606" t="s">
        <v>4601</v>
      </c>
      <c r="C312" s="1008" t="s">
        <v>4602</v>
      </c>
      <c r="D312" s="606" t="s">
        <v>4603</v>
      </c>
      <c r="E312" s="738" t="s">
        <v>4604</v>
      </c>
      <c r="F312" s="739" t="s">
        <v>4605</v>
      </c>
      <c r="G312" s="1127"/>
      <c r="H312" s="1128"/>
      <c r="I312" s="1128"/>
    </row>
    <row r="313" spans="1:9" s="543" customFormat="1" ht="12.75">
      <c r="A313" s="1126" t="s">
        <v>517</v>
      </c>
      <c r="B313" s="630"/>
      <c r="C313" s="1032" t="s">
        <v>5206</v>
      </c>
      <c r="D313" s="597" t="s">
        <v>5205</v>
      </c>
      <c r="E313" s="697">
        <v>522000</v>
      </c>
      <c r="F313" s="698">
        <v>522000</v>
      </c>
      <c r="G313" s="1002"/>
      <c r="H313" s="705"/>
      <c r="I313" s="705"/>
    </row>
    <row r="314" spans="1:9" s="543" customFormat="1" ht="12.75">
      <c r="A314" s="1126" t="s">
        <v>607</v>
      </c>
      <c r="B314" s="630"/>
      <c r="C314" s="1032" t="s">
        <v>5207</v>
      </c>
      <c r="D314" s="597" t="s">
        <v>5208</v>
      </c>
      <c r="E314" s="697">
        <v>146000</v>
      </c>
      <c r="F314" s="698">
        <v>146000</v>
      </c>
      <c r="G314" s="1002"/>
      <c r="H314" s="705"/>
      <c r="I314" s="705"/>
    </row>
    <row r="315" spans="1:9" s="543" customFormat="1" ht="12.75">
      <c r="A315" s="1126" t="s">
        <v>520</v>
      </c>
      <c r="B315" s="630"/>
      <c r="C315" s="1032" t="s">
        <v>5209</v>
      </c>
      <c r="D315" s="597" t="s">
        <v>5208</v>
      </c>
      <c r="E315" s="697">
        <v>500000</v>
      </c>
      <c r="F315" s="698">
        <v>500000</v>
      </c>
      <c r="G315" s="1002"/>
      <c r="H315" s="705"/>
      <c r="I315" s="705"/>
    </row>
    <row r="316" spans="1:9" s="543" customFormat="1" ht="15.75" customHeight="1">
      <c r="A316" s="1126" t="s">
        <v>523</v>
      </c>
      <c r="B316" s="630"/>
      <c r="C316" s="1032" t="s">
        <v>5210</v>
      </c>
      <c r="D316" s="597" t="s">
        <v>5211</v>
      </c>
      <c r="E316" s="697">
        <v>260000</v>
      </c>
      <c r="F316" s="698">
        <v>260000</v>
      </c>
      <c r="G316" s="1002"/>
      <c r="H316" s="705"/>
      <c r="I316" s="705"/>
    </row>
    <row r="317" spans="1:9" s="543" customFormat="1" ht="12.75">
      <c r="A317" s="1126" t="s">
        <v>526</v>
      </c>
      <c r="B317" s="630"/>
      <c r="C317" s="1032" t="s">
        <v>5212</v>
      </c>
      <c r="D317" s="597" t="s">
        <v>5205</v>
      </c>
      <c r="E317" s="697">
        <v>1609000</v>
      </c>
      <c r="F317" s="698">
        <v>1609000</v>
      </c>
      <c r="G317" s="1002"/>
      <c r="H317" s="705"/>
      <c r="I317" s="705"/>
    </row>
    <row r="318" spans="1:9" s="543" customFormat="1" ht="12.75">
      <c r="A318" s="1126" t="s">
        <v>529</v>
      </c>
      <c r="B318" s="630"/>
      <c r="C318" s="1032" t="s">
        <v>5206</v>
      </c>
      <c r="D318" s="597" t="s">
        <v>5205</v>
      </c>
      <c r="E318" s="697">
        <v>1305000</v>
      </c>
      <c r="F318" s="698">
        <v>1305000</v>
      </c>
      <c r="G318" s="1002"/>
      <c r="H318" s="705"/>
      <c r="I318" s="705"/>
    </row>
    <row r="319" spans="1:9" s="543" customFormat="1" ht="12.75">
      <c r="A319" s="1126" t="s">
        <v>532</v>
      </c>
      <c r="B319" s="630"/>
      <c r="C319" s="1032" t="s">
        <v>5213</v>
      </c>
      <c r="D319" s="597" t="s">
        <v>5205</v>
      </c>
      <c r="E319" s="697">
        <v>169154</v>
      </c>
      <c r="F319" s="698">
        <v>169154</v>
      </c>
      <c r="G319" s="1002"/>
      <c r="H319" s="705"/>
      <c r="I319" s="705"/>
    </row>
    <row r="320" spans="1:9" s="543" customFormat="1" ht="12.75">
      <c r="A320" s="1126" t="s">
        <v>535</v>
      </c>
      <c r="B320" s="630"/>
      <c r="C320" s="1032" t="s">
        <v>5214</v>
      </c>
      <c r="D320" s="597" t="s">
        <v>5205</v>
      </c>
      <c r="E320" s="697">
        <v>2600000</v>
      </c>
      <c r="F320" s="698">
        <v>2600000</v>
      </c>
      <c r="G320" s="1002"/>
      <c r="H320" s="705"/>
      <c r="I320" s="705"/>
    </row>
    <row r="321" spans="1:9" s="543" customFormat="1" ht="12.75">
      <c r="A321" s="1126" t="s">
        <v>538</v>
      </c>
      <c r="B321" s="630"/>
      <c r="C321" s="1032" t="s">
        <v>5215</v>
      </c>
      <c r="D321" s="597" t="s">
        <v>5205</v>
      </c>
      <c r="E321" s="697">
        <v>821000</v>
      </c>
      <c r="F321" s="698">
        <v>821000</v>
      </c>
      <c r="G321" s="1002"/>
      <c r="H321" s="705"/>
      <c r="I321" s="705"/>
    </row>
    <row r="322" spans="1:9" s="543" customFormat="1" ht="12.75">
      <c r="A322" s="1126" t="s">
        <v>541</v>
      </c>
      <c r="B322" s="630"/>
      <c r="C322" s="1032" t="s">
        <v>5216</v>
      </c>
      <c r="D322" s="597" t="s">
        <v>5217</v>
      </c>
      <c r="E322" s="697">
        <v>860150</v>
      </c>
      <c r="F322" s="698">
        <v>860150</v>
      </c>
      <c r="G322" s="1002"/>
      <c r="H322" s="705"/>
      <c r="I322" s="705"/>
    </row>
    <row r="323" spans="1:9" s="543" customFormat="1" ht="12.75">
      <c r="A323" s="1126" t="s">
        <v>544</v>
      </c>
      <c r="B323" s="630"/>
      <c r="C323" s="1032" t="s">
        <v>5219</v>
      </c>
      <c r="D323" s="597" t="s">
        <v>5217</v>
      </c>
      <c r="E323" s="697">
        <v>236731</v>
      </c>
      <c r="F323" s="698">
        <v>236731</v>
      </c>
      <c r="G323" s="1002"/>
      <c r="H323" s="705"/>
      <c r="I323" s="705"/>
    </row>
    <row r="324" spans="1:9" s="543" customFormat="1" ht="12.75">
      <c r="A324" s="1126" t="s">
        <v>547</v>
      </c>
      <c r="B324" s="630"/>
      <c r="C324" s="1032" t="s">
        <v>5221</v>
      </c>
      <c r="D324" s="597" t="s">
        <v>5217</v>
      </c>
      <c r="E324" s="697">
        <v>112387</v>
      </c>
      <c r="F324" s="698">
        <v>112387</v>
      </c>
      <c r="G324" s="1002"/>
      <c r="H324" s="705"/>
      <c r="I324" s="705"/>
    </row>
    <row r="325" spans="1:9" s="543" customFormat="1" ht="12.75">
      <c r="A325" s="1126" t="s">
        <v>550</v>
      </c>
      <c r="B325" s="630"/>
      <c r="C325" s="1032" t="s">
        <v>5223</v>
      </c>
      <c r="D325" s="597" t="s">
        <v>5217</v>
      </c>
      <c r="E325" s="697">
        <v>471468</v>
      </c>
      <c r="F325" s="698">
        <v>471468</v>
      </c>
      <c r="G325" s="1002"/>
      <c r="H325" s="705"/>
      <c r="I325" s="705"/>
    </row>
    <row r="326" spans="1:9" s="543" customFormat="1" ht="12.75">
      <c r="A326" s="1126" t="s">
        <v>553</v>
      </c>
      <c r="B326" s="630"/>
      <c r="C326" s="1032" t="s">
        <v>5225</v>
      </c>
      <c r="D326" s="597" t="s">
        <v>5226</v>
      </c>
      <c r="E326" s="697">
        <v>426311</v>
      </c>
      <c r="F326" s="698">
        <v>426311</v>
      </c>
      <c r="G326" s="1002"/>
      <c r="H326" s="705"/>
      <c r="I326" s="705"/>
    </row>
    <row r="327" spans="1:9" s="543" customFormat="1" ht="12.75">
      <c r="A327" s="1126" t="s">
        <v>3355</v>
      </c>
      <c r="B327" s="630"/>
      <c r="C327" s="1032" t="s">
        <v>5228</v>
      </c>
      <c r="D327" s="597" t="s">
        <v>5229</v>
      </c>
      <c r="E327" s="697">
        <v>455000</v>
      </c>
      <c r="F327" s="698">
        <v>455000</v>
      </c>
      <c r="G327" s="1002"/>
      <c r="H327" s="705"/>
      <c r="I327" s="705"/>
    </row>
    <row r="328" spans="1:9" s="543" customFormat="1" ht="12.75">
      <c r="A328" s="1126" t="s">
        <v>3358</v>
      </c>
      <c r="B328" s="630"/>
      <c r="C328" s="1032" t="s">
        <v>5231</v>
      </c>
      <c r="D328" s="597" t="s">
        <v>5226</v>
      </c>
      <c r="E328" s="697">
        <v>211934</v>
      </c>
      <c r="F328" s="698">
        <v>211934</v>
      </c>
      <c r="G328" s="1002"/>
      <c r="H328" s="705"/>
      <c r="I328" s="705"/>
    </row>
    <row r="329" spans="1:9" s="543" customFormat="1" ht="12.75">
      <c r="A329" s="1126" t="s">
        <v>855</v>
      </c>
      <c r="B329" s="630"/>
      <c r="C329" s="1032" t="s">
        <v>5233</v>
      </c>
      <c r="D329" s="597" t="s">
        <v>5226</v>
      </c>
      <c r="E329" s="697">
        <v>474648</v>
      </c>
      <c r="F329" s="698">
        <v>474648</v>
      </c>
      <c r="G329" s="1002"/>
      <c r="H329" s="705"/>
      <c r="I329" s="705"/>
    </row>
    <row r="330" spans="1:9" s="543" customFormat="1" ht="12.75">
      <c r="A330" s="1126" t="s">
        <v>857</v>
      </c>
      <c r="B330" s="630"/>
      <c r="C330" s="1032" t="s">
        <v>5235</v>
      </c>
      <c r="D330" s="597" t="s">
        <v>5236</v>
      </c>
      <c r="E330" s="697">
        <v>104000</v>
      </c>
      <c r="F330" s="698">
        <v>104000</v>
      </c>
      <c r="G330" s="1002"/>
      <c r="H330" s="705"/>
      <c r="I330" s="705"/>
    </row>
    <row r="331" spans="1:9" s="543" customFormat="1" ht="12.75">
      <c r="A331" s="1126" t="s">
        <v>860</v>
      </c>
      <c r="B331" s="630"/>
      <c r="C331" s="1032" t="s">
        <v>5238</v>
      </c>
      <c r="D331" s="597" t="s">
        <v>5239</v>
      </c>
      <c r="E331" s="697">
        <v>2142234</v>
      </c>
      <c r="F331" s="698">
        <v>2142234</v>
      </c>
      <c r="G331" s="1002"/>
      <c r="H331" s="705"/>
      <c r="I331" s="705"/>
    </row>
    <row r="332" spans="1:9" s="543" customFormat="1" ht="12.75">
      <c r="A332" s="1126" t="s">
        <v>862</v>
      </c>
      <c r="B332" s="630"/>
      <c r="C332" s="1032" t="s">
        <v>5241</v>
      </c>
      <c r="D332" s="597" t="s">
        <v>5242</v>
      </c>
      <c r="E332" s="697">
        <v>58941</v>
      </c>
      <c r="F332" s="698">
        <v>58941</v>
      </c>
      <c r="G332" s="1002"/>
      <c r="H332" s="705"/>
      <c r="I332" s="705"/>
    </row>
    <row r="333" spans="1:9" s="543" customFormat="1" ht="12.75">
      <c r="A333" s="1126" t="s">
        <v>864</v>
      </c>
      <c r="B333" s="630"/>
      <c r="C333" s="1032" t="s">
        <v>5244</v>
      </c>
      <c r="D333" s="597" t="s">
        <v>5229</v>
      </c>
      <c r="E333" s="697">
        <v>200000</v>
      </c>
      <c r="F333" s="698">
        <v>200000</v>
      </c>
      <c r="G333" s="1002"/>
      <c r="H333" s="705"/>
      <c r="I333" s="705"/>
    </row>
    <row r="334" spans="1:9" s="543" customFormat="1" ht="12.75">
      <c r="A334" s="1126" t="s">
        <v>867</v>
      </c>
      <c r="B334" s="630"/>
      <c r="C334" s="1032" t="s">
        <v>5246</v>
      </c>
      <c r="D334" s="597" t="s">
        <v>5229</v>
      </c>
      <c r="E334" s="697">
        <v>36000</v>
      </c>
      <c r="F334" s="698">
        <v>36000</v>
      </c>
      <c r="G334" s="1002"/>
      <c r="H334" s="705"/>
      <c r="I334" s="705"/>
    </row>
    <row r="335" spans="1:9" s="543" customFormat="1" ht="12.75">
      <c r="A335" s="1126" t="s">
        <v>869</v>
      </c>
      <c r="B335" s="630"/>
      <c r="C335" s="1032" t="s">
        <v>5248</v>
      </c>
      <c r="D335" s="597" t="s">
        <v>5229</v>
      </c>
      <c r="E335" s="697">
        <v>55000</v>
      </c>
      <c r="F335" s="698">
        <v>55000</v>
      </c>
      <c r="G335" s="1002"/>
      <c r="H335" s="705"/>
      <c r="I335" s="705"/>
    </row>
    <row r="336" spans="1:9" s="543" customFormat="1" ht="12.75">
      <c r="A336" s="1126" t="s">
        <v>871</v>
      </c>
      <c r="B336" s="630"/>
      <c r="C336" s="1032" t="s">
        <v>5250</v>
      </c>
      <c r="D336" s="597" t="s">
        <v>5229</v>
      </c>
      <c r="E336" s="697">
        <v>576000</v>
      </c>
      <c r="F336" s="698">
        <v>576000</v>
      </c>
      <c r="G336" s="1002"/>
      <c r="H336" s="705"/>
      <c r="I336" s="705"/>
    </row>
    <row r="337" spans="1:9" s="543" customFormat="1" ht="12.75">
      <c r="A337" s="1126" t="s">
        <v>873</v>
      </c>
      <c r="B337" s="630"/>
      <c r="C337" s="1032" t="s">
        <v>5252</v>
      </c>
      <c r="D337" s="597" t="s">
        <v>5229</v>
      </c>
      <c r="E337" s="697">
        <v>148681</v>
      </c>
      <c r="F337" s="698">
        <v>148681</v>
      </c>
      <c r="G337" s="1002"/>
      <c r="H337" s="705"/>
      <c r="I337" s="705"/>
    </row>
    <row r="338" spans="1:9" s="543" customFormat="1" ht="12.75">
      <c r="A338" s="1126" t="s">
        <v>875</v>
      </c>
      <c r="B338" s="630"/>
      <c r="C338" s="1032" t="s">
        <v>5254</v>
      </c>
      <c r="D338" s="597" t="s">
        <v>5229</v>
      </c>
      <c r="E338" s="697">
        <v>28081</v>
      </c>
      <c r="F338" s="698">
        <v>28081</v>
      </c>
      <c r="G338" s="1002"/>
      <c r="H338" s="705"/>
      <c r="I338" s="705"/>
    </row>
    <row r="339" spans="1:9" s="543" customFormat="1" ht="12.75">
      <c r="A339" s="1126" t="s">
        <v>877</v>
      </c>
      <c r="B339" s="630"/>
      <c r="C339" s="1032" t="s">
        <v>5256</v>
      </c>
      <c r="D339" s="597" t="s">
        <v>5229</v>
      </c>
      <c r="E339" s="697">
        <v>37000</v>
      </c>
      <c r="F339" s="698">
        <v>37000</v>
      </c>
      <c r="G339" s="1002"/>
      <c r="H339" s="705"/>
      <c r="I339" s="705"/>
    </row>
    <row r="340" spans="1:9" s="543" customFormat="1" ht="12.75">
      <c r="A340" s="1126" t="s">
        <v>879</v>
      </c>
      <c r="B340" s="630"/>
      <c r="C340" s="1032" t="s">
        <v>5258</v>
      </c>
      <c r="D340" s="597" t="s">
        <v>5259</v>
      </c>
      <c r="E340" s="697">
        <v>208649</v>
      </c>
      <c r="F340" s="698">
        <v>208649</v>
      </c>
      <c r="G340" s="1002"/>
      <c r="H340" s="705"/>
      <c r="I340" s="705"/>
    </row>
    <row r="341" spans="1:9" s="543" customFormat="1" ht="12.75">
      <c r="A341" s="1126" t="s">
        <v>882</v>
      </c>
      <c r="B341" s="630"/>
      <c r="C341" s="1032" t="s">
        <v>5261</v>
      </c>
      <c r="D341" s="597" t="s">
        <v>5259</v>
      </c>
      <c r="E341" s="697">
        <v>211850</v>
      </c>
      <c r="F341" s="698">
        <v>211850</v>
      </c>
      <c r="G341" s="1002"/>
      <c r="H341" s="705"/>
      <c r="I341" s="705"/>
    </row>
    <row r="342" spans="1:9" s="543" customFormat="1" ht="12" customHeight="1">
      <c r="A342" s="1126" t="s">
        <v>885</v>
      </c>
      <c r="B342" s="630"/>
      <c r="C342" s="1032" t="s">
        <v>5263</v>
      </c>
      <c r="D342" s="597" t="s">
        <v>5264</v>
      </c>
      <c r="E342" s="697">
        <v>30733</v>
      </c>
      <c r="F342" s="698">
        <v>30733</v>
      </c>
      <c r="G342" s="1002"/>
      <c r="H342" s="705"/>
      <c r="I342" s="705"/>
    </row>
    <row r="343" spans="1:9" s="543" customFormat="1" ht="12.75">
      <c r="A343" s="1126" t="s">
        <v>887</v>
      </c>
      <c r="B343" s="630"/>
      <c r="C343" s="1032" t="s">
        <v>2413</v>
      </c>
      <c r="D343" s="597" t="s">
        <v>2414</v>
      </c>
      <c r="E343" s="697">
        <v>865000</v>
      </c>
      <c r="F343" s="698">
        <v>865000</v>
      </c>
      <c r="G343" s="1002"/>
      <c r="H343" s="705"/>
      <c r="I343" s="705"/>
    </row>
    <row r="344" spans="1:9" s="543" customFormat="1" ht="12.75">
      <c r="A344" s="1126" t="s">
        <v>890</v>
      </c>
      <c r="B344" s="630"/>
      <c r="C344" s="1032" t="s">
        <v>2416</v>
      </c>
      <c r="D344" s="597" t="s">
        <v>5259</v>
      </c>
      <c r="E344" s="697">
        <v>326532</v>
      </c>
      <c r="F344" s="698">
        <v>326532</v>
      </c>
      <c r="G344" s="1002"/>
      <c r="H344" s="705"/>
      <c r="I344" s="705"/>
    </row>
    <row r="345" spans="1:9" s="543" customFormat="1" ht="12.75">
      <c r="A345" s="1126" t="s">
        <v>892</v>
      </c>
      <c r="B345" s="630"/>
      <c r="C345" s="1032" t="s">
        <v>2418</v>
      </c>
      <c r="D345" s="597" t="s">
        <v>5259</v>
      </c>
      <c r="E345" s="697">
        <v>296396</v>
      </c>
      <c r="F345" s="698">
        <v>296396</v>
      </c>
      <c r="G345" s="1002"/>
      <c r="H345" s="705"/>
      <c r="I345" s="705"/>
    </row>
    <row r="346" spans="1:9" s="543" customFormat="1" ht="11.25" customHeight="1">
      <c r="A346" s="1126" t="s">
        <v>893</v>
      </c>
      <c r="B346" s="630"/>
      <c r="C346" s="1032" t="s">
        <v>2420</v>
      </c>
      <c r="D346" s="597" t="s">
        <v>5264</v>
      </c>
      <c r="E346" s="697">
        <v>32787</v>
      </c>
      <c r="F346" s="698">
        <v>32787</v>
      </c>
      <c r="G346" s="1002"/>
      <c r="H346" s="705"/>
      <c r="I346" s="705"/>
    </row>
    <row r="347" spans="1:9" s="543" customFormat="1" ht="12.75">
      <c r="A347" s="1126" t="s">
        <v>895</v>
      </c>
      <c r="B347" s="630"/>
      <c r="C347" s="1032" t="s">
        <v>2422</v>
      </c>
      <c r="D347" s="597" t="s">
        <v>5259</v>
      </c>
      <c r="E347" s="697">
        <v>51876</v>
      </c>
      <c r="F347" s="698">
        <v>51876</v>
      </c>
      <c r="G347" s="1002"/>
      <c r="H347" s="705"/>
      <c r="I347" s="705"/>
    </row>
    <row r="348" spans="1:9" s="543" customFormat="1" ht="13.5" customHeight="1">
      <c r="A348" s="1126" t="s">
        <v>897</v>
      </c>
      <c r="B348" s="630"/>
      <c r="C348" s="1032" t="s">
        <v>2424</v>
      </c>
      <c r="D348" s="597" t="s">
        <v>5264</v>
      </c>
      <c r="E348" s="697">
        <v>501818</v>
      </c>
      <c r="F348" s="698">
        <v>501818</v>
      </c>
      <c r="G348" s="1002"/>
      <c r="H348" s="705"/>
      <c r="I348" s="705"/>
    </row>
    <row r="349" spans="1:9" s="543" customFormat="1" ht="12.75">
      <c r="A349" s="1126" t="s">
        <v>900</v>
      </c>
      <c r="B349" s="630"/>
      <c r="C349" s="1032" t="s">
        <v>2426</v>
      </c>
      <c r="D349" s="597" t="s">
        <v>5259</v>
      </c>
      <c r="E349" s="697">
        <v>175917</v>
      </c>
      <c r="F349" s="698">
        <v>175917</v>
      </c>
      <c r="G349" s="1002"/>
      <c r="H349" s="705"/>
      <c r="I349" s="705"/>
    </row>
    <row r="350" spans="1:9" s="543" customFormat="1" ht="12.75">
      <c r="A350" s="1126" t="s">
        <v>902</v>
      </c>
      <c r="B350" s="631"/>
      <c r="C350" s="1073" t="s">
        <v>2428</v>
      </c>
      <c r="D350" s="599" t="s">
        <v>2429</v>
      </c>
      <c r="E350" s="770">
        <v>458425</v>
      </c>
      <c r="F350" s="771">
        <v>458425</v>
      </c>
      <c r="G350" s="1002"/>
      <c r="H350" s="705"/>
      <c r="I350" s="705"/>
    </row>
    <row r="351" spans="1:9" s="543" customFormat="1" ht="12.75">
      <c r="A351" s="1126" t="s">
        <v>904</v>
      </c>
      <c r="B351" s="1014"/>
      <c r="C351" s="1071" t="s">
        <v>2431</v>
      </c>
      <c r="D351" s="673" t="s">
        <v>2429</v>
      </c>
      <c r="E351" s="1058">
        <v>340965</v>
      </c>
      <c r="F351" s="1075">
        <v>340965</v>
      </c>
      <c r="G351" s="1002"/>
      <c r="H351" s="705"/>
      <c r="I351" s="705"/>
    </row>
    <row r="352" spans="1:9" s="543" customFormat="1" ht="12.75">
      <c r="A352" s="1126" t="s">
        <v>906</v>
      </c>
      <c r="B352" s="630"/>
      <c r="C352" s="1032" t="s">
        <v>2433</v>
      </c>
      <c r="D352" s="597" t="s">
        <v>2429</v>
      </c>
      <c r="E352" s="697">
        <v>120962</v>
      </c>
      <c r="F352" s="698">
        <v>120962</v>
      </c>
      <c r="G352" s="1002"/>
      <c r="H352" s="705"/>
      <c r="I352" s="705"/>
    </row>
    <row r="353" spans="1:9" s="543" customFormat="1" ht="12.75">
      <c r="A353" s="1126" t="s">
        <v>908</v>
      </c>
      <c r="B353" s="630"/>
      <c r="C353" s="1032" t="s">
        <v>2435</v>
      </c>
      <c r="D353" s="597" t="s">
        <v>2429</v>
      </c>
      <c r="E353" s="697">
        <v>64875</v>
      </c>
      <c r="F353" s="698">
        <v>64875</v>
      </c>
      <c r="G353" s="1002"/>
      <c r="H353" s="705"/>
      <c r="I353" s="705"/>
    </row>
    <row r="354" spans="1:9" s="543" customFormat="1" ht="12.75">
      <c r="A354" s="1126" t="s">
        <v>910</v>
      </c>
      <c r="B354" s="630"/>
      <c r="C354" s="1032" t="s">
        <v>2437</v>
      </c>
      <c r="D354" s="597" t="s">
        <v>2429</v>
      </c>
      <c r="E354" s="697">
        <v>336738</v>
      </c>
      <c r="F354" s="698">
        <v>336738</v>
      </c>
      <c r="G354" s="1002"/>
      <c r="H354" s="705"/>
      <c r="I354" s="705"/>
    </row>
    <row r="355" spans="1:9" s="543" customFormat="1" ht="12.75">
      <c r="A355" s="1126" t="s">
        <v>912</v>
      </c>
      <c r="B355" s="630"/>
      <c r="C355" s="1032" t="s">
        <v>2439</v>
      </c>
      <c r="D355" s="597" t="s">
        <v>2429</v>
      </c>
      <c r="E355" s="697">
        <v>65584</v>
      </c>
      <c r="F355" s="698">
        <v>65584</v>
      </c>
      <c r="G355" s="1002"/>
      <c r="H355" s="705"/>
      <c r="I355" s="705"/>
    </row>
    <row r="356" spans="1:9" s="543" customFormat="1" ht="12.75">
      <c r="A356" s="1126" t="s">
        <v>914</v>
      </c>
      <c r="B356" s="630"/>
      <c r="C356" s="1032" t="s">
        <v>2441</v>
      </c>
      <c r="D356" s="597" t="s">
        <v>2442</v>
      </c>
      <c r="E356" s="697">
        <v>289000</v>
      </c>
      <c r="F356" s="698">
        <v>289000</v>
      </c>
      <c r="G356" s="1002"/>
      <c r="H356" s="705"/>
      <c r="I356" s="705"/>
    </row>
    <row r="357" spans="1:9" s="543" customFormat="1" ht="12.75">
      <c r="A357" s="1126" t="s">
        <v>916</v>
      </c>
      <c r="B357" s="630"/>
      <c r="C357" s="1032" t="s">
        <v>2444</v>
      </c>
      <c r="D357" s="597" t="s">
        <v>2445</v>
      </c>
      <c r="E357" s="697">
        <v>356000</v>
      </c>
      <c r="F357" s="698">
        <v>356000</v>
      </c>
      <c r="G357" s="1002"/>
      <c r="H357" s="705"/>
      <c r="I357" s="705"/>
    </row>
    <row r="358" spans="1:9" s="543" customFormat="1" ht="12.75">
      <c r="A358" s="1126" t="s">
        <v>918</v>
      </c>
      <c r="B358" s="630"/>
      <c r="C358" s="1032" t="s">
        <v>2447</v>
      </c>
      <c r="D358" s="597" t="s">
        <v>2442</v>
      </c>
      <c r="E358" s="697">
        <v>32000</v>
      </c>
      <c r="F358" s="698">
        <v>32000</v>
      </c>
      <c r="G358" s="1002"/>
      <c r="H358" s="705"/>
      <c r="I358" s="705"/>
    </row>
    <row r="359" spans="1:9" s="543" customFormat="1" ht="12.75">
      <c r="A359" s="1126" t="s">
        <v>920</v>
      </c>
      <c r="B359" s="630"/>
      <c r="C359" s="1032" t="s">
        <v>2449</v>
      </c>
      <c r="D359" s="597" t="s">
        <v>2450</v>
      </c>
      <c r="E359" s="697">
        <v>328058</v>
      </c>
      <c r="F359" s="698">
        <v>328058</v>
      </c>
      <c r="G359" s="1002"/>
      <c r="H359" s="705"/>
      <c r="I359" s="705"/>
    </row>
    <row r="360" spans="1:9" s="543" customFormat="1" ht="12.75">
      <c r="A360" s="1126" t="s">
        <v>922</v>
      </c>
      <c r="B360" s="630"/>
      <c r="C360" s="1032" t="s">
        <v>2452</v>
      </c>
      <c r="D360" s="597" t="s">
        <v>2442</v>
      </c>
      <c r="E360" s="697">
        <v>510240</v>
      </c>
      <c r="F360" s="698">
        <v>510240</v>
      </c>
      <c r="G360" s="1002"/>
      <c r="H360" s="705"/>
      <c r="I360" s="705"/>
    </row>
    <row r="361" spans="1:9" s="543" customFormat="1" ht="12.75">
      <c r="A361" s="1126" t="s">
        <v>924</v>
      </c>
      <c r="B361" s="630"/>
      <c r="C361" s="1032" t="s">
        <v>2454</v>
      </c>
      <c r="D361" s="597" t="s">
        <v>2442</v>
      </c>
      <c r="E361" s="697">
        <v>198000</v>
      </c>
      <c r="F361" s="698">
        <v>198000</v>
      </c>
      <c r="G361" s="1002"/>
      <c r="H361" s="705"/>
      <c r="I361" s="705"/>
    </row>
    <row r="362" spans="1:9" s="543" customFormat="1" ht="12.75">
      <c r="A362" s="1126" t="s">
        <v>926</v>
      </c>
      <c r="B362" s="630"/>
      <c r="C362" s="1032" t="s">
        <v>2456</v>
      </c>
      <c r="D362" s="597" t="s">
        <v>2442</v>
      </c>
      <c r="E362" s="697">
        <v>856579</v>
      </c>
      <c r="F362" s="698">
        <v>856579</v>
      </c>
      <c r="G362" s="1002"/>
      <c r="H362" s="705"/>
      <c r="I362" s="705"/>
    </row>
    <row r="363" spans="1:9" s="543" customFormat="1" ht="12.75">
      <c r="A363" s="1126" t="s">
        <v>928</v>
      </c>
      <c r="B363" s="630"/>
      <c r="C363" s="1032" t="s">
        <v>2458</v>
      </c>
      <c r="D363" s="597" t="s">
        <v>2459</v>
      </c>
      <c r="E363" s="697">
        <v>1087000</v>
      </c>
      <c r="F363" s="698">
        <v>1087000</v>
      </c>
      <c r="G363" s="1002"/>
      <c r="H363" s="705"/>
      <c r="I363" s="705"/>
    </row>
    <row r="364" spans="1:9" s="543" customFormat="1" ht="12.75">
      <c r="A364" s="1126" t="s">
        <v>930</v>
      </c>
      <c r="B364" s="630"/>
      <c r="C364" s="1032" t="s">
        <v>2461</v>
      </c>
      <c r="D364" s="597" t="s">
        <v>2442</v>
      </c>
      <c r="E364" s="697">
        <v>68664</v>
      </c>
      <c r="F364" s="698">
        <v>68664</v>
      </c>
      <c r="G364" s="1002"/>
      <c r="H364" s="705"/>
      <c r="I364" s="705"/>
    </row>
    <row r="365" spans="1:9" s="543" customFormat="1" ht="12.75">
      <c r="A365" s="1126" t="s">
        <v>932</v>
      </c>
      <c r="B365" s="630"/>
      <c r="C365" s="1032" t="s">
        <v>2463</v>
      </c>
      <c r="D365" s="597" t="s">
        <v>2442</v>
      </c>
      <c r="E365" s="697">
        <v>560665</v>
      </c>
      <c r="F365" s="698">
        <v>560665</v>
      </c>
      <c r="G365" s="1002"/>
      <c r="H365" s="705"/>
      <c r="I365" s="705"/>
    </row>
    <row r="366" spans="1:9" s="543" customFormat="1" ht="12.75">
      <c r="A366" s="1126" t="s">
        <v>934</v>
      </c>
      <c r="B366" s="630"/>
      <c r="C366" s="1032" t="s">
        <v>2465</v>
      </c>
      <c r="D366" s="597" t="s">
        <v>2442</v>
      </c>
      <c r="E366" s="697">
        <v>66610</v>
      </c>
      <c r="F366" s="698">
        <v>66610</v>
      </c>
      <c r="G366" s="1002"/>
      <c r="H366" s="705"/>
      <c r="I366" s="705"/>
    </row>
    <row r="367" spans="1:9" s="543" customFormat="1" ht="12.75">
      <c r="A367" s="1126" t="s">
        <v>3199</v>
      </c>
      <c r="B367" s="630"/>
      <c r="C367" s="1032" t="s">
        <v>2467</v>
      </c>
      <c r="D367" s="597" t="s">
        <v>2468</v>
      </c>
      <c r="E367" s="697">
        <v>277000</v>
      </c>
      <c r="F367" s="698">
        <v>277000</v>
      </c>
      <c r="G367" s="1002"/>
      <c r="H367" s="705"/>
      <c r="I367" s="705"/>
    </row>
    <row r="368" spans="1:9" s="543" customFormat="1" ht="12.75">
      <c r="A368" s="1126" t="s">
        <v>3201</v>
      </c>
      <c r="B368" s="630"/>
      <c r="C368" s="1032" t="s">
        <v>2470</v>
      </c>
      <c r="D368" s="597" t="s">
        <v>2471</v>
      </c>
      <c r="E368" s="697">
        <v>898000</v>
      </c>
      <c r="F368" s="698">
        <v>898000</v>
      </c>
      <c r="G368" s="1002"/>
      <c r="H368" s="705"/>
      <c r="I368" s="705"/>
    </row>
    <row r="369" spans="1:9" s="543" customFormat="1" ht="12.75">
      <c r="A369" s="1126" t="s">
        <v>3203</v>
      </c>
      <c r="B369" s="630"/>
      <c r="C369" s="1032" t="s">
        <v>2473</v>
      </c>
      <c r="D369" s="597" t="s">
        <v>2474</v>
      </c>
      <c r="E369" s="697">
        <v>13437609</v>
      </c>
      <c r="F369" s="698">
        <v>13437609</v>
      </c>
      <c r="G369" s="1002"/>
      <c r="H369" s="705"/>
      <c r="I369" s="705"/>
    </row>
    <row r="370" spans="1:9" s="543" customFormat="1" ht="13.5" thickBot="1">
      <c r="A370" s="1126" t="s">
        <v>3205</v>
      </c>
      <c r="B370" s="630"/>
      <c r="C370" s="1032" t="s">
        <v>2476</v>
      </c>
      <c r="D370" s="597" t="s">
        <v>2468</v>
      </c>
      <c r="E370" s="697">
        <v>361437</v>
      </c>
      <c r="F370" s="698">
        <v>361437</v>
      </c>
      <c r="G370" s="1002"/>
      <c r="H370" s="705"/>
      <c r="I370" s="705"/>
    </row>
    <row r="371" spans="1:9" s="666" customFormat="1" ht="48.75" thickBot="1">
      <c r="A371" s="605" t="s">
        <v>4597</v>
      </c>
      <c r="B371" s="606" t="s">
        <v>4601</v>
      </c>
      <c r="C371" s="1008" t="s">
        <v>4602</v>
      </c>
      <c r="D371" s="606" t="s">
        <v>4603</v>
      </c>
      <c r="E371" s="738" t="s">
        <v>4604</v>
      </c>
      <c r="F371" s="739" t="s">
        <v>4605</v>
      </c>
      <c r="G371" s="1127"/>
      <c r="H371" s="1128"/>
      <c r="I371" s="1128"/>
    </row>
    <row r="372" spans="1:9" s="543" customFormat="1" ht="12.75">
      <c r="A372" s="1126" t="s">
        <v>3207</v>
      </c>
      <c r="B372" s="630"/>
      <c r="C372" s="1032" t="s">
        <v>2478</v>
      </c>
      <c r="D372" s="597" t="s">
        <v>2468</v>
      </c>
      <c r="E372" s="697">
        <v>153030</v>
      </c>
      <c r="F372" s="698">
        <v>153030</v>
      </c>
      <c r="G372" s="1002"/>
      <c r="H372" s="705"/>
      <c r="I372" s="705"/>
    </row>
    <row r="373" spans="1:9" s="543" customFormat="1" ht="12.75">
      <c r="A373" s="1126" t="s">
        <v>3209</v>
      </c>
      <c r="B373" s="630"/>
      <c r="C373" s="1032" t="s">
        <v>2480</v>
      </c>
      <c r="D373" s="597" t="s">
        <v>2468</v>
      </c>
      <c r="E373" s="697">
        <v>320494</v>
      </c>
      <c r="F373" s="698">
        <v>320494</v>
      </c>
      <c r="G373" s="1002"/>
      <c r="H373" s="705"/>
      <c r="I373" s="705"/>
    </row>
    <row r="374" spans="1:9" s="543" customFormat="1" ht="12.75">
      <c r="A374" s="1126" t="s">
        <v>3211</v>
      </c>
      <c r="B374" s="630"/>
      <c r="C374" s="1032" t="s">
        <v>2482</v>
      </c>
      <c r="D374" s="597" t="s">
        <v>2468</v>
      </c>
      <c r="E374" s="697">
        <v>46622</v>
      </c>
      <c r="F374" s="698">
        <v>46622</v>
      </c>
      <c r="G374" s="1002"/>
      <c r="H374" s="705"/>
      <c r="I374" s="705"/>
    </row>
    <row r="375" spans="1:9" s="543" customFormat="1" ht="12.75">
      <c r="A375" s="1126" t="s">
        <v>3213</v>
      </c>
      <c r="B375" s="630"/>
      <c r="C375" s="1032" t="s">
        <v>2484</v>
      </c>
      <c r="D375" s="597" t="s">
        <v>2468</v>
      </c>
      <c r="E375" s="697">
        <v>375813</v>
      </c>
      <c r="F375" s="698">
        <v>375813</v>
      </c>
      <c r="G375" s="1002"/>
      <c r="H375" s="705"/>
      <c r="I375" s="705"/>
    </row>
    <row r="376" spans="1:9" s="543" customFormat="1" ht="12.75">
      <c r="A376" s="1126" t="s">
        <v>3215</v>
      </c>
      <c r="B376" s="630"/>
      <c r="C376" s="1032" t="s">
        <v>2486</v>
      </c>
      <c r="D376" s="597" t="s">
        <v>2487</v>
      </c>
      <c r="E376" s="697">
        <v>1185000</v>
      </c>
      <c r="F376" s="698">
        <v>1185000</v>
      </c>
      <c r="G376" s="1002"/>
      <c r="H376" s="705"/>
      <c r="I376" s="705"/>
    </row>
    <row r="377" spans="1:9" s="543" customFormat="1" ht="12.75">
      <c r="A377" s="1126" t="s">
        <v>3217</v>
      </c>
      <c r="B377" s="630"/>
      <c r="C377" s="1032" t="s">
        <v>2489</v>
      </c>
      <c r="D377" s="597" t="s">
        <v>2468</v>
      </c>
      <c r="E377" s="697">
        <v>1424552</v>
      </c>
      <c r="F377" s="698">
        <v>1424552</v>
      </c>
      <c r="G377" s="1002"/>
      <c r="H377" s="705"/>
      <c r="I377" s="705"/>
    </row>
    <row r="378" spans="1:9" s="543" customFormat="1" ht="12.75">
      <c r="A378" s="1126" t="s">
        <v>3219</v>
      </c>
      <c r="B378" s="630"/>
      <c r="C378" s="1032" t="s">
        <v>2491</v>
      </c>
      <c r="D378" s="597" t="s">
        <v>2492</v>
      </c>
      <c r="E378" s="697">
        <v>619579</v>
      </c>
      <c r="F378" s="698">
        <v>619579</v>
      </c>
      <c r="G378" s="1002"/>
      <c r="H378" s="705"/>
      <c r="I378" s="705"/>
    </row>
    <row r="379" spans="1:9" s="543" customFormat="1" ht="12.75">
      <c r="A379" s="1126" t="s">
        <v>3221</v>
      </c>
      <c r="B379" s="630"/>
      <c r="C379" s="1032" t="s">
        <v>2494</v>
      </c>
      <c r="D379" s="597" t="s">
        <v>2495</v>
      </c>
      <c r="E379" s="697">
        <v>58700</v>
      </c>
      <c r="F379" s="698">
        <v>58700</v>
      </c>
      <c r="G379" s="1002"/>
      <c r="H379" s="705"/>
      <c r="I379" s="705"/>
    </row>
    <row r="380" spans="1:9" s="543" customFormat="1" ht="25.5">
      <c r="A380" s="1126" t="s">
        <v>3223</v>
      </c>
      <c r="B380" s="630"/>
      <c r="C380" s="1032" t="s">
        <v>5105</v>
      </c>
      <c r="D380" s="597" t="s">
        <v>2497</v>
      </c>
      <c r="E380" s="697">
        <v>2643000</v>
      </c>
      <c r="F380" s="698">
        <v>2643000</v>
      </c>
      <c r="G380" s="1002"/>
      <c r="H380" s="705"/>
      <c r="I380" s="705"/>
    </row>
    <row r="381" spans="1:9" s="543" customFormat="1" ht="12.75">
      <c r="A381" s="1126" t="s">
        <v>3225</v>
      </c>
      <c r="B381" s="630"/>
      <c r="C381" s="1032" t="s">
        <v>2499</v>
      </c>
      <c r="D381" s="597" t="s">
        <v>2500</v>
      </c>
      <c r="E381" s="697">
        <v>259000</v>
      </c>
      <c r="F381" s="698">
        <v>259000</v>
      </c>
      <c r="G381" s="1002"/>
      <c r="H381" s="705"/>
      <c r="I381" s="705"/>
    </row>
    <row r="382" spans="1:9" s="543" customFormat="1" ht="12.75">
      <c r="A382" s="1126" t="s">
        <v>3227</v>
      </c>
      <c r="B382" s="630"/>
      <c r="C382" s="1032" t="s">
        <v>2502</v>
      </c>
      <c r="D382" s="597" t="s">
        <v>2442</v>
      </c>
      <c r="E382" s="697">
        <v>279000</v>
      </c>
      <c r="F382" s="698">
        <v>279000</v>
      </c>
      <c r="G382" s="1002"/>
      <c r="H382" s="705"/>
      <c r="I382" s="705"/>
    </row>
    <row r="383" spans="1:9" s="543" customFormat="1" ht="12.75">
      <c r="A383" s="1126" t="s">
        <v>3230</v>
      </c>
      <c r="B383" s="630"/>
      <c r="C383" s="1032" t="s">
        <v>2504</v>
      </c>
      <c r="D383" s="597" t="s">
        <v>2442</v>
      </c>
      <c r="E383" s="697">
        <v>535000</v>
      </c>
      <c r="F383" s="698">
        <v>535000</v>
      </c>
      <c r="G383" s="1002"/>
      <c r="H383" s="705"/>
      <c r="I383" s="705"/>
    </row>
    <row r="384" spans="1:9" s="543" customFormat="1" ht="12.75">
      <c r="A384" s="1126" t="s">
        <v>3232</v>
      </c>
      <c r="B384" s="630"/>
      <c r="C384" s="1032" t="s">
        <v>2506</v>
      </c>
      <c r="D384" s="597" t="s">
        <v>2445</v>
      </c>
      <c r="E384" s="697">
        <v>47000</v>
      </c>
      <c r="F384" s="698">
        <v>47000</v>
      </c>
      <c r="G384" s="1002"/>
      <c r="H384" s="705"/>
      <c r="I384" s="705"/>
    </row>
    <row r="385" spans="1:9" s="543" customFormat="1" ht="12.75">
      <c r="A385" s="1126" t="s">
        <v>3234</v>
      </c>
      <c r="B385" s="630"/>
      <c r="C385" s="1032" t="s">
        <v>2508</v>
      </c>
      <c r="D385" s="597" t="s">
        <v>2509</v>
      </c>
      <c r="E385" s="697">
        <v>301000</v>
      </c>
      <c r="F385" s="698">
        <v>301000</v>
      </c>
      <c r="G385" s="1002"/>
      <c r="H385" s="705"/>
      <c r="I385" s="705"/>
    </row>
    <row r="386" spans="1:9" s="543" customFormat="1" ht="12.75">
      <c r="A386" s="1126" t="s">
        <v>3236</v>
      </c>
      <c r="B386" s="630"/>
      <c r="C386" s="1032" t="s">
        <v>2511</v>
      </c>
      <c r="D386" s="597" t="s">
        <v>2509</v>
      </c>
      <c r="E386" s="697">
        <v>1134000</v>
      </c>
      <c r="F386" s="698">
        <v>1134000</v>
      </c>
      <c r="G386" s="1002"/>
      <c r="H386" s="705"/>
      <c r="I386" s="705"/>
    </row>
    <row r="387" spans="1:9" s="543" customFormat="1" ht="12.75">
      <c r="A387" s="1126" t="s">
        <v>3238</v>
      </c>
      <c r="B387" s="630"/>
      <c r="C387" s="1032" t="s">
        <v>2513</v>
      </c>
      <c r="D387" s="597" t="s">
        <v>2445</v>
      </c>
      <c r="E387" s="697">
        <v>159612</v>
      </c>
      <c r="F387" s="698">
        <v>159612</v>
      </c>
      <c r="G387" s="1002"/>
      <c r="H387" s="705"/>
      <c r="I387" s="705"/>
    </row>
    <row r="388" spans="1:9" s="543" customFormat="1" ht="12.75">
      <c r="A388" s="1126" t="s">
        <v>3240</v>
      </c>
      <c r="B388" s="630"/>
      <c r="C388" s="1032" t="s">
        <v>2515</v>
      </c>
      <c r="D388" s="597" t="s">
        <v>2516</v>
      </c>
      <c r="E388" s="697">
        <v>32853</v>
      </c>
      <c r="F388" s="698">
        <v>32853</v>
      </c>
      <c r="G388" s="1002"/>
      <c r="H388" s="705"/>
      <c r="I388" s="705"/>
    </row>
    <row r="389" spans="1:9" s="543" customFormat="1" ht="12.75">
      <c r="A389" s="1126" t="s">
        <v>3242</v>
      </c>
      <c r="B389" s="630"/>
      <c r="C389" s="1032" t="s">
        <v>2518</v>
      </c>
      <c r="D389" s="597" t="s">
        <v>2487</v>
      </c>
      <c r="E389" s="697">
        <v>780000</v>
      </c>
      <c r="F389" s="698">
        <v>780000</v>
      </c>
      <c r="G389" s="1002"/>
      <c r="H389" s="705"/>
      <c r="I389" s="705"/>
    </row>
    <row r="390" spans="1:9" s="543" customFormat="1" ht="12.75">
      <c r="A390" s="1126" t="s">
        <v>3244</v>
      </c>
      <c r="B390" s="630"/>
      <c r="C390" s="1032" t="s">
        <v>2520</v>
      </c>
      <c r="D390" s="597" t="s">
        <v>2445</v>
      </c>
      <c r="E390" s="697">
        <v>815000</v>
      </c>
      <c r="F390" s="698">
        <v>815000</v>
      </c>
      <c r="G390" s="1002"/>
      <c r="H390" s="705"/>
      <c r="I390" s="705"/>
    </row>
    <row r="391" spans="1:9" s="543" customFormat="1" ht="12.75">
      <c r="A391" s="1126" t="s">
        <v>3246</v>
      </c>
      <c r="B391" s="630"/>
      <c r="C391" s="1032" t="s">
        <v>2522</v>
      </c>
      <c r="D391" s="597" t="s">
        <v>2442</v>
      </c>
      <c r="E391" s="697">
        <v>3089000</v>
      </c>
      <c r="F391" s="698">
        <v>3089000</v>
      </c>
      <c r="G391" s="1002"/>
      <c r="H391" s="705"/>
      <c r="I391" s="705"/>
    </row>
    <row r="392" spans="1:9" s="543" customFormat="1" ht="12.75">
      <c r="A392" s="1126" t="s">
        <v>3248</v>
      </c>
      <c r="B392" s="630"/>
      <c r="C392" s="1032" t="s">
        <v>2524</v>
      </c>
      <c r="D392" s="597" t="s">
        <v>2509</v>
      </c>
      <c r="E392" s="697">
        <v>591000</v>
      </c>
      <c r="F392" s="698">
        <v>591000</v>
      </c>
      <c r="G392" s="1002"/>
      <c r="H392" s="705"/>
      <c r="I392" s="705"/>
    </row>
    <row r="393" spans="1:9" s="543" customFormat="1" ht="12.75">
      <c r="A393" s="1126" t="s">
        <v>3250</v>
      </c>
      <c r="B393" s="630"/>
      <c r="C393" s="1032" t="s">
        <v>2526</v>
      </c>
      <c r="D393" s="597" t="s">
        <v>2527</v>
      </c>
      <c r="E393" s="697">
        <v>883151</v>
      </c>
      <c r="F393" s="698">
        <v>883151</v>
      </c>
      <c r="G393" s="1002"/>
      <c r="H393" s="705"/>
      <c r="I393" s="705"/>
    </row>
    <row r="394" spans="1:9" s="543" customFormat="1" ht="12.75">
      <c r="A394" s="1126" t="s">
        <v>3020</v>
      </c>
      <c r="B394" s="630"/>
      <c r="C394" s="1032" t="s">
        <v>2529</v>
      </c>
      <c r="D394" s="597" t="s">
        <v>2527</v>
      </c>
      <c r="E394" s="697">
        <v>511689</v>
      </c>
      <c r="F394" s="698">
        <v>511689</v>
      </c>
      <c r="G394" s="1002"/>
      <c r="H394" s="705"/>
      <c r="I394" s="705"/>
    </row>
    <row r="395" spans="1:9" s="543" customFormat="1" ht="12.75">
      <c r="A395" s="1126" t="s">
        <v>3022</v>
      </c>
      <c r="B395" s="630"/>
      <c r="C395" s="1032" t="s">
        <v>2531</v>
      </c>
      <c r="D395" s="597" t="s">
        <v>2527</v>
      </c>
      <c r="E395" s="697">
        <v>517185</v>
      </c>
      <c r="F395" s="698">
        <v>517185</v>
      </c>
      <c r="G395" s="1002"/>
      <c r="H395" s="705"/>
      <c r="I395" s="705"/>
    </row>
    <row r="396" spans="1:9" s="543" customFormat="1" ht="12.75">
      <c r="A396" s="1126" t="s">
        <v>3024</v>
      </c>
      <c r="B396" s="630"/>
      <c r="C396" s="1032" t="s">
        <v>2533</v>
      </c>
      <c r="D396" s="597" t="s">
        <v>2527</v>
      </c>
      <c r="E396" s="697">
        <v>179903</v>
      </c>
      <c r="F396" s="698">
        <v>179903</v>
      </c>
      <c r="G396" s="1002"/>
      <c r="H396" s="705"/>
      <c r="I396" s="705"/>
    </row>
    <row r="397" spans="1:9" s="543" customFormat="1" ht="12.75">
      <c r="A397" s="1126" t="s">
        <v>3026</v>
      </c>
      <c r="B397" s="630"/>
      <c r="C397" s="1032" t="s">
        <v>2535</v>
      </c>
      <c r="D397" s="597" t="s">
        <v>2527</v>
      </c>
      <c r="E397" s="697">
        <v>95357</v>
      </c>
      <c r="F397" s="698">
        <v>95357</v>
      </c>
      <c r="G397" s="1002"/>
      <c r="H397" s="705"/>
      <c r="I397" s="705"/>
    </row>
    <row r="398" spans="1:9" s="543" customFormat="1" ht="12.75">
      <c r="A398" s="1126" t="s">
        <v>3028</v>
      </c>
      <c r="B398" s="630"/>
      <c r="C398" s="1032" t="s">
        <v>2537</v>
      </c>
      <c r="D398" s="597" t="s">
        <v>2527</v>
      </c>
      <c r="E398" s="697">
        <v>351352</v>
      </c>
      <c r="F398" s="698">
        <v>351352</v>
      </c>
      <c r="G398" s="1002"/>
      <c r="H398" s="705"/>
      <c r="I398" s="705"/>
    </row>
    <row r="399" spans="1:9" s="543" customFormat="1" ht="12.75">
      <c r="A399" s="1126" t="s">
        <v>3030</v>
      </c>
      <c r="B399" s="630"/>
      <c r="C399" s="1032" t="s">
        <v>2539</v>
      </c>
      <c r="D399" s="597" t="s">
        <v>2442</v>
      </c>
      <c r="E399" s="697">
        <v>277000</v>
      </c>
      <c r="F399" s="698">
        <v>277000</v>
      </c>
      <c r="G399" s="1002"/>
      <c r="H399" s="705"/>
      <c r="I399" s="705"/>
    </row>
    <row r="400" spans="1:9" s="543" customFormat="1" ht="12.75">
      <c r="A400" s="1126" t="s">
        <v>3032</v>
      </c>
      <c r="B400" s="630"/>
      <c r="C400" s="1032" t="s">
        <v>2541</v>
      </c>
      <c r="D400" s="597" t="s">
        <v>2542</v>
      </c>
      <c r="E400" s="697">
        <v>2790000</v>
      </c>
      <c r="F400" s="698">
        <v>2790000</v>
      </c>
      <c r="G400" s="1002"/>
      <c r="H400" s="705"/>
      <c r="I400" s="705"/>
    </row>
    <row r="401" spans="1:9" s="543" customFormat="1" ht="12.75">
      <c r="A401" s="1126" t="s">
        <v>3034</v>
      </c>
      <c r="B401" s="630"/>
      <c r="C401" s="1032" t="s">
        <v>2544</v>
      </c>
      <c r="D401" s="597" t="s">
        <v>2545</v>
      </c>
      <c r="E401" s="697">
        <v>842025</v>
      </c>
      <c r="F401" s="698">
        <v>842025</v>
      </c>
      <c r="G401" s="1002"/>
      <c r="H401" s="705"/>
      <c r="I401" s="705"/>
    </row>
    <row r="402" spans="1:9" s="543" customFormat="1" ht="12.75">
      <c r="A402" s="1126" t="s">
        <v>3037</v>
      </c>
      <c r="B402" s="630"/>
      <c r="C402" s="1032" t="s">
        <v>2547</v>
      </c>
      <c r="D402" s="597" t="s">
        <v>2545</v>
      </c>
      <c r="E402" s="697">
        <v>145000</v>
      </c>
      <c r="F402" s="698">
        <v>145000</v>
      </c>
      <c r="G402" s="1002"/>
      <c r="H402" s="705"/>
      <c r="I402" s="705"/>
    </row>
    <row r="403" spans="1:9" s="543" customFormat="1" ht="12.75">
      <c r="A403" s="1126" t="s">
        <v>3039</v>
      </c>
      <c r="B403" s="630"/>
      <c r="C403" s="1032" t="s">
        <v>2549</v>
      </c>
      <c r="D403" s="597" t="s">
        <v>2550</v>
      </c>
      <c r="E403" s="697">
        <v>1886000</v>
      </c>
      <c r="F403" s="698">
        <v>1886000</v>
      </c>
      <c r="G403" s="1002"/>
      <c r="H403" s="705"/>
      <c r="I403" s="705"/>
    </row>
    <row r="404" spans="1:9" s="543" customFormat="1" ht="12.75">
      <c r="A404" s="1126" t="s">
        <v>3041</v>
      </c>
      <c r="B404" s="630"/>
      <c r="C404" s="1032" t="s">
        <v>2552</v>
      </c>
      <c r="D404" s="597" t="s">
        <v>2527</v>
      </c>
      <c r="E404" s="697">
        <v>835926</v>
      </c>
      <c r="F404" s="698">
        <v>835926</v>
      </c>
      <c r="G404" s="1002"/>
      <c r="H404" s="705"/>
      <c r="I404" s="705"/>
    </row>
    <row r="405" spans="1:9" s="543" customFormat="1" ht="25.5">
      <c r="A405" s="1126" t="s">
        <v>3043</v>
      </c>
      <c r="B405" s="630"/>
      <c r="C405" s="1032" t="s">
        <v>2554</v>
      </c>
      <c r="D405" s="597" t="s">
        <v>2555</v>
      </c>
      <c r="E405" s="697">
        <v>1105000</v>
      </c>
      <c r="F405" s="698">
        <v>1105000</v>
      </c>
      <c r="G405" s="1002"/>
      <c r="H405" s="705"/>
      <c r="I405" s="705"/>
    </row>
    <row r="406" spans="1:9" s="543" customFormat="1" ht="12.75">
      <c r="A406" s="1126" t="s">
        <v>3045</v>
      </c>
      <c r="B406" s="630"/>
      <c r="C406" s="1032" t="s">
        <v>2557</v>
      </c>
      <c r="D406" s="597" t="s">
        <v>2558</v>
      </c>
      <c r="E406" s="697">
        <v>17150</v>
      </c>
      <c r="F406" s="698">
        <v>17150</v>
      </c>
      <c r="G406" s="1002"/>
      <c r="H406" s="705"/>
      <c r="I406" s="705"/>
    </row>
    <row r="407" spans="1:9" s="543" customFormat="1" ht="12.75">
      <c r="A407" s="1126" t="s">
        <v>3047</v>
      </c>
      <c r="B407" s="630"/>
      <c r="C407" s="1032" t="s">
        <v>2560</v>
      </c>
      <c r="D407" s="597" t="s">
        <v>2558</v>
      </c>
      <c r="E407" s="697">
        <v>762000</v>
      </c>
      <c r="F407" s="698">
        <v>762000</v>
      </c>
      <c r="G407" s="1002"/>
      <c r="H407" s="705"/>
      <c r="I407" s="705"/>
    </row>
    <row r="408" spans="1:9" s="543" customFormat="1" ht="25.5">
      <c r="A408" s="1126" t="s">
        <v>3049</v>
      </c>
      <c r="B408" s="630"/>
      <c r="C408" s="1032" t="s">
        <v>2562</v>
      </c>
      <c r="D408" s="597" t="s">
        <v>2563</v>
      </c>
      <c r="E408" s="697">
        <v>268000</v>
      </c>
      <c r="F408" s="698">
        <v>268000</v>
      </c>
      <c r="G408" s="1002"/>
      <c r="H408" s="705"/>
      <c r="I408" s="705"/>
    </row>
    <row r="409" spans="1:9" s="543" customFormat="1" ht="12.75">
      <c r="A409" s="1126" t="s">
        <v>3051</v>
      </c>
      <c r="B409" s="630"/>
      <c r="C409" s="1032" t="s">
        <v>2565</v>
      </c>
      <c r="D409" s="597" t="s">
        <v>5236</v>
      </c>
      <c r="E409" s="697">
        <v>654000</v>
      </c>
      <c r="F409" s="698">
        <v>654000</v>
      </c>
      <c r="G409" s="1002"/>
      <c r="H409" s="705"/>
      <c r="I409" s="705"/>
    </row>
    <row r="410" spans="1:9" s="543" customFormat="1" ht="12.75">
      <c r="A410" s="1126" t="s">
        <v>3053</v>
      </c>
      <c r="B410" s="630"/>
      <c r="C410" s="1032" t="s">
        <v>2567</v>
      </c>
      <c r="D410" s="597" t="s">
        <v>2558</v>
      </c>
      <c r="E410" s="697">
        <v>1168000</v>
      </c>
      <c r="F410" s="698">
        <v>1168000</v>
      </c>
      <c r="G410" s="1002"/>
      <c r="H410" s="705"/>
      <c r="I410" s="705"/>
    </row>
    <row r="411" spans="1:9" s="543" customFormat="1" ht="12.75">
      <c r="A411" s="1126" t="s">
        <v>3055</v>
      </c>
      <c r="B411" s="630"/>
      <c r="C411" s="1032" t="s">
        <v>2569</v>
      </c>
      <c r="D411" s="597" t="s">
        <v>2558</v>
      </c>
      <c r="E411" s="697">
        <v>205000</v>
      </c>
      <c r="F411" s="698">
        <v>205000</v>
      </c>
      <c r="G411" s="1002"/>
      <c r="H411" s="705"/>
      <c r="I411" s="705"/>
    </row>
    <row r="412" spans="1:9" s="543" customFormat="1" ht="12.75">
      <c r="A412" s="1126" t="s">
        <v>3057</v>
      </c>
      <c r="B412" s="630"/>
      <c r="C412" s="1032" t="s">
        <v>2571</v>
      </c>
      <c r="D412" s="597" t="s">
        <v>2558</v>
      </c>
      <c r="E412" s="697">
        <v>377000</v>
      </c>
      <c r="F412" s="698">
        <v>377000</v>
      </c>
      <c r="G412" s="1002"/>
      <c r="H412" s="705"/>
      <c r="I412" s="705"/>
    </row>
    <row r="413" spans="1:9" s="543" customFormat="1" ht="12.75">
      <c r="A413" s="1126" t="s">
        <v>3059</v>
      </c>
      <c r="B413" s="630"/>
      <c r="C413" s="1032" t="s">
        <v>2573</v>
      </c>
      <c r="D413" s="597" t="s">
        <v>2558</v>
      </c>
      <c r="E413" s="697">
        <v>786000</v>
      </c>
      <c r="F413" s="698">
        <v>786000</v>
      </c>
      <c r="G413" s="1002"/>
      <c r="H413" s="705"/>
      <c r="I413" s="705"/>
    </row>
    <row r="414" spans="1:9" s="543" customFormat="1" ht="12.75">
      <c r="A414" s="1126" t="s">
        <v>3061</v>
      </c>
      <c r="B414" s="630"/>
      <c r="C414" s="1032" t="s">
        <v>2575</v>
      </c>
      <c r="D414" s="597" t="s">
        <v>2445</v>
      </c>
      <c r="E414" s="697">
        <v>81000</v>
      </c>
      <c r="F414" s="698">
        <v>81000</v>
      </c>
      <c r="G414" s="1002"/>
      <c r="H414" s="705"/>
      <c r="I414" s="705"/>
    </row>
    <row r="415" spans="1:9" s="543" customFormat="1" ht="12.75">
      <c r="A415" s="1126" t="s">
        <v>3063</v>
      </c>
      <c r="B415" s="630"/>
      <c r="C415" s="1032" t="s">
        <v>2577</v>
      </c>
      <c r="D415" s="597" t="s">
        <v>2578</v>
      </c>
      <c r="E415" s="697">
        <v>662000</v>
      </c>
      <c r="F415" s="698">
        <v>662000</v>
      </c>
      <c r="G415" s="1002"/>
      <c r="H415" s="705"/>
      <c r="I415" s="705"/>
    </row>
    <row r="416" spans="1:9" s="543" customFormat="1" ht="12.75">
      <c r="A416" s="1126" t="s">
        <v>3065</v>
      </c>
      <c r="B416" s="630"/>
      <c r="C416" s="1041" t="s">
        <v>2579</v>
      </c>
      <c r="D416" s="675" t="s">
        <v>2580</v>
      </c>
      <c r="E416" s="697">
        <v>133576</v>
      </c>
      <c r="F416" s="698">
        <v>133576</v>
      </c>
      <c r="G416" s="1002"/>
      <c r="H416" s="705"/>
      <c r="I416" s="705"/>
    </row>
    <row r="417" spans="1:9" s="543" customFormat="1" ht="12.75">
      <c r="A417" s="1126" t="s">
        <v>3067</v>
      </c>
      <c r="B417" s="630"/>
      <c r="C417" s="1041" t="s">
        <v>2581</v>
      </c>
      <c r="D417" s="675" t="s">
        <v>2580</v>
      </c>
      <c r="E417" s="697">
        <v>641246</v>
      </c>
      <c r="F417" s="698">
        <v>641246</v>
      </c>
      <c r="G417" s="1002"/>
      <c r="H417" s="705"/>
      <c r="I417" s="705"/>
    </row>
    <row r="418" spans="1:9" s="543" customFormat="1" ht="12.75">
      <c r="A418" s="1126" t="s">
        <v>3069</v>
      </c>
      <c r="B418" s="630"/>
      <c r="C418" s="1041" t="s">
        <v>2582</v>
      </c>
      <c r="D418" s="675" t="s">
        <v>2580</v>
      </c>
      <c r="E418" s="697">
        <v>1317551</v>
      </c>
      <c r="F418" s="698">
        <v>1317551</v>
      </c>
      <c r="G418" s="1002"/>
      <c r="H418" s="705"/>
      <c r="I418" s="705"/>
    </row>
    <row r="419" spans="1:9" s="543" customFormat="1" ht="12.75">
      <c r="A419" s="1126" t="s">
        <v>3071</v>
      </c>
      <c r="B419" s="630"/>
      <c r="C419" s="1041" t="s">
        <v>2583</v>
      </c>
      <c r="D419" s="675" t="s">
        <v>2580</v>
      </c>
      <c r="E419" s="697">
        <v>898212</v>
      </c>
      <c r="F419" s="698">
        <v>898212</v>
      </c>
      <c r="G419" s="1002"/>
      <c r="H419" s="705"/>
      <c r="I419" s="705"/>
    </row>
    <row r="420" spans="1:9" s="543" customFormat="1" ht="12.75">
      <c r="A420" s="1126" t="s">
        <v>3073</v>
      </c>
      <c r="B420" s="630"/>
      <c r="C420" s="1032" t="s">
        <v>2585</v>
      </c>
      <c r="D420" s="597" t="s">
        <v>2445</v>
      </c>
      <c r="E420" s="697">
        <v>1628000</v>
      </c>
      <c r="F420" s="698">
        <v>1628000</v>
      </c>
      <c r="G420" s="1002"/>
      <c r="H420" s="705"/>
      <c r="I420" s="705"/>
    </row>
    <row r="421" spans="1:9" s="543" customFormat="1" ht="12.75">
      <c r="A421" s="1126" t="s">
        <v>3075</v>
      </c>
      <c r="B421" s="630"/>
      <c r="C421" s="1032" t="s">
        <v>2587</v>
      </c>
      <c r="D421" s="597" t="s">
        <v>2445</v>
      </c>
      <c r="E421" s="697">
        <v>1191000</v>
      </c>
      <c r="F421" s="698">
        <v>1191000</v>
      </c>
      <c r="G421" s="1002"/>
      <c r="H421" s="705"/>
      <c r="I421" s="705"/>
    </row>
    <row r="422" spans="1:9" s="543" customFormat="1" ht="12.75">
      <c r="A422" s="1126" t="s">
        <v>3077</v>
      </c>
      <c r="B422" s="630"/>
      <c r="C422" s="1032" t="s">
        <v>2589</v>
      </c>
      <c r="D422" s="597" t="s">
        <v>2545</v>
      </c>
      <c r="E422" s="697">
        <v>1467188</v>
      </c>
      <c r="F422" s="698">
        <v>1467188</v>
      </c>
      <c r="G422" s="1002"/>
      <c r="H422" s="705"/>
      <c r="I422" s="705"/>
    </row>
    <row r="423" spans="1:9" s="543" customFormat="1" ht="12.75">
      <c r="A423" s="1126" t="s">
        <v>3079</v>
      </c>
      <c r="B423" s="630"/>
      <c r="C423" s="1032" t="s">
        <v>2591</v>
      </c>
      <c r="D423" s="597" t="s">
        <v>2445</v>
      </c>
      <c r="E423" s="697">
        <v>323633</v>
      </c>
      <c r="F423" s="698">
        <v>323633</v>
      </c>
      <c r="G423" s="1002"/>
      <c r="H423" s="705"/>
      <c r="I423" s="705"/>
    </row>
    <row r="424" spans="1:9" s="543" customFormat="1" ht="12.75">
      <c r="A424" s="1126" t="s">
        <v>3081</v>
      </c>
      <c r="B424" s="630"/>
      <c r="C424" s="1032" t="s">
        <v>2593</v>
      </c>
      <c r="D424" s="597" t="s">
        <v>2594</v>
      </c>
      <c r="E424" s="697">
        <v>12622</v>
      </c>
      <c r="F424" s="698">
        <v>12622</v>
      </c>
      <c r="G424" s="1002"/>
      <c r="H424" s="705"/>
      <c r="I424" s="705"/>
    </row>
    <row r="425" spans="1:9" s="543" customFormat="1" ht="12.75">
      <c r="A425" s="1126" t="s">
        <v>3084</v>
      </c>
      <c r="B425" s="630"/>
      <c r="C425" s="1032" t="s">
        <v>2596</v>
      </c>
      <c r="D425" s="597" t="s">
        <v>2445</v>
      </c>
      <c r="E425" s="697">
        <v>139019</v>
      </c>
      <c r="F425" s="698">
        <v>139019</v>
      </c>
      <c r="G425" s="1002"/>
      <c r="H425" s="705"/>
      <c r="I425" s="705"/>
    </row>
    <row r="426" spans="1:9" s="543" customFormat="1" ht="13.5" thickBot="1">
      <c r="A426" s="1126" t="s">
        <v>3086</v>
      </c>
      <c r="B426" s="630"/>
      <c r="C426" s="1032" t="s">
        <v>2598</v>
      </c>
      <c r="D426" s="597" t="s">
        <v>2599</v>
      </c>
      <c r="E426" s="697">
        <v>135000</v>
      </c>
      <c r="F426" s="698">
        <v>135000</v>
      </c>
      <c r="G426" s="1002"/>
      <c r="H426" s="705"/>
      <c r="I426" s="705"/>
    </row>
    <row r="427" spans="1:9" s="666" customFormat="1" ht="48.75" thickBot="1">
      <c r="A427" s="605" t="s">
        <v>4597</v>
      </c>
      <c r="B427" s="606" t="s">
        <v>4601</v>
      </c>
      <c r="C427" s="1008" t="s">
        <v>4602</v>
      </c>
      <c r="D427" s="606" t="s">
        <v>4603</v>
      </c>
      <c r="E427" s="738" t="s">
        <v>4604</v>
      </c>
      <c r="F427" s="739" t="s">
        <v>4605</v>
      </c>
      <c r="G427" s="1127"/>
      <c r="H427" s="1128"/>
      <c r="I427" s="1128"/>
    </row>
    <row r="428" spans="1:9" s="543" customFormat="1" ht="12.75">
      <c r="A428" s="1126" t="s">
        <v>3088</v>
      </c>
      <c r="B428" s="630"/>
      <c r="C428" s="1032" t="s">
        <v>2601</v>
      </c>
      <c r="D428" s="597" t="s">
        <v>2594</v>
      </c>
      <c r="E428" s="697">
        <v>1520212</v>
      </c>
      <c r="F428" s="698">
        <v>1520212</v>
      </c>
      <c r="G428" s="1002"/>
      <c r="H428" s="705"/>
      <c r="I428" s="705"/>
    </row>
    <row r="429" spans="1:9" s="543" customFormat="1" ht="12.75">
      <c r="A429" s="1126" t="s">
        <v>3090</v>
      </c>
      <c r="B429" s="630"/>
      <c r="C429" s="1032" t="s">
        <v>2603</v>
      </c>
      <c r="D429" s="597" t="s">
        <v>2604</v>
      </c>
      <c r="E429" s="697">
        <v>394000</v>
      </c>
      <c r="F429" s="698">
        <v>394000</v>
      </c>
      <c r="G429" s="1002"/>
      <c r="H429" s="705"/>
      <c r="I429" s="705"/>
    </row>
    <row r="430" spans="1:9" s="543" customFormat="1" ht="12.75">
      <c r="A430" s="1126" t="s">
        <v>3092</v>
      </c>
      <c r="B430" s="630"/>
      <c r="C430" s="1032" t="s">
        <v>2606</v>
      </c>
      <c r="D430" s="597" t="s">
        <v>2594</v>
      </c>
      <c r="E430" s="697">
        <v>334684</v>
      </c>
      <c r="F430" s="698">
        <v>334684</v>
      </c>
      <c r="G430" s="1002"/>
      <c r="H430" s="705"/>
      <c r="I430" s="705"/>
    </row>
    <row r="431" spans="1:9" s="543" customFormat="1" ht="12.75">
      <c r="A431" s="1126" t="s">
        <v>3094</v>
      </c>
      <c r="B431" s="630"/>
      <c r="C431" s="1032" t="s">
        <v>2608</v>
      </c>
      <c r="D431" s="597" t="s">
        <v>2599</v>
      </c>
      <c r="E431" s="697">
        <v>5209000</v>
      </c>
      <c r="F431" s="698">
        <v>5209000</v>
      </c>
      <c r="G431" s="1002"/>
      <c r="H431" s="705"/>
      <c r="I431" s="705"/>
    </row>
    <row r="432" spans="1:9" s="543" customFormat="1" ht="12.75">
      <c r="A432" s="1126" t="s">
        <v>3096</v>
      </c>
      <c r="B432" s="676"/>
      <c r="C432" s="1119" t="s">
        <v>2610</v>
      </c>
      <c r="D432" s="652" t="s">
        <v>2594</v>
      </c>
      <c r="E432" s="1120">
        <v>1088039</v>
      </c>
      <c r="F432" s="698">
        <v>1088039</v>
      </c>
      <c r="G432" s="1002"/>
      <c r="H432" s="705"/>
      <c r="I432" s="705"/>
    </row>
    <row r="433" spans="1:9" s="543" customFormat="1" ht="12.75">
      <c r="A433" s="1126" t="s">
        <v>3098</v>
      </c>
      <c r="B433" s="630"/>
      <c r="C433" s="1032" t="s">
        <v>2612</v>
      </c>
      <c r="D433" s="652" t="s">
        <v>2594</v>
      </c>
      <c r="E433" s="697">
        <v>163000</v>
      </c>
      <c r="F433" s="698">
        <v>163000</v>
      </c>
      <c r="G433" s="1002"/>
      <c r="H433" s="705"/>
      <c r="I433" s="705"/>
    </row>
    <row r="434" spans="1:9" s="543" customFormat="1" ht="12.75">
      <c r="A434" s="1126" t="s">
        <v>3100</v>
      </c>
      <c r="B434" s="630"/>
      <c r="C434" s="1032" t="s">
        <v>2614</v>
      </c>
      <c r="D434" s="597" t="s">
        <v>2445</v>
      </c>
      <c r="E434" s="697">
        <v>91000</v>
      </c>
      <c r="F434" s="698">
        <v>91000</v>
      </c>
      <c r="G434" s="1002"/>
      <c r="H434" s="705"/>
      <c r="I434" s="705"/>
    </row>
    <row r="435" spans="1:9" s="543" customFormat="1" ht="12.75">
      <c r="A435" s="1126" t="s">
        <v>3101</v>
      </c>
      <c r="B435" s="630"/>
      <c r="C435" s="1032" t="s">
        <v>2616</v>
      </c>
      <c r="D435" s="597" t="s">
        <v>5203</v>
      </c>
      <c r="E435" s="697">
        <v>175000</v>
      </c>
      <c r="F435" s="698">
        <v>175000</v>
      </c>
      <c r="G435" s="1002"/>
      <c r="H435" s="705"/>
      <c r="I435" s="705"/>
    </row>
    <row r="436" spans="1:9" s="543" customFormat="1" ht="12.75">
      <c r="A436" s="1126" t="s">
        <v>3103</v>
      </c>
      <c r="B436" s="630"/>
      <c r="C436" s="1032" t="s">
        <v>2618</v>
      </c>
      <c r="D436" s="597" t="s">
        <v>5203</v>
      </c>
      <c r="E436" s="697">
        <v>180000</v>
      </c>
      <c r="F436" s="698">
        <v>180000</v>
      </c>
      <c r="G436" s="1002"/>
      <c r="H436" s="705"/>
      <c r="I436" s="705"/>
    </row>
    <row r="437" spans="1:9" s="543" customFormat="1" ht="12.75">
      <c r="A437" s="1126" t="s">
        <v>3105</v>
      </c>
      <c r="B437" s="630"/>
      <c r="C437" s="1032" t="s">
        <v>2620</v>
      </c>
      <c r="D437" s="597" t="s">
        <v>5203</v>
      </c>
      <c r="E437" s="697">
        <v>193000</v>
      </c>
      <c r="F437" s="698">
        <v>193000</v>
      </c>
      <c r="G437" s="1002"/>
      <c r="H437" s="705"/>
      <c r="I437" s="705"/>
    </row>
    <row r="438" spans="1:9" s="543" customFormat="1" ht="12.75">
      <c r="A438" s="1126" t="s">
        <v>3107</v>
      </c>
      <c r="B438" s="630"/>
      <c r="C438" s="1032" t="s">
        <v>2622</v>
      </c>
      <c r="D438" s="597" t="s">
        <v>2594</v>
      </c>
      <c r="E438" s="697">
        <v>147956</v>
      </c>
      <c r="F438" s="698">
        <v>147956</v>
      </c>
      <c r="G438" s="1002"/>
      <c r="H438" s="705"/>
      <c r="I438" s="705"/>
    </row>
    <row r="439" spans="1:9" s="543" customFormat="1" ht="12.75">
      <c r="A439" s="1126" t="s">
        <v>3109</v>
      </c>
      <c r="B439" s="630"/>
      <c r="C439" s="1032" t="s">
        <v>2624</v>
      </c>
      <c r="D439" s="597" t="s">
        <v>2594</v>
      </c>
      <c r="E439" s="697">
        <v>176823</v>
      </c>
      <c r="F439" s="698">
        <v>176823</v>
      </c>
      <c r="G439" s="1002"/>
      <c r="H439" s="705"/>
      <c r="I439" s="705"/>
    </row>
    <row r="440" spans="1:9" s="543" customFormat="1" ht="12.75">
      <c r="A440" s="1126" t="s">
        <v>3111</v>
      </c>
      <c r="B440" s="630"/>
      <c r="C440" s="1032" t="s">
        <v>2626</v>
      </c>
      <c r="D440" s="597" t="s">
        <v>2594</v>
      </c>
      <c r="E440" s="697">
        <v>1092000</v>
      </c>
      <c r="F440" s="698">
        <v>1092000</v>
      </c>
      <c r="G440" s="1002"/>
      <c r="H440" s="705"/>
      <c r="I440" s="705"/>
    </row>
    <row r="441" spans="1:9" s="543" customFormat="1" ht="12.75">
      <c r="A441" s="1126" t="s">
        <v>3112</v>
      </c>
      <c r="B441" s="630"/>
      <c r="C441" s="1032" t="s">
        <v>2628</v>
      </c>
      <c r="D441" s="597" t="s">
        <v>5236</v>
      </c>
      <c r="E441" s="697">
        <v>93000</v>
      </c>
      <c r="F441" s="698">
        <v>93000</v>
      </c>
      <c r="G441" s="1002"/>
      <c r="H441" s="705"/>
      <c r="I441" s="705"/>
    </row>
    <row r="442" spans="1:9" s="543" customFormat="1" ht="12.75">
      <c r="A442" s="1126" t="s">
        <v>3114</v>
      </c>
      <c r="B442" s="630"/>
      <c r="C442" s="1032" t="s">
        <v>2630</v>
      </c>
      <c r="D442" s="597" t="s">
        <v>2594</v>
      </c>
      <c r="E442" s="697">
        <v>541643</v>
      </c>
      <c r="F442" s="698">
        <v>541643</v>
      </c>
      <c r="G442" s="1002"/>
      <c r="H442" s="705"/>
      <c r="I442" s="705"/>
    </row>
    <row r="443" spans="1:9" s="543" customFormat="1" ht="12.75">
      <c r="A443" s="1126" t="s">
        <v>3116</v>
      </c>
      <c r="B443" s="630"/>
      <c r="C443" s="1032" t="s">
        <v>2632</v>
      </c>
      <c r="D443" s="597" t="s">
        <v>2594</v>
      </c>
      <c r="E443" s="697">
        <v>216802</v>
      </c>
      <c r="F443" s="698">
        <v>216802</v>
      </c>
      <c r="G443" s="1002"/>
      <c r="H443" s="705"/>
      <c r="I443" s="705"/>
    </row>
    <row r="444" spans="1:9" s="543" customFormat="1" ht="12.75">
      <c r="A444" s="1126" t="s">
        <v>3117</v>
      </c>
      <c r="B444" s="630"/>
      <c r="C444" s="1032" t="s">
        <v>2634</v>
      </c>
      <c r="D444" s="597" t="s">
        <v>2594</v>
      </c>
      <c r="E444" s="697">
        <v>1229000</v>
      </c>
      <c r="F444" s="698">
        <v>1229000</v>
      </c>
      <c r="G444" s="1002"/>
      <c r="H444" s="705"/>
      <c r="I444" s="705"/>
    </row>
    <row r="445" spans="1:9" s="543" customFormat="1" ht="25.5">
      <c r="A445" s="1126" t="s">
        <v>3118</v>
      </c>
      <c r="B445" s="630"/>
      <c r="C445" s="1032" t="s">
        <v>2636</v>
      </c>
      <c r="D445" s="597" t="s">
        <v>2637</v>
      </c>
      <c r="E445" s="697">
        <v>1712000</v>
      </c>
      <c r="F445" s="698">
        <v>1712000</v>
      </c>
      <c r="G445" s="1002"/>
      <c r="H445" s="705"/>
      <c r="I445" s="705"/>
    </row>
    <row r="446" spans="1:9" s="543" customFormat="1" ht="12.75">
      <c r="A446" s="1126" t="s">
        <v>3120</v>
      </c>
      <c r="B446" s="630"/>
      <c r="C446" s="1032" t="s">
        <v>2639</v>
      </c>
      <c r="D446" s="597" t="s">
        <v>2599</v>
      </c>
      <c r="E446" s="697">
        <v>479000</v>
      </c>
      <c r="F446" s="698">
        <v>479000</v>
      </c>
      <c r="G446" s="1002"/>
      <c r="H446" s="705"/>
      <c r="I446" s="705"/>
    </row>
    <row r="447" spans="1:9" s="543" customFormat="1" ht="12.75">
      <c r="A447" s="1126" t="s">
        <v>3121</v>
      </c>
      <c r="B447" s="630"/>
      <c r="C447" s="1032" t="s">
        <v>2641</v>
      </c>
      <c r="D447" s="597" t="s">
        <v>2642</v>
      </c>
      <c r="E447" s="697">
        <v>45000</v>
      </c>
      <c r="F447" s="698">
        <v>45000</v>
      </c>
      <c r="G447" s="1002"/>
      <c r="H447" s="705"/>
      <c r="I447" s="705"/>
    </row>
    <row r="448" spans="1:9" s="543" customFormat="1" ht="12.75">
      <c r="A448" s="1126" t="s">
        <v>3122</v>
      </c>
      <c r="B448" s="630"/>
      <c r="C448" s="1032" t="s">
        <v>2644</v>
      </c>
      <c r="D448" s="597" t="s">
        <v>5205</v>
      </c>
      <c r="E448" s="697">
        <v>1334000</v>
      </c>
      <c r="F448" s="698">
        <v>1334000</v>
      </c>
      <c r="G448" s="1002"/>
      <c r="H448" s="705"/>
      <c r="I448" s="705"/>
    </row>
    <row r="449" spans="1:9" s="543" customFormat="1" ht="12.75">
      <c r="A449" s="1126" t="s">
        <v>3125</v>
      </c>
      <c r="B449" s="630"/>
      <c r="C449" s="1032" t="s">
        <v>2646</v>
      </c>
      <c r="D449" s="597" t="s">
        <v>2647</v>
      </c>
      <c r="E449" s="697">
        <v>330000</v>
      </c>
      <c r="F449" s="698">
        <v>330000</v>
      </c>
      <c r="G449" s="1002"/>
      <c r="H449" s="705"/>
      <c r="I449" s="705"/>
    </row>
    <row r="450" spans="1:9" s="543" customFormat="1" ht="12.75">
      <c r="A450" s="1126" t="s">
        <v>3128</v>
      </c>
      <c r="B450" s="630"/>
      <c r="C450" s="1032" t="s">
        <v>2649</v>
      </c>
      <c r="D450" s="597" t="s">
        <v>2650</v>
      </c>
      <c r="E450" s="697">
        <v>582000</v>
      </c>
      <c r="F450" s="698">
        <v>582000</v>
      </c>
      <c r="G450" s="1002"/>
      <c r="H450" s="705"/>
      <c r="I450" s="705"/>
    </row>
    <row r="451" spans="1:9" s="543" customFormat="1" ht="12.75">
      <c r="A451" s="1126" t="s">
        <v>3130</v>
      </c>
      <c r="B451" s="630"/>
      <c r="C451" s="1032" t="s">
        <v>2652</v>
      </c>
      <c r="D451" s="597" t="s">
        <v>3482</v>
      </c>
      <c r="E451" s="697">
        <v>6738000</v>
      </c>
      <c r="F451" s="698">
        <v>6738000</v>
      </c>
      <c r="G451" s="1002"/>
      <c r="H451" s="705"/>
      <c r="I451" s="705"/>
    </row>
    <row r="452" spans="1:9" s="543" customFormat="1" ht="12.75">
      <c r="A452" s="1126" t="s">
        <v>3132</v>
      </c>
      <c r="B452" s="630"/>
      <c r="C452" s="1032" t="s">
        <v>3484</v>
      </c>
      <c r="D452" s="597" t="s">
        <v>3485</v>
      </c>
      <c r="E452" s="697">
        <v>2192000</v>
      </c>
      <c r="F452" s="698">
        <v>2192000</v>
      </c>
      <c r="G452" s="1002"/>
      <c r="H452" s="705"/>
      <c r="I452" s="705"/>
    </row>
    <row r="453" spans="1:9" s="543" customFormat="1" ht="12.75">
      <c r="A453" s="1126" t="s">
        <v>3134</v>
      </c>
      <c r="B453" s="630"/>
      <c r="C453" s="1032" t="s">
        <v>3487</v>
      </c>
      <c r="D453" s="597" t="s">
        <v>3488</v>
      </c>
      <c r="E453" s="697">
        <v>1228000</v>
      </c>
      <c r="F453" s="698">
        <v>1228000</v>
      </c>
      <c r="G453" s="1002"/>
      <c r="H453" s="705"/>
      <c r="I453" s="705"/>
    </row>
    <row r="454" spans="1:9" s="543" customFormat="1" ht="12.75">
      <c r="A454" s="1126" t="s">
        <v>3135</v>
      </c>
      <c r="B454" s="630"/>
      <c r="C454" s="1032" t="s">
        <v>3490</v>
      </c>
      <c r="D454" s="597" t="s">
        <v>3491</v>
      </c>
      <c r="E454" s="697">
        <v>58000</v>
      </c>
      <c r="F454" s="698">
        <v>58000</v>
      </c>
      <c r="G454" s="1002"/>
      <c r="H454" s="705"/>
      <c r="I454" s="705"/>
    </row>
    <row r="455" spans="1:9" s="543" customFormat="1" ht="12.75">
      <c r="A455" s="1126" t="s">
        <v>3137</v>
      </c>
      <c r="B455" s="630"/>
      <c r="C455" s="1032" t="s">
        <v>3493</v>
      </c>
      <c r="D455" s="597" t="s">
        <v>3494</v>
      </c>
      <c r="E455" s="697">
        <v>92000</v>
      </c>
      <c r="F455" s="698">
        <v>92000</v>
      </c>
      <c r="G455" s="1002"/>
      <c r="H455" s="705"/>
      <c r="I455" s="705"/>
    </row>
    <row r="456" spans="1:9" s="543" customFormat="1" ht="12.75">
      <c r="A456" s="1126" t="s">
        <v>3139</v>
      </c>
      <c r="B456" s="630"/>
      <c r="C456" s="1032" t="s">
        <v>3496</v>
      </c>
      <c r="D456" s="597" t="s">
        <v>3497</v>
      </c>
      <c r="E456" s="697">
        <v>95000</v>
      </c>
      <c r="F456" s="698">
        <v>95000</v>
      </c>
      <c r="G456" s="1002"/>
      <c r="H456" s="705"/>
      <c r="I456" s="705"/>
    </row>
    <row r="457" spans="1:9" s="543" customFormat="1" ht="12.75">
      <c r="A457" s="1126" t="s">
        <v>3141</v>
      </c>
      <c r="B457" s="630"/>
      <c r="C457" s="1032" t="s">
        <v>3499</v>
      </c>
      <c r="D457" s="597" t="s">
        <v>3500</v>
      </c>
      <c r="E457" s="697">
        <v>91000</v>
      </c>
      <c r="F457" s="698">
        <v>91000</v>
      </c>
      <c r="G457" s="1002"/>
      <c r="H457" s="705"/>
      <c r="I457" s="705"/>
    </row>
    <row r="458" spans="1:9" s="543" customFormat="1" ht="12.75">
      <c r="A458" s="1126" t="s">
        <v>3143</v>
      </c>
      <c r="B458" s="630"/>
      <c r="C458" s="1032" t="s">
        <v>3502</v>
      </c>
      <c r="D458" s="597" t="s">
        <v>3503</v>
      </c>
      <c r="E458" s="697">
        <v>264000</v>
      </c>
      <c r="F458" s="698">
        <v>264000</v>
      </c>
      <c r="G458" s="1002"/>
      <c r="H458" s="705"/>
      <c r="I458" s="705"/>
    </row>
    <row r="459" spans="1:9" s="543" customFormat="1" ht="12.75">
      <c r="A459" s="1126" t="s">
        <v>3145</v>
      </c>
      <c r="B459" s="630"/>
      <c r="C459" s="1032" t="s">
        <v>3505</v>
      </c>
      <c r="D459" s="597" t="s">
        <v>3506</v>
      </c>
      <c r="E459" s="697">
        <v>453000</v>
      </c>
      <c r="F459" s="698">
        <v>453000</v>
      </c>
      <c r="G459" s="1002"/>
      <c r="H459" s="705"/>
      <c r="I459" s="705"/>
    </row>
    <row r="460" spans="1:9" s="543" customFormat="1" ht="12.75">
      <c r="A460" s="1126" t="s">
        <v>3147</v>
      </c>
      <c r="B460" s="630"/>
      <c r="C460" s="1032" t="s">
        <v>3508</v>
      </c>
      <c r="D460" s="597" t="s">
        <v>3509</v>
      </c>
      <c r="E460" s="697">
        <v>439000</v>
      </c>
      <c r="F460" s="698">
        <v>439000</v>
      </c>
      <c r="G460" s="1002"/>
      <c r="H460" s="705"/>
      <c r="I460" s="705"/>
    </row>
    <row r="461" spans="1:9" s="543" customFormat="1" ht="12.75">
      <c r="A461" s="1126" t="s">
        <v>3149</v>
      </c>
      <c r="B461" s="630"/>
      <c r="C461" s="1032" t="s">
        <v>3511</v>
      </c>
      <c r="D461" s="597" t="s">
        <v>3512</v>
      </c>
      <c r="E461" s="697">
        <v>7913000</v>
      </c>
      <c r="F461" s="698">
        <v>7913000</v>
      </c>
      <c r="G461" s="1002"/>
      <c r="H461" s="705"/>
      <c r="I461" s="705"/>
    </row>
    <row r="462" spans="1:9" s="543" customFormat="1" ht="12.75">
      <c r="A462" s="1126" t="s">
        <v>3151</v>
      </c>
      <c r="B462" s="630"/>
      <c r="C462" s="1032" t="s">
        <v>3514</v>
      </c>
      <c r="D462" s="597" t="s">
        <v>3515</v>
      </c>
      <c r="E462" s="697">
        <v>220000</v>
      </c>
      <c r="F462" s="698">
        <v>220000</v>
      </c>
      <c r="G462" s="1002"/>
      <c r="H462" s="705"/>
      <c r="I462" s="705"/>
    </row>
    <row r="463" spans="1:9" s="543" customFormat="1" ht="25.5">
      <c r="A463" s="1126" t="s">
        <v>3153</v>
      </c>
      <c r="B463" s="630"/>
      <c r="C463" s="1032" t="s">
        <v>3517</v>
      </c>
      <c r="D463" s="597" t="s">
        <v>3518</v>
      </c>
      <c r="E463" s="697">
        <v>113000</v>
      </c>
      <c r="F463" s="698">
        <v>113000</v>
      </c>
      <c r="G463" s="1002"/>
      <c r="H463" s="705"/>
      <c r="I463" s="705"/>
    </row>
    <row r="464" spans="1:9" s="543" customFormat="1" ht="12.75">
      <c r="A464" s="1126" t="s">
        <v>3155</v>
      </c>
      <c r="B464" s="630"/>
      <c r="C464" s="1032" t="s">
        <v>3520</v>
      </c>
      <c r="D464" s="597" t="s">
        <v>3521</v>
      </c>
      <c r="E464" s="697">
        <v>30000</v>
      </c>
      <c r="F464" s="698">
        <v>30000</v>
      </c>
      <c r="G464" s="1002"/>
      <c r="H464" s="705"/>
      <c r="I464" s="705"/>
    </row>
    <row r="465" spans="1:9" s="543" customFormat="1" ht="12.75">
      <c r="A465" s="1126" t="s">
        <v>3156</v>
      </c>
      <c r="B465" s="630"/>
      <c r="C465" s="1032" t="s">
        <v>3523</v>
      </c>
      <c r="D465" s="597" t="s">
        <v>3524</v>
      </c>
      <c r="E465" s="697">
        <v>451000</v>
      </c>
      <c r="F465" s="698">
        <v>451000</v>
      </c>
      <c r="G465" s="1002"/>
      <c r="H465" s="705"/>
      <c r="I465" s="705"/>
    </row>
    <row r="466" spans="1:9" s="543" customFormat="1" ht="12.75">
      <c r="A466" s="1126" t="s">
        <v>3157</v>
      </c>
      <c r="B466" s="630"/>
      <c r="C466" s="1032" t="s">
        <v>3526</v>
      </c>
      <c r="D466" s="597" t="s">
        <v>3527</v>
      </c>
      <c r="E466" s="697">
        <v>492000</v>
      </c>
      <c r="F466" s="698">
        <v>492000</v>
      </c>
      <c r="G466" s="1002"/>
      <c r="H466" s="705"/>
      <c r="I466" s="705"/>
    </row>
    <row r="467" spans="1:9" s="543" customFormat="1" ht="12.75">
      <c r="A467" s="1126" t="s">
        <v>3160</v>
      </c>
      <c r="B467" s="630"/>
      <c r="C467" s="1032" t="s">
        <v>3529</v>
      </c>
      <c r="D467" s="597" t="s">
        <v>3530</v>
      </c>
      <c r="E467" s="697">
        <v>577000</v>
      </c>
      <c r="F467" s="698">
        <v>577000</v>
      </c>
      <c r="G467" s="1002"/>
      <c r="H467" s="705"/>
      <c r="I467" s="705"/>
    </row>
    <row r="468" spans="1:9" s="543" customFormat="1" ht="12.75">
      <c r="A468" s="1126" t="s">
        <v>3161</v>
      </c>
      <c r="B468" s="630"/>
      <c r="C468" s="1032" t="s">
        <v>3532</v>
      </c>
      <c r="D468" s="597" t="s">
        <v>3533</v>
      </c>
      <c r="E468" s="697">
        <v>1553000</v>
      </c>
      <c r="F468" s="698">
        <v>1553000</v>
      </c>
      <c r="G468" s="1002"/>
      <c r="H468" s="705"/>
      <c r="I468" s="705"/>
    </row>
    <row r="469" spans="1:9" s="543" customFormat="1" ht="12.75">
      <c r="A469" s="1126" t="s">
        <v>3163</v>
      </c>
      <c r="B469" s="630"/>
      <c r="C469" s="1032" t="s">
        <v>3535</v>
      </c>
      <c r="D469" s="608" t="s">
        <v>3536</v>
      </c>
      <c r="E469" s="697">
        <v>46000</v>
      </c>
      <c r="F469" s="698">
        <v>46000</v>
      </c>
      <c r="G469" s="1002"/>
      <c r="H469" s="705"/>
      <c r="I469" s="705"/>
    </row>
    <row r="470" spans="1:9" s="543" customFormat="1" ht="12.75">
      <c r="A470" s="1126" t="s">
        <v>3165</v>
      </c>
      <c r="B470" s="630"/>
      <c r="C470" s="1032" t="s">
        <v>3538</v>
      </c>
      <c r="D470" s="597" t="s">
        <v>3539</v>
      </c>
      <c r="E470" s="697">
        <v>52000</v>
      </c>
      <c r="F470" s="698">
        <v>52000</v>
      </c>
      <c r="G470" s="1002"/>
      <c r="H470" s="705"/>
      <c r="I470" s="705"/>
    </row>
    <row r="471" spans="1:9" s="543" customFormat="1" ht="12.75">
      <c r="A471" s="1126" t="s">
        <v>3167</v>
      </c>
      <c r="B471" s="630"/>
      <c r="C471" s="1032" t="s">
        <v>3541</v>
      </c>
      <c r="D471" s="597" t="s">
        <v>3542</v>
      </c>
      <c r="E471" s="697">
        <v>170000</v>
      </c>
      <c r="F471" s="698">
        <v>170000</v>
      </c>
      <c r="G471" s="1002"/>
      <c r="H471" s="705"/>
      <c r="I471" s="705"/>
    </row>
    <row r="472" spans="1:9" s="543" customFormat="1" ht="12.75">
      <c r="A472" s="1126" t="s">
        <v>3169</v>
      </c>
      <c r="B472" s="630"/>
      <c r="C472" s="1032" t="s">
        <v>3544</v>
      </c>
      <c r="D472" s="597" t="s">
        <v>3545</v>
      </c>
      <c r="E472" s="697">
        <v>131000</v>
      </c>
      <c r="F472" s="698">
        <v>131000</v>
      </c>
      <c r="G472" s="1002"/>
      <c r="H472" s="705"/>
      <c r="I472" s="705"/>
    </row>
    <row r="473" spans="1:9" s="543" customFormat="1" ht="12.75">
      <c r="A473" s="1126" t="s">
        <v>3171</v>
      </c>
      <c r="B473" s="630"/>
      <c r="C473" s="1032" t="s">
        <v>3547</v>
      </c>
      <c r="D473" s="597" t="s">
        <v>3548</v>
      </c>
      <c r="E473" s="697">
        <v>575000</v>
      </c>
      <c r="F473" s="698">
        <v>575000</v>
      </c>
      <c r="G473" s="1002"/>
      <c r="H473" s="705"/>
      <c r="I473" s="705"/>
    </row>
    <row r="474" spans="1:9" s="543" customFormat="1" ht="12.75">
      <c r="A474" s="1126" t="s">
        <v>3173</v>
      </c>
      <c r="B474" s="630"/>
      <c r="C474" s="1032" t="s">
        <v>3550</v>
      </c>
      <c r="D474" s="597" t="s">
        <v>2845</v>
      </c>
      <c r="E474" s="697">
        <v>5000</v>
      </c>
      <c r="F474" s="698">
        <v>5000</v>
      </c>
      <c r="G474" s="1002"/>
      <c r="H474" s="705"/>
      <c r="I474" s="705"/>
    </row>
    <row r="475" spans="1:9" s="543" customFormat="1" ht="12.75">
      <c r="A475" s="1126" t="s">
        <v>3175</v>
      </c>
      <c r="B475" s="630"/>
      <c r="C475" s="1032" t="s">
        <v>2847</v>
      </c>
      <c r="D475" s="597" t="s">
        <v>2848</v>
      </c>
      <c r="E475" s="697">
        <v>271000</v>
      </c>
      <c r="F475" s="698">
        <v>271000</v>
      </c>
      <c r="G475" s="1002"/>
      <c r="H475" s="705"/>
      <c r="I475" s="705"/>
    </row>
    <row r="476" spans="1:9" s="543" customFormat="1" ht="12.75">
      <c r="A476" s="1126" t="s">
        <v>3177</v>
      </c>
      <c r="B476" s="630"/>
      <c r="C476" s="1032" t="s">
        <v>2850</v>
      </c>
      <c r="D476" s="597" t="s">
        <v>2851</v>
      </c>
      <c r="E476" s="697">
        <v>223000</v>
      </c>
      <c r="F476" s="698">
        <v>223000</v>
      </c>
      <c r="G476" s="1002"/>
      <c r="H476" s="705"/>
      <c r="I476" s="705"/>
    </row>
    <row r="477" spans="1:9" s="543" customFormat="1" ht="12.75">
      <c r="A477" s="1126" t="s">
        <v>3179</v>
      </c>
      <c r="B477" s="630"/>
      <c r="C477" s="1032" t="s">
        <v>2853</v>
      </c>
      <c r="D477" s="597" t="s">
        <v>2854</v>
      </c>
      <c r="E477" s="697">
        <v>1855000</v>
      </c>
      <c r="F477" s="698">
        <v>1855000</v>
      </c>
      <c r="G477" s="1002"/>
      <c r="H477" s="705"/>
      <c r="I477" s="705"/>
    </row>
    <row r="478" spans="1:9" s="543" customFormat="1" ht="12.75">
      <c r="A478" s="1126" t="s">
        <v>3181</v>
      </c>
      <c r="B478" s="630"/>
      <c r="C478" s="1032" t="s">
        <v>2856</v>
      </c>
      <c r="D478" s="597" t="s">
        <v>2857</v>
      </c>
      <c r="E478" s="697">
        <v>170000</v>
      </c>
      <c r="F478" s="698">
        <v>170000</v>
      </c>
      <c r="G478" s="1002"/>
      <c r="H478" s="705"/>
      <c r="I478" s="705"/>
    </row>
    <row r="479" spans="1:9" s="543" customFormat="1" ht="12.75">
      <c r="A479" s="1126" t="s">
        <v>3184</v>
      </c>
      <c r="B479" s="630"/>
      <c r="C479" s="1032" t="s">
        <v>2859</v>
      </c>
      <c r="D479" s="597" t="s">
        <v>2860</v>
      </c>
      <c r="E479" s="697">
        <v>854000</v>
      </c>
      <c r="F479" s="698">
        <v>854000</v>
      </c>
      <c r="G479" s="1002"/>
      <c r="H479" s="705"/>
      <c r="I479" s="705"/>
    </row>
    <row r="480" spans="1:9" s="543" customFormat="1" ht="12.75">
      <c r="A480" s="1126" t="s">
        <v>3187</v>
      </c>
      <c r="B480" s="630"/>
      <c r="C480" s="1032" t="s">
        <v>2862</v>
      </c>
      <c r="D480" s="597" t="s">
        <v>2863</v>
      </c>
      <c r="E480" s="697">
        <v>127000</v>
      </c>
      <c r="F480" s="698">
        <v>127000</v>
      </c>
      <c r="G480" s="1002"/>
      <c r="H480" s="705"/>
      <c r="I480" s="705"/>
    </row>
    <row r="481" spans="1:9" s="543" customFormat="1" ht="12.75">
      <c r="A481" s="1126" t="s">
        <v>3189</v>
      </c>
      <c r="B481" s="630"/>
      <c r="C481" s="1032" t="s">
        <v>2865</v>
      </c>
      <c r="D481" s="597" t="s">
        <v>2866</v>
      </c>
      <c r="E481" s="697">
        <v>243000</v>
      </c>
      <c r="F481" s="698">
        <v>243000</v>
      </c>
      <c r="G481" s="1002"/>
      <c r="H481" s="705"/>
      <c r="I481" s="705"/>
    </row>
    <row r="482" spans="1:9" s="543" customFormat="1" ht="12.75">
      <c r="A482" s="1126" t="s">
        <v>3191</v>
      </c>
      <c r="B482" s="630"/>
      <c r="C482" s="1032" t="s">
        <v>2868</v>
      </c>
      <c r="D482" s="597" t="s">
        <v>2869</v>
      </c>
      <c r="E482" s="697">
        <v>16000</v>
      </c>
      <c r="F482" s="698">
        <v>16000</v>
      </c>
      <c r="G482" s="1002"/>
      <c r="H482" s="705"/>
      <c r="I482" s="705"/>
    </row>
    <row r="483" spans="1:9" s="543" customFormat="1" ht="13.5" thickBot="1">
      <c r="A483" s="1126" t="s">
        <v>3193</v>
      </c>
      <c r="B483" s="630"/>
      <c r="C483" s="1032" t="s">
        <v>2871</v>
      </c>
      <c r="D483" s="597" t="s">
        <v>2872</v>
      </c>
      <c r="E483" s="697">
        <v>9000</v>
      </c>
      <c r="F483" s="698">
        <v>9000</v>
      </c>
      <c r="G483" s="1002"/>
      <c r="H483" s="705"/>
      <c r="I483" s="705"/>
    </row>
    <row r="484" spans="1:9" s="666" customFormat="1" ht="48.75" thickBot="1">
      <c r="A484" s="605" t="s">
        <v>4597</v>
      </c>
      <c r="B484" s="606" t="s">
        <v>4601</v>
      </c>
      <c r="C484" s="1008" t="s">
        <v>4602</v>
      </c>
      <c r="D484" s="606" t="s">
        <v>4603</v>
      </c>
      <c r="E484" s="738" t="s">
        <v>4604</v>
      </c>
      <c r="F484" s="739" t="s">
        <v>4605</v>
      </c>
      <c r="G484" s="1127"/>
      <c r="H484" s="1128"/>
      <c r="I484" s="1128"/>
    </row>
    <row r="485" spans="1:9" s="543" customFormat="1" ht="12.75">
      <c r="A485" s="1126" t="s">
        <v>3195</v>
      </c>
      <c r="B485" s="630"/>
      <c r="C485" s="1032" t="s">
        <v>2874</v>
      </c>
      <c r="D485" s="597" t="s">
        <v>2863</v>
      </c>
      <c r="E485" s="697">
        <v>41000</v>
      </c>
      <c r="F485" s="698">
        <v>41000</v>
      </c>
      <c r="G485" s="1002"/>
      <c r="H485" s="705"/>
      <c r="I485" s="705"/>
    </row>
    <row r="486" spans="1:9" s="543" customFormat="1" ht="12.75">
      <c r="A486" s="1126" t="s">
        <v>3197</v>
      </c>
      <c r="B486" s="630"/>
      <c r="C486" s="1032" t="s">
        <v>2876</v>
      </c>
      <c r="D486" s="597" t="s">
        <v>2877</v>
      </c>
      <c r="E486" s="697">
        <v>331000</v>
      </c>
      <c r="F486" s="698">
        <v>331000</v>
      </c>
      <c r="G486" s="1002"/>
      <c r="H486" s="705"/>
      <c r="I486" s="705"/>
    </row>
    <row r="487" spans="1:9" s="543" customFormat="1" ht="12.75">
      <c r="A487" s="1126" t="s">
        <v>3737</v>
      </c>
      <c r="B487" s="630"/>
      <c r="C487" s="1032" t="s">
        <v>2879</v>
      </c>
      <c r="D487" s="597" t="s">
        <v>2880</v>
      </c>
      <c r="E487" s="697">
        <v>283000</v>
      </c>
      <c r="F487" s="698">
        <v>283000</v>
      </c>
      <c r="G487" s="1002"/>
      <c r="H487" s="705"/>
      <c r="I487" s="705"/>
    </row>
    <row r="488" spans="1:9" s="543" customFormat="1" ht="12.75">
      <c r="A488" s="1126" t="s">
        <v>3738</v>
      </c>
      <c r="B488" s="630"/>
      <c r="C488" s="1032" t="s">
        <v>2882</v>
      </c>
      <c r="D488" s="597" t="s">
        <v>2883</v>
      </c>
      <c r="E488" s="697">
        <v>10000</v>
      </c>
      <c r="F488" s="698">
        <v>10000</v>
      </c>
      <c r="G488" s="1002"/>
      <c r="H488" s="705"/>
      <c r="I488" s="705"/>
    </row>
    <row r="489" spans="1:9" s="543" customFormat="1" ht="12.75">
      <c r="A489" s="1126" t="s">
        <v>3739</v>
      </c>
      <c r="B489" s="630"/>
      <c r="C489" s="1032" t="s">
        <v>2885</v>
      </c>
      <c r="D489" s="597" t="s">
        <v>2886</v>
      </c>
      <c r="E489" s="697">
        <v>9000</v>
      </c>
      <c r="F489" s="698">
        <v>9000</v>
      </c>
      <c r="G489" s="1002"/>
      <c r="H489" s="705"/>
      <c r="I489" s="705"/>
    </row>
    <row r="490" spans="1:9" s="543" customFormat="1" ht="12.75">
      <c r="A490" s="1126" t="s">
        <v>3741</v>
      </c>
      <c r="B490" s="630"/>
      <c r="C490" s="1032" t="s">
        <v>2888</v>
      </c>
      <c r="D490" s="597" t="s">
        <v>2863</v>
      </c>
      <c r="E490" s="697">
        <v>100000</v>
      </c>
      <c r="F490" s="698">
        <v>100000</v>
      </c>
      <c r="G490" s="1002"/>
      <c r="H490" s="705"/>
      <c r="I490" s="705"/>
    </row>
    <row r="491" spans="1:9" s="543" customFormat="1" ht="12.75">
      <c r="A491" s="1126" t="s">
        <v>3743</v>
      </c>
      <c r="B491" s="630"/>
      <c r="C491" s="1032" t="s">
        <v>2890</v>
      </c>
      <c r="D491" s="597" t="s">
        <v>2891</v>
      </c>
      <c r="E491" s="697">
        <v>547000</v>
      </c>
      <c r="F491" s="698">
        <v>547000</v>
      </c>
      <c r="G491" s="1002"/>
      <c r="H491" s="705"/>
      <c r="I491" s="705"/>
    </row>
    <row r="492" spans="1:9" s="543" customFormat="1" ht="12.75">
      <c r="A492" s="1126" t="s">
        <v>3745</v>
      </c>
      <c r="B492" s="630"/>
      <c r="C492" s="1032" t="s">
        <v>2893</v>
      </c>
      <c r="D492" s="597" t="s">
        <v>2894</v>
      </c>
      <c r="E492" s="697">
        <v>136000</v>
      </c>
      <c r="F492" s="698">
        <v>136000</v>
      </c>
      <c r="G492" s="1002"/>
      <c r="H492" s="705"/>
      <c r="I492" s="705"/>
    </row>
    <row r="493" spans="1:9" s="543" customFormat="1" ht="12.75">
      <c r="A493" s="1126" t="s">
        <v>3748</v>
      </c>
      <c r="B493" s="630"/>
      <c r="C493" s="1032" t="s">
        <v>2896</v>
      </c>
      <c r="D493" s="597" t="s">
        <v>2897</v>
      </c>
      <c r="E493" s="697">
        <v>33000</v>
      </c>
      <c r="F493" s="698">
        <v>33000</v>
      </c>
      <c r="G493" s="1002"/>
      <c r="H493" s="705"/>
      <c r="I493" s="705"/>
    </row>
    <row r="494" spans="1:9" s="543" customFormat="1" ht="12.75">
      <c r="A494" s="1126" t="s">
        <v>3750</v>
      </c>
      <c r="B494" s="630"/>
      <c r="C494" s="1032" t="s">
        <v>2899</v>
      </c>
      <c r="D494" s="597" t="s">
        <v>2894</v>
      </c>
      <c r="E494" s="697">
        <v>96000</v>
      </c>
      <c r="F494" s="698">
        <v>96000</v>
      </c>
      <c r="G494" s="1002"/>
      <c r="H494" s="705"/>
      <c r="I494" s="705"/>
    </row>
    <row r="495" spans="1:9" s="543" customFormat="1" ht="12.75">
      <c r="A495" s="1126" t="s">
        <v>3752</v>
      </c>
      <c r="B495" s="630"/>
      <c r="C495" s="1032" t="s">
        <v>2901</v>
      </c>
      <c r="D495" s="597" t="s">
        <v>2902</v>
      </c>
      <c r="E495" s="697">
        <v>427000</v>
      </c>
      <c r="F495" s="698">
        <v>427000</v>
      </c>
      <c r="G495" s="1002"/>
      <c r="H495" s="705"/>
      <c r="I495" s="705"/>
    </row>
    <row r="496" spans="1:9" s="543" customFormat="1" ht="15.75" customHeight="1">
      <c r="A496" s="1126" t="s">
        <v>3753</v>
      </c>
      <c r="B496" s="630"/>
      <c r="C496" s="1032" t="s">
        <v>2904</v>
      </c>
      <c r="D496" s="597" t="s">
        <v>2905</v>
      </c>
      <c r="E496" s="697">
        <v>17435107</v>
      </c>
      <c r="F496" s="698">
        <v>17435107</v>
      </c>
      <c r="G496" s="1002"/>
      <c r="H496" s="705"/>
      <c r="I496" s="705"/>
    </row>
    <row r="497" spans="1:9" s="543" customFormat="1" ht="12.75">
      <c r="A497" s="1126" t="s">
        <v>3755</v>
      </c>
      <c r="B497" s="630"/>
      <c r="C497" s="1032" t="s">
        <v>2907</v>
      </c>
      <c r="D497" s="597" t="s">
        <v>2908</v>
      </c>
      <c r="E497" s="697">
        <v>461000</v>
      </c>
      <c r="F497" s="698">
        <v>461000</v>
      </c>
      <c r="G497" s="1002"/>
      <c r="H497" s="705"/>
      <c r="I497" s="705"/>
    </row>
    <row r="498" spans="1:9" s="543" customFormat="1" ht="12.75">
      <c r="A498" s="1126" t="s">
        <v>3758</v>
      </c>
      <c r="B498" s="630"/>
      <c r="C498" s="1032" t="s">
        <v>2910</v>
      </c>
      <c r="D498" s="597" t="s">
        <v>2911</v>
      </c>
      <c r="E498" s="697">
        <v>29284</v>
      </c>
      <c r="F498" s="698">
        <v>29284</v>
      </c>
      <c r="G498" s="1002"/>
      <c r="H498" s="705"/>
      <c r="I498" s="705"/>
    </row>
    <row r="499" spans="1:9" s="543" customFormat="1" ht="12.75">
      <c r="A499" s="1126" t="s">
        <v>3760</v>
      </c>
      <c r="B499" s="630"/>
      <c r="C499" s="1032" t="s">
        <v>2913</v>
      </c>
      <c r="D499" s="597" t="s">
        <v>2914</v>
      </c>
      <c r="E499" s="697">
        <v>30540</v>
      </c>
      <c r="F499" s="698">
        <v>30540</v>
      </c>
      <c r="G499" s="1002"/>
      <c r="H499" s="705"/>
      <c r="I499" s="705"/>
    </row>
    <row r="500" spans="1:9" s="543" customFormat="1" ht="25.5">
      <c r="A500" s="1126" t="s">
        <v>3762</v>
      </c>
      <c r="B500" s="630"/>
      <c r="C500" s="1032" t="s">
        <v>2916</v>
      </c>
      <c r="D500" s="597" t="s">
        <v>2917</v>
      </c>
      <c r="E500" s="697">
        <v>50000</v>
      </c>
      <c r="F500" s="698">
        <v>50000</v>
      </c>
      <c r="G500" s="1002"/>
      <c r="H500" s="705"/>
      <c r="I500" s="705"/>
    </row>
    <row r="501" spans="1:9" s="543" customFormat="1" ht="25.5">
      <c r="A501" s="1126" t="s">
        <v>3763</v>
      </c>
      <c r="B501" s="630"/>
      <c r="C501" s="1032" t="s">
        <v>2919</v>
      </c>
      <c r="D501" s="597" t="s">
        <v>2920</v>
      </c>
      <c r="E501" s="697">
        <v>70000</v>
      </c>
      <c r="F501" s="698">
        <v>70000</v>
      </c>
      <c r="G501" s="1002"/>
      <c r="H501" s="705"/>
      <c r="I501" s="705"/>
    </row>
    <row r="502" spans="1:9" s="543" customFormat="1" ht="12.75">
      <c r="A502" s="1126" t="s">
        <v>3764</v>
      </c>
      <c r="B502" s="630"/>
      <c r="C502" s="1032" t="s">
        <v>2922</v>
      </c>
      <c r="D502" s="597" t="s">
        <v>2923</v>
      </c>
      <c r="E502" s="697">
        <v>143000</v>
      </c>
      <c r="F502" s="698">
        <v>143000</v>
      </c>
      <c r="G502" s="1002"/>
      <c r="H502" s="705"/>
      <c r="I502" s="705"/>
    </row>
    <row r="503" spans="1:9" s="543" customFormat="1" ht="12.75">
      <c r="A503" s="1126" t="s">
        <v>3766</v>
      </c>
      <c r="B503" s="630"/>
      <c r="C503" s="1032" t="s">
        <v>2925</v>
      </c>
      <c r="D503" s="597" t="s">
        <v>2926</v>
      </c>
      <c r="E503" s="697">
        <v>141000</v>
      </c>
      <c r="F503" s="698">
        <v>141000</v>
      </c>
      <c r="G503" s="1002"/>
      <c r="H503" s="705"/>
      <c r="I503" s="705"/>
    </row>
    <row r="504" spans="1:9" s="543" customFormat="1" ht="12.75">
      <c r="A504" s="1126" t="s">
        <v>3767</v>
      </c>
      <c r="B504" s="630"/>
      <c r="C504" s="1032" t="s">
        <v>2928</v>
      </c>
      <c r="D504" s="597" t="s">
        <v>2929</v>
      </c>
      <c r="E504" s="697">
        <v>31000</v>
      </c>
      <c r="F504" s="698">
        <v>31000</v>
      </c>
      <c r="G504" s="1002"/>
      <c r="H504" s="705"/>
      <c r="I504" s="705"/>
    </row>
    <row r="505" spans="1:9" s="543" customFormat="1" ht="12.75">
      <c r="A505" s="1126" t="s">
        <v>3768</v>
      </c>
      <c r="B505" s="630"/>
      <c r="C505" s="1032" t="s">
        <v>2931</v>
      </c>
      <c r="D505" s="597" t="s">
        <v>2926</v>
      </c>
      <c r="E505" s="697">
        <v>72000</v>
      </c>
      <c r="F505" s="698">
        <v>72000</v>
      </c>
      <c r="G505" s="1002"/>
      <c r="H505" s="705"/>
      <c r="I505" s="705"/>
    </row>
    <row r="506" spans="1:9" s="543" customFormat="1" ht="12.75">
      <c r="A506" s="1126" t="s">
        <v>3770</v>
      </c>
      <c r="B506" s="630"/>
      <c r="C506" s="1032" t="s">
        <v>2933</v>
      </c>
      <c r="D506" s="597" t="s">
        <v>2934</v>
      </c>
      <c r="E506" s="697">
        <v>187000</v>
      </c>
      <c r="F506" s="698">
        <v>187000</v>
      </c>
      <c r="G506" s="1002"/>
      <c r="H506" s="705"/>
      <c r="I506" s="705"/>
    </row>
    <row r="507" spans="1:9" s="543" customFormat="1" ht="12.75">
      <c r="A507" s="1126" t="s">
        <v>3771</v>
      </c>
      <c r="B507" s="630"/>
      <c r="C507" s="1032" t="s">
        <v>2936</v>
      </c>
      <c r="D507" s="597" t="s">
        <v>2937</v>
      </c>
      <c r="E507" s="697">
        <v>1209000</v>
      </c>
      <c r="F507" s="698">
        <v>1209000</v>
      </c>
      <c r="G507" s="1002"/>
      <c r="H507" s="705"/>
      <c r="I507" s="705"/>
    </row>
    <row r="508" spans="1:9" s="543" customFormat="1" ht="12.75">
      <c r="A508" s="1126" t="s">
        <v>3772</v>
      </c>
      <c r="B508" s="630"/>
      <c r="C508" s="1032" t="s">
        <v>2939</v>
      </c>
      <c r="D508" s="608" t="s">
        <v>2940</v>
      </c>
      <c r="E508" s="697">
        <v>4000</v>
      </c>
      <c r="F508" s="698">
        <v>4000</v>
      </c>
      <c r="G508" s="1002"/>
      <c r="H508" s="705"/>
      <c r="I508" s="705"/>
    </row>
    <row r="509" spans="1:9" s="543" customFormat="1" ht="12.75">
      <c r="A509" s="1126" t="s">
        <v>3773</v>
      </c>
      <c r="B509" s="630"/>
      <c r="C509" s="1032" t="s">
        <v>2942</v>
      </c>
      <c r="D509" s="597" t="s">
        <v>2943</v>
      </c>
      <c r="E509" s="697">
        <v>1092000</v>
      </c>
      <c r="F509" s="698">
        <v>1092000</v>
      </c>
      <c r="G509" s="1002"/>
      <c r="H509" s="705"/>
      <c r="I509" s="705"/>
    </row>
    <row r="510" spans="1:9" s="543" customFormat="1" ht="25.5">
      <c r="A510" s="1126" t="s">
        <v>3775</v>
      </c>
      <c r="B510" s="630"/>
      <c r="C510" s="1032" t="s">
        <v>2945</v>
      </c>
      <c r="D510" s="597" t="s">
        <v>2946</v>
      </c>
      <c r="E510" s="697">
        <v>45658</v>
      </c>
      <c r="F510" s="698">
        <v>45658</v>
      </c>
      <c r="G510" s="1002"/>
      <c r="H510" s="705"/>
      <c r="I510" s="705"/>
    </row>
    <row r="511" spans="1:9" s="543" customFormat="1" ht="12.75">
      <c r="A511" s="1126" t="s">
        <v>3776</v>
      </c>
      <c r="B511" s="630"/>
      <c r="C511" s="1032" t="s">
        <v>2948</v>
      </c>
      <c r="D511" s="597" t="s">
        <v>2949</v>
      </c>
      <c r="E511" s="697">
        <v>486000</v>
      </c>
      <c r="F511" s="698">
        <v>486000</v>
      </c>
      <c r="G511" s="1002"/>
      <c r="H511" s="705"/>
      <c r="I511" s="705"/>
    </row>
    <row r="512" spans="1:9" s="543" customFormat="1" ht="25.5">
      <c r="A512" s="1126" t="s">
        <v>3777</v>
      </c>
      <c r="B512" s="630"/>
      <c r="C512" s="1032" t="s">
        <v>2951</v>
      </c>
      <c r="D512" s="597" t="s">
        <v>2952</v>
      </c>
      <c r="E512" s="697">
        <v>56000</v>
      </c>
      <c r="F512" s="698">
        <v>56000</v>
      </c>
      <c r="G512" s="1002"/>
      <c r="H512" s="705"/>
      <c r="I512" s="705"/>
    </row>
    <row r="513" spans="1:9" s="543" customFormat="1" ht="12.75">
      <c r="A513" s="1126" t="s">
        <v>3778</v>
      </c>
      <c r="B513" s="630"/>
      <c r="C513" s="1032" t="s">
        <v>2954</v>
      </c>
      <c r="D513" s="597" t="s">
        <v>2955</v>
      </c>
      <c r="E513" s="697">
        <v>84000</v>
      </c>
      <c r="F513" s="698">
        <v>84000</v>
      </c>
      <c r="G513" s="1002"/>
      <c r="H513" s="705"/>
      <c r="I513" s="705"/>
    </row>
    <row r="514" spans="1:9" s="543" customFormat="1" ht="12.75">
      <c r="A514" s="1126" t="s">
        <v>3780</v>
      </c>
      <c r="B514" s="630"/>
      <c r="C514" s="1032" t="s">
        <v>2957</v>
      </c>
      <c r="D514" s="597" t="s">
        <v>2955</v>
      </c>
      <c r="E514" s="697">
        <v>205000</v>
      </c>
      <c r="F514" s="698">
        <v>205000</v>
      </c>
      <c r="G514" s="1002"/>
      <c r="H514" s="705"/>
      <c r="I514" s="705"/>
    </row>
    <row r="515" spans="1:9" s="543" customFormat="1" ht="12.75">
      <c r="A515" s="1126" t="s">
        <v>3782</v>
      </c>
      <c r="B515" s="630"/>
      <c r="C515" s="1032" t="s">
        <v>2959</v>
      </c>
      <c r="D515" s="597" t="s">
        <v>2960</v>
      </c>
      <c r="E515" s="697">
        <v>507000</v>
      </c>
      <c r="F515" s="698">
        <v>507000</v>
      </c>
      <c r="G515" s="1002"/>
      <c r="H515" s="705"/>
      <c r="I515" s="705"/>
    </row>
    <row r="516" spans="1:9" s="543" customFormat="1" ht="15" customHeight="1">
      <c r="A516" s="1126" t="s">
        <v>3784</v>
      </c>
      <c r="B516" s="630"/>
      <c r="C516" s="1032" t="s">
        <v>2962</v>
      </c>
      <c r="D516" s="597" t="s">
        <v>2963</v>
      </c>
      <c r="E516" s="697">
        <v>670000</v>
      </c>
      <c r="F516" s="698">
        <v>670000</v>
      </c>
      <c r="G516" s="1002"/>
      <c r="H516" s="705"/>
      <c r="I516" s="705"/>
    </row>
    <row r="517" spans="1:9" s="543" customFormat="1" ht="12.75">
      <c r="A517" s="1126" t="s">
        <v>3785</v>
      </c>
      <c r="B517" s="630"/>
      <c r="C517" s="1032" t="s">
        <v>2965</v>
      </c>
      <c r="D517" s="597" t="s">
        <v>2966</v>
      </c>
      <c r="E517" s="697">
        <v>1069000</v>
      </c>
      <c r="F517" s="698">
        <v>1069000</v>
      </c>
      <c r="G517" s="1002"/>
      <c r="H517" s="705"/>
      <c r="I517" s="705"/>
    </row>
    <row r="518" spans="1:9" s="543" customFormat="1" ht="12.75">
      <c r="A518" s="1126" t="s">
        <v>3786</v>
      </c>
      <c r="B518" s="630"/>
      <c r="C518" s="1032" t="s">
        <v>2968</v>
      </c>
      <c r="D518" s="597" t="s">
        <v>2969</v>
      </c>
      <c r="E518" s="697">
        <v>788406</v>
      </c>
      <c r="F518" s="698">
        <v>788406</v>
      </c>
      <c r="G518" s="1002"/>
      <c r="H518" s="705"/>
      <c r="I518" s="705"/>
    </row>
    <row r="519" spans="1:9" s="543" customFormat="1" ht="12.75">
      <c r="A519" s="1126" t="s">
        <v>3788</v>
      </c>
      <c r="B519" s="630"/>
      <c r="C519" s="1032" t="s">
        <v>2971</v>
      </c>
      <c r="D519" s="597" t="s">
        <v>2972</v>
      </c>
      <c r="E519" s="697">
        <v>873000</v>
      </c>
      <c r="F519" s="698">
        <v>873000</v>
      </c>
      <c r="G519" s="1002"/>
      <c r="H519" s="705"/>
      <c r="I519" s="705"/>
    </row>
    <row r="520" spans="1:9" s="543" customFormat="1" ht="12.75">
      <c r="A520" s="1126" t="s">
        <v>3789</v>
      </c>
      <c r="B520" s="630"/>
      <c r="C520" s="1032" t="s">
        <v>2974</v>
      </c>
      <c r="D520" s="597" t="s">
        <v>2975</v>
      </c>
      <c r="E520" s="697">
        <v>452000</v>
      </c>
      <c r="F520" s="698">
        <v>452000</v>
      </c>
      <c r="G520" s="1002"/>
      <c r="H520" s="705"/>
      <c r="I520" s="705"/>
    </row>
    <row r="521" spans="1:9" s="543" customFormat="1" ht="12.75">
      <c r="A521" s="1126" t="s">
        <v>3791</v>
      </c>
      <c r="B521" s="630"/>
      <c r="C521" s="1041" t="s">
        <v>2976</v>
      </c>
      <c r="D521" s="675" t="s">
        <v>2977</v>
      </c>
      <c r="E521" s="697">
        <v>1504137</v>
      </c>
      <c r="F521" s="698">
        <v>1504137</v>
      </c>
      <c r="G521" s="1002"/>
      <c r="H521" s="705"/>
      <c r="I521" s="705"/>
    </row>
    <row r="522" spans="1:9" s="543" customFormat="1" ht="12.75">
      <c r="A522" s="1126" t="s">
        <v>3792</v>
      </c>
      <c r="B522" s="630"/>
      <c r="C522" s="1032" t="s">
        <v>2979</v>
      </c>
      <c r="D522" s="597" t="s">
        <v>2980</v>
      </c>
      <c r="E522" s="697">
        <v>135000</v>
      </c>
      <c r="F522" s="698">
        <v>135000</v>
      </c>
      <c r="G522" s="1002"/>
      <c r="H522" s="705"/>
      <c r="I522" s="705"/>
    </row>
    <row r="523" spans="1:9" s="543" customFormat="1" ht="12.75">
      <c r="A523" s="1126" t="s">
        <v>3793</v>
      </c>
      <c r="B523" s="630"/>
      <c r="C523" s="1032" t="s">
        <v>2982</v>
      </c>
      <c r="D523" s="597" t="s">
        <v>2983</v>
      </c>
      <c r="E523" s="697">
        <v>200396</v>
      </c>
      <c r="F523" s="698">
        <v>200396</v>
      </c>
      <c r="G523" s="1002"/>
      <c r="H523" s="705"/>
      <c r="I523" s="705"/>
    </row>
    <row r="524" spans="1:9" s="543" customFormat="1" ht="12.75">
      <c r="A524" s="1126" t="s">
        <v>3795</v>
      </c>
      <c r="B524" s="630"/>
      <c r="C524" s="1032" t="s">
        <v>2985</v>
      </c>
      <c r="D524" s="597" t="s">
        <v>2983</v>
      </c>
      <c r="E524" s="697">
        <v>302260</v>
      </c>
      <c r="F524" s="698">
        <v>302260</v>
      </c>
      <c r="G524" s="1002"/>
      <c r="H524" s="705"/>
      <c r="I524" s="705"/>
    </row>
    <row r="525" spans="1:9" s="543" customFormat="1" ht="12.75">
      <c r="A525" s="1126" t="s">
        <v>3797</v>
      </c>
      <c r="B525" s="630"/>
      <c r="C525" s="1032" t="s">
        <v>2987</v>
      </c>
      <c r="D525" s="597" t="s">
        <v>2988</v>
      </c>
      <c r="E525" s="697">
        <v>1113000</v>
      </c>
      <c r="F525" s="698">
        <v>1113000</v>
      </c>
      <c r="G525" s="1002"/>
      <c r="H525" s="705"/>
      <c r="I525" s="705"/>
    </row>
    <row r="526" spans="1:9" s="543" customFormat="1" ht="12.75">
      <c r="A526" s="1126" t="s">
        <v>3798</v>
      </c>
      <c r="B526" s="630"/>
      <c r="C526" s="1032" t="s">
        <v>2990</v>
      </c>
      <c r="D526" s="597" t="s">
        <v>2991</v>
      </c>
      <c r="E526" s="697">
        <v>237000</v>
      </c>
      <c r="F526" s="698">
        <v>237000</v>
      </c>
      <c r="G526" s="1002"/>
      <c r="H526" s="705"/>
      <c r="I526" s="705"/>
    </row>
    <row r="527" spans="1:9" s="543" customFormat="1" ht="25.5">
      <c r="A527" s="1126" t="s">
        <v>3800</v>
      </c>
      <c r="B527" s="630"/>
      <c r="C527" s="1032" t="s">
        <v>2993</v>
      </c>
      <c r="D527" s="597" t="s">
        <v>2994</v>
      </c>
      <c r="E527" s="697">
        <v>24150</v>
      </c>
      <c r="F527" s="698">
        <v>24150</v>
      </c>
      <c r="G527" s="1002"/>
      <c r="H527" s="705"/>
      <c r="I527" s="705"/>
    </row>
    <row r="528" spans="1:9" s="543" customFormat="1" ht="25.5">
      <c r="A528" s="1126" t="s">
        <v>3801</v>
      </c>
      <c r="B528" s="630"/>
      <c r="C528" s="1032" t="s">
        <v>2996</v>
      </c>
      <c r="D528" s="597" t="s">
        <v>2997</v>
      </c>
      <c r="E528" s="697">
        <v>122000</v>
      </c>
      <c r="F528" s="698">
        <v>122000</v>
      </c>
      <c r="G528" s="1002"/>
      <c r="H528" s="705"/>
      <c r="I528" s="705"/>
    </row>
    <row r="529" spans="1:9" s="543" customFormat="1" ht="12.75">
      <c r="A529" s="1126" t="s">
        <v>3802</v>
      </c>
      <c r="B529" s="630"/>
      <c r="C529" s="1032" t="s">
        <v>2999</v>
      </c>
      <c r="D529" s="597" t="s">
        <v>3000</v>
      </c>
      <c r="E529" s="697">
        <v>10000</v>
      </c>
      <c r="F529" s="698">
        <v>10000</v>
      </c>
      <c r="G529" s="1002"/>
      <c r="H529" s="705"/>
      <c r="I529" s="705"/>
    </row>
    <row r="530" spans="1:9" s="543" customFormat="1" ht="12.75">
      <c r="A530" s="1126" t="s">
        <v>3803</v>
      </c>
      <c r="B530" s="630"/>
      <c r="C530" s="1032" t="s">
        <v>3002</v>
      </c>
      <c r="D530" s="597" t="s">
        <v>3003</v>
      </c>
      <c r="E530" s="697">
        <v>9022</v>
      </c>
      <c r="F530" s="698">
        <v>9022</v>
      </c>
      <c r="G530" s="1002"/>
      <c r="H530" s="705"/>
      <c r="I530" s="705"/>
    </row>
    <row r="531" spans="1:9" s="543" customFormat="1" ht="12.75">
      <c r="A531" s="1126" t="s">
        <v>3804</v>
      </c>
      <c r="B531" s="630"/>
      <c r="C531" s="1032" t="s">
        <v>3005</v>
      </c>
      <c r="D531" s="597" t="s">
        <v>3006</v>
      </c>
      <c r="E531" s="697">
        <v>145038</v>
      </c>
      <c r="F531" s="698">
        <v>145038</v>
      </c>
      <c r="G531" s="1002"/>
      <c r="H531" s="705"/>
      <c r="I531" s="705"/>
    </row>
    <row r="532" spans="1:9" s="543" customFormat="1" ht="12.75">
      <c r="A532" s="1126" t="s">
        <v>3806</v>
      </c>
      <c r="B532" s="630"/>
      <c r="C532" s="1032" t="s">
        <v>3008</v>
      </c>
      <c r="D532" s="597" t="s">
        <v>3009</v>
      </c>
      <c r="E532" s="697">
        <v>379000</v>
      </c>
      <c r="F532" s="698">
        <v>379000</v>
      </c>
      <c r="G532" s="1002"/>
      <c r="H532" s="705"/>
      <c r="I532" s="705"/>
    </row>
    <row r="533" spans="1:9" s="543" customFormat="1" ht="12.75">
      <c r="A533" s="1126" t="s">
        <v>3807</v>
      </c>
      <c r="B533" s="630"/>
      <c r="C533" s="1032" t="s">
        <v>405</v>
      </c>
      <c r="D533" s="597" t="s">
        <v>406</v>
      </c>
      <c r="E533" s="697">
        <v>1365000</v>
      </c>
      <c r="F533" s="698">
        <v>1365000</v>
      </c>
      <c r="G533" s="1002"/>
      <c r="H533" s="705"/>
      <c r="I533" s="705"/>
    </row>
    <row r="534" spans="1:9" s="543" customFormat="1" ht="12.75">
      <c r="A534" s="1126" t="s">
        <v>3808</v>
      </c>
      <c r="B534" s="630"/>
      <c r="C534" s="1032" t="s">
        <v>408</v>
      </c>
      <c r="D534" s="597" t="s">
        <v>409</v>
      </c>
      <c r="E534" s="697">
        <v>51000</v>
      </c>
      <c r="F534" s="698">
        <v>51000</v>
      </c>
      <c r="G534" s="1002"/>
      <c r="H534" s="705"/>
      <c r="I534" s="705"/>
    </row>
    <row r="535" spans="1:9" s="543" customFormat="1" ht="12.75">
      <c r="A535" s="1126" t="s">
        <v>3810</v>
      </c>
      <c r="B535" s="630"/>
      <c r="C535" s="1032" t="s">
        <v>411</v>
      </c>
      <c r="D535" s="597" t="s">
        <v>409</v>
      </c>
      <c r="E535" s="697">
        <v>51000</v>
      </c>
      <c r="F535" s="698">
        <v>51000</v>
      </c>
      <c r="G535" s="1002"/>
      <c r="H535" s="705"/>
      <c r="I535" s="705"/>
    </row>
    <row r="536" spans="1:9" s="543" customFormat="1" ht="13.5" thickBot="1">
      <c r="A536" s="1126" t="s">
        <v>3811</v>
      </c>
      <c r="B536" s="630"/>
      <c r="C536" s="1032" t="s">
        <v>413</v>
      </c>
      <c r="D536" s="597" t="s">
        <v>414</v>
      </c>
      <c r="E536" s="697">
        <v>98126</v>
      </c>
      <c r="F536" s="698">
        <v>98126</v>
      </c>
      <c r="G536" s="1002"/>
      <c r="H536" s="705"/>
      <c r="I536" s="705"/>
    </row>
    <row r="537" spans="1:9" s="666" customFormat="1" ht="48.75" thickBot="1">
      <c r="A537" s="605" t="s">
        <v>4597</v>
      </c>
      <c r="B537" s="606" t="s">
        <v>4601</v>
      </c>
      <c r="C537" s="1008" t="s">
        <v>4602</v>
      </c>
      <c r="D537" s="606" t="s">
        <v>4603</v>
      </c>
      <c r="E537" s="738" t="s">
        <v>4604</v>
      </c>
      <c r="F537" s="739" t="s">
        <v>4605</v>
      </c>
      <c r="G537" s="1127"/>
      <c r="H537" s="1128"/>
      <c r="I537" s="1128"/>
    </row>
    <row r="538" spans="1:9" s="543" customFormat="1" ht="12.75">
      <c r="A538" s="1126" t="s">
        <v>3812</v>
      </c>
      <c r="B538" s="630"/>
      <c r="C538" s="1032" t="s">
        <v>416</v>
      </c>
      <c r="D538" s="597" t="s">
        <v>417</v>
      </c>
      <c r="E538" s="697">
        <v>1976000</v>
      </c>
      <c r="F538" s="698">
        <v>1976000</v>
      </c>
      <c r="G538" s="1002"/>
      <c r="H538" s="705"/>
      <c r="I538" s="705"/>
    </row>
    <row r="539" spans="1:9" s="543" customFormat="1" ht="14.25" customHeight="1">
      <c r="A539" s="1126" t="s">
        <v>3814</v>
      </c>
      <c r="B539" s="630"/>
      <c r="C539" s="1032" t="s">
        <v>419</v>
      </c>
      <c r="D539" s="608" t="s">
        <v>420</v>
      </c>
      <c r="E539" s="697">
        <v>270367</v>
      </c>
      <c r="F539" s="698">
        <v>270367</v>
      </c>
      <c r="G539" s="1002"/>
      <c r="H539" s="705"/>
      <c r="I539" s="705"/>
    </row>
    <row r="540" spans="1:9" s="543" customFormat="1" ht="25.5">
      <c r="A540" s="1126" t="s">
        <v>3815</v>
      </c>
      <c r="B540" s="630"/>
      <c r="C540" s="1032" t="s">
        <v>422</v>
      </c>
      <c r="D540" s="597" t="s">
        <v>423</v>
      </c>
      <c r="E540" s="697">
        <v>5552</v>
      </c>
      <c r="F540" s="698">
        <v>5552</v>
      </c>
      <c r="G540" s="1002"/>
      <c r="H540" s="705"/>
      <c r="I540" s="705"/>
    </row>
    <row r="541" spans="1:9" s="543" customFormat="1" ht="25.5">
      <c r="A541" s="1126" t="s">
        <v>3817</v>
      </c>
      <c r="B541" s="630"/>
      <c r="C541" s="1032" t="s">
        <v>425</v>
      </c>
      <c r="D541" s="597" t="s">
        <v>426</v>
      </c>
      <c r="E541" s="697">
        <v>181242</v>
      </c>
      <c r="F541" s="698">
        <v>181242</v>
      </c>
      <c r="G541" s="1002"/>
      <c r="H541" s="705"/>
      <c r="I541" s="705"/>
    </row>
    <row r="542" spans="1:9" s="543" customFormat="1" ht="12.75">
      <c r="A542" s="1126" t="s">
        <v>3818</v>
      </c>
      <c r="B542" s="630"/>
      <c r="C542" s="1032" t="s">
        <v>428</v>
      </c>
      <c r="D542" s="597" t="s">
        <v>429</v>
      </c>
      <c r="E542" s="697">
        <v>173421</v>
      </c>
      <c r="F542" s="698">
        <v>173421</v>
      </c>
      <c r="G542" s="1002"/>
      <c r="H542" s="705"/>
      <c r="I542" s="705"/>
    </row>
    <row r="543" spans="1:9" s="543" customFormat="1" ht="13.5" customHeight="1">
      <c r="A543" s="1126" t="s">
        <v>3819</v>
      </c>
      <c r="B543" s="630"/>
      <c r="C543" s="1032" t="s">
        <v>431</v>
      </c>
      <c r="D543" s="597" t="s">
        <v>432</v>
      </c>
      <c r="E543" s="697">
        <v>370298</v>
      </c>
      <c r="F543" s="698">
        <v>370298</v>
      </c>
      <c r="G543" s="1002"/>
      <c r="H543" s="705"/>
      <c r="I543" s="705"/>
    </row>
    <row r="544" spans="1:9" s="543" customFormat="1" ht="12.75">
      <c r="A544" s="1126" t="s">
        <v>3820</v>
      </c>
      <c r="B544" s="630"/>
      <c r="C544" s="1032" t="s">
        <v>434</v>
      </c>
      <c r="D544" s="597" t="s">
        <v>435</v>
      </c>
      <c r="E544" s="697">
        <v>376000</v>
      </c>
      <c r="F544" s="698">
        <v>376000</v>
      </c>
      <c r="G544" s="1002"/>
      <c r="H544" s="705"/>
      <c r="I544" s="705"/>
    </row>
    <row r="545" spans="1:9" s="543" customFormat="1" ht="12.75">
      <c r="A545" s="1126" t="s">
        <v>3821</v>
      </c>
      <c r="B545" s="630"/>
      <c r="C545" s="1032" t="s">
        <v>437</v>
      </c>
      <c r="D545" s="597" t="s">
        <v>438</v>
      </c>
      <c r="E545" s="697">
        <v>936000</v>
      </c>
      <c r="F545" s="698">
        <v>936000</v>
      </c>
      <c r="G545" s="1002"/>
      <c r="H545" s="705"/>
      <c r="I545" s="705"/>
    </row>
    <row r="546" spans="1:9" s="543" customFormat="1" ht="12.75">
      <c r="A546" s="1126" t="s">
        <v>3822</v>
      </c>
      <c r="B546" s="630"/>
      <c r="C546" s="1032" t="s">
        <v>440</v>
      </c>
      <c r="D546" s="597" t="s">
        <v>441</v>
      </c>
      <c r="E546" s="697">
        <v>2958000</v>
      </c>
      <c r="F546" s="698">
        <v>2958000</v>
      </c>
      <c r="G546" s="1002"/>
      <c r="H546" s="705"/>
      <c r="I546" s="705"/>
    </row>
    <row r="547" spans="1:9" s="543" customFormat="1" ht="25.5">
      <c r="A547" s="1126" t="s">
        <v>3823</v>
      </c>
      <c r="B547" s="630"/>
      <c r="C547" s="1032" t="s">
        <v>443</v>
      </c>
      <c r="D547" s="608" t="s">
        <v>444</v>
      </c>
      <c r="E547" s="697">
        <v>64420</v>
      </c>
      <c r="F547" s="698">
        <v>64420</v>
      </c>
      <c r="G547" s="1002"/>
      <c r="H547" s="705"/>
      <c r="I547" s="705"/>
    </row>
    <row r="548" spans="1:9" s="543" customFormat="1" ht="12.75">
      <c r="A548" s="1126" t="s">
        <v>3824</v>
      </c>
      <c r="B548" s="630"/>
      <c r="C548" s="1032" t="s">
        <v>446</v>
      </c>
      <c r="D548" s="597" t="s">
        <v>447</v>
      </c>
      <c r="E548" s="697">
        <v>120000</v>
      </c>
      <c r="F548" s="698">
        <v>120000</v>
      </c>
      <c r="G548" s="1002"/>
      <c r="H548" s="705"/>
      <c r="I548" s="705"/>
    </row>
    <row r="549" spans="1:9" s="543" customFormat="1" ht="12.75">
      <c r="A549" s="1126" t="s">
        <v>3825</v>
      </c>
      <c r="B549" s="630"/>
      <c r="C549" s="1032" t="s">
        <v>449</v>
      </c>
      <c r="D549" s="597" t="s">
        <v>2943</v>
      </c>
      <c r="E549" s="697">
        <v>229000</v>
      </c>
      <c r="F549" s="698">
        <v>229000</v>
      </c>
      <c r="G549" s="1002"/>
      <c r="H549" s="705"/>
      <c r="I549" s="705"/>
    </row>
    <row r="550" spans="1:9" s="543" customFormat="1" ht="12.75">
      <c r="A550" s="1126" t="s">
        <v>3826</v>
      </c>
      <c r="B550" s="630"/>
      <c r="C550" s="1032" t="s">
        <v>451</v>
      </c>
      <c r="D550" s="597" t="s">
        <v>452</v>
      </c>
      <c r="E550" s="697">
        <v>552000</v>
      </c>
      <c r="F550" s="698">
        <v>552000</v>
      </c>
      <c r="G550" s="1002"/>
      <c r="H550" s="705"/>
      <c r="I550" s="705"/>
    </row>
    <row r="551" spans="1:9" s="543" customFormat="1" ht="14.25" customHeight="1">
      <c r="A551" s="1126" t="s">
        <v>3827</v>
      </c>
      <c r="B551" s="630"/>
      <c r="C551" s="1032" t="s">
        <v>454</v>
      </c>
      <c r="D551" s="597" t="s">
        <v>455</v>
      </c>
      <c r="E551" s="697">
        <v>121989</v>
      </c>
      <c r="F551" s="698">
        <v>121989</v>
      </c>
      <c r="G551" s="1002"/>
      <c r="H551" s="705"/>
      <c r="I551" s="705"/>
    </row>
    <row r="552" spans="1:9" s="543" customFormat="1" ht="12.75">
      <c r="A552" s="1126" t="s">
        <v>3828</v>
      </c>
      <c r="B552" s="630"/>
      <c r="C552" s="1032" t="s">
        <v>457</v>
      </c>
      <c r="D552" s="597" t="s">
        <v>458</v>
      </c>
      <c r="E552" s="697">
        <v>146533</v>
      </c>
      <c r="F552" s="698">
        <v>146533</v>
      </c>
      <c r="G552" s="1002"/>
      <c r="H552" s="705"/>
      <c r="I552" s="705"/>
    </row>
    <row r="553" spans="1:9" s="543" customFormat="1" ht="12.75">
      <c r="A553" s="1126" t="s">
        <v>3829</v>
      </c>
      <c r="B553" s="630"/>
      <c r="C553" s="1032" t="s">
        <v>460</v>
      </c>
      <c r="D553" s="597" t="s">
        <v>461</v>
      </c>
      <c r="E553" s="697">
        <v>45000</v>
      </c>
      <c r="F553" s="698">
        <v>45000</v>
      </c>
      <c r="G553" s="1002"/>
      <c r="H553" s="705"/>
      <c r="I553" s="705"/>
    </row>
    <row r="554" spans="1:9" s="543" customFormat="1" ht="12.75">
      <c r="A554" s="1126" t="s">
        <v>3830</v>
      </c>
      <c r="B554" s="630"/>
      <c r="C554" s="1032" t="s">
        <v>463</v>
      </c>
      <c r="D554" s="597" t="s">
        <v>461</v>
      </c>
      <c r="E554" s="697">
        <v>57000</v>
      </c>
      <c r="F554" s="698">
        <v>57000</v>
      </c>
      <c r="G554" s="1002"/>
      <c r="H554" s="705"/>
      <c r="I554" s="705"/>
    </row>
    <row r="555" spans="1:9" s="543" customFormat="1" ht="12.75">
      <c r="A555" s="1126" t="s">
        <v>3831</v>
      </c>
      <c r="B555" s="630"/>
      <c r="C555" s="1032" t="s">
        <v>465</v>
      </c>
      <c r="D555" s="597" t="s">
        <v>461</v>
      </c>
      <c r="E555" s="697">
        <v>45000</v>
      </c>
      <c r="F555" s="698">
        <v>45000</v>
      </c>
      <c r="G555" s="1002"/>
      <c r="H555" s="705"/>
      <c r="I555" s="705"/>
    </row>
    <row r="556" spans="1:9" s="543" customFormat="1" ht="12.75">
      <c r="A556" s="1126" t="s">
        <v>3833</v>
      </c>
      <c r="B556" s="630"/>
      <c r="C556" s="1032" t="s">
        <v>467</v>
      </c>
      <c r="D556" s="597" t="s">
        <v>461</v>
      </c>
      <c r="E556" s="697">
        <v>39000</v>
      </c>
      <c r="F556" s="698">
        <v>39000</v>
      </c>
      <c r="G556" s="1002"/>
      <c r="H556" s="705"/>
      <c r="I556" s="705"/>
    </row>
    <row r="557" spans="1:9" s="543" customFormat="1" ht="12.75">
      <c r="A557" s="1126" t="s">
        <v>3835</v>
      </c>
      <c r="B557" s="630"/>
      <c r="C557" s="1032" t="s">
        <v>469</v>
      </c>
      <c r="D557" s="597" t="s">
        <v>461</v>
      </c>
      <c r="E557" s="697">
        <v>19000</v>
      </c>
      <c r="F557" s="698">
        <v>19000</v>
      </c>
      <c r="G557" s="1002"/>
      <c r="H557" s="705"/>
      <c r="I557" s="705"/>
    </row>
    <row r="558" spans="1:9" s="543" customFormat="1" ht="12.75">
      <c r="A558" s="1126" t="s">
        <v>3837</v>
      </c>
      <c r="B558" s="630"/>
      <c r="C558" s="1032" t="s">
        <v>471</v>
      </c>
      <c r="D558" s="597" t="s">
        <v>472</v>
      </c>
      <c r="E558" s="697">
        <v>1972572</v>
      </c>
      <c r="F558" s="698">
        <v>1972572</v>
      </c>
      <c r="G558" s="1002"/>
      <c r="H558" s="705"/>
      <c r="I558" s="705"/>
    </row>
    <row r="559" spans="1:9" s="543" customFormat="1" ht="12.75">
      <c r="A559" s="1126" t="s">
        <v>3838</v>
      </c>
      <c r="B559" s="630"/>
      <c r="C559" s="1032" t="s">
        <v>474</v>
      </c>
      <c r="D559" s="597" t="s">
        <v>475</v>
      </c>
      <c r="E559" s="697">
        <v>84000</v>
      </c>
      <c r="F559" s="698">
        <v>84000</v>
      </c>
      <c r="G559" s="1002"/>
      <c r="H559" s="705"/>
      <c r="I559" s="705"/>
    </row>
    <row r="560" spans="1:9" s="543" customFormat="1" ht="12.75">
      <c r="A560" s="1126" t="s">
        <v>3839</v>
      </c>
      <c r="B560" s="630"/>
      <c r="C560" s="1032" t="s">
        <v>477</v>
      </c>
      <c r="D560" s="597" t="s">
        <v>478</v>
      </c>
      <c r="E560" s="697">
        <v>207933</v>
      </c>
      <c r="F560" s="698">
        <v>207933</v>
      </c>
      <c r="G560" s="1002"/>
      <c r="H560" s="705"/>
      <c r="I560" s="705"/>
    </row>
    <row r="561" spans="1:9" s="543" customFormat="1" ht="12.75">
      <c r="A561" s="1126" t="s">
        <v>3840</v>
      </c>
      <c r="B561" s="630"/>
      <c r="C561" s="1032" t="s">
        <v>480</v>
      </c>
      <c r="D561" s="597" t="s">
        <v>478</v>
      </c>
      <c r="E561" s="697">
        <v>391204</v>
      </c>
      <c r="F561" s="698">
        <v>391204</v>
      </c>
      <c r="G561" s="1002"/>
      <c r="H561" s="705"/>
      <c r="I561" s="705"/>
    </row>
    <row r="562" spans="1:9" s="543" customFormat="1" ht="12.75">
      <c r="A562" s="1126" t="s">
        <v>3842</v>
      </c>
      <c r="B562" s="630"/>
      <c r="C562" s="1032" t="s">
        <v>482</v>
      </c>
      <c r="D562" s="597" t="s">
        <v>478</v>
      </c>
      <c r="E562" s="697">
        <v>728620</v>
      </c>
      <c r="F562" s="698">
        <v>728620</v>
      </c>
      <c r="G562" s="1002"/>
      <c r="H562" s="705"/>
      <c r="I562" s="705"/>
    </row>
    <row r="563" spans="1:9" s="543" customFormat="1" ht="12.75">
      <c r="A563" s="1126" t="s">
        <v>3844</v>
      </c>
      <c r="B563" s="630"/>
      <c r="C563" s="1032" t="s">
        <v>484</v>
      </c>
      <c r="D563" s="597" t="s">
        <v>478</v>
      </c>
      <c r="E563" s="697">
        <v>345032</v>
      </c>
      <c r="F563" s="698">
        <v>345032</v>
      </c>
      <c r="G563" s="1002"/>
      <c r="H563" s="705"/>
      <c r="I563" s="705"/>
    </row>
    <row r="564" spans="1:9" s="543" customFormat="1" ht="12.75">
      <c r="A564" s="1126" t="s">
        <v>3846</v>
      </c>
      <c r="B564" s="630"/>
      <c r="C564" s="1032" t="s">
        <v>486</v>
      </c>
      <c r="D564" s="597" t="s">
        <v>478</v>
      </c>
      <c r="E564" s="697">
        <v>267716</v>
      </c>
      <c r="F564" s="698">
        <v>267716</v>
      </c>
      <c r="G564" s="1002"/>
      <c r="H564" s="705"/>
      <c r="I564" s="705"/>
    </row>
    <row r="565" spans="1:9" s="543" customFormat="1" ht="12.75">
      <c r="A565" s="1126" t="s">
        <v>3847</v>
      </c>
      <c r="B565" s="630"/>
      <c r="C565" s="1032" t="s">
        <v>488</v>
      </c>
      <c r="D565" s="597" t="s">
        <v>478</v>
      </c>
      <c r="E565" s="697">
        <v>400724</v>
      </c>
      <c r="F565" s="698">
        <v>400724</v>
      </c>
      <c r="G565" s="1002"/>
      <c r="H565" s="705"/>
      <c r="I565" s="705"/>
    </row>
    <row r="566" spans="1:9" s="543" customFormat="1" ht="12.75">
      <c r="A566" s="1126" t="s">
        <v>3850</v>
      </c>
      <c r="B566" s="630"/>
      <c r="C566" s="1032" t="s">
        <v>490</v>
      </c>
      <c r="D566" s="597" t="s">
        <v>478</v>
      </c>
      <c r="E566" s="697">
        <v>740180</v>
      </c>
      <c r="F566" s="698">
        <v>740180</v>
      </c>
      <c r="G566" s="1002"/>
      <c r="H566" s="705"/>
      <c r="I566" s="705"/>
    </row>
    <row r="567" spans="1:9" s="543" customFormat="1" ht="12.75">
      <c r="A567" s="1126" t="s">
        <v>3851</v>
      </c>
      <c r="B567" s="630"/>
      <c r="C567" s="1032" t="s">
        <v>492</v>
      </c>
      <c r="D567" s="597" t="s">
        <v>478</v>
      </c>
      <c r="E567" s="697">
        <v>122400</v>
      </c>
      <c r="F567" s="698">
        <v>122400</v>
      </c>
      <c r="G567" s="1002"/>
      <c r="H567" s="705"/>
      <c r="I567" s="705"/>
    </row>
    <row r="568" spans="1:9" s="543" customFormat="1" ht="12.75">
      <c r="A568" s="1126" t="s">
        <v>3852</v>
      </c>
      <c r="B568" s="630"/>
      <c r="C568" s="1032" t="s">
        <v>494</v>
      </c>
      <c r="D568" s="597" t="s">
        <v>478</v>
      </c>
      <c r="E568" s="697">
        <v>531488</v>
      </c>
      <c r="F568" s="698">
        <v>531488</v>
      </c>
      <c r="G568" s="1002"/>
      <c r="H568" s="705"/>
      <c r="I568" s="705"/>
    </row>
    <row r="569" spans="1:9" s="543" customFormat="1" ht="12.75">
      <c r="A569" s="1126" t="s">
        <v>3853</v>
      </c>
      <c r="B569" s="630"/>
      <c r="C569" s="1032" t="s">
        <v>496</v>
      </c>
      <c r="D569" s="597" t="s">
        <v>478</v>
      </c>
      <c r="E569" s="697">
        <v>279344</v>
      </c>
      <c r="F569" s="698">
        <v>279344</v>
      </c>
      <c r="G569" s="1002"/>
      <c r="H569" s="705"/>
      <c r="I569" s="705"/>
    </row>
    <row r="570" spans="1:9" s="543" customFormat="1" ht="12.75">
      <c r="A570" s="1126" t="s">
        <v>3854</v>
      </c>
      <c r="B570" s="630"/>
      <c r="C570" s="1032" t="s">
        <v>498</v>
      </c>
      <c r="D570" s="597" t="s">
        <v>478</v>
      </c>
      <c r="E570" s="697">
        <v>616828</v>
      </c>
      <c r="F570" s="698">
        <v>616828</v>
      </c>
      <c r="G570" s="1002"/>
      <c r="H570" s="705"/>
      <c r="I570" s="705"/>
    </row>
    <row r="571" spans="1:9" s="543" customFormat="1" ht="12.75">
      <c r="A571" s="1126" t="s">
        <v>3856</v>
      </c>
      <c r="B571" s="630"/>
      <c r="C571" s="1032" t="s">
        <v>500</v>
      </c>
      <c r="D571" s="597" t="s">
        <v>478</v>
      </c>
      <c r="E571" s="697">
        <v>274992</v>
      </c>
      <c r="F571" s="698">
        <v>274992</v>
      </c>
      <c r="G571" s="1002"/>
      <c r="H571" s="705"/>
      <c r="I571" s="705"/>
    </row>
    <row r="572" spans="1:9" s="543" customFormat="1" ht="12.75">
      <c r="A572" s="1126" t="s">
        <v>3857</v>
      </c>
      <c r="B572" s="630"/>
      <c r="C572" s="1032" t="s">
        <v>502</v>
      </c>
      <c r="D572" s="597" t="s">
        <v>478</v>
      </c>
      <c r="E572" s="697">
        <v>265132</v>
      </c>
      <c r="F572" s="698">
        <v>265132</v>
      </c>
      <c r="G572" s="1002"/>
      <c r="H572" s="705"/>
      <c r="I572" s="705"/>
    </row>
    <row r="573" spans="1:9" s="543" customFormat="1" ht="12.75">
      <c r="A573" s="1126" t="s">
        <v>3858</v>
      </c>
      <c r="B573" s="630"/>
      <c r="C573" s="1032" t="s">
        <v>504</v>
      </c>
      <c r="D573" s="597" t="s">
        <v>2897</v>
      </c>
      <c r="E573" s="697">
        <v>59000</v>
      </c>
      <c r="F573" s="698">
        <v>59000</v>
      </c>
      <c r="G573" s="1002"/>
      <c r="H573" s="705"/>
      <c r="I573" s="705"/>
    </row>
    <row r="574" spans="1:9" s="543" customFormat="1" ht="12.75">
      <c r="A574" s="1126" t="s">
        <v>3859</v>
      </c>
      <c r="B574" s="630"/>
      <c r="C574" s="1032" t="s">
        <v>506</v>
      </c>
      <c r="D574" s="597" t="s">
        <v>507</v>
      </c>
      <c r="E574" s="697">
        <v>808970</v>
      </c>
      <c r="F574" s="698">
        <v>808970</v>
      </c>
      <c r="G574" s="1002"/>
      <c r="H574" s="705"/>
      <c r="I574" s="705"/>
    </row>
    <row r="575" spans="1:9" s="543" customFormat="1" ht="25.5">
      <c r="A575" s="1126" t="s">
        <v>3860</v>
      </c>
      <c r="B575" s="630"/>
      <c r="C575" s="1032" t="s">
        <v>509</v>
      </c>
      <c r="D575" s="597" t="s">
        <v>510</v>
      </c>
      <c r="E575" s="697">
        <v>277000</v>
      </c>
      <c r="F575" s="698">
        <v>277000</v>
      </c>
      <c r="G575" s="1002"/>
      <c r="H575" s="705"/>
      <c r="I575" s="705"/>
    </row>
    <row r="576" spans="1:9" s="543" customFormat="1" ht="12.75">
      <c r="A576" s="1126" t="s">
        <v>3861</v>
      </c>
      <c r="B576" s="630"/>
      <c r="C576" s="1032" t="s">
        <v>512</v>
      </c>
      <c r="D576" s="597" t="s">
        <v>513</v>
      </c>
      <c r="E576" s="697">
        <v>1039000</v>
      </c>
      <c r="F576" s="698">
        <v>1039000</v>
      </c>
      <c r="G576" s="1002"/>
      <c r="H576" s="705"/>
      <c r="I576" s="705"/>
    </row>
    <row r="577" spans="1:9" s="543" customFormat="1" ht="12.75">
      <c r="A577" s="1126" t="s">
        <v>3862</v>
      </c>
      <c r="B577" s="630"/>
      <c r="C577" s="1032" t="s">
        <v>515</v>
      </c>
      <c r="D577" s="597" t="s">
        <v>516</v>
      </c>
      <c r="E577" s="697">
        <v>405000</v>
      </c>
      <c r="F577" s="698">
        <v>405000</v>
      </c>
      <c r="G577" s="1002"/>
      <c r="H577" s="705"/>
      <c r="I577" s="705"/>
    </row>
    <row r="578" spans="1:9" s="543" customFormat="1" ht="12.75">
      <c r="A578" s="1126" t="s">
        <v>3863</v>
      </c>
      <c r="B578" s="630"/>
      <c r="C578" s="1032" t="s">
        <v>518</v>
      </c>
      <c r="D578" s="597" t="s">
        <v>519</v>
      </c>
      <c r="E578" s="697">
        <v>326000</v>
      </c>
      <c r="F578" s="698">
        <v>326000</v>
      </c>
      <c r="G578" s="1002"/>
      <c r="H578" s="705"/>
      <c r="I578" s="705"/>
    </row>
    <row r="579" spans="1:9" s="543" customFormat="1" ht="12.75">
      <c r="A579" s="1126" t="s">
        <v>3865</v>
      </c>
      <c r="B579" s="630"/>
      <c r="C579" s="1032" t="s">
        <v>521</v>
      </c>
      <c r="D579" s="597" t="s">
        <v>522</v>
      </c>
      <c r="E579" s="697">
        <v>484000</v>
      </c>
      <c r="F579" s="698">
        <v>484000</v>
      </c>
      <c r="G579" s="1002"/>
      <c r="H579" s="705"/>
      <c r="I579" s="705"/>
    </row>
    <row r="580" spans="1:9" s="543" customFormat="1" ht="12.75">
      <c r="A580" s="1126" t="s">
        <v>3866</v>
      </c>
      <c r="B580" s="630"/>
      <c r="C580" s="1032" t="s">
        <v>524</v>
      </c>
      <c r="D580" s="597" t="s">
        <v>525</v>
      </c>
      <c r="E580" s="697">
        <v>632000</v>
      </c>
      <c r="F580" s="698">
        <v>632000</v>
      </c>
      <c r="G580" s="1002"/>
      <c r="H580" s="705"/>
      <c r="I580" s="705"/>
    </row>
    <row r="581" spans="1:9" s="543" customFormat="1" ht="12.75">
      <c r="A581" s="1126" t="s">
        <v>3868</v>
      </c>
      <c r="B581" s="630"/>
      <c r="C581" s="1032" t="s">
        <v>527</v>
      </c>
      <c r="D581" s="597" t="s">
        <v>528</v>
      </c>
      <c r="E581" s="697">
        <v>25000</v>
      </c>
      <c r="F581" s="698">
        <v>25000</v>
      </c>
      <c r="G581" s="1002"/>
      <c r="H581" s="705"/>
      <c r="I581" s="705"/>
    </row>
    <row r="582" spans="1:9" s="543" customFormat="1" ht="12.75">
      <c r="A582" s="1126" t="s">
        <v>3869</v>
      </c>
      <c r="B582" s="630"/>
      <c r="C582" s="1032" t="s">
        <v>530</v>
      </c>
      <c r="D582" s="597" t="s">
        <v>531</v>
      </c>
      <c r="E582" s="697">
        <v>373000</v>
      </c>
      <c r="F582" s="698">
        <v>373000</v>
      </c>
      <c r="G582" s="1002"/>
      <c r="H582" s="705"/>
      <c r="I582" s="705"/>
    </row>
    <row r="583" spans="1:9" s="543" customFormat="1" ht="12.75">
      <c r="A583" s="1126" t="s">
        <v>1547</v>
      </c>
      <c r="B583" s="630"/>
      <c r="C583" s="1032" t="s">
        <v>533</v>
      </c>
      <c r="D583" s="597" t="s">
        <v>534</v>
      </c>
      <c r="E583" s="697">
        <v>357000</v>
      </c>
      <c r="F583" s="698">
        <v>357000</v>
      </c>
      <c r="G583" s="1002"/>
      <c r="H583" s="705"/>
      <c r="I583" s="705"/>
    </row>
    <row r="584" spans="1:9" s="543" customFormat="1" ht="12.75">
      <c r="A584" s="1126" t="s">
        <v>3871</v>
      </c>
      <c r="B584" s="630"/>
      <c r="C584" s="1032" t="s">
        <v>536</v>
      </c>
      <c r="D584" s="597" t="s">
        <v>537</v>
      </c>
      <c r="E584" s="697">
        <v>1260000</v>
      </c>
      <c r="F584" s="698">
        <v>1260000</v>
      </c>
      <c r="G584" s="1002"/>
      <c r="H584" s="705"/>
      <c r="I584" s="705"/>
    </row>
    <row r="585" spans="1:9" s="543" customFormat="1" ht="12.75">
      <c r="A585" s="1126" t="s">
        <v>3872</v>
      </c>
      <c r="B585" s="630"/>
      <c r="C585" s="1032" t="s">
        <v>539</v>
      </c>
      <c r="D585" s="597" t="s">
        <v>540</v>
      </c>
      <c r="E585" s="697">
        <v>126000</v>
      </c>
      <c r="F585" s="698">
        <v>126000</v>
      </c>
      <c r="G585" s="1002"/>
      <c r="H585" s="705"/>
      <c r="I585" s="705"/>
    </row>
    <row r="586" spans="1:9" s="543" customFormat="1" ht="12.75">
      <c r="A586" s="1126" t="s">
        <v>3873</v>
      </c>
      <c r="B586" s="630"/>
      <c r="C586" s="1032" t="s">
        <v>542</v>
      </c>
      <c r="D586" s="597" t="s">
        <v>543</v>
      </c>
      <c r="E586" s="697">
        <v>428000</v>
      </c>
      <c r="F586" s="698">
        <v>428000</v>
      </c>
      <c r="G586" s="1002"/>
      <c r="H586" s="705"/>
      <c r="I586" s="705"/>
    </row>
    <row r="587" spans="1:9" s="543" customFormat="1" ht="25.5">
      <c r="A587" s="1126" t="s">
        <v>3874</v>
      </c>
      <c r="B587" s="630"/>
      <c r="C587" s="1032" t="s">
        <v>545</v>
      </c>
      <c r="D587" s="597" t="s">
        <v>546</v>
      </c>
      <c r="E587" s="697">
        <v>50000</v>
      </c>
      <c r="F587" s="698">
        <v>50000</v>
      </c>
      <c r="G587" s="1002"/>
      <c r="H587" s="705"/>
      <c r="I587" s="705"/>
    </row>
    <row r="588" spans="1:9" s="543" customFormat="1" ht="12.75">
      <c r="A588" s="1126" t="s">
        <v>3875</v>
      </c>
      <c r="B588" s="630"/>
      <c r="C588" s="1032" t="s">
        <v>548</v>
      </c>
      <c r="D588" s="597" t="s">
        <v>549</v>
      </c>
      <c r="E588" s="697">
        <v>382000</v>
      </c>
      <c r="F588" s="698">
        <v>382000</v>
      </c>
      <c r="G588" s="1002"/>
      <c r="H588" s="705"/>
      <c r="I588" s="705"/>
    </row>
    <row r="589" spans="1:9" s="543" customFormat="1" ht="12.75">
      <c r="A589" s="1126" t="s">
        <v>3876</v>
      </c>
      <c r="B589" s="630"/>
      <c r="C589" s="1032" t="s">
        <v>551</v>
      </c>
      <c r="D589" s="597" t="s">
        <v>552</v>
      </c>
      <c r="E589" s="697">
        <v>1387000</v>
      </c>
      <c r="F589" s="698">
        <v>1387000</v>
      </c>
      <c r="G589" s="1002"/>
      <c r="H589" s="705"/>
      <c r="I589" s="705"/>
    </row>
    <row r="590" spans="1:9" s="543" customFormat="1" ht="12.75">
      <c r="A590" s="1126" t="s">
        <v>3877</v>
      </c>
      <c r="B590" s="631"/>
      <c r="C590" s="1129" t="s">
        <v>554</v>
      </c>
      <c r="D590" s="677" t="s">
        <v>555</v>
      </c>
      <c r="E590" s="770">
        <v>150000</v>
      </c>
      <c r="F590" s="698">
        <v>150000</v>
      </c>
      <c r="G590" s="1002"/>
      <c r="H590" s="705"/>
      <c r="I590" s="705"/>
    </row>
    <row r="591" spans="1:9" s="543" customFormat="1" ht="12.75">
      <c r="A591" s="1126" t="s">
        <v>3878</v>
      </c>
      <c r="B591" s="631"/>
      <c r="C591" s="1129" t="s">
        <v>556</v>
      </c>
      <c r="D591" s="677" t="s">
        <v>2545</v>
      </c>
      <c r="E591" s="770">
        <v>651112</v>
      </c>
      <c r="F591" s="698">
        <v>651112</v>
      </c>
      <c r="G591" s="1002"/>
      <c r="H591" s="705"/>
      <c r="I591" s="705"/>
    </row>
    <row r="592" spans="1:9" s="543" customFormat="1" ht="13.5" thickBot="1">
      <c r="A592" s="1126" t="s">
        <v>3879</v>
      </c>
      <c r="B592" s="631"/>
      <c r="C592" s="1129" t="s">
        <v>557</v>
      </c>
      <c r="D592" s="677" t="s">
        <v>558</v>
      </c>
      <c r="E592" s="770">
        <v>2313797</v>
      </c>
      <c r="F592" s="698">
        <v>2313797</v>
      </c>
      <c r="G592" s="1002"/>
      <c r="H592" s="705"/>
      <c r="I592" s="705"/>
    </row>
    <row r="593" spans="1:9" s="666" customFormat="1" ht="48.75" thickBot="1">
      <c r="A593" s="605" t="s">
        <v>4597</v>
      </c>
      <c r="B593" s="606" t="s">
        <v>4601</v>
      </c>
      <c r="C593" s="1008" t="s">
        <v>4602</v>
      </c>
      <c r="D593" s="606" t="s">
        <v>4603</v>
      </c>
      <c r="E593" s="738" t="s">
        <v>4604</v>
      </c>
      <c r="F593" s="739" t="s">
        <v>4605</v>
      </c>
      <c r="G593" s="1127"/>
      <c r="H593" s="1128"/>
      <c r="I593" s="1128"/>
    </row>
    <row r="594" spans="1:9" s="543" customFormat="1" ht="12.75">
      <c r="A594" s="1126" t="s">
        <v>1548</v>
      </c>
      <c r="B594" s="631"/>
      <c r="C594" s="1129" t="s">
        <v>559</v>
      </c>
      <c r="D594" s="677" t="s">
        <v>560</v>
      </c>
      <c r="E594" s="770">
        <v>218180</v>
      </c>
      <c r="F594" s="698">
        <v>218180</v>
      </c>
      <c r="G594" s="1002"/>
      <c r="H594" s="705"/>
      <c r="I594" s="705"/>
    </row>
    <row r="595" spans="1:9" s="543" customFormat="1" ht="12.75">
      <c r="A595" s="1126" t="s">
        <v>3880</v>
      </c>
      <c r="B595" s="631"/>
      <c r="C595" s="1129" t="s">
        <v>561</v>
      </c>
      <c r="D595" s="677" t="s">
        <v>3354</v>
      </c>
      <c r="E595" s="770">
        <v>696719</v>
      </c>
      <c r="F595" s="698">
        <v>696719</v>
      </c>
      <c r="G595" s="1002"/>
      <c r="H595" s="705"/>
      <c r="I595" s="705"/>
    </row>
    <row r="596" spans="1:9" s="543" customFormat="1" ht="12.75">
      <c r="A596" s="1126" t="s">
        <v>3881</v>
      </c>
      <c r="B596" s="631"/>
      <c r="C596" s="1129" t="s">
        <v>3356</v>
      </c>
      <c r="D596" s="677" t="s">
        <v>3357</v>
      </c>
      <c r="E596" s="770">
        <v>580</v>
      </c>
      <c r="F596" s="698">
        <v>580</v>
      </c>
      <c r="G596" s="1002"/>
      <c r="H596" s="705"/>
      <c r="I596" s="705"/>
    </row>
    <row r="597" spans="1:9" s="543" customFormat="1" ht="13.5" thickBot="1">
      <c r="A597" s="1126" t="s">
        <v>3882</v>
      </c>
      <c r="B597" s="633"/>
      <c r="C597" s="1077" t="s">
        <v>3359</v>
      </c>
      <c r="D597" s="603" t="s">
        <v>3360</v>
      </c>
      <c r="E597" s="1079">
        <v>93000</v>
      </c>
      <c r="F597" s="698">
        <v>93000</v>
      </c>
      <c r="G597" s="1002"/>
      <c r="H597" s="705"/>
      <c r="I597" s="705"/>
    </row>
    <row r="598" spans="1:9" s="543" customFormat="1" ht="13.5" thickBot="1">
      <c r="A598" s="679"/>
      <c r="B598" s="1124">
        <v>121211</v>
      </c>
      <c r="C598" s="757" t="s">
        <v>3361</v>
      </c>
      <c r="D598" s="601" t="s">
        <v>1499</v>
      </c>
      <c r="E598" s="773">
        <f>SUM(E304:E597)</f>
        <v>190420237</v>
      </c>
      <c r="F598" s="774">
        <f>SUM(F304:F597)</f>
        <v>190420237</v>
      </c>
      <c r="G598" s="1002"/>
      <c r="H598" s="705"/>
      <c r="I598" s="705"/>
    </row>
    <row r="599" spans="1:9" s="543" customFormat="1" ht="13.5" thickBot="1">
      <c r="A599" s="2248" t="s">
        <v>3362</v>
      </c>
      <c r="B599" s="2248"/>
      <c r="C599" s="2248"/>
      <c r="D599" s="2248"/>
      <c r="E599" s="2248"/>
      <c r="F599" s="2248"/>
      <c r="G599" s="1002"/>
      <c r="H599" s="705"/>
      <c r="I599" s="705"/>
    </row>
    <row r="600" spans="1:9" s="543" customFormat="1" ht="25.5">
      <c r="A600" s="680" t="s">
        <v>3884</v>
      </c>
      <c r="B600" s="819">
        <v>12122</v>
      </c>
      <c r="C600" s="1115" t="s">
        <v>3363</v>
      </c>
      <c r="D600" s="643" t="s">
        <v>3364</v>
      </c>
      <c r="E600" s="692">
        <v>77000</v>
      </c>
      <c r="F600" s="693">
        <v>77000</v>
      </c>
      <c r="G600" s="1002"/>
      <c r="H600" s="705"/>
      <c r="I600" s="705"/>
    </row>
    <row r="601" spans="1:9" s="543" customFormat="1" ht="25.5">
      <c r="A601" s="648" t="s">
        <v>3885</v>
      </c>
      <c r="B601" s="822"/>
      <c r="C601" s="1032" t="s">
        <v>3365</v>
      </c>
      <c r="D601" s="597" t="s">
        <v>3366</v>
      </c>
      <c r="E601" s="697">
        <v>291250</v>
      </c>
      <c r="F601" s="698">
        <v>291250</v>
      </c>
      <c r="G601" s="1002"/>
      <c r="H601" s="705"/>
      <c r="I601" s="705"/>
    </row>
    <row r="602" spans="1:9" s="543" customFormat="1" ht="12.75">
      <c r="A602" s="648" t="s">
        <v>3887</v>
      </c>
      <c r="B602" s="822"/>
      <c r="C602" s="1032" t="s">
        <v>3367</v>
      </c>
      <c r="D602" s="597" t="s">
        <v>3368</v>
      </c>
      <c r="E602" s="697">
        <v>3650834</v>
      </c>
      <c r="F602" s="698">
        <v>3650834</v>
      </c>
      <c r="G602" s="1002"/>
      <c r="H602" s="705"/>
      <c r="I602" s="705"/>
    </row>
    <row r="603" spans="1:9" s="543" customFormat="1" ht="12.75">
      <c r="A603" s="648" t="s">
        <v>3888</v>
      </c>
      <c r="B603" s="822"/>
      <c r="C603" s="1032" t="s">
        <v>3369</v>
      </c>
      <c r="D603" s="597" t="s">
        <v>3370</v>
      </c>
      <c r="E603" s="697">
        <v>5380713</v>
      </c>
      <c r="F603" s="698">
        <v>5380713</v>
      </c>
      <c r="G603" s="1002"/>
      <c r="H603" s="705"/>
      <c r="I603" s="705"/>
    </row>
    <row r="604" spans="1:9" s="543" customFormat="1" ht="25.5">
      <c r="A604" s="648" t="s">
        <v>3889</v>
      </c>
      <c r="B604" s="822"/>
      <c r="C604" s="1032" t="s">
        <v>3371</v>
      </c>
      <c r="D604" s="597" t="s">
        <v>3372</v>
      </c>
      <c r="E604" s="697">
        <v>73000</v>
      </c>
      <c r="F604" s="698">
        <v>73000</v>
      </c>
      <c r="G604" s="1002"/>
      <c r="H604" s="705"/>
      <c r="I604" s="705"/>
    </row>
    <row r="605" spans="1:9" s="543" customFormat="1" ht="12.75">
      <c r="A605" s="648" t="s">
        <v>3890</v>
      </c>
      <c r="B605" s="683"/>
      <c r="C605" s="1130" t="s">
        <v>3373</v>
      </c>
      <c r="D605" s="684" t="s">
        <v>3374</v>
      </c>
      <c r="E605" s="770">
        <v>227953</v>
      </c>
      <c r="F605" s="771">
        <v>227953</v>
      </c>
      <c r="G605" s="1002"/>
      <c r="H605" s="705"/>
      <c r="I605" s="705"/>
    </row>
    <row r="606" spans="1:9" s="543" customFormat="1" ht="12.75">
      <c r="A606" s="648" t="s">
        <v>3891</v>
      </c>
      <c r="B606" s="630"/>
      <c r="C606" s="1032"/>
      <c r="D606" s="598" t="s">
        <v>3375</v>
      </c>
      <c r="E606" s="697">
        <v>66000</v>
      </c>
      <c r="F606" s="698">
        <v>66000</v>
      </c>
      <c r="G606" s="1002"/>
      <c r="H606" s="705"/>
      <c r="I606" s="705"/>
    </row>
    <row r="607" spans="1:9" s="543" customFormat="1" ht="12.75">
      <c r="A607" s="648" t="s">
        <v>3892</v>
      </c>
      <c r="B607" s="630"/>
      <c r="C607" s="1032" t="s">
        <v>3376</v>
      </c>
      <c r="D607" s="598" t="s">
        <v>3377</v>
      </c>
      <c r="E607" s="697">
        <v>185217</v>
      </c>
      <c r="F607" s="698">
        <v>185217</v>
      </c>
      <c r="G607" s="1002"/>
      <c r="H607" s="705"/>
      <c r="I607" s="705"/>
    </row>
    <row r="608" spans="1:9" s="543" customFormat="1" ht="12.75">
      <c r="A608" s="648" t="s">
        <v>3894</v>
      </c>
      <c r="B608" s="630"/>
      <c r="C608" s="1032" t="s">
        <v>3376</v>
      </c>
      <c r="D608" s="598" t="s">
        <v>3378</v>
      </c>
      <c r="E608" s="697">
        <v>7250</v>
      </c>
      <c r="F608" s="698">
        <v>7250</v>
      </c>
      <c r="G608" s="1002"/>
      <c r="H608" s="705"/>
      <c r="I608" s="705"/>
    </row>
    <row r="609" spans="1:9" s="543" customFormat="1" ht="12.75">
      <c r="A609" s="648" t="s">
        <v>3895</v>
      </c>
      <c r="B609" s="630"/>
      <c r="C609" s="1032" t="s">
        <v>3379</v>
      </c>
      <c r="D609" s="598" t="s">
        <v>3380</v>
      </c>
      <c r="E609" s="697">
        <v>74531</v>
      </c>
      <c r="F609" s="698">
        <v>74531</v>
      </c>
      <c r="G609" s="1002"/>
      <c r="H609" s="705"/>
      <c r="I609" s="705"/>
    </row>
    <row r="610" spans="1:9" s="543" customFormat="1" ht="12.75">
      <c r="A610" s="648" t="s">
        <v>3896</v>
      </c>
      <c r="B610" s="630"/>
      <c r="C610" s="1032" t="s">
        <v>3381</v>
      </c>
      <c r="D610" s="598" t="s">
        <v>3382</v>
      </c>
      <c r="E610" s="697">
        <v>115250</v>
      </c>
      <c r="F610" s="698">
        <v>115250</v>
      </c>
      <c r="G610" s="1002"/>
      <c r="H610" s="705"/>
      <c r="I610" s="705"/>
    </row>
    <row r="611" spans="1:9" s="543" customFormat="1" ht="12.75">
      <c r="A611" s="648" t="s">
        <v>3897</v>
      </c>
      <c r="B611" s="630"/>
      <c r="C611" s="1032" t="s">
        <v>3381</v>
      </c>
      <c r="D611" s="598" t="s">
        <v>3383</v>
      </c>
      <c r="E611" s="697">
        <v>372750</v>
      </c>
      <c r="F611" s="698">
        <v>372750</v>
      </c>
      <c r="G611" s="1002"/>
      <c r="H611" s="705"/>
      <c r="I611" s="705"/>
    </row>
    <row r="612" spans="1:9" s="543" customFormat="1" ht="12.75">
      <c r="A612" s="648" t="s">
        <v>3898</v>
      </c>
      <c r="B612" s="630"/>
      <c r="C612" s="1032" t="s">
        <v>3384</v>
      </c>
      <c r="D612" s="597" t="s">
        <v>3385</v>
      </c>
      <c r="E612" s="697">
        <v>73000</v>
      </c>
      <c r="F612" s="698">
        <v>73000</v>
      </c>
      <c r="G612" s="1002"/>
      <c r="H612" s="705"/>
      <c r="I612" s="705"/>
    </row>
    <row r="613" spans="1:9" s="543" customFormat="1" ht="25.5">
      <c r="A613" s="648" t="s">
        <v>3899</v>
      </c>
      <c r="B613" s="822"/>
      <c r="C613" s="1032" t="s">
        <v>3386</v>
      </c>
      <c r="D613" s="597" t="s">
        <v>3387</v>
      </c>
      <c r="E613" s="697">
        <v>180564</v>
      </c>
      <c r="F613" s="698">
        <v>180564</v>
      </c>
      <c r="G613" s="1002"/>
      <c r="H613" s="705"/>
      <c r="I613" s="705"/>
    </row>
    <row r="614" spans="1:9" s="543" customFormat="1" ht="12.75">
      <c r="A614" s="648" t="s">
        <v>3900</v>
      </c>
      <c r="B614" s="822"/>
      <c r="C614" s="1032" t="s">
        <v>3388</v>
      </c>
      <c r="D614" s="597" t="s">
        <v>3389</v>
      </c>
      <c r="E614" s="697">
        <v>1360000</v>
      </c>
      <c r="F614" s="698">
        <v>1360000</v>
      </c>
      <c r="G614" s="1002"/>
      <c r="H614" s="705"/>
      <c r="I614" s="705"/>
    </row>
    <row r="615" spans="1:9" s="543" customFormat="1" ht="12.75">
      <c r="A615" s="648" t="s">
        <v>3901</v>
      </c>
      <c r="B615" s="822"/>
      <c r="C615" s="1032">
        <v>1924</v>
      </c>
      <c r="D615" s="597" t="s">
        <v>3389</v>
      </c>
      <c r="E615" s="697">
        <v>558000</v>
      </c>
      <c r="F615" s="698">
        <v>558000</v>
      </c>
      <c r="G615" s="1002"/>
      <c r="H615" s="705"/>
      <c r="I615" s="705"/>
    </row>
    <row r="616" spans="1:9" s="543" customFormat="1" ht="12.75" customHeight="1">
      <c r="A616" s="648" t="s">
        <v>3902</v>
      </c>
      <c r="B616" s="822"/>
      <c r="C616" s="1032">
        <v>1927</v>
      </c>
      <c r="D616" s="597" t="s">
        <v>3390</v>
      </c>
      <c r="E616" s="697">
        <v>1389060</v>
      </c>
      <c r="F616" s="698">
        <v>1389060</v>
      </c>
      <c r="G616" s="1002"/>
      <c r="H616" s="705"/>
      <c r="I616" s="705"/>
    </row>
    <row r="617" spans="1:9" s="543" customFormat="1" ht="12.75">
      <c r="A617" s="648" t="s">
        <v>3904</v>
      </c>
      <c r="B617" s="822"/>
      <c r="C617" s="1032" t="s">
        <v>3391</v>
      </c>
      <c r="D617" s="597" t="s">
        <v>3392</v>
      </c>
      <c r="E617" s="697">
        <v>30000</v>
      </c>
      <c r="F617" s="698">
        <v>30000</v>
      </c>
      <c r="G617" s="1002"/>
      <c r="H617" s="705"/>
      <c r="I617" s="705"/>
    </row>
    <row r="618" spans="1:9" s="543" customFormat="1" ht="12.75">
      <c r="A618" s="648" t="s">
        <v>3905</v>
      </c>
      <c r="B618" s="1131"/>
      <c r="C618" s="1132" t="s">
        <v>3393</v>
      </c>
      <c r="D618" s="1133" t="s">
        <v>3394</v>
      </c>
      <c r="E618" s="1134">
        <v>70231</v>
      </c>
      <c r="F618" s="746">
        <v>70231</v>
      </c>
      <c r="G618" s="1002"/>
      <c r="H618" s="705"/>
      <c r="I618" s="705"/>
    </row>
    <row r="619" spans="1:13" ht="12.75">
      <c r="A619" s="648" t="s">
        <v>3906</v>
      </c>
      <c r="B619" s="726">
        <v>12122</v>
      </c>
      <c r="C619" s="1032" t="s">
        <v>1549</v>
      </c>
      <c r="D619" s="747" t="s">
        <v>1550</v>
      </c>
      <c r="E619" s="697">
        <v>4778250</v>
      </c>
      <c r="F619" s="698">
        <v>4778250</v>
      </c>
      <c r="J619" s="543"/>
      <c r="K619"/>
      <c r="L619"/>
      <c r="M619"/>
    </row>
    <row r="620" spans="1:13" ht="12.75">
      <c r="A620" s="648" t="s">
        <v>3907</v>
      </c>
      <c r="B620" s="822"/>
      <c r="C620" s="1032" t="s">
        <v>1549</v>
      </c>
      <c r="D620" s="747" t="s">
        <v>1551</v>
      </c>
      <c r="E620" s="697">
        <v>258000</v>
      </c>
      <c r="F620" s="698">
        <v>258000</v>
      </c>
      <c r="J620" s="543"/>
      <c r="K620"/>
      <c r="L620"/>
      <c r="M620"/>
    </row>
    <row r="621" spans="1:13" ht="12.75">
      <c r="A621" s="648" t="s">
        <v>3909</v>
      </c>
      <c r="B621" s="822"/>
      <c r="C621" s="1032" t="s">
        <v>4592</v>
      </c>
      <c r="D621" s="747" t="s">
        <v>1552</v>
      </c>
      <c r="E621" s="1022">
        <v>423210</v>
      </c>
      <c r="F621" s="788">
        <v>423210</v>
      </c>
      <c r="J621" s="543"/>
      <c r="K621"/>
      <c r="L621"/>
      <c r="M621"/>
    </row>
    <row r="622" spans="1:10" s="400" customFormat="1" ht="12.75">
      <c r="A622" s="648" t="s">
        <v>3910</v>
      </c>
      <c r="B622" s="1135"/>
      <c r="C622" s="700" t="s">
        <v>4592</v>
      </c>
      <c r="D622" s="1133" t="s">
        <v>1553</v>
      </c>
      <c r="E622" s="1136">
        <v>550000</v>
      </c>
      <c r="F622" s="1137">
        <v>550000</v>
      </c>
      <c r="G622" s="1002"/>
      <c r="H622" s="705"/>
      <c r="I622" s="705"/>
      <c r="J622" s="543"/>
    </row>
    <row r="623" spans="1:13" ht="12.75">
      <c r="A623" s="648" t="s">
        <v>3912</v>
      </c>
      <c r="B623" s="822">
        <v>12122</v>
      </c>
      <c r="C623" s="1032" t="s">
        <v>1026</v>
      </c>
      <c r="D623" s="747" t="s">
        <v>1554</v>
      </c>
      <c r="E623" s="697">
        <v>1529750</v>
      </c>
      <c r="F623" s="698">
        <v>1529750</v>
      </c>
      <c r="J623" s="543"/>
      <c r="K623"/>
      <c r="L623"/>
      <c r="M623"/>
    </row>
    <row r="624" spans="1:13" ht="12.75">
      <c r="A624" s="648" t="s">
        <v>3914</v>
      </c>
      <c r="B624" s="822"/>
      <c r="C624" s="1032" t="s">
        <v>1026</v>
      </c>
      <c r="D624" s="747" t="s">
        <v>1555</v>
      </c>
      <c r="E624" s="697">
        <v>462500</v>
      </c>
      <c r="F624" s="698">
        <v>462500</v>
      </c>
      <c r="J624" s="543"/>
      <c r="K624"/>
      <c r="L624"/>
      <c r="M624"/>
    </row>
    <row r="625" spans="1:13" ht="12.75">
      <c r="A625" s="648" t="s">
        <v>3915</v>
      </c>
      <c r="B625" s="822"/>
      <c r="C625" s="1032" t="s">
        <v>1026</v>
      </c>
      <c r="D625" s="747" t="s">
        <v>1556</v>
      </c>
      <c r="E625" s="697">
        <v>112000</v>
      </c>
      <c r="F625" s="698">
        <v>112000</v>
      </c>
      <c r="J625" s="543"/>
      <c r="K625"/>
      <c r="L625"/>
      <c r="M625"/>
    </row>
    <row r="626" spans="1:13" ht="12.75">
      <c r="A626" s="648" t="s">
        <v>3917</v>
      </c>
      <c r="B626" s="822">
        <v>12122</v>
      </c>
      <c r="C626" s="1032" t="s">
        <v>1029</v>
      </c>
      <c r="D626" s="747" t="s">
        <v>1557</v>
      </c>
      <c r="E626" s="697">
        <v>3458000</v>
      </c>
      <c r="F626" s="698">
        <v>3458000</v>
      </c>
      <c r="J626" s="543"/>
      <c r="K626"/>
      <c r="L626"/>
      <c r="M626"/>
    </row>
    <row r="627" spans="1:13" ht="12.75">
      <c r="A627" s="648" t="s">
        <v>3919</v>
      </c>
      <c r="B627" s="1059"/>
      <c r="C627" s="1073" t="s">
        <v>1029</v>
      </c>
      <c r="D627" s="1138" t="s">
        <v>1558</v>
      </c>
      <c r="E627" s="770">
        <v>236250</v>
      </c>
      <c r="F627" s="771">
        <v>236250</v>
      </c>
      <c r="J627" s="543"/>
      <c r="K627"/>
      <c r="L627"/>
      <c r="M627"/>
    </row>
    <row r="628" spans="1:13" ht="13.5" thickBot="1">
      <c r="A628" s="648" t="s">
        <v>3921</v>
      </c>
      <c r="B628" s="1139">
        <v>1212128</v>
      </c>
      <c r="C628" s="1073" t="s">
        <v>1559</v>
      </c>
      <c r="D628" s="1138" t="s">
        <v>1560</v>
      </c>
      <c r="E628" s="770">
        <v>344738</v>
      </c>
      <c r="F628" s="771">
        <v>344738</v>
      </c>
      <c r="J628" s="543"/>
      <c r="K628"/>
      <c r="L628"/>
      <c r="M628"/>
    </row>
    <row r="629" spans="1:13" ht="13.5" thickBot="1">
      <c r="A629" s="1140"/>
      <c r="B629" s="1124" t="s">
        <v>394</v>
      </c>
      <c r="C629" s="757" t="s">
        <v>3395</v>
      </c>
      <c r="D629" s="1141" t="s">
        <v>1499</v>
      </c>
      <c r="E629" s="773">
        <f>SUM(E600:E628)</f>
        <v>26335301</v>
      </c>
      <c r="F629" s="774">
        <f>SUM(F600:F628)</f>
        <v>26335301</v>
      </c>
      <c r="J629" s="543"/>
      <c r="K629"/>
      <c r="L629"/>
      <c r="M629"/>
    </row>
    <row r="630" spans="1:13" ht="13.5" thickBot="1">
      <c r="A630" s="1142"/>
      <c r="B630" s="622"/>
      <c r="C630" s="1143"/>
      <c r="D630" s="1144"/>
      <c r="E630" s="766"/>
      <c r="F630" s="1145"/>
      <c r="J630" s="543"/>
      <c r="K630"/>
      <c r="L630"/>
      <c r="M630"/>
    </row>
    <row r="631" spans="1:9" s="543" customFormat="1" ht="13.5" thickBot="1">
      <c r="A631" s="2220" t="s">
        <v>3396</v>
      </c>
      <c r="B631" s="2220"/>
      <c r="C631" s="2220"/>
      <c r="D631" s="2220"/>
      <c r="E631" s="2220"/>
      <c r="F631" s="2220"/>
      <c r="G631" s="1002"/>
      <c r="H631" s="705"/>
      <c r="I631" s="705"/>
    </row>
    <row r="632" spans="1:9" s="694" customFormat="1" ht="12.75">
      <c r="A632" s="808" t="s">
        <v>3924</v>
      </c>
      <c r="B632" s="1146">
        <v>12123</v>
      </c>
      <c r="C632" s="691">
        <v>2019</v>
      </c>
      <c r="D632" s="691" t="s">
        <v>3397</v>
      </c>
      <c r="E632" s="692">
        <v>1500</v>
      </c>
      <c r="F632" s="693">
        <v>1500</v>
      </c>
      <c r="G632" s="1047"/>
      <c r="H632" s="708"/>
      <c r="I632" s="708"/>
    </row>
    <row r="633" spans="1:9" s="694" customFormat="1" ht="12.75">
      <c r="A633" s="687" t="s">
        <v>3926</v>
      </c>
      <c r="B633" s="726"/>
      <c r="C633" s="696">
        <v>2283</v>
      </c>
      <c r="D633" s="696" t="s">
        <v>3398</v>
      </c>
      <c r="E633" s="697">
        <v>46863</v>
      </c>
      <c r="F633" s="698">
        <v>46863</v>
      </c>
      <c r="G633" s="1047"/>
      <c r="H633" s="708"/>
      <c r="I633" s="708"/>
    </row>
    <row r="634" spans="1:9" s="543" customFormat="1" ht="12.75">
      <c r="A634" s="687" t="s">
        <v>3928</v>
      </c>
      <c r="B634" s="645"/>
      <c r="C634" s="1071" t="s">
        <v>3399</v>
      </c>
      <c r="D634" s="596" t="s">
        <v>3400</v>
      </c>
      <c r="E634" s="1058">
        <v>203750</v>
      </c>
      <c r="F634" s="1075">
        <v>203750</v>
      </c>
      <c r="G634" s="1002"/>
      <c r="H634" s="705"/>
      <c r="I634" s="705"/>
    </row>
    <row r="635" spans="1:9" s="543" customFormat="1" ht="12.75">
      <c r="A635" s="687" t="s">
        <v>3930</v>
      </c>
      <c r="B635" s="630"/>
      <c r="C635" s="1032" t="s">
        <v>3401</v>
      </c>
      <c r="D635" s="598" t="s">
        <v>3402</v>
      </c>
      <c r="E635" s="697">
        <v>75000</v>
      </c>
      <c r="F635" s="698">
        <v>75000</v>
      </c>
      <c r="G635" s="1002"/>
      <c r="H635" s="705"/>
      <c r="I635" s="705"/>
    </row>
    <row r="636" spans="1:9" s="543" customFormat="1" ht="12.75">
      <c r="A636" s="687" t="s">
        <v>3932</v>
      </c>
      <c r="B636" s="630"/>
      <c r="C636" s="1032" t="s">
        <v>3403</v>
      </c>
      <c r="D636" s="598" t="s">
        <v>3404</v>
      </c>
      <c r="E636" s="697">
        <v>118240</v>
      </c>
      <c r="F636" s="698">
        <v>118240</v>
      </c>
      <c r="G636" s="1002"/>
      <c r="H636" s="705"/>
      <c r="I636" s="705"/>
    </row>
    <row r="637" spans="1:9" s="543" customFormat="1" ht="12.75">
      <c r="A637" s="687" t="s">
        <v>3934</v>
      </c>
      <c r="B637" s="630"/>
      <c r="C637" s="1032" t="s">
        <v>3405</v>
      </c>
      <c r="D637" s="598" t="s">
        <v>3406</v>
      </c>
      <c r="E637" s="697">
        <v>122750</v>
      </c>
      <c r="F637" s="698">
        <v>122750</v>
      </c>
      <c r="G637" s="1002"/>
      <c r="H637" s="705"/>
      <c r="I637" s="705"/>
    </row>
    <row r="638" spans="1:9" s="543" customFormat="1" ht="12.75">
      <c r="A638" s="687" t="s">
        <v>3936</v>
      </c>
      <c r="B638" s="630"/>
      <c r="C638" s="1032" t="s">
        <v>3407</v>
      </c>
      <c r="D638" s="598" t="s">
        <v>3408</v>
      </c>
      <c r="E638" s="697">
        <v>133000</v>
      </c>
      <c r="F638" s="698">
        <v>133000</v>
      </c>
      <c r="G638" s="1002"/>
      <c r="H638" s="705"/>
      <c r="I638" s="705"/>
    </row>
    <row r="639" spans="1:9" s="543" customFormat="1" ht="12.75">
      <c r="A639" s="687" t="s">
        <v>3938</v>
      </c>
      <c r="B639" s="630"/>
      <c r="C639" s="1032" t="s">
        <v>3403</v>
      </c>
      <c r="D639" s="598" t="s">
        <v>3409</v>
      </c>
      <c r="E639" s="697">
        <v>16000</v>
      </c>
      <c r="F639" s="698">
        <v>16000</v>
      </c>
      <c r="G639" s="1002"/>
      <c r="H639" s="705"/>
      <c r="I639" s="705"/>
    </row>
    <row r="640" spans="1:9" s="543" customFormat="1" ht="12.75">
      <c r="A640" s="687" t="s">
        <v>3940</v>
      </c>
      <c r="B640" s="630"/>
      <c r="C640" s="1032" t="s">
        <v>3410</v>
      </c>
      <c r="D640" s="598" t="s">
        <v>3411</v>
      </c>
      <c r="E640" s="697">
        <v>149999</v>
      </c>
      <c r="F640" s="698">
        <v>149999</v>
      </c>
      <c r="G640" s="1002"/>
      <c r="H640" s="705"/>
      <c r="I640" s="705"/>
    </row>
    <row r="641" spans="1:9" s="543" customFormat="1" ht="12.75">
      <c r="A641" s="687" t="s">
        <v>3942</v>
      </c>
      <c r="B641" s="630"/>
      <c r="C641" s="1032" t="s">
        <v>3412</v>
      </c>
      <c r="D641" s="598" t="s">
        <v>3413</v>
      </c>
      <c r="E641" s="697">
        <v>122000</v>
      </c>
      <c r="F641" s="698">
        <f aca="true" t="shared" si="0" ref="F641:F696">E641</f>
        <v>122000</v>
      </c>
      <c r="G641" s="1002"/>
      <c r="H641" s="705"/>
      <c r="I641" s="705"/>
    </row>
    <row r="642" spans="1:9" s="543" customFormat="1" ht="12.75">
      <c r="A642" s="687" t="s">
        <v>3944</v>
      </c>
      <c r="B642" s="630"/>
      <c r="C642" s="1032" t="s">
        <v>3414</v>
      </c>
      <c r="D642" s="598" t="s">
        <v>3415</v>
      </c>
      <c r="E642" s="697">
        <v>100000</v>
      </c>
      <c r="F642" s="698">
        <f t="shared" si="0"/>
        <v>100000</v>
      </c>
      <c r="G642" s="1002"/>
      <c r="H642" s="705"/>
      <c r="I642" s="705"/>
    </row>
    <row r="643" spans="1:9" s="543" customFormat="1" ht="12.75">
      <c r="A643" s="687" t="s">
        <v>3946</v>
      </c>
      <c r="B643" s="630"/>
      <c r="C643" s="1032" t="s">
        <v>3416</v>
      </c>
      <c r="D643" s="598" t="s">
        <v>3417</v>
      </c>
      <c r="E643" s="697">
        <v>1000</v>
      </c>
      <c r="F643" s="698">
        <f t="shared" si="0"/>
        <v>1000</v>
      </c>
      <c r="G643" s="1002"/>
      <c r="H643" s="705"/>
      <c r="I643" s="705"/>
    </row>
    <row r="644" spans="1:9" s="543" customFormat="1" ht="12.75">
      <c r="A644" s="687" t="s">
        <v>3948</v>
      </c>
      <c r="B644" s="630"/>
      <c r="C644" s="1032" t="s">
        <v>3418</v>
      </c>
      <c r="D644" s="598" t="s">
        <v>3419</v>
      </c>
      <c r="E644" s="697">
        <v>189768</v>
      </c>
      <c r="F644" s="698">
        <f t="shared" si="0"/>
        <v>189768</v>
      </c>
      <c r="G644" s="1002"/>
      <c r="H644" s="705"/>
      <c r="I644" s="705"/>
    </row>
    <row r="645" spans="1:9" s="543" customFormat="1" ht="12.75">
      <c r="A645" s="687" t="s">
        <v>3950</v>
      </c>
      <c r="B645" s="630"/>
      <c r="C645" s="1032" t="s">
        <v>3420</v>
      </c>
      <c r="D645" s="598" t="s">
        <v>3421</v>
      </c>
      <c r="E645" s="697">
        <v>60000</v>
      </c>
      <c r="F645" s="698">
        <f t="shared" si="0"/>
        <v>60000</v>
      </c>
      <c r="G645" s="1002"/>
      <c r="H645" s="705"/>
      <c r="I645" s="705"/>
    </row>
    <row r="646" spans="1:9" s="543" customFormat="1" ht="12.75">
      <c r="A646" s="687" t="s">
        <v>3952</v>
      </c>
      <c r="B646" s="630"/>
      <c r="C646" s="1032" t="s">
        <v>3422</v>
      </c>
      <c r="D646" s="598" t="s">
        <v>3423</v>
      </c>
      <c r="E646" s="697">
        <v>139980</v>
      </c>
      <c r="F646" s="698">
        <f t="shared" si="0"/>
        <v>139980</v>
      </c>
      <c r="G646" s="1002"/>
      <c r="H646" s="705"/>
      <c r="I646" s="705"/>
    </row>
    <row r="647" spans="1:9" s="543" customFormat="1" ht="12.75">
      <c r="A647" s="687" t="s">
        <v>3953</v>
      </c>
      <c r="B647" s="630"/>
      <c r="C647" s="1032" t="s">
        <v>3424</v>
      </c>
      <c r="D647" s="598" t="s">
        <v>3425</v>
      </c>
      <c r="E647" s="697">
        <v>75842</v>
      </c>
      <c r="F647" s="698">
        <f t="shared" si="0"/>
        <v>75842</v>
      </c>
      <c r="G647" s="1002"/>
      <c r="H647" s="705"/>
      <c r="I647" s="705"/>
    </row>
    <row r="648" spans="1:9" s="543" customFormat="1" ht="13.5" thickBot="1">
      <c r="A648" s="687" t="s">
        <v>3955</v>
      </c>
      <c r="B648" s="630"/>
      <c r="C648" s="1032" t="s">
        <v>3426</v>
      </c>
      <c r="D648" s="598" t="s">
        <v>3427</v>
      </c>
      <c r="E648" s="697">
        <v>37500</v>
      </c>
      <c r="F648" s="698">
        <f t="shared" si="0"/>
        <v>37500</v>
      </c>
      <c r="G648" s="1002"/>
      <c r="H648" s="705"/>
      <c r="I648" s="705"/>
    </row>
    <row r="649" spans="1:9" s="543" customFormat="1" ht="48.75" thickBot="1">
      <c r="A649" s="605" t="s">
        <v>4597</v>
      </c>
      <c r="B649" s="606" t="s">
        <v>4601</v>
      </c>
      <c r="C649" s="1008" t="s">
        <v>4602</v>
      </c>
      <c r="D649" s="606" t="s">
        <v>4603</v>
      </c>
      <c r="E649" s="738" t="s">
        <v>4604</v>
      </c>
      <c r="F649" s="739" t="s">
        <v>4605</v>
      </c>
      <c r="G649" s="1002"/>
      <c r="H649" s="705"/>
      <c r="I649" s="705"/>
    </row>
    <row r="650" spans="1:9" s="543" customFormat="1" ht="12.75">
      <c r="A650" s="687" t="s">
        <v>3957</v>
      </c>
      <c r="B650" s="630"/>
      <c r="C650" s="1032" t="s">
        <v>3428</v>
      </c>
      <c r="D650" s="598" t="s">
        <v>3429</v>
      </c>
      <c r="E650" s="697">
        <v>60000</v>
      </c>
      <c r="F650" s="698">
        <f t="shared" si="0"/>
        <v>60000</v>
      </c>
      <c r="G650" s="1002"/>
      <c r="H650" s="705"/>
      <c r="I650" s="705"/>
    </row>
    <row r="651" spans="1:9" s="543" customFormat="1" ht="12.75">
      <c r="A651" s="687" t="s">
        <v>3959</v>
      </c>
      <c r="B651" s="630"/>
      <c r="C651" s="1032" t="s">
        <v>3430</v>
      </c>
      <c r="D651" s="598" t="s">
        <v>3431</v>
      </c>
      <c r="E651" s="697">
        <v>56432</v>
      </c>
      <c r="F651" s="698">
        <f t="shared" si="0"/>
        <v>56432</v>
      </c>
      <c r="G651" s="1002"/>
      <c r="H651" s="705"/>
      <c r="I651" s="705"/>
    </row>
    <row r="652" spans="1:9" s="543" customFormat="1" ht="12.75">
      <c r="A652" s="687" t="s">
        <v>3961</v>
      </c>
      <c r="B652" s="630"/>
      <c r="C652" s="1032" t="s">
        <v>3432</v>
      </c>
      <c r="D652" s="598" t="s">
        <v>3433</v>
      </c>
      <c r="E652" s="697">
        <v>17000</v>
      </c>
      <c r="F652" s="698">
        <f t="shared" si="0"/>
        <v>17000</v>
      </c>
      <c r="G652" s="1002"/>
      <c r="H652" s="705"/>
      <c r="I652" s="705"/>
    </row>
    <row r="653" spans="1:9" s="543" customFormat="1" ht="12.75">
      <c r="A653" s="687" t="s">
        <v>3963</v>
      </c>
      <c r="B653" s="630"/>
      <c r="C653" s="1032" t="s">
        <v>3434</v>
      </c>
      <c r="D653" s="598" t="s">
        <v>3435</v>
      </c>
      <c r="E653" s="697">
        <v>75000</v>
      </c>
      <c r="F653" s="698">
        <f t="shared" si="0"/>
        <v>75000</v>
      </c>
      <c r="G653" s="1002"/>
      <c r="H653" s="705"/>
      <c r="I653" s="705"/>
    </row>
    <row r="654" spans="1:9" s="543" customFormat="1" ht="12.75">
      <c r="A654" s="687" t="s">
        <v>3965</v>
      </c>
      <c r="B654" s="630"/>
      <c r="C654" s="1032" t="s">
        <v>3436</v>
      </c>
      <c r="D654" s="598" t="s">
        <v>3437</v>
      </c>
      <c r="E654" s="697">
        <v>62500</v>
      </c>
      <c r="F654" s="698">
        <f t="shared" si="0"/>
        <v>62500</v>
      </c>
      <c r="G654" s="1002"/>
      <c r="H654" s="705"/>
      <c r="I654" s="705"/>
    </row>
    <row r="655" spans="1:9" s="543" customFormat="1" ht="12.75">
      <c r="A655" s="687" t="s">
        <v>3967</v>
      </c>
      <c r="B655" s="630"/>
      <c r="C655" s="1032" t="s">
        <v>3438</v>
      </c>
      <c r="D655" s="598" t="s">
        <v>3439</v>
      </c>
      <c r="E655" s="697">
        <v>95000</v>
      </c>
      <c r="F655" s="698">
        <f t="shared" si="0"/>
        <v>95000</v>
      </c>
      <c r="G655" s="1002"/>
      <c r="H655" s="705"/>
      <c r="I655" s="705"/>
    </row>
    <row r="656" spans="1:9" s="543" customFormat="1" ht="25.5">
      <c r="A656" s="687" t="s">
        <v>3969</v>
      </c>
      <c r="B656" s="630"/>
      <c r="C656" s="1032" t="s">
        <v>3440</v>
      </c>
      <c r="D656" s="598" t="s">
        <v>3441</v>
      </c>
      <c r="E656" s="697">
        <v>194076</v>
      </c>
      <c r="F656" s="698">
        <f t="shared" si="0"/>
        <v>194076</v>
      </c>
      <c r="G656" s="1002"/>
      <c r="H656" s="705"/>
      <c r="I656" s="705"/>
    </row>
    <row r="657" spans="1:9" s="543" customFormat="1" ht="12.75">
      <c r="A657" s="687" t="s">
        <v>3971</v>
      </c>
      <c r="B657" s="630"/>
      <c r="C657" s="1032" t="s">
        <v>3442</v>
      </c>
      <c r="D657" s="598" t="s">
        <v>3443</v>
      </c>
      <c r="E657" s="697">
        <v>61000</v>
      </c>
      <c r="F657" s="698">
        <f t="shared" si="0"/>
        <v>61000</v>
      </c>
      <c r="G657" s="1002"/>
      <c r="H657" s="705"/>
      <c r="I657" s="705"/>
    </row>
    <row r="658" spans="1:9" s="543" customFormat="1" ht="12.75">
      <c r="A658" s="687" t="s">
        <v>3973</v>
      </c>
      <c r="B658" s="630"/>
      <c r="C658" s="1032" t="s">
        <v>3444</v>
      </c>
      <c r="D658" s="598" t="s">
        <v>3443</v>
      </c>
      <c r="E658" s="697">
        <v>61000</v>
      </c>
      <c r="F658" s="698">
        <f t="shared" si="0"/>
        <v>61000</v>
      </c>
      <c r="G658" s="1002"/>
      <c r="H658" s="705"/>
      <c r="I658" s="705"/>
    </row>
    <row r="659" spans="1:9" s="543" customFormat="1" ht="12.75">
      <c r="A659" s="687" t="s">
        <v>3975</v>
      </c>
      <c r="B659" s="630"/>
      <c r="C659" s="1032" t="s">
        <v>3445</v>
      </c>
      <c r="D659" s="598" t="s">
        <v>3443</v>
      </c>
      <c r="E659" s="697">
        <v>61000</v>
      </c>
      <c r="F659" s="698">
        <f t="shared" si="0"/>
        <v>61000</v>
      </c>
      <c r="G659" s="1002"/>
      <c r="H659" s="705"/>
      <c r="I659" s="705"/>
    </row>
    <row r="660" spans="1:9" s="543" customFormat="1" ht="12.75">
      <c r="A660" s="687" t="s">
        <v>3976</v>
      </c>
      <c r="B660" s="630"/>
      <c r="C660" s="1032" t="s">
        <v>3446</v>
      </c>
      <c r="D660" s="598" t="s">
        <v>3443</v>
      </c>
      <c r="E660" s="697">
        <v>61000</v>
      </c>
      <c r="F660" s="698">
        <f t="shared" si="0"/>
        <v>61000</v>
      </c>
      <c r="G660" s="1002"/>
      <c r="H660" s="705"/>
      <c r="I660" s="705"/>
    </row>
    <row r="661" spans="1:9" s="543" customFormat="1" ht="12.75">
      <c r="A661" s="687" t="s">
        <v>3978</v>
      </c>
      <c r="B661" s="630"/>
      <c r="C661" s="1032" t="s">
        <v>3447</v>
      </c>
      <c r="D661" s="598" t="s">
        <v>3443</v>
      </c>
      <c r="E661" s="697">
        <v>61000</v>
      </c>
      <c r="F661" s="698">
        <f t="shared" si="0"/>
        <v>61000</v>
      </c>
      <c r="G661" s="1002"/>
      <c r="H661" s="705"/>
      <c r="I661" s="705"/>
    </row>
    <row r="662" spans="1:9" s="543" customFormat="1" ht="12.75">
      <c r="A662" s="687" t="s">
        <v>3979</v>
      </c>
      <c r="B662" s="630"/>
      <c r="C662" s="1032" t="s">
        <v>3448</v>
      </c>
      <c r="D662" s="598" t="s">
        <v>3443</v>
      </c>
      <c r="E662" s="697">
        <v>61000</v>
      </c>
      <c r="F662" s="698">
        <f t="shared" si="0"/>
        <v>61000</v>
      </c>
      <c r="G662" s="1002"/>
      <c r="H662" s="705"/>
      <c r="I662" s="705"/>
    </row>
    <row r="663" spans="1:9" s="543" customFormat="1" ht="12.75">
      <c r="A663" s="687" t="s">
        <v>1561</v>
      </c>
      <c r="B663" s="630"/>
      <c r="C663" s="1032" t="s">
        <v>3449</v>
      </c>
      <c r="D663" s="598" t="s">
        <v>3443</v>
      </c>
      <c r="E663" s="697">
        <v>61000</v>
      </c>
      <c r="F663" s="698">
        <f t="shared" si="0"/>
        <v>61000</v>
      </c>
      <c r="G663" s="1002"/>
      <c r="H663" s="705"/>
      <c r="I663" s="705"/>
    </row>
    <row r="664" spans="1:9" s="543" customFormat="1" ht="12.75">
      <c r="A664" s="687" t="s">
        <v>1562</v>
      </c>
      <c r="B664" s="630"/>
      <c r="C664" s="1032" t="s">
        <v>3450</v>
      </c>
      <c r="D664" s="598" t="s">
        <v>3443</v>
      </c>
      <c r="E664" s="697">
        <v>61000</v>
      </c>
      <c r="F664" s="698">
        <f t="shared" si="0"/>
        <v>61000</v>
      </c>
      <c r="G664" s="1002"/>
      <c r="H664" s="705"/>
      <c r="I664" s="705"/>
    </row>
    <row r="665" spans="1:9" s="543" customFormat="1" ht="12.75">
      <c r="A665" s="687" t="s">
        <v>1563</v>
      </c>
      <c r="B665" s="630"/>
      <c r="C665" s="1032" t="s">
        <v>3451</v>
      </c>
      <c r="D665" s="598" t="s">
        <v>3443</v>
      </c>
      <c r="E665" s="697">
        <v>217375</v>
      </c>
      <c r="F665" s="698">
        <f t="shared" si="0"/>
        <v>217375</v>
      </c>
      <c r="G665" s="1002"/>
      <c r="H665" s="705"/>
      <c r="I665" s="705"/>
    </row>
    <row r="666" spans="1:9" s="543" customFormat="1" ht="12.75">
      <c r="A666" s="687" t="s">
        <v>1564</v>
      </c>
      <c r="B666" s="630"/>
      <c r="C666" s="1032" t="s">
        <v>3452</v>
      </c>
      <c r="D666" s="598" t="s">
        <v>3453</v>
      </c>
      <c r="E666" s="697">
        <v>275000</v>
      </c>
      <c r="F666" s="698">
        <f t="shared" si="0"/>
        <v>275000</v>
      </c>
      <c r="G666" s="1002"/>
      <c r="H666" s="705"/>
      <c r="I666" s="705"/>
    </row>
    <row r="667" spans="1:9" s="543" customFormat="1" ht="12.75">
      <c r="A667" s="687" t="s">
        <v>1565</v>
      </c>
      <c r="B667" s="630"/>
      <c r="C667" s="1032" t="s">
        <v>3454</v>
      </c>
      <c r="D667" s="598" t="s">
        <v>3455</v>
      </c>
      <c r="E667" s="697">
        <v>100000</v>
      </c>
      <c r="F667" s="698">
        <f t="shared" si="0"/>
        <v>100000</v>
      </c>
      <c r="G667" s="1002"/>
      <c r="H667" s="705"/>
      <c r="I667" s="705"/>
    </row>
    <row r="668" spans="1:9" s="543" customFormat="1" ht="12.75">
      <c r="A668" s="687" t="s">
        <v>1566</v>
      </c>
      <c r="B668" s="630"/>
      <c r="C668" s="1032" t="s">
        <v>3456</v>
      </c>
      <c r="D668" s="598" t="s">
        <v>3457</v>
      </c>
      <c r="E668" s="697">
        <v>127000</v>
      </c>
      <c r="F668" s="698">
        <f t="shared" si="0"/>
        <v>127000</v>
      </c>
      <c r="G668" s="1002"/>
      <c r="H668" s="705"/>
      <c r="I668" s="705"/>
    </row>
    <row r="669" spans="1:9" s="543" customFormat="1" ht="12.75">
      <c r="A669" s="687" t="s">
        <v>1567</v>
      </c>
      <c r="B669" s="630"/>
      <c r="C669" s="1032" t="s">
        <v>3458</v>
      </c>
      <c r="D669" s="598" t="s">
        <v>3457</v>
      </c>
      <c r="E669" s="697">
        <v>122000</v>
      </c>
      <c r="F669" s="698">
        <f t="shared" si="0"/>
        <v>122000</v>
      </c>
      <c r="G669" s="1002"/>
      <c r="H669" s="705"/>
      <c r="I669" s="705"/>
    </row>
    <row r="670" spans="1:9" s="543" customFormat="1" ht="12.75">
      <c r="A670" s="687" t="s">
        <v>1568</v>
      </c>
      <c r="B670" s="630"/>
      <c r="C670" s="1032" t="s">
        <v>3459</v>
      </c>
      <c r="D670" s="598" t="s">
        <v>3457</v>
      </c>
      <c r="E670" s="697">
        <v>122000</v>
      </c>
      <c r="F670" s="698">
        <f t="shared" si="0"/>
        <v>122000</v>
      </c>
      <c r="G670" s="1002"/>
      <c r="H670" s="705"/>
      <c r="I670" s="705"/>
    </row>
    <row r="671" spans="1:9" s="543" customFormat="1" ht="12.75">
      <c r="A671" s="687" t="s">
        <v>1569</v>
      </c>
      <c r="B671" s="630"/>
      <c r="C671" s="1032" t="s">
        <v>3460</v>
      </c>
      <c r="D671" s="598" t="s">
        <v>3457</v>
      </c>
      <c r="E671" s="697">
        <v>121000</v>
      </c>
      <c r="F671" s="698">
        <f t="shared" si="0"/>
        <v>121000</v>
      </c>
      <c r="G671" s="1002"/>
      <c r="H671" s="705"/>
      <c r="I671" s="705"/>
    </row>
    <row r="672" spans="1:9" s="543" customFormat="1" ht="12.75">
      <c r="A672" s="687" t="s">
        <v>1570</v>
      </c>
      <c r="B672" s="702"/>
      <c r="C672" s="1032" t="s">
        <v>3461</v>
      </c>
      <c r="D672" s="598" t="s">
        <v>3457</v>
      </c>
      <c r="E672" s="697">
        <v>122000</v>
      </c>
      <c r="F672" s="698">
        <f t="shared" si="0"/>
        <v>122000</v>
      </c>
      <c r="G672" s="1002"/>
      <c r="H672" s="705"/>
      <c r="I672" s="705"/>
    </row>
    <row r="673" spans="1:9" s="543" customFormat="1" ht="12.75">
      <c r="A673" s="687" t="s">
        <v>1571</v>
      </c>
      <c r="B673" s="630"/>
      <c r="C673" s="1032" t="s">
        <v>3462</v>
      </c>
      <c r="D673" s="598" t="s">
        <v>3457</v>
      </c>
      <c r="E673" s="697">
        <v>122000</v>
      </c>
      <c r="F673" s="698">
        <f t="shared" si="0"/>
        <v>122000</v>
      </c>
      <c r="G673" s="1002"/>
      <c r="H673" s="705"/>
      <c r="I673" s="705"/>
    </row>
    <row r="674" spans="1:9" s="543" customFormat="1" ht="12.75">
      <c r="A674" s="687" t="s">
        <v>1572</v>
      </c>
      <c r="B674" s="630"/>
      <c r="C674" s="1032" t="s">
        <v>3463</v>
      </c>
      <c r="D674" s="598" t="s">
        <v>3457</v>
      </c>
      <c r="E674" s="697">
        <v>122000</v>
      </c>
      <c r="F674" s="698">
        <f t="shared" si="0"/>
        <v>122000</v>
      </c>
      <c r="G674" s="1002"/>
      <c r="H674" s="705"/>
      <c r="I674" s="705"/>
    </row>
    <row r="675" spans="1:9" s="543" customFormat="1" ht="12.75">
      <c r="A675" s="687" t="s">
        <v>1573</v>
      </c>
      <c r="B675" s="630"/>
      <c r="C675" s="1032" t="s">
        <v>3464</v>
      </c>
      <c r="D675" s="598" t="s">
        <v>3457</v>
      </c>
      <c r="E675" s="697">
        <v>122000</v>
      </c>
      <c r="F675" s="698">
        <f t="shared" si="0"/>
        <v>122000</v>
      </c>
      <c r="G675" s="1002"/>
      <c r="H675" s="705"/>
      <c r="I675" s="705"/>
    </row>
    <row r="676" spans="1:9" s="543" customFormat="1" ht="12.75">
      <c r="A676" s="687" t="s">
        <v>1574</v>
      </c>
      <c r="B676" s="630"/>
      <c r="C676" s="1032" t="s">
        <v>3465</v>
      </c>
      <c r="D676" s="598" t="s">
        <v>3457</v>
      </c>
      <c r="E676" s="697">
        <v>122000</v>
      </c>
      <c r="F676" s="698">
        <f t="shared" si="0"/>
        <v>122000</v>
      </c>
      <c r="G676" s="1002"/>
      <c r="H676" s="705"/>
      <c r="I676" s="705"/>
    </row>
    <row r="677" spans="1:9" s="543" customFormat="1" ht="12.75">
      <c r="A677" s="687" t="s">
        <v>1575</v>
      </c>
      <c r="B677" s="630"/>
      <c r="C677" s="1032" t="s">
        <v>3466</v>
      </c>
      <c r="D677" s="598" t="s">
        <v>3457</v>
      </c>
      <c r="E677" s="697">
        <v>122000</v>
      </c>
      <c r="F677" s="698">
        <f t="shared" si="0"/>
        <v>122000</v>
      </c>
      <c r="G677" s="1002"/>
      <c r="H677" s="705"/>
      <c r="I677" s="705"/>
    </row>
    <row r="678" spans="1:9" s="543" customFormat="1" ht="12.75">
      <c r="A678" s="687" t="s">
        <v>1576</v>
      </c>
      <c r="B678" s="630"/>
      <c r="C678" s="1032" t="s">
        <v>3467</v>
      </c>
      <c r="D678" s="598" t="s">
        <v>3457</v>
      </c>
      <c r="E678" s="697">
        <v>122000</v>
      </c>
      <c r="F678" s="698">
        <f t="shared" si="0"/>
        <v>122000</v>
      </c>
      <c r="G678" s="1002"/>
      <c r="H678" s="705"/>
      <c r="I678" s="705"/>
    </row>
    <row r="679" spans="1:9" s="543" customFormat="1" ht="12.75">
      <c r="A679" s="687" t="s">
        <v>1577</v>
      </c>
      <c r="B679" s="630"/>
      <c r="C679" s="1032" t="s">
        <v>3468</v>
      </c>
      <c r="D679" s="598" t="s">
        <v>3457</v>
      </c>
      <c r="E679" s="697">
        <v>122000</v>
      </c>
      <c r="F679" s="698">
        <f t="shared" si="0"/>
        <v>122000</v>
      </c>
      <c r="G679" s="1002"/>
      <c r="H679" s="705"/>
      <c r="I679" s="705"/>
    </row>
    <row r="680" spans="1:9" s="543" customFormat="1" ht="12.75">
      <c r="A680" s="687" t="s">
        <v>1578</v>
      </c>
      <c r="B680" s="630"/>
      <c r="C680" s="1032" t="s">
        <v>3469</v>
      </c>
      <c r="D680" s="598" t="s">
        <v>3457</v>
      </c>
      <c r="E680" s="697">
        <v>122000</v>
      </c>
      <c r="F680" s="698">
        <f t="shared" si="0"/>
        <v>122000</v>
      </c>
      <c r="G680" s="1002"/>
      <c r="H680" s="705"/>
      <c r="I680" s="705"/>
    </row>
    <row r="681" spans="1:9" s="543" customFormat="1" ht="12.75">
      <c r="A681" s="687" t="s">
        <v>1579</v>
      </c>
      <c r="B681" s="630"/>
      <c r="C681" s="1032" t="s">
        <v>3470</v>
      </c>
      <c r="D681" s="598" t="s">
        <v>3457</v>
      </c>
      <c r="E681" s="697">
        <v>122000</v>
      </c>
      <c r="F681" s="698">
        <f t="shared" si="0"/>
        <v>122000</v>
      </c>
      <c r="G681" s="1002"/>
      <c r="H681" s="705"/>
      <c r="I681" s="705"/>
    </row>
    <row r="682" spans="1:9" s="543" customFormat="1" ht="12.75">
      <c r="A682" s="687" t="s">
        <v>1580</v>
      </c>
      <c r="B682" s="630"/>
      <c r="C682" s="1032" t="s">
        <v>3471</v>
      </c>
      <c r="D682" s="598" t="s">
        <v>3457</v>
      </c>
      <c r="E682" s="697">
        <v>122000</v>
      </c>
      <c r="F682" s="698">
        <f t="shared" si="0"/>
        <v>122000</v>
      </c>
      <c r="G682" s="1002"/>
      <c r="H682" s="705"/>
      <c r="I682" s="705"/>
    </row>
    <row r="683" spans="1:9" s="543" customFormat="1" ht="12.75">
      <c r="A683" s="687" t="s">
        <v>1581</v>
      </c>
      <c r="B683" s="630"/>
      <c r="C683" s="1032" t="s">
        <v>3472</v>
      </c>
      <c r="D683" s="598" t="s">
        <v>3457</v>
      </c>
      <c r="E683" s="697">
        <v>130000</v>
      </c>
      <c r="F683" s="698">
        <f t="shared" si="0"/>
        <v>130000</v>
      </c>
      <c r="G683" s="1002"/>
      <c r="H683" s="705"/>
      <c r="I683" s="705"/>
    </row>
    <row r="684" spans="1:9" s="543" customFormat="1" ht="12.75">
      <c r="A684" s="687" t="s">
        <v>1582</v>
      </c>
      <c r="B684" s="630"/>
      <c r="C684" s="1032" t="s">
        <v>3473</v>
      </c>
      <c r="D684" s="598" t="s">
        <v>3474</v>
      </c>
      <c r="E684" s="697">
        <v>401000</v>
      </c>
      <c r="F684" s="698">
        <f t="shared" si="0"/>
        <v>401000</v>
      </c>
      <c r="G684" s="1002"/>
      <c r="H684" s="705"/>
      <c r="I684" s="705"/>
    </row>
    <row r="685" spans="1:9" s="543" customFormat="1" ht="12.75" customHeight="1">
      <c r="A685" s="687" t="s">
        <v>1583</v>
      </c>
      <c r="B685" s="630"/>
      <c r="C685" s="1032" t="s">
        <v>3475</v>
      </c>
      <c r="D685" s="598" t="s">
        <v>3476</v>
      </c>
      <c r="E685" s="697">
        <v>165000</v>
      </c>
      <c r="F685" s="698">
        <f t="shared" si="0"/>
        <v>165000</v>
      </c>
      <c r="G685" s="1002"/>
      <c r="H685" s="705"/>
      <c r="I685" s="705"/>
    </row>
    <row r="686" spans="1:9" s="543" customFormat="1" ht="12.75" customHeight="1">
      <c r="A686" s="687" t="s">
        <v>1584</v>
      </c>
      <c r="B686" s="630"/>
      <c r="C686" s="1041" t="s">
        <v>3477</v>
      </c>
      <c r="D686" s="598" t="s">
        <v>3478</v>
      </c>
      <c r="E686" s="697">
        <v>17500</v>
      </c>
      <c r="F686" s="698">
        <f t="shared" si="0"/>
        <v>17500</v>
      </c>
      <c r="G686" s="1002"/>
      <c r="H686" s="705"/>
      <c r="I686" s="705"/>
    </row>
    <row r="687" spans="1:9" s="543" customFormat="1" ht="12.75">
      <c r="A687" s="687" t="s">
        <v>1585</v>
      </c>
      <c r="B687" s="630"/>
      <c r="C687" s="1032" t="s">
        <v>3479</v>
      </c>
      <c r="D687" s="598" t="s">
        <v>3480</v>
      </c>
      <c r="E687" s="697">
        <v>334425</v>
      </c>
      <c r="F687" s="698">
        <f t="shared" si="0"/>
        <v>334425</v>
      </c>
      <c r="G687" s="1002"/>
      <c r="H687" s="705"/>
      <c r="I687" s="705"/>
    </row>
    <row r="688" spans="1:9" s="543" customFormat="1" ht="12.75">
      <c r="A688" s="687" t="s">
        <v>1586</v>
      </c>
      <c r="B688" s="630"/>
      <c r="C688" s="1032" t="s">
        <v>3481</v>
      </c>
      <c r="D688" s="598" t="s">
        <v>2829</v>
      </c>
      <c r="E688" s="697">
        <v>100000</v>
      </c>
      <c r="F688" s="698">
        <f t="shared" si="0"/>
        <v>100000</v>
      </c>
      <c r="G688" s="1002"/>
      <c r="H688" s="705"/>
      <c r="I688" s="705"/>
    </row>
    <row r="689" spans="1:9" s="543" customFormat="1" ht="15" customHeight="1">
      <c r="A689" s="687" t="s">
        <v>1587</v>
      </c>
      <c r="B689" s="630"/>
      <c r="C689" s="1032" t="s">
        <v>2830</v>
      </c>
      <c r="D689" s="598" t="s">
        <v>2831</v>
      </c>
      <c r="E689" s="697">
        <v>120000</v>
      </c>
      <c r="F689" s="698">
        <f t="shared" si="0"/>
        <v>120000</v>
      </c>
      <c r="G689" s="1002"/>
      <c r="H689" s="705"/>
      <c r="I689" s="705"/>
    </row>
    <row r="690" spans="1:9" s="543" customFormat="1" ht="12.75">
      <c r="A690" s="687" t="s">
        <v>1588</v>
      </c>
      <c r="B690" s="631"/>
      <c r="C690" s="1073" t="s">
        <v>2832</v>
      </c>
      <c r="D690" s="600" t="s">
        <v>2833</v>
      </c>
      <c r="E690" s="770">
        <v>622117</v>
      </c>
      <c r="F690" s="698">
        <f t="shared" si="0"/>
        <v>622117</v>
      </c>
      <c r="G690" s="1002"/>
      <c r="H690" s="705"/>
      <c r="I690" s="705"/>
    </row>
    <row r="691" spans="1:9" s="543" customFormat="1" ht="12.75">
      <c r="A691" s="687" t="s">
        <v>1589</v>
      </c>
      <c r="B691" s="630"/>
      <c r="C691" s="1088" t="s">
        <v>2834</v>
      </c>
      <c r="D691" s="598" t="s">
        <v>2835</v>
      </c>
      <c r="E691" s="697">
        <v>65000</v>
      </c>
      <c r="F691" s="698">
        <f t="shared" si="0"/>
        <v>65000</v>
      </c>
      <c r="G691" s="1002"/>
      <c r="H691" s="705"/>
      <c r="I691" s="705"/>
    </row>
    <row r="692" spans="1:9" s="543" customFormat="1" ht="12.75">
      <c r="A692" s="687" t="s">
        <v>1590</v>
      </c>
      <c r="B692" s="630"/>
      <c r="C692" s="1088" t="s">
        <v>2836</v>
      </c>
      <c r="D692" s="598" t="s">
        <v>2837</v>
      </c>
      <c r="E692" s="697">
        <v>42500</v>
      </c>
      <c r="F692" s="698">
        <f t="shared" si="0"/>
        <v>42500</v>
      </c>
      <c r="G692" s="1002"/>
      <c r="H692" s="705"/>
      <c r="I692" s="705"/>
    </row>
    <row r="693" spans="1:9" s="543" customFormat="1" ht="12.75">
      <c r="A693" s="687" t="s">
        <v>1591</v>
      </c>
      <c r="B693" s="630"/>
      <c r="C693" s="1088" t="s">
        <v>2838</v>
      </c>
      <c r="D693" s="598" t="s">
        <v>2839</v>
      </c>
      <c r="E693" s="697">
        <v>1250</v>
      </c>
      <c r="F693" s="698">
        <f t="shared" si="0"/>
        <v>1250</v>
      </c>
      <c r="G693" s="1002"/>
      <c r="H693" s="705"/>
      <c r="I693" s="705"/>
    </row>
    <row r="694" spans="1:9" s="543" customFormat="1" ht="12.75">
      <c r="A694" s="687" t="s">
        <v>1592</v>
      </c>
      <c r="B694" s="630"/>
      <c r="C694" s="1088"/>
      <c r="D694" s="598" t="s">
        <v>2840</v>
      </c>
      <c r="E694" s="697">
        <v>12500</v>
      </c>
      <c r="F694" s="698">
        <f t="shared" si="0"/>
        <v>12500</v>
      </c>
      <c r="G694" s="1002"/>
      <c r="H694" s="705"/>
      <c r="I694" s="705"/>
    </row>
    <row r="695" spans="1:9" s="543" customFormat="1" ht="12.75">
      <c r="A695" s="687" t="s">
        <v>1593</v>
      </c>
      <c r="B695" s="631"/>
      <c r="C695" s="1129" t="s">
        <v>2842</v>
      </c>
      <c r="D695" s="600" t="s">
        <v>2843</v>
      </c>
      <c r="E695" s="770">
        <v>37500</v>
      </c>
      <c r="F695" s="698">
        <f t="shared" si="0"/>
        <v>37500</v>
      </c>
      <c r="G695" s="1002"/>
      <c r="H695" s="705"/>
      <c r="I695" s="705"/>
    </row>
    <row r="696" spans="1:9" s="543" customFormat="1" ht="13.5" thickBot="1">
      <c r="A696" s="687" t="s">
        <v>1594</v>
      </c>
      <c r="B696" s="633"/>
      <c r="C696" s="1147" t="s">
        <v>2844</v>
      </c>
      <c r="D696" s="604" t="s">
        <v>756</v>
      </c>
      <c r="E696" s="1079">
        <v>20000</v>
      </c>
      <c r="F696" s="746">
        <f t="shared" si="0"/>
        <v>20000</v>
      </c>
      <c r="G696" s="1002"/>
      <c r="H696" s="705"/>
      <c r="I696" s="705"/>
    </row>
    <row r="697" spans="1:9" s="543" customFormat="1" ht="13.5" thickBot="1">
      <c r="A697" s="656"/>
      <c r="B697" s="1124">
        <v>12123</v>
      </c>
      <c r="C697" s="757" t="s">
        <v>757</v>
      </c>
      <c r="D697" s="706" t="s">
        <v>1499</v>
      </c>
      <c r="E697" s="773">
        <f>SUM(E632:E696)</f>
        <v>7136367</v>
      </c>
      <c r="F697" s="774">
        <f>SUM(F632:F696)</f>
        <v>7136367</v>
      </c>
      <c r="G697" s="1002"/>
      <c r="H697" s="705"/>
      <c r="I697" s="705"/>
    </row>
    <row r="698" spans="1:9" s="543" customFormat="1" ht="12.75">
      <c r="A698" s="1148"/>
      <c r="B698" s="1108"/>
      <c r="C698" s="707"/>
      <c r="E698" s="1110"/>
      <c r="F698" s="1086"/>
      <c r="G698" s="1002"/>
      <c r="H698" s="705"/>
      <c r="I698" s="705"/>
    </row>
    <row r="699" spans="1:9" s="543" customFormat="1" ht="13.5" thickBot="1">
      <c r="A699" s="2222" t="s">
        <v>758</v>
      </c>
      <c r="B699" s="2222"/>
      <c r="C699" s="2222"/>
      <c r="D699" s="2222"/>
      <c r="E699" s="2231"/>
      <c r="F699" s="2231"/>
      <c r="G699" s="1002"/>
      <c r="H699" s="705"/>
      <c r="I699" s="705"/>
    </row>
    <row r="700" spans="1:9" s="543" customFormat="1" ht="25.5">
      <c r="A700" s="642" t="s">
        <v>1595</v>
      </c>
      <c r="B700" s="819">
        <v>121312</v>
      </c>
      <c r="C700" s="1115" t="s">
        <v>3363</v>
      </c>
      <c r="D700" s="643" t="s">
        <v>759</v>
      </c>
      <c r="E700" s="692">
        <v>22187330</v>
      </c>
      <c r="F700" s="693">
        <v>19735009</v>
      </c>
      <c r="G700" s="1002"/>
      <c r="H700" s="705"/>
      <c r="I700" s="705"/>
    </row>
    <row r="701" spans="1:9" s="543" customFormat="1" ht="12.75">
      <c r="A701" s="660" t="s">
        <v>1596</v>
      </c>
      <c r="B701" s="822"/>
      <c r="C701" s="1032" t="s">
        <v>3367</v>
      </c>
      <c r="D701" s="597" t="s">
        <v>760</v>
      </c>
      <c r="E701" s="697">
        <v>32119550</v>
      </c>
      <c r="F701" s="698">
        <v>24769841</v>
      </c>
      <c r="G701" s="1002"/>
      <c r="H701" s="705"/>
      <c r="I701" s="705"/>
    </row>
    <row r="702" spans="1:9" s="543" customFormat="1" ht="12.75">
      <c r="A702" s="660" t="s">
        <v>1597</v>
      </c>
      <c r="B702" s="822"/>
      <c r="C702" s="1032" t="s">
        <v>761</v>
      </c>
      <c r="D702" s="597" t="s">
        <v>762</v>
      </c>
      <c r="E702" s="697">
        <v>6013625</v>
      </c>
      <c r="F702" s="698">
        <v>4541071</v>
      </c>
      <c r="G702" s="1002"/>
      <c r="H702" s="705"/>
      <c r="I702" s="705"/>
    </row>
    <row r="703" spans="1:9" s="543" customFormat="1" ht="13.5" thickBot="1">
      <c r="A703" s="660" t="s">
        <v>1598</v>
      </c>
      <c r="B703" s="822"/>
      <c r="C703" s="1032" t="s">
        <v>763</v>
      </c>
      <c r="D703" s="597" t="s">
        <v>764</v>
      </c>
      <c r="E703" s="697">
        <v>201048</v>
      </c>
      <c r="F703" s="698">
        <v>116633</v>
      </c>
      <c r="G703" s="1002"/>
      <c r="H703" s="705"/>
      <c r="I703" s="705"/>
    </row>
    <row r="704" spans="1:9" s="666" customFormat="1" ht="48.75" thickBot="1">
      <c r="A704" s="605" t="s">
        <v>4597</v>
      </c>
      <c r="B704" s="606" t="s">
        <v>4601</v>
      </c>
      <c r="C704" s="1008" t="s">
        <v>4602</v>
      </c>
      <c r="D704" s="606" t="s">
        <v>4603</v>
      </c>
      <c r="E704" s="738" t="s">
        <v>4604</v>
      </c>
      <c r="F704" s="739" t="s">
        <v>4605</v>
      </c>
      <c r="G704" s="1127"/>
      <c r="H704" s="1128"/>
      <c r="I704" s="1128"/>
    </row>
    <row r="705" spans="1:9" s="543" customFormat="1" ht="12.75">
      <c r="A705" s="660" t="s">
        <v>1599</v>
      </c>
      <c r="B705" s="822"/>
      <c r="C705" s="1032" t="s">
        <v>3369</v>
      </c>
      <c r="D705" s="597" t="s">
        <v>765</v>
      </c>
      <c r="E705" s="697">
        <v>16142137</v>
      </c>
      <c r="F705" s="698">
        <v>9359206</v>
      </c>
      <c r="G705" s="1002"/>
      <c r="H705" s="705"/>
      <c r="I705" s="705"/>
    </row>
    <row r="706" spans="1:9" s="543" customFormat="1" ht="12.75" customHeight="1">
      <c r="A706" s="660" t="s">
        <v>1600</v>
      </c>
      <c r="B706" s="822"/>
      <c r="C706" s="1032" t="s">
        <v>3371</v>
      </c>
      <c r="D706" s="597" t="s">
        <v>766</v>
      </c>
      <c r="E706" s="697">
        <v>2951860</v>
      </c>
      <c r="F706" s="698">
        <v>2424867</v>
      </c>
      <c r="G706" s="1002"/>
      <c r="H706" s="705"/>
      <c r="I706" s="705"/>
    </row>
    <row r="707" spans="1:9" s="543" customFormat="1" ht="12.75">
      <c r="A707" s="660" t="s">
        <v>1601</v>
      </c>
      <c r="B707" s="822"/>
      <c r="C707" s="1032" t="s">
        <v>3363</v>
      </c>
      <c r="D707" s="597" t="s">
        <v>767</v>
      </c>
      <c r="E707" s="697">
        <v>49500</v>
      </c>
      <c r="F707" s="698">
        <v>19569</v>
      </c>
      <c r="G707" s="1002"/>
      <c r="H707" s="705"/>
      <c r="I707" s="705"/>
    </row>
    <row r="708" spans="1:9" s="543" customFormat="1" ht="12.75">
      <c r="A708" s="660" t="s">
        <v>1602</v>
      </c>
      <c r="B708" s="822"/>
      <c r="C708" s="1032" t="s">
        <v>3388</v>
      </c>
      <c r="D708" s="597" t="s">
        <v>768</v>
      </c>
      <c r="E708" s="697">
        <v>132665</v>
      </c>
      <c r="F708" s="698">
        <v>76834</v>
      </c>
      <c r="G708" s="1002"/>
      <c r="H708" s="705"/>
      <c r="I708" s="705"/>
    </row>
    <row r="709" spans="1:9" s="543" customFormat="1" ht="12.75">
      <c r="A709" s="660" t="s">
        <v>1603</v>
      </c>
      <c r="B709" s="822"/>
      <c r="C709" s="1032" t="s">
        <v>3376</v>
      </c>
      <c r="D709" s="597" t="s">
        <v>769</v>
      </c>
      <c r="E709" s="697">
        <v>21750</v>
      </c>
      <c r="F709" s="698">
        <v>7938</v>
      </c>
      <c r="G709" s="1002"/>
      <c r="H709" s="705"/>
      <c r="I709" s="705"/>
    </row>
    <row r="710" spans="1:9" s="543" customFormat="1" ht="12.75">
      <c r="A710" s="660" t="s">
        <v>1604</v>
      </c>
      <c r="B710" s="822"/>
      <c r="C710" s="1032" t="s">
        <v>3391</v>
      </c>
      <c r="D710" s="597" t="s">
        <v>3392</v>
      </c>
      <c r="E710" s="697">
        <v>3558808</v>
      </c>
      <c r="F710" s="698">
        <v>2810419</v>
      </c>
      <c r="G710" s="1002"/>
      <c r="H710" s="705"/>
      <c r="I710" s="705"/>
    </row>
    <row r="711" spans="1:9" s="543" customFormat="1" ht="12.75">
      <c r="A711" s="660" t="s">
        <v>1605</v>
      </c>
      <c r="B711" s="822"/>
      <c r="C711" s="1032"/>
      <c r="D711" s="597" t="s">
        <v>770</v>
      </c>
      <c r="E711" s="697">
        <v>8279207</v>
      </c>
      <c r="F711" s="698">
        <v>7037113</v>
      </c>
      <c r="G711" s="1002"/>
      <c r="H711" s="705"/>
      <c r="I711" s="705"/>
    </row>
    <row r="712" spans="1:9" s="543" customFormat="1" ht="12.75">
      <c r="A712" s="660" t="s">
        <v>1606</v>
      </c>
      <c r="B712" s="822"/>
      <c r="C712" s="1032" t="s">
        <v>771</v>
      </c>
      <c r="D712" s="597" t="s">
        <v>772</v>
      </c>
      <c r="E712" s="697">
        <v>4009505</v>
      </c>
      <c r="F712" s="698">
        <v>3634405</v>
      </c>
      <c r="G712" s="1002"/>
      <c r="H712" s="705"/>
      <c r="I712" s="705"/>
    </row>
    <row r="713" spans="1:9" s="543" customFormat="1" ht="12.75">
      <c r="A713" s="660" t="s">
        <v>1607</v>
      </c>
      <c r="B713" s="822"/>
      <c r="C713" s="1032">
        <v>990</v>
      </c>
      <c r="D713" s="597" t="s">
        <v>773</v>
      </c>
      <c r="E713" s="697">
        <v>349000</v>
      </c>
      <c r="F713" s="698">
        <v>272500</v>
      </c>
      <c r="G713" s="1002"/>
      <c r="H713" s="705"/>
      <c r="I713" s="705"/>
    </row>
    <row r="714" spans="1:9" s="543" customFormat="1" ht="25.5">
      <c r="A714" s="660" t="s">
        <v>1608</v>
      </c>
      <c r="B714" s="822"/>
      <c r="C714" s="1041" t="s">
        <v>3386</v>
      </c>
      <c r="D714" s="675" t="s">
        <v>774</v>
      </c>
      <c r="E714" s="697">
        <v>1732797</v>
      </c>
      <c r="F714" s="698">
        <v>1712668</v>
      </c>
      <c r="G714" s="1002"/>
      <c r="H714" s="705"/>
      <c r="I714" s="705"/>
    </row>
    <row r="715" spans="1:9" s="543" customFormat="1" ht="25.5">
      <c r="A715" s="660" t="s">
        <v>1609</v>
      </c>
      <c r="B715" s="822"/>
      <c r="C715" s="1041" t="s">
        <v>771</v>
      </c>
      <c r="D715" s="675" t="s">
        <v>775</v>
      </c>
      <c r="E715" s="697">
        <v>28884241</v>
      </c>
      <c r="F715" s="698">
        <v>28542379</v>
      </c>
      <c r="G715" s="1002"/>
      <c r="H715" s="705"/>
      <c r="I715" s="705"/>
    </row>
    <row r="716" spans="1:9" s="543" customFormat="1" ht="12.75">
      <c r="A716" s="660" t="s">
        <v>1610</v>
      </c>
      <c r="B716" s="822"/>
      <c r="C716" s="1032">
        <v>990</v>
      </c>
      <c r="D716" s="597" t="s">
        <v>776</v>
      </c>
      <c r="E716" s="697">
        <v>1406000</v>
      </c>
      <c r="F716" s="698">
        <v>1096628</v>
      </c>
      <c r="G716" s="1002"/>
      <c r="H716" s="705"/>
      <c r="I716" s="705"/>
    </row>
    <row r="717" spans="1:9" s="543" customFormat="1" ht="12.75">
      <c r="A717" s="660" t="s">
        <v>1611</v>
      </c>
      <c r="B717" s="630"/>
      <c r="C717" s="1032" t="s">
        <v>3379</v>
      </c>
      <c r="D717" s="598" t="s">
        <v>777</v>
      </c>
      <c r="E717" s="697">
        <v>223594</v>
      </c>
      <c r="F717" s="698">
        <v>137032</v>
      </c>
      <c r="G717" s="1002"/>
      <c r="H717" s="705"/>
      <c r="I717" s="705"/>
    </row>
    <row r="718" spans="1:9" s="543" customFormat="1" ht="12.75">
      <c r="A718" s="660" t="s">
        <v>1612</v>
      </c>
      <c r="B718" s="630"/>
      <c r="C718" s="1032" t="s">
        <v>3381</v>
      </c>
      <c r="D718" s="598" t="s">
        <v>778</v>
      </c>
      <c r="E718" s="697">
        <v>345750</v>
      </c>
      <c r="F718" s="698">
        <v>94186</v>
      </c>
      <c r="G718" s="1002"/>
      <c r="H718" s="705"/>
      <c r="I718" s="705"/>
    </row>
    <row r="719" spans="1:9" s="543" customFormat="1" ht="12.75">
      <c r="A719" s="660" t="s">
        <v>1613</v>
      </c>
      <c r="B719" s="630"/>
      <c r="C719" s="1032" t="s">
        <v>3381</v>
      </c>
      <c r="D719" s="598" t="s">
        <v>3383</v>
      </c>
      <c r="E719" s="697">
        <v>1118250</v>
      </c>
      <c r="F719" s="698">
        <v>305934</v>
      </c>
      <c r="G719" s="1002"/>
      <c r="H719" s="705"/>
      <c r="I719" s="705"/>
    </row>
    <row r="720" spans="1:9" s="543" customFormat="1" ht="12.75">
      <c r="A720" s="660" t="s">
        <v>1614</v>
      </c>
      <c r="B720" s="630"/>
      <c r="C720" s="1032" t="s">
        <v>779</v>
      </c>
      <c r="D720" s="598" t="s">
        <v>780</v>
      </c>
      <c r="E720" s="697">
        <v>290670</v>
      </c>
      <c r="F720" s="698">
        <v>217764</v>
      </c>
      <c r="G720" s="1002"/>
      <c r="H720" s="705"/>
      <c r="I720" s="705"/>
    </row>
    <row r="721" spans="1:9" s="543" customFormat="1" ht="12.75">
      <c r="A721" s="660" t="s">
        <v>1615</v>
      </c>
      <c r="B721" s="630"/>
      <c r="C721" s="1032" t="s">
        <v>5127</v>
      </c>
      <c r="D721" s="598" t="s">
        <v>781</v>
      </c>
      <c r="E721" s="697">
        <v>6330</v>
      </c>
      <c r="F721" s="698">
        <v>2736</v>
      </c>
      <c r="G721" s="1002"/>
      <c r="H721" s="705"/>
      <c r="I721" s="705"/>
    </row>
    <row r="722" spans="1:9" s="543" customFormat="1" ht="12.75">
      <c r="A722" s="660" t="s">
        <v>1616</v>
      </c>
      <c r="B722" s="702"/>
      <c r="C722" s="1032" t="s">
        <v>2979</v>
      </c>
      <c r="D722" s="598" t="s">
        <v>782</v>
      </c>
      <c r="E722" s="697">
        <v>949938</v>
      </c>
      <c r="F722" s="698">
        <v>778986</v>
      </c>
      <c r="G722" s="1002"/>
      <c r="H722" s="705"/>
      <c r="I722" s="705"/>
    </row>
    <row r="723" spans="1:9" s="543" customFormat="1" ht="13.5" thickBot="1">
      <c r="A723" s="660" t="s">
        <v>1617</v>
      </c>
      <c r="B723" s="1014"/>
      <c r="C723" s="1071" t="s">
        <v>783</v>
      </c>
      <c r="D723" s="673" t="s">
        <v>784</v>
      </c>
      <c r="E723" s="1058">
        <v>176250</v>
      </c>
      <c r="F723" s="1075">
        <v>13985</v>
      </c>
      <c r="G723" s="1002"/>
      <c r="H723" s="705"/>
      <c r="I723" s="705"/>
    </row>
    <row r="724" spans="1:9" s="543" customFormat="1" ht="12.75">
      <c r="A724" s="660" t="s">
        <v>1618</v>
      </c>
      <c r="B724" s="630"/>
      <c r="C724" s="1032" t="s">
        <v>2646</v>
      </c>
      <c r="D724" s="597" t="s">
        <v>785</v>
      </c>
      <c r="E724" s="692">
        <v>1969789.03952569</v>
      </c>
      <c r="F724" s="698">
        <v>1458011</v>
      </c>
      <c r="G724" s="1002"/>
      <c r="H724" s="705"/>
      <c r="I724" s="705"/>
    </row>
    <row r="725" spans="1:9" s="543" customFormat="1" ht="25.5">
      <c r="A725" s="660" t="s">
        <v>1619</v>
      </c>
      <c r="B725" s="630"/>
      <c r="C725" s="1088" t="s">
        <v>1077</v>
      </c>
      <c r="D725" s="597" t="s">
        <v>786</v>
      </c>
      <c r="E725" s="697">
        <v>2609118.57905139</v>
      </c>
      <c r="F725" s="698">
        <v>2379</v>
      </c>
      <c r="G725" s="1002"/>
      <c r="H725" s="705"/>
      <c r="I725" s="705"/>
    </row>
    <row r="726" spans="1:9" s="543" customFormat="1" ht="25.5">
      <c r="A726" s="660" t="s">
        <v>1620</v>
      </c>
      <c r="B726" s="630"/>
      <c r="C726" s="1088" t="s">
        <v>1077</v>
      </c>
      <c r="D726" s="597" t="s">
        <v>787</v>
      </c>
      <c r="E726" s="697">
        <v>3248448.11857709</v>
      </c>
      <c r="F726" s="698">
        <v>31529</v>
      </c>
      <c r="G726" s="1002"/>
      <c r="H726" s="705"/>
      <c r="I726" s="705"/>
    </row>
    <row r="727" spans="1:9" s="543" customFormat="1" ht="25.5">
      <c r="A727" s="660" t="s">
        <v>1621</v>
      </c>
      <c r="B727" s="630"/>
      <c r="C727" s="1088" t="s">
        <v>1077</v>
      </c>
      <c r="D727" s="597" t="s">
        <v>788</v>
      </c>
      <c r="E727" s="697">
        <v>3887777.65810279</v>
      </c>
      <c r="F727" s="698">
        <v>909648</v>
      </c>
      <c r="G727" s="1002"/>
      <c r="H727" s="705"/>
      <c r="I727" s="705"/>
    </row>
    <row r="728" spans="1:9" s="543" customFormat="1" ht="26.25" thickBot="1">
      <c r="A728" s="660" t="s">
        <v>1622</v>
      </c>
      <c r="B728" s="631"/>
      <c r="C728" s="1129" t="s">
        <v>1077</v>
      </c>
      <c r="D728" s="599" t="s">
        <v>789</v>
      </c>
      <c r="E728" s="697">
        <v>4527107.19762849</v>
      </c>
      <c r="F728" s="771">
        <v>1160516</v>
      </c>
      <c r="G728" s="1149"/>
      <c r="H728" s="705"/>
      <c r="I728" s="705"/>
    </row>
    <row r="729" spans="1:13" ht="12.75">
      <c r="A729" s="660" t="s">
        <v>1623</v>
      </c>
      <c r="B729" s="726">
        <v>121312</v>
      </c>
      <c r="C729" s="1032" t="s">
        <v>1549</v>
      </c>
      <c r="D729" s="747" t="s">
        <v>1624</v>
      </c>
      <c r="E729" s="692">
        <v>939942.373956978</v>
      </c>
      <c r="F729" s="698">
        <v>964152</v>
      </c>
      <c r="G729" s="1149"/>
      <c r="J729" s="543"/>
      <c r="K729"/>
      <c r="L729"/>
      <c r="M729"/>
    </row>
    <row r="730" spans="1:13" ht="12.75">
      <c r="A730" s="660" t="s">
        <v>1625</v>
      </c>
      <c r="B730" s="822"/>
      <c r="C730" s="1032" t="s">
        <v>1549</v>
      </c>
      <c r="D730" s="747" t="s">
        <v>1626</v>
      </c>
      <c r="E730" s="697">
        <v>1367800.58101038</v>
      </c>
      <c r="F730" s="698">
        <v>15998007</v>
      </c>
      <c r="J730" s="543"/>
      <c r="K730"/>
      <c r="L730"/>
      <c r="M730"/>
    </row>
    <row r="731" spans="1:13" ht="12.75">
      <c r="A731" s="660" t="s">
        <v>1627</v>
      </c>
      <c r="B731" s="822"/>
      <c r="C731" s="1032" t="s">
        <v>4592</v>
      </c>
      <c r="D731" s="747" t="s">
        <v>1628</v>
      </c>
      <c r="E731" s="1022">
        <v>1193037</v>
      </c>
      <c r="F731" s="788">
        <v>659321</v>
      </c>
      <c r="J731" s="543"/>
      <c r="K731"/>
      <c r="L731"/>
      <c r="M731"/>
    </row>
    <row r="732" spans="1:13" ht="12.75">
      <c r="A732" s="660" t="s">
        <v>1629</v>
      </c>
      <c r="B732" s="822"/>
      <c r="C732" s="1032" t="s">
        <v>4592</v>
      </c>
      <c r="D732" s="747" t="s">
        <v>1630</v>
      </c>
      <c r="E732" s="1022">
        <v>17750262</v>
      </c>
      <c r="F732" s="788">
        <v>13639891</v>
      </c>
      <c r="J732" s="543"/>
      <c r="K732"/>
      <c r="L732"/>
      <c r="M732"/>
    </row>
    <row r="733" spans="1:10" s="400" customFormat="1" ht="12.75">
      <c r="A733" s="660" t="s">
        <v>1631</v>
      </c>
      <c r="B733" s="1131"/>
      <c r="C733" s="1150" t="s">
        <v>4592</v>
      </c>
      <c r="D733" s="1133" t="s">
        <v>1632</v>
      </c>
      <c r="E733" s="1136">
        <v>6607447</v>
      </c>
      <c r="F733" s="1137">
        <v>6448341</v>
      </c>
      <c r="G733" s="1002"/>
      <c r="H733" s="705"/>
      <c r="I733" s="705"/>
      <c r="J733" s="543"/>
    </row>
    <row r="734" spans="1:13" ht="12.75">
      <c r="A734" s="660" t="s">
        <v>1633</v>
      </c>
      <c r="B734" s="822">
        <v>121312</v>
      </c>
      <c r="C734" s="1032" t="s">
        <v>1026</v>
      </c>
      <c r="D734" s="747" t="s">
        <v>1634</v>
      </c>
      <c r="E734" s="697">
        <v>72500894</v>
      </c>
      <c r="F734" s="698">
        <v>61182464</v>
      </c>
      <c r="J734" s="543"/>
      <c r="K734"/>
      <c r="L734"/>
      <c r="M734"/>
    </row>
    <row r="735" spans="1:13" ht="12.75">
      <c r="A735" s="660" t="s">
        <v>1635</v>
      </c>
      <c r="B735" s="822"/>
      <c r="C735" s="1032" t="s">
        <v>1026</v>
      </c>
      <c r="D735" s="747" t="s">
        <v>1636</v>
      </c>
      <c r="E735" s="697">
        <v>15802191</v>
      </c>
      <c r="F735" s="698">
        <v>12717230</v>
      </c>
      <c r="J735" s="543"/>
      <c r="K735"/>
      <c r="L735"/>
      <c r="M735"/>
    </row>
    <row r="736" spans="1:13" ht="12.75">
      <c r="A736" s="660" t="s">
        <v>1637</v>
      </c>
      <c r="B736" s="822"/>
      <c r="C736" s="1032" t="s">
        <v>1026</v>
      </c>
      <c r="D736" s="747" t="s">
        <v>1638</v>
      </c>
      <c r="E736" s="697">
        <v>48109862</v>
      </c>
      <c r="F736" s="771">
        <v>38205646</v>
      </c>
      <c r="J736" s="543"/>
      <c r="K736"/>
      <c r="L736"/>
      <c r="M736"/>
    </row>
    <row r="737" spans="1:13" ht="12.75">
      <c r="A737" s="660" t="s">
        <v>1639</v>
      </c>
      <c r="B737" s="822">
        <v>121312</v>
      </c>
      <c r="C737" s="1032" t="s">
        <v>1029</v>
      </c>
      <c r="D737" s="747" t="s">
        <v>1640</v>
      </c>
      <c r="E737" s="697">
        <v>4429634</v>
      </c>
      <c r="F737" s="698">
        <v>2937806</v>
      </c>
      <c r="J737" s="543"/>
      <c r="K737"/>
      <c r="L737"/>
      <c r="M737"/>
    </row>
    <row r="738" spans="1:13" ht="12.75">
      <c r="A738" s="660" t="s">
        <v>1641</v>
      </c>
      <c r="B738" s="645"/>
      <c r="C738" s="1071" t="s">
        <v>1029</v>
      </c>
      <c r="D738" s="646" t="s">
        <v>1642</v>
      </c>
      <c r="E738" s="1058">
        <v>5051587</v>
      </c>
      <c r="F738" s="698">
        <v>2401002</v>
      </c>
      <c r="J738" s="543"/>
      <c r="K738"/>
      <c r="L738"/>
      <c r="M738"/>
    </row>
    <row r="739" spans="1:13" ht="12.75">
      <c r="A739" s="660" t="s">
        <v>1643</v>
      </c>
      <c r="B739" s="822"/>
      <c r="C739" s="1032" t="s">
        <v>1029</v>
      </c>
      <c r="D739" s="747" t="s">
        <v>1644</v>
      </c>
      <c r="E739" s="697">
        <v>1387500</v>
      </c>
      <c r="F739" s="698">
        <v>153926</v>
      </c>
      <c r="J739" s="543"/>
      <c r="K739"/>
      <c r="L739"/>
      <c r="M739"/>
    </row>
    <row r="740" spans="1:13" ht="12.75">
      <c r="A740" s="660" t="s">
        <v>1645</v>
      </c>
      <c r="B740" s="822"/>
      <c r="C740" s="1032" t="s">
        <v>1029</v>
      </c>
      <c r="D740" s="747" t="s">
        <v>1646</v>
      </c>
      <c r="E740" s="697">
        <v>6866698</v>
      </c>
      <c r="F740" s="698">
        <v>5790586</v>
      </c>
      <c r="J740" s="543"/>
      <c r="K740"/>
      <c r="L740"/>
      <c r="M740"/>
    </row>
    <row r="741" spans="1:13" ht="12.75">
      <c r="A741" s="660" t="s">
        <v>1647</v>
      </c>
      <c r="B741" s="822"/>
      <c r="C741" s="1032" t="s">
        <v>1029</v>
      </c>
      <c r="D741" s="747" t="s">
        <v>1648</v>
      </c>
      <c r="E741" s="697">
        <v>34689763</v>
      </c>
      <c r="F741" s="698">
        <v>24918081</v>
      </c>
      <c r="J741" s="543"/>
      <c r="K741"/>
      <c r="L741"/>
      <c r="M741"/>
    </row>
    <row r="742" spans="1:13" ht="13.5" thickBot="1">
      <c r="A742" s="741" t="s">
        <v>1649</v>
      </c>
      <c r="B742" s="726">
        <v>1213128</v>
      </c>
      <c r="C742" s="1032" t="s">
        <v>1559</v>
      </c>
      <c r="D742" s="747" t="s">
        <v>1650</v>
      </c>
      <c r="E742" s="697">
        <v>6295800</v>
      </c>
      <c r="F742" s="1075">
        <v>4337240</v>
      </c>
      <c r="J742" s="543"/>
      <c r="K742"/>
      <c r="L742"/>
      <c r="M742"/>
    </row>
    <row r="743" spans="1:9" s="543" customFormat="1" ht="13.5" thickBot="1">
      <c r="A743" s="613"/>
      <c r="B743" s="1124">
        <f>B700</f>
        <v>121312</v>
      </c>
      <c r="C743" s="757" t="s">
        <v>790</v>
      </c>
      <c r="D743" s="601" t="s">
        <v>1499</v>
      </c>
      <c r="E743" s="773">
        <f>SUM(E700:E742)</f>
        <v>370384463.54785275</v>
      </c>
      <c r="F743" s="774">
        <f>SUM(F700:F742)</f>
        <v>301623479</v>
      </c>
      <c r="G743" s="1002"/>
      <c r="H743" s="705"/>
      <c r="I743" s="708"/>
    </row>
    <row r="744" spans="1:9" s="543" customFormat="1" ht="13.5" thickBot="1">
      <c r="A744" s="1151"/>
      <c r="B744" s="592"/>
      <c r="C744" s="1152"/>
      <c r="D744" s="711"/>
      <c r="E744" s="1103"/>
      <c r="F744" s="1104"/>
      <c r="G744" s="1002"/>
      <c r="H744" s="705"/>
      <c r="I744" s="705"/>
    </row>
    <row r="745" spans="1:9" s="543" customFormat="1" ht="13.5" customHeight="1" thickBot="1">
      <c r="A745" s="2229" t="s">
        <v>791</v>
      </c>
      <c r="B745" s="2229"/>
      <c r="C745" s="2229"/>
      <c r="D745" s="2229"/>
      <c r="E745" s="2229"/>
      <c r="F745" s="2229"/>
      <c r="G745" s="1002"/>
      <c r="H745" s="705"/>
      <c r="I745" s="705"/>
    </row>
    <row r="746" spans="1:9" s="694" customFormat="1" ht="13.5" customHeight="1">
      <c r="A746" s="703" t="s">
        <v>1651</v>
      </c>
      <c r="B746" s="1153">
        <v>121313</v>
      </c>
      <c r="C746" s="1154">
        <v>2019</v>
      </c>
      <c r="D746" s="714" t="s">
        <v>792</v>
      </c>
      <c r="E746" s="715">
        <v>4500</v>
      </c>
      <c r="F746" s="716">
        <v>4482</v>
      </c>
      <c r="G746" s="1047"/>
      <c r="H746" s="708"/>
      <c r="I746" s="708"/>
    </row>
    <row r="747" spans="1:9" s="543" customFormat="1" ht="12.75">
      <c r="A747" s="699" t="s">
        <v>1652</v>
      </c>
      <c r="B747" s="1108"/>
      <c r="C747" s="1091" t="s">
        <v>3401</v>
      </c>
      <c r="D747" s="596" t="s">
        <v>793</v>
      </c>
      <c r="E747" s="1058">
        <v>1649070</v>
      </c>
      <c r="F747" s="1075">
        <v>1069847</v>
      </c>
      <c r="G747" s="1002"/>
      <c r="H747" s="705"/>
      <c r="I747" s="705"/>
    </row>
    <row r="748" spans="1:9" s="543" customFormat="1" ht="12.75">
      <c r="A748" s="699" t="s">
        <v>1653</v>
      </c>
      <c r="B748" s="1155"/>
      <c r="C748" s="1032" t="s">
        <v>3403</v>
      </c>
      <c r="D748" s="598" t="s">
        <v>794</v>
      </c>
      <c r="E748" s="697">
        <v>354720</v>
      </c>
      <c r="F748" s="698">
        <v>117517</v>
      </c>
      <c r="G748" s="1002"/>
      <c r="H748" s="705"/>
      <c r="I748" s="705"/>
    </row>
    <row r="749" spans="1:9" s="543" customFormat="1" ht="12.75">
      <c r="A749" s="699" t="s">
        <v>1654</v>
      </c>
      <c r="B749" s="1156"/>
      <c r="C749" s="1032" t="s">
        <v>3405</v>
      </c>
      <c r="D749" s="598" t="s">
        <v>795</v>
      </c>
      <c r="E749" s="697">
        <v>368250</v>
      </c>
      <c r="F749" s="698">
        <v>145105</v>
      </c>
      <c r="G749" s="1002"/>
      <c r="H749" s="705"/>
      <c r="I749" s="705"/>
    </row>
    <row r="750" spans="1:9" s="543" customFormat="1" ht="12.75">
      <c r="A750" s="699" t="s">
        <v>1655</v>
      </c>
      <c r="B750" s="1156"/>
      <c r="C750" s="1032" t="s">
        <v>3407</v>
      </c>
      <c r="D750" s="598" t="s">
        <v>796</v>
      </c>
      <c r="E750" s="697">
        <v>399000</v>
      </c>
      <c r="F750" s="698">
        <v>153396</v>
      </c>
      <c r="G750" s="1002"/>
      <c r="H750" s="705"/>
      <c r="I750" s="705"/>
    </row>
    <row r="751" spans="1:9" s="543" customFormat="1" ht="12.75">
      <c r="A751" s="699" t="s">
        <v>1656</v>
      </c>
      <c r="B751" s="1156"/>
      <c r="C751" s="1032"/>
      <c r="D751" s="598" t="s">
        <v>797</v>
      </c>
      <c r="E751" s="697">
        <v>296250</v>
      </c>
      <c r="F751" s="698">
        <v>59253</v>
      </c>
      <c r="G751" s="1002"/>
      <c r="H751" s="705"/>
      <c r="I751" s="705"/>
    </row>
    <row r="752" spans="1:9" s="543" customFormat="1" ht="12.75">
      <c r="A752" s="699" t="s">
        <v>1657</v>
      </c>
      <c r="B752" s="1156"/>
      <c r="C752" s="1032" t="s">
        <v>798</v>
      </c>
      <c r="D752" s="598" t="s">
        <v>799</v>
      </c>
      <c r="E752" s="697">
        <v>31500</v>
      </c>
      <c r="F752" s="698">
        <v>5434</v>
      </c>
      <c r="G752" s="1002"/>
      <c r="H752" s="705"/>
      <c r="I752" s="705"/>
    </row>
    <row r="753" spans="1:9" s="543" customFormat="1" ht="12.75">
      <c r="A753" s="699" t="s">
        <v>1658</v>
      </c>
      <c r="B753" s="1156"/>
      <c r="C753" s="1032" t="s">
        <v>800</v>
      </c>
      <c r="D753" s="598" t="s">
        <v>801</v>
      </c>
      <c r="E753" s="697">
        <v>824000</v>
      </c>
      <c r="F753" s="698">
        <v>191554</v>
      </c>
      <c r="G753" s="1002"/>
      <c r="H753" s="705"/>
      <c r="I753" s="705"/>
    </row>
    <row r="754" spans="1:9" s="543" customFormat="1" ht="12.75">
      <c r="A754" s="699" t="s">
        <v>1659</v>
      </c>
      <c r="B754" s="1156"/>
      <c r="C754" s="1032" t="s">
        <v>3399</v>
      </c>
      <c r="D754" s="598" t="s">
        <v>802</v>
      </c>
      <c r="E754" s="697">
        <v>6734</v>
      </c>
      <c r="F754" s="698">
        <v>2282</v>
      </c>
      <c r="G754" s="1002"/>
      <c r="H754" s="705"/>
      <c r="I754" s="705"/>
    </row>
    <row r="755" spans="1:9" s="543" customFormat="1" ht="12.75">
      <c r="A755" s="699" t="s">
        <v>1660</v>
      </c>
      <c r="B755" s="1156"/>
      <c r="C755" s="1032" t="s">
        <v>3403</v>
      </c>
      <c r="D755" s="598" t="s">
        <v>803</v>
      </c>
      <c r="E755" s="697">
        <v>48000</v>
      </c>
      <c r="F755" s="698">
        <v>27714</v>
      </c>
      <c r="G755" s="1002"/>
      <c r="H755" s="705"/>
      <c r="I755" s="705"/>
    </row>
    <row r="756" spans="1:9" s="543" customFormat="1" ht="13.5" thickBot="1">
      <c r="A756" s="699" t="s">
        <v>1661</v>
      </c>
      <c r="B756" s="1156"/>
      <c r="C756" s="1032" t="s">
        <v>3399</v>
      </c>
      <c r="D756" s="598" t="s">
        <v>804</v>
      </c>
      <c r="E756" s="697">
        <v>2637168</v>
      </c>
      <c r="F756" s="698">
        <v>1627531</v>
      </c>
      <c r="G756" s="1002"/>
      <c r="H756" s="705"/>
      <c r="I756" s="705"/>
    </row>
    <row r="757" spans="1:9" s="666" customFormat="1" ht="48">
      <c r="A757" s="712" t="s">
        <v>4597</v>
      </c>
      <c r="B757" s="713" t="s">
        <v>4601</v>
      </c>
      <c r="C757" s="1157" t="s">
        <v>4602</v>
      </c>
      <c r="D757" s="713" t="s">
        <v>4603</v>
      </c>
      <c r="E757" s="1158" t="s">
        <v>4604</v>
      </c>
      <c r="F757" s="1159" t="s">
        <v>4605</v>
      </c>
      <c r="G757" s="1127"/>
      <c r="H757" s="1128"/>
      <c r="I757" s="1128"/>
    </row>
    <row r="758" spans="1:9" s="543" customFormat="1" ht="12.75">
      <c r="A758" s="699" t="s">
        <v>1662</v>
      </c>
      <c r="B758" s="1156"/>
      <c r="C758" s="1032" t="s">
        <v>3414</v>
      </c>
      <c r="D758" s="598" t="s">
        <v>805</v>
      </c>
      <c r="E758" s="697">
        <v>300000</v>
      </c>
      <c r="F758" s="698">
        <v>260867</v>
      </c>
      <c r="G758" s="1002"/>
      <c r="H758" s="705"/>
      <c r="I758" s="705"/>
    </row>
    <row r="759" spans="1:9" s="543" customFormat="1" ht="12.75">
      <c r="A759" s="699" t="s">
        <v>1663</v>
      </c>
      <c r="B759" s="1156"/>
      <c r="C759" s="1032" t="s">
        <v>3424</v>
      </c>
      <c r="D759" s="598" t="s">
        <v>806</v>
      </c>
      <c r="E759" s="697">
        <v>60000</v>
      </c>
      <c r="F759" s="698">
        <v>56238</v>
      </c>
      <c r="G759" s="1002"/>
      <c r="H759" s="705"/>
      <c r="I759" s="705"/>
    </row>
    <row r="760" spans="1:9" s="543" customFormat="1" ht="12.75">
      <c r="A760" s="699" t="s">
        <v>1664</v>
      </c>
      <c r="B760" s="1156"/>
      <c r="C760" s="1032" t="s">
        <v>3426</v>
      </c>
      <c r="D760" s="598" t="s">
        <v>3427</v>
      </c>
      <c r="E760" s="697">
        <v>112500</v>
      </c>
      <c r="F760" s="698">
        <v>85968</v>
      </c>
      <c r="G760" s="1002"/>
      <c r="H760" s="705"/>
      <c r="I760" s="705"/>
    </row>
    <row r="761" spans="1:9" s="543" customFormat="1" ht="12.75">
      <c r="A761" s="699" t="s">
        <v>1665</v>
      </c>
      <c r="B761" s="1156"/>
      <c r="C761" s="1032" t="s">
        <v>3428</v>
      </c>
      <c r="D761" s="598" t="s">
        <v>807</v>
      </c>
      <c r="E761" s="697">
        <v>45000</v>
      </c>
      <c r="F761" s="698">
        <v>42166</v>
      </c>
      <c r="G761" s="1002"/>
      <c r="H761" s="705"/>
      <c r="I761" s="705"/>
    </row>
    <row r="762" spans="1:9" s="543" customFormat="1" ht="12.75">
      <c r="A762" s="699" t="s">
        <v>1666</v>
      </c>
      <c r="B762" s="1156"/>
      <c r="C762" s="1032" t="s">
        <v>3432</v>
      </c>
      <c r="D762" s="598" t="s">
        <v>808</v>
      </c>
      <c r="E762" s="697">
        <v>4098000</v>
      </c>
      <c r="F762" s="698">
        <v>3194838</v>
      </c>
      <c r="G762" s="1002"/>
      <c r="H762" s="705"/>
      <c r="I762" s="705"/>
    </row>
    <row r="763" spans="1:9" s="543" customFormat="1" ht="12.75">
      <c r="A763" s="699" t="s">
        <v>1667</v>
      </c>
      <c r="B763" s="1156"/>
      <c r="C763" s="1032" t="s">
        <v>3434</v>
      </c>
      <c r="D763" s="598" t="s">
        <v>809</v>
      </c>
      <c r="E763" s="697">
        <v>225000</v>
      </c>
      <c r="F763" s="698">
        <v>177168</v>
      </c>
      <c r="G763" s="1002"/>
      <c r="H763" s="705"/>
      <c r="I763" s="705"/>
    </row>
    <row r="764" spans="1:9" s="543" customFormat="1" ht="12.75">
      <c r="A764" s="699" t="s">
        <v>1668</v>
      </c>
      <c r="B764" s="1160"/>
      <c r="C764" s="1032" t="s">
        <v>3438</v>
      </c>
      <c r="D764" s="598" t="s">
        <v>810</v>
      </c>
      <c r="E764" s="697">
        <v>150000</v>
      </c>
      <c r="F764" s="698">
        <v>128696</v>
      </c>
      <c r="G764" s="1002"/>
      <c r="H764" s="705"/>
      <c r="I764" s="705"/>
    </row>
    <row r="765" spans="1:9" s="543" customFormat="1" ht="12.75">
      <c r="A765" s="699" t="s">
        <v>1669</v>
      </c>
      <c r="B765" s="1160"/>
      <c r="C765" s="1032" t="s">
        <v>811</v>
      </c>
      <c r="D765" s="598" t="s">
        <v>812</v>
      </c>
      <c r="E765" s="697">
        <v>187500</v>
      </c>
      <c r="F765" s="698">
        <v>141717</v>
      </c>
      <c r="G765" s="1002"/>
      <c r="H765" s="705"/>
      <c r="I765" s="705"/>
    </row>
    <row r="766" spans="1:9" s="543" customFormat="1" ht="12.75">
      <c r="A766" s="699" t="s">
        <v>1670</v>
      </c>
      <c r="B766" s="1160"/>
      <c r="C766" s="1032" t="s">
        <v>3452</v>
      </c>
      <c r="D766" s="598" t="s">
        <v>813</v>
      </c>
      <c r="E766" s="697">
        <v>825000</v>
      </c>
      <c r="F766" s="698">
        <v>716655</v>
      </c>
      <c r="G766" s="1002"/>
      <c r="H766" s="705"/>
      <c r="I766" s="705"/>
    </row>
    <row r="767" spans="1:9" s="543" customFormat="1" ht="25.5">
      <c r="A767" s="699" t="s">
        <v>1671</v>
      </c>
      <c r="B767" s="1160"/>
      <c r="C767" s="1032" t="s">
        <v>3475</v>
      </c>
      <c r="D767" s="598" t="s">
        <v>814</v>
      </c>
      <c r="E767" s="697">
        <v>375000</v>
      </c>
      <c r="F767" s="698">
        <v>350858</v>
      </c>
      <c r="G767" s="1002"/>
      <c r="H767" s="705"/>
      <c r="I767" s="705"/>
    </row>
    <row r="768" spans="1:9" s="543" customFormat="1" ht="25.5">
      <c r="A768" s="699" t="s">
        <v>1672</v>
      </c>
      <c r="B768" s="1156"/>
      <c r="C768" s="1032" t="s">
        <v>2830</v>
      </c>
      <c r="D768" s="598" t="s">
        <v>815</v>
      </c>
      <c r="E768" s="697">
        <v>300000</v>
      </c>
      <c r="F768" s="698">
        <v>255779</v>
      </c>
      <c r="G768" s="1002"/>
      <c r="H768" s="705"/>
      <c r="I768" s="705"/>
    </row>
    <row r="769" spans="1:10" ht="12.75">
      <c r="A769" s="699" t="s">
        <v>1673</v>
      </c>
      <c r="B769" s="1156"/>
      <c r="C769" s="1032" t="s">
        <v>816</v>
      </c>
      <c r="D769" s="598" t="s">
        <v>817</v>
      </c>
      <c r="E769" s="697">
        <v>988000</v>
      </c>
      <c r="F769" s="698">
        <v>337122</v>
      </c>
      <c r="J769" s="543"/>
    </row>
    <row r="770" spans="1:10" ht="12.75">
      <c r="A770" s="699" t="s">
        <v>1674</v>
      </c>
      <c r="B770" s="1156"/>
      <c r="C770" s="1032" t="s">
        <v>816</v>
      </c>
      <c r="D770" s="598" t="s">
        <v>818</v>
      </c>
      <c r="E770" s="697">
        <v>240000</v>
      </c>
      <c r="F770" s="698">
        <v>204365</v>
      </c>
      <c r="J770" s="543"/>
    </row>
    <row r="771" spans="1:10" ht="12.75">
      <c r="A771" s="699" t="s">
        <v>1675</v>
      </c>
      <c r="B771" s="1161"/>
      <c r="C771" s="1073" t="s">
        <v>816</v>
      </c>
      <c r="D771" s="600" t="s">
        <v>819</v>
      </c>
      <c r="E771" s="770">
        <v>115500</v>
      </c>
      <c r="F771" s="771">
        <v>27726</v>
      </c>
      <c r="J771" s="543"/>
    </row>
    <row r="772" spans="1:10" ht="12.75">
      <c r="A772" s="699" t="s">
        <v>1676</v>
      </c>
      <c r="B772" s="1156"/>
      <c r="C772" s="1032" t="s">
        <v>816</v>
      </c>
      <c r="D772" s="598" t="s">
        <v>820</v>
      </c>
      <c r="E772" s="697">
        <v>884675</v>
      </c>
      <c r="F772" s="698">
        <v>248000</v>
      </c>
      <c r="J772" s="543"/>
    </row>
    <row r="773" spans="1:10" ht="12.75">
      <c r="A773" s="699" t="s">
        <v>1677</v>
      </c>
      <c r="B773" s="1156"/>
      <c r="C773" s="1088" t="s">
        <v>2834</v>
      </c>
      <c r="D773" s="598" t="s">
        <v>821</v>
      </c>
      <c r="E773" s="697">
        <v>75000</v>
      </c>
      <c r="F773" s="698">
        <v>72176</v>
      </c>
      <c r="J773" s="543"/>
    </row>
    <row r="774" spans="1:10" ht="12.75">
      <c r="A774" s="699" t="s">
        <v>1678</v>
      </c>
      <c r="B774" s="1156"/>
      <c r="C774" s="1088" t="s">
        <v>2836</v>
      </c>
      <c r="D774" s="598" t="s">
        <v>822</v>
      </c>
      <c r="E774" s="697">
        <v>7500</v>
      </c>
      <c r="F774" s="698">
        <v>7224</v>
      </c>
      <c r="J774" s="543"/>
    </row>
    <row r="775" spans="1:10" ht="12.75">
      <c r="A775" s="699" t="s">
        <v>1679</v>
      </c>
      <c r="B775" s="1156"/>
      <c r="C775" s="1088" t="s">
        <v>2838</v>
      </c>
      <c r="D775" s="598" t="s">
        <v>823</v>
      </c>
      <c r="E775" s="697">
        <v>3750</v>
      </c>
      <c r="F775" s="698">
        <v>3638</v>
      </c>
      <c r="J775" s="543"/>
    </row>
    <row r="776" spans="1:10" ht="12.75">
      <c r="A776" s="699" t="s">
        <v>1680</v>
      </c>
      <c r="B776" s="1156"/>
      <c r="C776" s="1088" t="s">
        <v>824</v>
      </c>
      <c r="D776" s="598" t="s">
        <v>825</v>
      </c>
      <c r="E776" s="697">
        <v>37500</v>
      </c>
      <c r="F776" s="698">
        <v>36684</v>
      </c>
      <c r="J776" s="543"/>
    </row>
    <row r="777" spans="1:10" ht="12.75">
      <c r="A777" s="699" t="s">
        <v>1681</v>
      </c>
      <c r="B777" s="1156"/>
      <c r="C777" s="1088" t="s">
        <v>2842</v>
      </c>
      <c r="D777" s="598" t="s">
        <v>826</v>
      </c>
      <c r="E777" s="697">
        <v>112500</v>
      </c>
      <c r="F777" s="698">
        <v>110133</v>
      </c>
      <c r="J777" s="543"/>
    </row>
    <row r="778" spans="1:10" ht="12.75">
      <c r="A778" s="699" t="s">
        <v>1682</v>
      </c>
      <c r="B778" s="1156"/>
      <c r="C778" s="1088" t="s">
        <v>3477</v>
      </c>
      <c r="D778" s="598" t="s">
        <v>827</v>
      </c>
      <c r="E778" s="697">
        <v>52500</v>
      </c>
      <c r="F778" s="698">
        <v>51489</v>
      </c>
      <c r="J778" s="543"/>
    </row>
    <row r="779" spans="1:10" ht="12.75">
      <c r="A779" s="699" t="s">
        <v>1683</v>
      </c>
      <c r="B779" s="1156"/>
      <c r="C779" s="1088" t="s">
        <v>2844</v>
      </c>
      <c r="D779" s="598" t="s">
        <v>828</v>
      </c>
      <c r="E779" s="697">
        <v>60000</v>
      </c>
      <c r="F779" s="698">
        <v>59051</v>
      </c>
      <c r="J779" s="543"/>
    </row>
    <row r="780" spans="1:11" ht="26.25" thickBot="1">
      <c r="A780" s="701" t="s">
        <v>1684</v>
      </c>
      <c r="B780" s="1161"/>
      <c r="C780" s="1129" t="s">
        <v>829</v>
      </c>
      <c r="D780" s="600" t="s">
        <v>830</v>
      </c>
      <c r="E780" s="770">
        <v>1315001</v>
      </c>
      <c r="F780" s="771">
        <v>1315001</v>
      </c>
      <c r="J780" s="718"/>
      <c r="K780" s="718"/>
    </row>
    <row r="781" spans="1:11" ht="13.5" thickBot="1">
      <c r="A781" s="679"/>
      <c r="B781" s="1124">
        <f>B746</f>
        <v>121313</v>
      </c>
      <c r="C781" s="757" t="s">
        <v>757</v>
      </c>
      <c r="D781" s="706" t="s">
        <v>1499</v>
      </c>
      <c r="E781" s="773">
        <f>SUM(E746:E780)</f>
        <v>17189118</v>
      </c>
      <c r="F781" s="774">
        <f>SUM(F746:F780)</f>
        <v>11287674</v>
      </c>
      <c r="I781" s="1162"/>
      <c r="K781" s="1002"/>
    </row>
    <row r="782" spans="1:10" ht="12.75">
      <c r="A782" s="2222" t="s">
        <v>831</v>
      </c>
      <c r="B782" s="2222"/>
      <c r="C782" s="2222"/>
      <c r="D782" s="2222"/>
      <c r="E782" s="1163"/>
      <c r="F782" s="1164"/>
      <c r="J782" s="543"/>
    </row>
    <row r="783" spans="1:10" ht="12.75">
      <c r="A783" s="648" t="s">
        <v>1685</v>
      </c>
      <c r="B783" s="822">
        <v>121412</v>
      </c>
      <c r="C783" s="1032" t="s">
        <v>3484</v>
      </c>
      <c r="D783" s="597" t="s">
        <v>832</v>
      </c>
      <c r="E783" s="697">
        <v>592032</v>
      </c>
      <c r="F783" s="698">
        <v>236638</v>
      </c>
      <c r="J783" s="543"/>
    </row>
    <row r="784" spans="1:10" ht="12.75">
      <c r="A784" s="648" t="s">
        <v>1686</v>
      </c>
      <c r="B784" s="630"/>
      <c r="C784" s="1032" t="s">
        <v>833</v>
      </c>
      <c r="D784" s="597" t="s">
        <v>834</v>
      </c>
      <c r="E784" s="697">
        <v>1499507</v>
      </c>
      <c r="F784" s="698">
        <v>598850</v>
      </c>
      <c r="J784" s="543"/>
    </row>
    <row r="785" spans="1:9" s="543" customFormat="1" ht="12.75">
      <c r="A785" s="648" t="s">
        <v>1687</v>
      </c>
      <c r="B785" s="630"/>
      <c r="C785" s="1032" t="s">
        <v>835</v>
      </c>
      <c r="D785" s="597" t="s">
        <v>836</v>
      </c>
      <c r="E785" s="697">
        <v>3007108</v>
      </c>
      <c r="F785" s="698">
        <v>2095086</v>
      </c>
      <c r="G785" s="1002"/>
      <c r="H785" s="705"/>
      <c r="I785" s="705"/>
    </row>
    <row r="786" spans="1:9" s="543" customFormat="1" ht="12.75">
      <c r="A786" s="648" t="s">
        <v>1688</v>
      </c>
      <c r="B786" s="630"/>
      <c r="C786" s="1032" t="s">
        <v>2865</v>
      </c>
      <c r="D786" s="608" t="s">
        <v>837</v>
      </c>
      <c r="E786" s="697">
        <v>904088</v>
      </c>
      <c r="F786" s="698">
        <v>629888</v>
      </c>
      <c r="G786" s="1002"/>
      <c r="H786" s="705"/>
      <c r="I786" s="705"/>
    </row>
    <row r="787" spans="1:9" s="543" customFormat="1" ht="12.75">
      <c r="A787" s="648" t="s">
        <v>1689</v>
      </c>
      <c r="B787" s="630"/>
      <c r="C787" s="1032" t="s">
        <v>2936</v>
      </c>
      <c r="D787" s="597" t="s">
        <v>838</v>
      </c>
      <c r="E787" s="697">
        <v>639894</v>
      </c>
      <c r="F787" s="698">
        <v>255834</v>
      </c>
      <c r="G787" s="1002"/>
      <c r="H787" s="705"/>
      <c r="I787" s="705"/>
    </row>
    <row r="788" spans="1:9" s="543" customFormat="1" ht="25.5">
      <c r="A788" s="648" t="s">
        <v>1690</v>
      </c>
      <c r="B788" s="630"/>
      <c r="C788" s="1032" t="s">
        <v>2982</v>
      </c>
      <c r="D788" s="597" t="s">
        <v>839</v>
      </c>
      <c r="E788" s="697">
        <v>742479</v>
      </c>
      <c r="F788" s="698">
        <v>517292</v>
      </c>
      <c r="G788" s="1002"/>
      <c r="H788" s="705"/>
      <c r="I788" s="705"/>
    </row>
    <row r="789" spans="1:9" s="543" customFormat="1" ht="12.75">
      <c r="A789" s="648" t="s">
        <v>1691</v>
      </c>
      <c r="B789" s="630"/>
      <c r="C789" s="1032" t="s">
        <v>840</v>
      </c>
      <c r="D789" s="597" t="s">
        <v>841</v>
      </c>
      <c r="E789" s="697">
        <v>744606</v>
      </c>
      <c r="F789" s="698">
        <v>297438</v>
      </c>
      <c r="G789" s="1002"/>
      <c r="H789" s="705"/>
      <c r="I789" s="705"/>
    </row>
    <row r="790" spans="1:9" s="543" customFormat="1" ht="12.75">
      <c r="A790" s="648" t="s">
        <v>1692</v>
      </c>
      <c r="B790" s="630"/>
      <c r="C790" s="1032" t="s">
        <v>842</v>
      </c>
      <c r="D790" s="597" t="s">
        <v>843</v>
      </c>
      <c r="E790" s="697">
        <v>144305</v>
      </c>
      <c r="F790" s="698">
        <v>57305</v>
      </c>
      <c r="G790" s="1002"/>
      <c r="H790" s="705"/>
      <c r="I790" s="705"/>
    </row>
    <row r="791" spans="1:9" s="543" customFormat="1" ht="12.75">
      <c r="A791" s="648" t="s">
        <v>1693</v>
      </c>
      <c r="B791" s="630"/>
      <c r="C791" s="1032" t="s">
        <v>844</v>
      </c>
      <c r="D791" s="597" t="s">
        <v>845</v>
      </c>
      <c r="E791" s="697">
        <v>982632</v>
      </c>
      <c r="F791" s="698">
        <v>392671</v>
      </c>
      <c r="G791" s="1002"/>
      <c r="H791" s="705"/>
      <c r="I791" s="705"/>
    </row>
    <row r="792" spans="1:9" s="543" customFormat="1" ht="12.75">
      <c r="A792" s="648" t="s">
        <v>1694</v>
      </c>
      <c r="B792" s="630"/>
      <c r="C792" s="1032" t="s">
        <v>846</v>
      </c>
      <c r="D792" s="597" t="s">
        <v>847</v>
      </c>
      <c r="E792" s="697">
        <v>576912</v>
      </c>
      <c r="F792" s="698">
        <v>230494</v>
      </c>
      <c r="G792" s="1002"/>
      <c r="H792" s="705"/>
      <c r="I792" s="705"/>
    </row>
    <row r="793" spans="1:9" s="543" customFormat="1" ht="12.75">
      <c r="A793" s="648" t="s">
        <v>1695</v>
      </c>
      <c r="B793" s="630"/>
      <c r="C793" s="1032" t="s">
        <v>518</v>
      </c>
      <c r="D793" s="597" t="s">
        <v>848</v>
      </c>
      <c r="E793" s="697">
        <v>1881424</v>
      </c>
      <c r="F793" s="698">
        <v>751874</v>
      </c>
      <c r="G793" s="1002"/>
      <c r="H793" s="705"/>
      <c r="I793" s="705"/>
    </row>
    <row r="794" spans="1:9" s="543" customFormat="1" ht="12.75">
      <c r="A794" s="648" t="s">
        <v>1696</v>
      </c>
      <c r="B794" s="630"/>
      <c r="C794" s="1088" t="s">
        <v>3388</v>
      </c>
      <c r="D794" s="608" t="s">
        <v>849</v>
      </c>
      <c r="E794" s="697">
        <v>113544</v>
      </c>
      <c r="F794" s="698">
        <v>94806</v>
      </c>
      <c r="G794" s="1002"/>
      <c r="H794" s="705"/>
      <c r="I794" s="705"/>
    </row>
    <row r="795" spans="1:9" s="543" customFormat="1" ht="12.75">
      <c r="A795" s="648" t="s">
        <v>1697</v>
      </c>
      <c r="B795" s="630"/>
      <c r="C795" s="1088" t="s">
        <v>3373</v>
      </c>
      <c r="D795" s="597" t="s">
        <v>850</v>
      </c>
      <c r="E795" s="697">
        <v>104580</v>
      </c>
      <c r="F795" s="698">
        <v>87321</v>
      </c>
      <c r="G795" s="1002"/>
      <c r="H795" s="705"/>
      <c r="I795" s="705"/>
    </row>
    <row r="796" spans="1:9" s="543" customFormat="1" ht="13.5" thickBot="1">
      <c r="A796" s="648" t="s">
        <v>1698</v>
      </c>
      <c r="B796" s="631"/>
      <c r="C796" s="1129" t="s">
        <v>851</v>
      </c>
      <c r="D796" s="677" t="s">
        <v>852</v>
      </c>
      <c r="E796" s="770">
        <v>194220</v>
      </c>
      <c r="F796" s="771">
        <v>162169</v>
      </c>
      <c r="G796" s="1002"/>
      <c r="H796" s="705"/>
      <c r="I796" s="705"/>
    </row>
    <row r="797" spans="1:9" s="543" customFormat="1" ht="13.5" thickBot="1">
      <c r="A797" s="685"/>
      <c r="B797" s="1124">
        <v>121412</v>
      </c>
      <c r="C797" s="757" t="s">
        <v>853</v>
      </c>
      <c r="D797" s="601" t="s">
        <v>1499</v>
      </c>
      <c r="E797" s="773">
        <f>SUM(E783:E796)</f>
        <v>12127331</v>
      </c>
      <c r="F797" s="774">
        <f>SUM(F783:F796)</f>
        <v>6407666</v>
      </c>
      <c r="G797" s="1002"/>
      <c r="H797" s="705"/>
      <c r="I797" s="705"/>
    </row>
    <row r="798" spans="1:9" s="543" customFormat="1" ht="13.5" thickBot="1">
      <c r="A798" s="2222" t="s">
        <v>854</v>
      </c>
      <c r="B798" s="2222"/>
      <c r="C798" s="2222"/>
      <c r="D798" s="2222"/>
      <c r="E798" s="1163"/>
      <c r="F798" s="1164"/>
      <c r="G798" s="1002"/>
      <c r="H798" s="705"/>
      <c r="I798" s="705"/>
    </row>
    <row r="799" spans="1:9" s="543" customFormat="1" ht="12.75">
      <c r="A799" s="680" t="s">
        <v>1699</v>
      </c>
      <c r="B799" s="819">
        <v>12149112</v>
      </c>
      <c r="C799" s="1115" t="s">
        <v>3505</v>
      </c>
      <c r="D799" s="719" t="s">
        <v>856</v>
      </c>
      <c r="E799" s="692">
        <v>447000</v>
      </c>
      <c r="F799" s="693">
        <v>43944</v>
      </c>
      <c r="G799" s="1002"/>
      <c r="H799" s="705"/>
      <c r="I799" s="705"/>
    </row>
    <row r="800" spans="1:9" s="543" customFormat="1" ht="12.75">
      <c r="A800" s="648" t="s">
        <v>1700</v>
      </c>
      <c r="B800" s="630"/>
      <c r="C800" s="1032" t="s">
        <v>858</v>
      </c>
      <c r="D800" s="597" t="s">
        <v>859</v>
      </c>
      <c r="E800" s="697">
        <v>785000</v>
      </c>
      <c r="F800" s="698">
        <v>332748</v>
      </c>
      <c r="G800" s="1002"/>
      <c r="H800" s="705"/>
      <c r="I800" s="705"/>
    </row>
    <row r="801" spans="1:9" s="543" customFormat="1" ht="15" customHeight="1">
      <c r="A801" s="648" t="s">
        <v>1701</v>
      </c>
      <c r="B801" s="630"/>
      <c r="C801" s="1032" t="s">
        <v>3502</v>
      </c>
      <c r="D801" s="597" t="s">
        <v>861</v>
      </c>
      <c r="E801" s="697">
        <v>1387000</v>
      </c>
      <c r="F801" s="698">
        <v>471350</v>
      </c>
      <c r="G801" s="1002"/>
      <c r="H801" s="705"/>
      <c r="I801" s="705"/>
    </row>
    <row r="802" spans="1:9" s="543" customFormat="1" ht="12.75">
      <c r="A802" s="648" t="s">
        <v>1702</v>
      </c>
      <c r="B802" s="630"/>
      <c r="C802" s="1032" t="s">
        <v>2962</v>
      </c>
      <c r="D802" s="597" t="s">
        <v>863</v>
      </c>
      <c r="E802" s="697">
        <v>1809000</v>
      </c>
      <c r="F802" s="698">
        <v>613840</v>
      </c>
      <c r="G802" s="1002"/>
      <c r="H802" s="705"/>
      <c r="I802" s="705"/>
    </row>
    <row r="803" spans="1:9" s="543" customFormat="1" ht="12.75">
      <c r="A803" s="648" t="s">
        <v>1703</v>
      </c>
      <c r="B803" s="630"/>
      <c r="C803" s="1032" t="s">
        <v>865</v>
      </c>
      <c r="D803" s="597" t="s">
        <v>866</v>
      </c>
      <c r="E803" s="697">
        <v>5316000</v>
      </c>
      <c r="F803" s="698">
        <v>3952763</v>
      </c>
      <c r="G803" s="1002"/>
      <c r="H803" s="705"/>
      <c r="I803" s="705"/>
    </row>
    <row r="804" spans="1:9" s="543" customFormat="1" ht="12.75">
      <c r="A804" s="648" t="s">
        <v>1704</v>
      </c>
      <c r="B804" s="630"/>
      <c r="C804" s="1032" t="s">
        <v>779</v>
      </c>
      <c r="D804" s="597" t="s">
        <v>868</v>
      </c>
      <c r="E804" s="697">
        <v>1679000</v>
      </c>
      <c r="F804" s="698">
        <v>570582</v>
      </c>
      <c r="G804" s="1002"/>
      <c r="H804" s="705"/>
      <c r="I804" s="705"/>
    </row>
    <row r="805" spans="1:9" s="543" customFormat="1" ht="25.5">
      <c r="A805" s="648" t="s">
        <v>1705</v>
      </c>
      <c r="B805" s="630"/>
      <c r="C805" s="1032" t="s">
        <v>2971</v>
      </c>
      <c r="D805" s="597" t="s">
        <v>870</v>
      </c>
      <c r="E805" s="697">
        <v>1051000</v>
      </c>
      <c r="F805" s="698">
        <v>358286</v>
      </c>
      <c r="G805" s="1002"/>
      <c r="H805" s="705"/>
      <c r="I805" s="705"/>
    </row>
    <row r="806" spans="1:9" s="543" customFormat="1" ht="14.25" customHeight="1">
      <c r="A806" s="648" t="s">
        <v>1706</v>
      </c>
      <c r="B806" s="630"/>
      <c r="C806" s="1032" t="s">
        <v>3505</v>
      </c>
      <c r="D806" s="597" t="s">
        <v>872</v>
      </c>
      <c r="E806" s="697">
        <v>1766000</v>
      </c>
      <c r="F806" s="698">
        <v>600587</v>
      </c>
      <c r="G806" s="1002"/>
      <c r="H806" s="705"/>
      <c r="I806" s="705"/>
    </row>
    <row r="807" spans="1:9" s="543" customFormat="1" ht="12.75">
      <c r="A807" s="648" t="s">
        <v>1707</v>
      </c>
      <c r="B807" s="630"/>
      <c r="C807" s="1032" t="s">
        <v>524</v>
      </c>
      <c r="D807" s="597" t="s">
        <v>874</v>
      </c>
      <c r="E807" s="697">
        <v>1261000</v>
      </c>
      <c r="F807" s="698">
        <v>427490</v>
      </c>
      <c r="G807" s="1002"/>
      <c r="H807" s="705"/>
      <c r="I807" s="705"/>
    </row>
    <row r="808" spans="1:9" s="543" customFormat="1" ht="12.75">
      <c r="A808" s="648" t="s">
        <v>1708</v>
      </c>
      <c r="B808" s="630"/>
      <c r="C808" s="1032" t="s">
        <v>2853</v>
      </c>
      <c r="D808" s="597" t="s">
        <v>876</v>
      </c>
      <c r="E808" s="697">
        <v>2327388</v>
      </c>
      <c r="F808" s="698">
        <v>861598</v>
      </c>
      <c r="G808" s="1002"/>
      <c r="H808" s="705"/>
      <c r="I808" s="705"/>
    </row>
    <row r="809" spans="1:9" s="543" customFormat="1" ht="25.5">
      <c r="A809" s="648" t="s">
        <v>1709</v>
      </c>
      <c r="B809" s="630"/>
      <c r="C809" s="1032" t="s">
        <v>512</v>
      </c>
      <c r="D809" s="597" t="s">
        <v>878</v>
      </c>
      <c r="E809" s="697">
        <v>290400</v>
      </c>
      <c r="F809" s="698">
        <v>107016</v>
      </c>
      <c r="G809" s="1002"/>
      <c r="H809" s="705"/>
      <c r="I809" s="705"/>
    </row>
    <row r="810" spans="1:9" s="543" customFormat="1" ht="12.75">
      <c r="A810" s="648" t="s">
        <v>1710</v>
      </c>
      <c r="B810" s="630"/>
      <c r="C810" s="1032" t="s">
        <v>880</v>
      </c>
      <c r="D810" s="597" t="s">
        <v>881</v>
      </c>
      <c r="E810" s="697">
        <v>2272835</v>
      </c>
      <c r="F810" s="698">
        <v>908203</v>
      </c>
      <c r="G810" s="1002"/>
      <c r="H810" s="705"/>
      <c r="I810" s="705"/>
    </row>
    <row r="811" spans="1:9" s="543" customFormat="1" ht="13.5" thickBot="1">
      <c r="A811" s="648" t="s">
        <v>1711</v>
      </c>
      <c r="B811" s="630"/>
      <c r="C811" s="1032" t="s">
        <v>883</v>
      </c>
      <c r="D811" s="597" t="s">
        <v>884</v>
      </c>
      <c r="E811" s="697">
        <v>391140</v>
      </c>
      <c r="F811" s="698">
        <v>156821</v>
      </c>
      <c r="G811" s="1002"/>
      <c r="H811" s="705"/>
      <c r="I811" s="705"/>
    </row>
    <row r="812" spans="1:9" s="543" customFormat="1" ht="48.75" thickBot="1">
      <c r="A812" s="605" t="s">
        <v>4597</v>
      </c>
      <c r="B812" s="606" t="s">
        <v>4601</v>
      </c>
      <c r="C812" s="1008" t="s">
        <v>4602</v>
      </c>
      <c r="D812" s="606" t="s">
        <v>4603</v>
      </c>
      <c r="E812" s="738" t="s">
        <v>4604</v>
      </c>
      <c r="F812" s="739" t="s">
        <v>4605</v>
      </c>
      <c r="G812" s="1002"/>
      <c r="H812" s="705"/>
      <c r="I812" s="705"/>
    </row>
    <row r="813" spans="1:9" s="543" customFormat="1" ht="25.5">
      <c r="A813" s="648" t="s">
        <v>1712</v>
      </c>
      <c r="B813" s="630"/>
      <c r="C813" s="1032" t="s">
        <v>2974</v>
      </c>
      <c r="D813" s="597" t="s">
        <v>886</v>
      </c>
      <c r="E813" s="697">
        <v>621150</v>
      </c>
      <c r="F813" s="698">
        <v>248508</v>
      </c>
      <c r="G813" s="1002"/>
      <c r="H813" s="705"/>
      <c r="I813" s="705"/>
    </row>
    <row r="814" spans="1:9" s="543" customFormat="1" ht="12.75">
      <c r="A814" s="648" t="s">
        <v>1713</v>
      </c>
      <c r="B814" s="630"/>
      <c r="C814" s="1032" t="s">
        <v>888</v>
      </c>
      <c r="D814" s="597" t="s">
        <v>889</v>
      </c>
      <c r="E814" s="697">
        <v>4293500</v>
      </c>
      <c r="F814" s="698">
        <v>1716376</v>
      </c>
      <c r="G814" s="1002"/>
      <c r="H814" s="705"/>
      <c r="I814" s="705"/>
    </row>
    <row r="815" spans="1:9" s="543" customFormat="1" ht="12.75">
      <c r="A815" s="648" t="s">
        <v>1714</v>
      </c>
      <c r="B815" s="630"/>
      <c r="C815" s="1032" t="s">
        <v>512</v>
      </c>
      <c r="D815" s="597" t="s">
        <v>891</v>
      </c>
      <c r="E815" s="697">
        <v>5747319</v>
      </c>
      <c r="F815" s="698">
        <v>2471520</v>
      </c>
      <c r="G815" s="1002"/>
      <c r="H815" s="705"/>
      <c r="I815" s="705"/>
    </row>
    <row r="816" spans="1:9" s="543" customFormat="1" ht="12.75">
      <c r="A816" s="648" t="s">
        <v>1715</v>
      </c>
      <c r="B816" s="630"/>
      <c r="C816" s="1032" t="s">
        <v>2959</v>
      </c>
      <c r="D816" s="597" t="s">
        <v>2960</v>
      </c>
      <c r="E816" s="697">
        <v>12231000</v>
      </c>
      <c r="F816" s="698">
        <v>5992021</v>
      </c>
      <c r="G816" s="1002"/>
      <c r="H816" s="705"/>
      <c r="I816" s="705"/>
    </row>
    <row r="817" spans="1:9" s="543" customFormat="1" ht="25.5">
      <c r="A817" s="648" t="s">
        <v>1716</v>
      </c>
      <c r="B817" s="630"/>
      <c r="C817" s="1032" t="s">
        <v>2922</v>
      </c>
      <c r="D817" s="597" t="s">
        <v>894</v>
      </c>
      <c r="E817" s="697">
        <v>8269274</v>
      </c>
      <c r="F817" s="698">
        <v>4299349</v>
      </c>
      <c r="G817" s="1002"/>
      <c r="H817" s="705"/>
      <c r="I817" s="705"/>
    </row>
    <row r="818" spans="1:9" s="543" customFormat="1" ht="12.75">
      <c r="A818" s="648" t="s">
        <v>1717</v>
      </c>
      <c r="B818" s="630"/>
      <c r="C818" s="1032" t="s">
        <v>2936</v>
      </c>
      <c r="D818" s="597" t="s">
        <v>896</v>
      </c>
      <c r="E818" s="697">
        <v>3917619</v>
      </c>
      <c r="F818" s="698">
        <v>2154029</v>
      </c>
      <c r="G818" s="1002"/>
      <c r="H818" s="705"/>
      <c r="I818" s="705"/>
    </row>
    <row r="819" spans="1:9" s="543" customFormat="1" ht="12.75">
      <c r="A819" s="648" t="s">
        <v>1718</v>
      </c>
      <c r="B819" s="630"/>
      <c r="C819" s="1032" t="s">
        <v>898</v>
      </c>
      <c r="D819" s="597" t="s">
        <v>899</v>
      </c>
      <c r="E819" s="697">
        <v>8123844</v>
      </c>
      <c r="F819" s="698">
        <v>4465938</v>
      </c>
      <c r="G819" s="1002"/>
      <c r="H819" s="705"/>
      <c r="I819" s="705"/>
    </row>
    <row r="820" spans="1:9" s="543" customFormat="1" ht="12.75">
      <c r="A820" s="648" t="s">
        <v>1719</v>
      </c>
      <c r="B820" s="630"/>
      <c r="C820" s="1032" t="s">
        <v>512</v>
      </c>
      <c r="D820" s="597" t="s">
        <v>901</v>
      </c>
      <c r="E820" s="697">
        <v>17325000</v>
      </c>
      <c r="F820" s="698">
        <v>11334807</v>
      </c>
      <c r="G820" s="1002"/>
      <c r="H820" s="705"/>
      <c r="I820" s="705"/>
    </row>
    <row r="821" spans="1:9" s="543" customFormat="1" ht="12.75">
      <c r="A821" s="648" t="s">
        <v>1720</v>
      </c>
      <c r="B821" s="630"/>
      <c r="C821" s="1032" t="s">
        <v>2974</v>
      </c>
      <c r="D821" s="597" t="s">
        <v>903</v>
      </c>
      <c r="E821" s="697">
        <v>2310000</v>
      </c>
      <c r="F821" s="698">
        <v>1510845</v>
      </c>
      <c r="G821" s="1002"/>
      <c r="H821" s="705"/>
      <c r="I821" s="705"/>
    </row>
    <row r="822" spans="1:9" s="543" customFormat="1" ht="12.75">
      <c r="A822" s="648" t="s">
        <v>1721</v>
      </c>
      <c r="B822" s="630"/>
      <c r="C822" s="1032" t="s">
        <v>779</v>
      </c>
      <c r="D822" s="597" t="s">
        <v>905</v>
      </c>
      <c r="E822" s="697">
        <v>6150000</v>
      </c>
      <c r="F822" s="698">
        <v>3382890</v>
      </c>
      <c r="G822" s="1002"/>
      <c r="H822" s="705"/>
      <c r="I822" s="705"/>
    </row>
    <row r="823" spans="1:9" s="543" customFormat="1" ht="12.75">
      <c r="A823" s="648" t="s">
        <v>1722</v>
      </c>
      <c r="B823" s="630"/>
      <c r="C823" s="1032" t="s">
        <v>883</v>
      </c>
      <c r="D823" s="597" t="s">
        <v>907</v>
      </c>
      <c r="E823" s="697">
        <v>4180000</v>
      </c>
      <c r="F823" s="698">
        <v>2666939</v>
      </c>
      <c r="G823" s="1002"/>
      <c r="H823" s="705"/>
      <c r="I823" s="705"/>
    </row>
    <row r="824" spans="1:9" s="543" customFormat="1" ht="12.75">
      <c r="A824" s="648" t="s">
        <v>1723</v>
      </c>
      <c r="B824" s="630"/>
      <c r="C824" s="1032" t="s">
        <v>880</v>
      </c>
      <c r="D824" s="597" t="s">
        <v>909</v>
      </c>
      <c r="E824" s="697">
        <v>14220000</v>
      </c>
      <c r="F824" s="698">
        <v>9392085</v>
      </c>
      <c r="G824" s="1002"/>
      <c r="H824" s="705"/>
      <c r="I824" s="705"/>
    </row>
    <row r="825" spans="1:9" s="543" customFormat="1" ht="12.75">
      <c r="A825" s="648" t="s">
        <v>1724</v>
      </c>
      <c r="B825" s="630"/>
      <c r="C825" s="1032" t="s">
        <v>833</v>
      </c>
      <c r="D825" s="597" t="s">
        <v>911</v>
      </c>
      <c r="E825" s="697">
        <v>20000000</v>
      </c>
      <c r="F825" s="698">
        <v>12916207</v>
      </c>
      <c r="G825" s="1002"/>
      <c r="H825" s="705"/>
      <c r="I825" s="705"/>
    </row>
    <row r="826" spans="1:9" s="543" customFormat="1" ht="12.75">
      <c r="A826" s="648" t="s">
        <v>1725</v>
      </c>
      <c r="B826" s="630"/>
      <c r="C826" s="1032" t="s">
        <v>2971</v>
      </c>
      <c r="D826" s="597" t="s">
        <v>913</v>
      </c>
      <c r="E826" s="697">
        <v>20019000</v>
      </c>
      <c r="F826" s="698">
        <v>12806550</v>
      </c>
      <c r="G826" s="1002"/>
      <c r="H826" s="705"/>
      <c r="I826" s="705"/>
    </row>
    <row r="827" spans="1:9" s="543" customFormat="1" ht="12.75">
      <c r="A827" s="648" t="s">
        <v>1726</v>
      </c>
      <c r="B827" s="630"/>
      <c r="C827" s="1032" t="s">
        <v>2971</v>
      </c>
      <c r="D827" s="597" t="s">
        <v>915</v>
      </c>
      <c r="E827" s="697">
        <v>2780000</v>
      </c>
      <c r="F827" s="698">
        <v>1796577</v>
      </c>
      <c r="G827" s="1002"/>
      <c r="H827" s="705"/>
      <c r="I827" s="705"/>
    </row>
    <row r="828" spans="1:9" s="543" customFormat="1" ht="12.75">
      <c r="A828" s="648" t="s">
        <v>1727</v>
      </c>
      <c r="B828" s="630"/>
      <c r="C828" s="1032" t="s">
        <v>3529</v>
      </c>
      <c r="D828" s="597" t="s">
        <v>917</v>
      </c>
      <c r="E828" s="697">
        <v>6073113</v>
      </c>
      <c r="F828" s="698">
        <v>4431635</v>
      </c>
      <c r="G828" s="1002"/>
      <c r="H828" s="705"/>
      <c r="I828" s="705"/>
    </row>
    <row r="829" spans="1:9" s="543" customFormat="1" ht="12.75">
      <c r="A829" s="648" t="s">
        <v>1728</v>
      </c>
      <c r="B829" s="630"/>
      <c r="C829" s="1032" t="s">
        <v>3529</v>
      </c>
      <c r="D829" s="597" t="s">
        <v>919</v>
      </c>
      <c r="E829" s="697">
        <v>1914000</v>
      </c>
      <c r="F829" s="698">
        <v>1239521</v>
      </c>
      <c r="G829" s="1002"/>
      <c r="H829" s="705"/>
      <c r="I829" s="705"/>
    </row>
    <row r="830" spans="1:9" s="543" customFormat="1" ht="12.75">
      <c r="A830" s="648" t="s">
        <v>1729</v>
      </c>
      <c r="B830" s="630"/>
      <c r="C830" s="1032" t="s">
        <v>865</v>
      </c>
      <c r="D830" s="597" t="s">
        <v>921</v>
      </c>
      <c r="E830" s="697">
        <v>637500</v>
      </c>
      <c r="F830" s="698">
        <v>359161</v>
      </c>
      <c r="G830" s="1002"/>
      <c r="H830" s="705"/>
      <c r="I830" s="705"/>
    </row>
    <row r="831" spans="1:9" s="543" customFormat="1" ht="12.75">
      <c r="A831" s="648" t="s">
        <v>1730</v>
      </c>
      <c r="B831" s="630"/>
      <c r="C831" s="1032" t="s">
        <v>524</v>
      </c>
      <c r="D831" s="597" t="s">
        <v>923</v>
      </c>
      <c r="E831" s="697">
        <v>9900000</v>
      </c>
      <c r="F831" s="698">
        <v>6414582</v>
      </c>
      <c r="G831" s="1002"/>
      <c r="H831" s="705"/>
      <c r="I831" s="705"/>
    </row>
    <row r="832" spans="1:9" s="543" customFormat="1" ht="12.75">
      <c r="A832" s="648" t="s">
        <v>1731</v>
      </c>
      <c r="B832" s="630"/>
      <c r="C832" s="1032" t="s">
        <v>3502</v>
      </c>
      <c r="D832" s="597" t="s">
        <v>925</v>
      </c>
      <c r="E832" s="697">
        <v>3315000</v>
      </c>
      <c r="F832" s="698">
        <v>2168776</v>
      </c>
      <c r="G832" s="1002"/>
      <c r="H832" s="705"/>
      <c r="I832" s="705"/>
    </row>
    <row r="833" spans="1:9" s="543" customFormat="1" ht="12.75">
      <c r="A833" s="648" t="s">
        <v>1732</v>
      </c>
      <c r="B833" s="630"/>
      <c r="C833" s="1032" t="s">
        <v>3505</v>
      </c>
      <c r="D833" s="597" t="s">
        <v>927</v>
      </c>
      <c r="E833" s="697">
        <v>3430000</v>
      </c>
      <c r="F833" s="698">
        <v>2213156</v>
      </c>
      <c r="G833" s="1002"/>
      <c r="H833" s="705"/>
      <c r="I833" s="705"/>
    </row>
    <row r="834" spans="1:9" s="543" customFormat="1" ht="12.75">
      <c r="A834" s="648" t="s">
        <v>1733</v>
      </c>
      <c r="B834" s="630"/>
      <c r="C834" s="1032" t="s">
        <v>2962</v>
      </c>
      <c r="D834" s="597" t="s">
        <v>929</v>
      </c>
      <c r="E834" s="697">
        <v>9570000</v>
      </c>
      <c r="F834" s="698">
        <v>6211101</v>
      </c>
      <c r="G834" s="1002"/>
      <c r="H834" s="705"/>
      <c r="I834" s="705"/>
    </row>
    <row r="835" spans="1:9" s="543" customFormat="1" ht="12.75">
      <c r="A835" s="648" t="s">
        <v>1734</v>
      </c>
      <c r="B835" s="630"/>
      <c r="C835" s="1032" t="s">
        <v>518</v>
      </c>
      <c r="D835" s="597" t="s">
        <v>931</v>
      </c>
      <c r="E835" s="697">
        <v>1100000</v>
      </c>
      <c r="F835" s="698">
        <v>733175</v>
      </c>
      <c r="G835" s="1002"/>
      <c r="H835" s="705"/>
      <c r="I835" s="705"/>
    </row>
    <row r="836" spans="1:9" s="543" customFormat="1" ht="12.75">
      <c r="A836" s="648" t="s">
        <v>1735</v>
      </c>
      <c r="B836" s="630"/>
      <c r="C836" s="1032" t="s">
        <v>3547</v>
      </c>
      <c r="D836" s="597" t="s">
        <v>933</v>
      </c>
      <c r="E836" s="697">
        <v>1980000</v>
      </c>
      <c r="F836" s="698">
        <v>1253724</v>
      </c>
      <c r="G836" s="1002"/>
      <c r="H836" s="705"/>
      <c r="I836" s="705"/>
    </row>
    <row r="837" spans="1:9" s="543" customFormat="1" ht="12.75">
      <c r="A837" s="648" t="s">
        <v>1736</v>
      </c>
      <c r="B837" s="630"/>
      <c r="C837" s="1032" t="s">
        <v>518</v>
      </c>
      <c r="D837" s="597" t="s">
        <v>3198</v>
      </c>
      <c r="E837" s="697">
        <v>4550000</v>
      </c>
      <c r="F837" s="698">
        <v>2923057</v>
      </c>
      <c r="G837" s="1002"/>
      <c r="H837" s="705"/>
      <c r="I837" s="705"/>
    </row>
    <row r="838" spans="1:9" s="543" customFormat="1" ht="12.75">
      <c r="A838" s="648" t="s">
        <v>1737</v>
      </c>
      <c r="B838" s="630"/>
      <c r="C838" s="1032" t="s">
        <v>3547</v>
      </c>
      <c r="D838" s="597" t="s">
        <v>3200</v>
      </c>
      <c r="E838" s="697">
        <v>7657000</v>
      </c>
      <c r="F838" s="698">
        <v>4856797</v>
      </c>
      <c r="G838" s="1002"/>
      <c r="H838" s="705"/>
      <c r="I838" s="705"/>
    </row>
    <row r="839" spans="1:9" s="543" customFormat="1" ht="12.75">
      <c r="A839" s="648" t="s">
        <v>1738</v>
      </c>
      <c r="B839" s="630"/>
      <c r="C839" s="1032" t="s">
        <v>2959</v>
      </c>
      <c r="D839" s="597" t="s">
        <v>3202</v>
      </c>
      <c r="E839" s="697">
        <v>7500000</v>
      </c>
      <c r="F839" s="698">
        <v>4934761</v>
      </c>
      <c r="G839" s="1002"/>
      <c r="H839" s="705"/>
      <c r="I839" s="705"/>
    </row>
    <row r="840" spans="1:9" s="543" customFormat="1" ht="12.75">
      <c r="A840" s="648" t="s">
        <v>1739</v>
      </c>
      <c r="B840" s="630"/>
      <c r="C840" s="1032" t="s">
        <v>898</v>
      </c>
      <c r="D840" s="597" t="s">
        <v>3204</v>
      </c>
      <c r="E840" s="697">
        <v>27300000</v>
      </c>
      <c r="F840" s="698">
        <v>17655912</v>
      </c>
      <c r="G840" s="1002"/>
      <c r="H840" s="705"/>
      <c r="I840" s="705"/>
    </row>
    <row r="841" spans="1:9" s="543" customFormat="1" ht="12.75">
      <c r="A841" s="648" t="s">
        <v>1740</v>
      </c>
      <c r="B841" s="630"/>
      <c r="C841" s="1032" t="s">
        <v>898</v>
      </c>
      <c r="D841" s="597" t="s">
        <v>3206</v>
      </c>
      <c r="E841" s="697">
        <v>5850000</v>
      </c>
      <c r="F841" s="698">
        <v>3216015</v>
      </c>
      <c r="G841" s="1002"/>
      <c r="H841" s="705"/>
      <c r="I841" s="705"/>
    </row>
    <row r="842" spans="1:9" s="543" customFormat="1" ht="12.75">
      <c r="A842" s="648" t="s">
        <v>1741</v>
      </c>
      <c r="B842" s="630"/>
      <c r="C842" s="1032" t="s">
        <v>471</v>
      </c>
      <c r="D842" s="597" t="s">
        <v>3208</v>
      </c>
      <c r="E842" s="697">
        <v>14025000</v>
      </c>
      <c r="F842" s="698">
        <v>9087629</v>
      </c>
      <c r="G842" s="1002"/>
      <c r="H842" s="705"/>
      <c r="I842" s="705"/>
    </row>
    <row r="843" spans="1:9" s="543" customFormat="1" ht="12.75">
      <c r="A843" s="648" t="s">
        <v>1742</v>
      </c>
      <c r="B843" s="630"/>
      <c r="C843" s="1032" t="s">
        <v>471</v>
      </c>
      <c r="D843" s="597" t="s">
        <v>3210</v>
      </c>
      <c r="E843" s="697">
        <v>28175000</v>
      </c>
      <c r="F843" s="698">
        <v>18154208</v>
      </c>
      <c r="G843" s="1002"/>
      <c r="H843" s="705"/>
      <c r="I843" s="705"/>
    </row>
    <row r="844" spans="1:9" s="543" customFormat="1" ht="12.75">
      <c r="A844" s="648" t="s">
        <v>1743</v>
      </c>
      <c r="B844" s="630"/>
      <c r="C844" s="1032" t="s">
        <v>506</v>
      </c>
      <c r="D844" s="597" t="s">
        <v>3212</v>
      </c>
      <c r="E844" s="697">
        <v>7150000</v>
      </c>
      <c r="F844" s="698">
        <v>4536339</v>
      </c>
      <c r="G844" s="1002"/>
      <c r="H844" s="705"/>
      <c r="I844" s="705"/>
    </row>
    <row r="845" spans="1:9" s="543" customFormat="1" ht="12.75">
      <c r="A845" s="648" t="s">
        <v>1744</v>
      </c>
      <c r="B845" s="630"/>
      <c r="C845" s="1032" t="s">
        <v>506</v>
      </c>
      <c r="D845" s="597" t="s">
        <v>3214</v>
      </c>
      <c r="E845" s="697">
        <v>31200200</v>
      </c>
      <c r="F845" s="698">
        <v>21087843</v>
      </c>
      <c r="G845" s="1002"/>
      <c r="H845" s="705"/>
      <c r="I845" s="705"/>
    </row>
    <row r="846" spans="1:9" s="543" customFormat="1" ht="12.75">
      <c r="A846" s="648" t="s">
        <v>1745</v>
      </c>
      <c r="B846" s="630"/>
      <c r="C846" s="1032" t="s">
        <v>515</v>
      </c>
      <c r="D846" s="597" t="s">
        <v>3216</v>
      </c>
      <c r="E846" s="697">
        <v>3300000</v>
      </c>
      <c r="F846" s="698">
        <v>2151091</v>
      </c>
      <c r="G846" s="1002"/>
      <c r="H846" s="705"/>
      <c r="I846" s="705"/>
    </row>
    <row r="847" spans="1:9" s="543" customFormat="1" ht="12.75">
      <c r="A847" s="648" t="s">
        <v>1746</v>
      </c>
      <c r="B847" s="630"/>
      <c r="C847" s="1032" t="s">
        <v>840</v>
      </c>
      <c r="D847" s="597" t="s">
        <v>3218</v>
      </c>
      <c r="E847" s="697">
        <v>25532008</v>
      </c>
      <c r="F847" s="698">
        <v>16718112</v>
      </c>
      <c r="G847" s="1002"/>
      <c r="H847" s="705"/>
      <c r="I847" s="705"/>
    </row>
    <row r="848" spans="1:9" s="543" customFormat="1" ht="12.75">
      <c r="A848" s="648" t="s">
        <v>1747</v>
      </c>
      <c r="B848" s="630"/>
      <c r="C848" s="1032" t="s">
        <v>840</v>
      </c>
      <c r="D848" s="597" t="s">
        <v>3220</v>
      </c>
      <c r="E848" s="697">
        <v>45101480</v>
      </c>
      <c r="F848" s="698">
        <v>32287943</v>
      </c>
      <c r="G848" s="1002"/>
      <c r="H848" s="705"/>
      <c r="I848" s="705"/>
    </row>
    <row r="849" spans="1:9" s="543" customFormat="1" ht="12.75">
      <c r="A849" s="648" t="s">
        <v>1748</v>
      </c>
      <c r="B849" s="630"/>
      <c r="C849" s="1032" t="s">
        <v>530</v>
      </c>
      <c r="D849" s="597" t="s">
        <v>3222</v>
      </c>
      <c r="E849" s="697">
        <v>1650000</v>
      </c>
      <c r="F849" s="698">
        <v>1068123</v>
      </c>
      <c r="G849" s="1002"/>
      <c r="H849" s="705"/>
      <c r="I849" s="705"/>
    </row>
    <row r="850" spans="1:9" s="543" customFormat="1" ht="12.75">
      <c r="A850" s="648" t="s">
        <v>1749</v>
      </c>
      <c r="B850" s="630"/>
      <c r="C850" s="1032" t="s">
        <v>536</v>
      </c>
      <c r="D850" s="597" t="s">
        <v>3224</v>
      </c>
      <c r="E850" s="697">
        <v>15000000</v>
      </c>
      <c r="F850" s="698">
        <v>9807356</v>
      </c>
      <c r="G850" s="1002"/>
      <c r="H850" s="705"/>
      <c r="I850" s="705"/>
    </row>
    <row r="851" spans="1:9" s="543" customFormat="1" ht="12.75">
      <c r="A851" s="648" t="s">
        <v>1750</v>
      </c>
      <c r="B851" s="630"/>
      <c r="C851" s="1032" t="s">
        <v>536</v>
      </c>
      <c r="D851" s="597" t="s">
        <v>3226</v>
      </c>
      <c r="E851" s="697">
        <v>36889800</v>
      </c>
      <c r="F851" s="698">
        <v>26073691</v>
      </c>
      <c r="G851" s="1002"/>
      <c r="H851" s="705"/>
      <c r="I851" s="705"/>
    </row>
    <row r="852" spans="1:9" s="543" customFormat="1" ht="12.75">
      <c r="A852" s="648" t="s">
        <v>1751</v>
      </c>
      <c r="B852" s="630"/>
      <c r="C852" s="1032" t="s">
        <v>3228</v>
      </c>
      <c r="D852" s="597" t="s">
        <v>3229</v>
      </c>
      <c r="E852" s="697">
        <v>5110000</v>
      </c>
      <c r="F852" s="698">
        <v>2954695</v>
      </c>
      <c r="G852" s="1002"/>
      <c r="H852" s="705"/>
      <c r="I852" s="705"/>
    </row>
    <row r="853" spans="1:9" s="543" customFormat="1" ht="12.75">
      <c r="A853" s="648" t="s">
        <v>1752</v>
      </c>
      <c r="B853" s="630"/>
      <c r="C853" s="1032" t="s">
        <v>3228</v>
      </c>
      <c r="D853" s="597" t="s">
        <v>3231</v>
      </c>
      <c r="E853" s="697">
        <v>3975000</v>
      </c>
      <c r="F853" s="698">
        <v>2571728</v>
      </c>
      <c r="G853" s="1002"/>
      <c r="H853" s="705"/>
      <c r="I853" s="705"/>
    </row>
    <row r="854" spans="1:9" s="543" customFormat="1" ht="12.75">
      <c r="A854" s="648" t="s">
        <v>1753</v>
      </c>
      <c r="B854" s="630"/>
      <c r="C854" s="1032" t="s">
        <v>542</v>
      </c>
      <c r="D854" s="597" t="s">
        <v>3233</v>
      </c>
      <c r="E854" s="697">
        <v>6900000</v>
      </c>
      <c r="F854" s="698">
        <v>4528624</v>
      </c>
      <c r="G854" s="1002"/>
      <c r="H854" s="705"/>
      <c r="I854" s="705"/>
    </row>
    <row r="855" spans="1:9" s="543" customFormat="1" ht="12.75">
      <c r="A855" s="648" t="s">
        <v>1754</v>
      </c>
      <c r="B855" s="630"/>
      <c r="C855" s="1032" t="s">
        <v>542</v>
      </c>
      <c r="D855" s="597" t="s">
        <v>3235</v>
      </c>
      <c r="E855" s="697">
        <v>8928000</v>
      </c>
      <c r="F855" s="698">
        <v>5864567</v>
      </c>
      <c r="G855" s="1002"/>
      <c r="H855" s="705"/>
      <c r="I855" s="705"/>
    </row>
    <row r="856" spans="1:9" s="543" customFormat="1" ht="12.75">
      <c r="A856" s="648" t="s">
        <v>1755</v>
      </c>
      <c r="B856" s="630"/>
      <c r="C856" s="1032" t="s">
        <v>548</v>
      </c>
      <c r="D856" s="597" t="s">
        <v>3237</v>
      </c>
      <c r="E856" s="697">
        <v>190000</v>
      </c>
      <c r="F856" s="698">
        <v>103348</v>
      </c>
      <c r="G856" s="1002"/>
      <c r="H856" s="705"/>
      <c r="I856" s="705"/>
    </row>
    <row r="857" spans="1:9" s="543" customFormat="1" ht="12.75">
      <c r="A857" s="648" t="s">
        <v>1756</v>
      </c>
      <c r="B857" s="630"/>
      <c r="C857" s="1032" t="s">
        <v>551</v>
      </c>
      <c r="D857" s="597" t="s">
        <v>3239</v>
      </c>
      <c r="E857" s="697">
        <v>24885000</v>
      </c>
      <c r="F857" s="698">
        <v>16108007</v>
      </c>
      <c r="G857" s="1002"/>
      <c r="H857" s="705"/>
      <c r="I857" s="705"/>
    </row>
    <row r="858" spans="1:9" s="543" customFormat="1" ht="12.75">
      <c r="A858" s="648" t="s">
        <v>1757</v>
      </c>
      <c r="B858" s="630"/>
      <c r="C858" s="1032" t="s">
        <v>551</v>
      </c>
      <c r="D858" s="597" t="s">
        <v>3241</v>
      </c>
      <c r="E858" s="697">
        <v>18960000</v>
      </c>
      <c r="F858" s="698">
        <v>12413089</v>
      </c>
      <c r="G858" s="1002"/>
      <c r="H858" s="705"/>
      <c r="I858" s="705"/>
    </row>
    <row r="859" spans="1:9" s="543" customFormat="1" ht="12.75">
      <c r="A859" s="648" t="s">
        <v>1758</v>
      </c>
      <c r="B859" s="630"/>
      <c r="C859" s="1032" t="s">
        <v>3359</v>
      </c>
      <c r="D859" s="597" t="s">
        <v>3243</v>
      </c>
      <c r="E859" s="697">
        <v>708000</v>
      </c>
      <c r="F859" s="698">
        <v>459924</v>
      </c>
      <c r="G859" s="1002"/>
      <c r="H859" s="705"/>
      <c r="I859" s="705"/>
    </row>
    <row r="860" spans="1:9" s="543" customFormat="1" ht="12.75">
      <c r="A860" s="648" t="s">
        <v>1759</v>
      </c>
      <c r="B860" s="630"/>
      <c r="C860" s="1032" t="s">
        <v>3484</v>
      </c>
      <c r="D860" s="597" t="s">
        <v>3245</v>
      </c>
      <c r="E860" s="697">
        <v>27878000</v>
      </c>
      <c r="F860" s="698">
        <v>17972485</v>
      </c>
      <c r="G860" s="1002"/>
      <c r="H860" s="705"/>
      <c r="I860" s="705"/>
    </row>
    <row r="861" spans="1:9" s="543" customFormat="1" ht="12.75">
      <c r="A861" s="648" t="s">
        <v>1760</v>
      </c>
      <c r="B861" s="630"/>
      <c r="C861" s="1032" t="s">
        <v>3484</v>
      </c>
      <c r="D861" s="597" t="s">
        <v>3247</v>
      </c>
      <c r="E861" s="697">
        <v>13920000</v>
      </c>
      <c r="F861" s="698">
        <v>9036487</v>
      </c>
      <c r="G861" s="1002"/>
      <c r="H861" s="705"/>
      <c r="I861" s="705"/>
    </row>
    <row r="862" spans="1:9" s="543" customFormat="1" ht="12.75">
      <c r="A862" s="648" t="s">
        <v>1761</v>
      </c>
      <c r="B862" s="630"/>
      <c r="C862" s="1032" t="s">
        <v>3487</v>
      </c>
      <c r="D862" s="597" t="s">
        <v>3249</v>
      </c>
      <c r="E862" s="697">
        <v>16293000</v>
      </c>
      <c r="F862" s="698">
        <v>10531732</v>
      </c>
      <c r="G862" s="1002"/>
      <c r="H862" s="705"/>
      <c r="I862" s="705"/>
    </row>
    <row r="863" spans="1:9" s="543" customFormat="1" ht="12.75">
      <c r="A863" s="648" t="s">
        <v>1762</v>
      </c>
      <c r="B863" s="630"/>
      <c r="C863" s="1032" t="s">
        <v>3487</v>
      </c>
      <c r="D863" s="597" t="s">
        <v>3019</v>
      </c>
      <c r="E863" s="697">
        <v>12180000</v>
      </c>
      <c r="F863" s="698">
        <v>7906695</v>
      </c>
      <c r="G863" s="1002"/>
      <c r="H863" s="705"/>
      <c r="I863" s="705"/>
    </row>
    <row r="864" spans="1:9" s="543" customFormat="1" ht="25.5">
      <c r="A864" s="648" t="s">
        <v>1763</v>
      </c>
      <c r="B864" s="630"/>
      <c r="C864" s="1032" t="s">
        <v>3490</v>
      </c>
      <c r="D864" s="597" t="s">
        <v>3021</v>
      </c>
      <c r="E864" s="697">
        <v>570000</v>
      </c>
      <c r="F864" s="698">
        <v>370769</v>
      </c>
      <c r="G864" s="1002"/>
      <c r="H864" s="705"/>
      <c r="I864" s="705"/>
    </row>
    <row r="865" spans="1:9" s="543" customFormat="1" ht="12.75">
      <c r="A865" s="648" t="s">
        <v>1764</v>
      </c>
      <c r="B865" s="630"/>
      <c r="C865" s="1032" t="s">
        <v>3493</v>
      </c>
      <c r="D865" s="597" t="s">
        <v>3023</v>
      </c>
      <c r="E865" s="697">
        <v>741000</v>
      </c>
      <c r="F865" s="698">
        <v>480391</v>
      </c>
      <c r="G865" s="1002"/>
      <c r="H865" s="705"/>
      <c r="I865" s="705"/>
    </row>
    <row r="866" spans="1:9" s="543" customFormat="1" ht="12.75">
      <c r="A866" s="648" t="s">
        <v>1765</v>
      </c>
      <c r="B866" s="630"/>
      <c r="C866" s="1032" t="s">
        <v>3496</v>
      </c>
      <c r="D866" s="597" t="s">
        <v>3025</v>
      </c>
      <c r="E866" s="697">
        <v>623000</v>
      </c>
      <c r="F866" s="698">
        <v>398328</v>
      </c>
      <c r="G866" s="1002"/>
      <c r="H866" s="705"/>
      <c r="I866" s="705"/>
    </row>
    <row r="867" spans="1:9" s="543" customFormat="1" ht="12.75">
      <c r="A867" s="648" t="s">
        <v>1766</v>
      </c>
      <c r="B867" s="630"/>
      <c r="C867" s="1032" t="s">
        <v>3508</v>
      </c>
      <c r="D867" s="597" t="s">
        <v>3027</v>
      </c>
      <c r="E867" s="697">
        <v>3640000</v>
      </c>
      <c r="F867" s="698">
        <v>2001925</v>
      </c>
      <c r="G867" s="1002"/>
      <c r="H867" s="705"/>
      <c r="I867" s="705"/>
    </row>
    <row r="868" spans="1:9" s="543" customFormat="1" ht="13.5" thickBot="1">
      <c r="A868" s="648" t="s">
        <v>1767</v>
      </c>
      <c r="B868" s="630"/>
      <c r="C868" s="1032" t="s">
        <v>3508</v>
      </c>
      <c r="D868" s="597" t="s">
        <v>3029</v>
      </c>
      <c r="E868" s="697">
        <v>10920000</v>
      </c>
      <c r="F868" s="698">
        <v>7234304</v>
      </c>
      <c r="G868" s="1002"/>
      <c r="H868" s="705"/>
      <c r="I868" s="705"/>
    </row>
    <row r="869" spans="1:9" s="543" customFormat="1" ht="48.75" thickBot="1">
      <c r="A869" s="605" t="s">
        <v>4597</v>
      </c>
      <c r="B869" s="606" t="s">
        <v>4601</v>
      </c>
      <c r="C869" s="1008" t="s">
        <v>4602</v>
      </c>
      <c r="D869" s="606" t="s">
        <v>4603</v>
      </c>
      <c r="E869" s="738" t="s">
        <v>4604</v>
      </c>
      <c r="F869" s="739" t="s">
        <v>4605</v>
      </c>
      <c r="G869" s="1002"/>
      <c r="H869" s="705"/>
      <c r="I869" s="705"/>
    </row>
    <row r="870" spans="1:9" s="543" customFormat="1" ht="12.75">
      <c r="A870" s="648" t="s">
        <v>1768</v>
      </c>
      <c r="B870" s="630"/>
      <c r="C870" s="1032" t="s">
        <v>3514</v>
      </c>
      <c r="D870" s="597" t="s">
        <v>3031</v>
      </c>
      <c r="E870" s="697">
        <v>4620000</v>
      </c>
      <c r="F870" s="698">
        <v>2925965</v>
      </c>
      <c r="G870" s="1002"/>
      <c r="H870" s="705"/>
      <c r="I870" s="705"/>
    </row>
    <row r="871" spans="1:9" s="543" customFormat="1" ht="12.75">
      <c r="A871" s="648" t="s">
        <v>1769</v>
      </c>
      <c r="B871" s="630"/>
      <c r="C871" s="1032" t="s">
        <v>3487</v>
      </c>
      <c r="D871" s="597" t="s">
        <v>3033</v>
      </c>
      <c r="E871" s="697">
        <v>390000</v>
      </c>
      <c r="F871" s="698">
        <v>214596</v>
      </c>
      <c r="G871" s="1002"/>
      <c r="H871" s="705"/>
      <c r="I871" s="705"/>
    </row>
    <row r="872" spans="1:9" s="543" customFormat="1" ht="12.75">
      <c r="A872" s="648" t="s">
        <v>1770</v>
      </c>
      <c r="B872" s="630"/>
      <c r="C872" s="1032" t="s">
        <v>3035</v>
      </c>
      <c r="D872" s="597" t="s">
        <v>3036</v>
      </c>
      <c r="E872" s="697">
        <v>729300</v>
      </c>
      <c r="F872" s="698">
        <v>400822</v>
      </c>
      <c r="G872" s="1002"/>
      <c r="H872" s="705"/>
      <c r="I872" s="705"/>
    </row>
    <row r="873" spans="1:9" s="543" customFormat="1" ht="12.75">
      <c r="A873" s="648" t="s">
        <v>1771</v>
      </c>
      <c r="B873" s="630"/>
      <c r="C873" s="1032" t="s">
        <v>3035</v>
      </c>
      <c r="D873" s="597" t="s">
        <v>3038</v>
      </c>
      <c r="E873" s="697">
        <v>1400000</v>
      </c>
      <c r="F873" s="698">
        <v>769973</v>
      </c>
      <c r="G873" s="1002"/>
      <c r="H873" s="705"/>
      <c r="I873" s="705"/>
    </row>
    <row r="874" spans="1:9" s="543" customFormat="1" ht="12.75">
      <c r="A874" s="648" t="s">
        <v>1772</v>
      </c>
      <c r="B874" s="630"/>
      <c r="C874" s="1032" t="s">
        <v>3040</v>
      </c>
      <c r="D874" s="597" t="s">
        <v>3533</v>
      </c>
      <c r="E874" s="697">
        <v>141750000</v>
      </c>
      <c r="F874" s="698">
        <v>92140498</v>
      </c>
      <c r="G874" s="1002"/>
      <c r="H874" s="705"/>
      <c r="I874" s="705"/>
    </row>
    <row r="875" spans="1:9" s="543" customFormat="1" ht="12.75">
      <c r="A875" s="648" t="s">
        <v>1773</v>
      </c>
      <c r="B875" s="630"/>
      <c r="C875" s="1032" t="s">
        <v>3040</v>
      </c>
      <c r="D875" s="597" t="s">
        <v>3042</v>
      </c>
      <c r="E875" s="697">
        <v>12540000</v>
      </c>
      <c r="F875" s="698">
        <v>8003018</v>
      </c>
      <c r="G875" s="1002"/>
      <c r="H875" s="705"/>
      <c r="I875" s="705"/>
    </row>
    <row r="876" spans="1:9" s="543" customFormat="1" ht="12.75">
      <c r="A876" s="648" t="s">
        <v>1774</v>
      </c>
      <c r="B876" s="630"/>
      <c r="C876" s="1032" t="s">
        <v>3541</v>
      </c>
      <c r="D876" s="597" t="s">
        <v>3044</v>
      </c>
      <c r="E876" s="697">
        <v>2019000</v>
      </c>
      <c r="F876" s="698">
        <v>1302768</v>
      </c>
      <c r="G876" s="1002"/>
      <c r="H876" s="705"/>
      <c r="I876" s="705"/>
    </row>
    <row r="877" spans="1:9" s="543" customFormat="1" ht="12.75">
      <c r="A877" s="648" t="s">
        <v>1775</v>
      </c>
      <c r="B877" s="630"/>
      <c r="C877" s="1032" t="s">
        <v>3544</v>
      </c>
      <c r="D877" s="597" t="s">
        <v>3046</v>
      </c>
      <c r="E877" s="697">
        <v>2431000</v>
      </c>
      <c r="F877" s="698">
        <v>1578390</v>
      </c>
      <c r="G877" s="1002"/>
      <c r="H877" s="705"/>
      <c r="I877" s="705"/>
    </row>
    <row r="878" spans="1:9" s="543" customFormat="1" ht="12.75">
      <c r="A878" s="648" t="s">
        <v>1776</v>
      </c>
      <c r="B878" s="630"/>
      <c r="C878" s="1032" t="s">
        <v>2853</v>
      </c>
      <c r="D878" s="597" t="s">
        <v>3048</v>
      </c>
      <c r="E878" s="697">
        <v>7875000</v>
      </c>
      <c r="F878" s="698">
        <v>5149731</v>
      </c>
      <c r="G878" s="1002"/>
      <c r="H878" s="705"/>
      <c r="I878" s="705"/>
    </row>
    <row r="879" spans="1:9" s="543" customFormat="1" ht="12.75">
      <c r="A879" s="648" t="s">
        <v>1777</v>
      </c>
      <c r="B879" s="630"/>
      <c r="C879" s="1032" t="s">
        <v>2876</v>
      </c>
      <c r="D879" s="597" t="s">
        <v>3050</v>
      </c>
      <c r="E879" s="697">
        <v>3553000</v>
      </c>
      <c r="F879" s="698">
        <v>2270721</v>
      </c>
      <c r="G879" s="1002"/>
      <c r="H879" s="705"/>
      <c r="I879" s="705"/>
    </row>
    <row r="880" spans="1:9" s="543" customFormat="1" ht="12.75">
      <c r="A880" s="648" t="s">
        <v>1778</v>
      </c>
      <c r="B880" s="630"/>
      <c r="C880" s="1032" t="s">
        <v>2901</v>
      </c>
      <c r="D880" s="597" t="s">
        <v>3052</v>
      </c>
      <c r="E880" s="697">
        <v>4640000</v>
      </c>
      <c r="F880" s="698">
        <v>3012893</v>
      </c>
      <c r="G880" s="1002"/>
      <c r="H880" s="705"/>
      <c r="I880" s="705"/>
    </row>
    <row r="881" spans="1:9" s="543" customFormat="1" ht="12.75">
      <c r="A881" s="648" t="s">
        <v>1779</v>
      </c>
      <c r="B881" s="630"/>
      <c r="C881" s="1032" t="s">
        <v>2936</v>
      </c>
      <c r="D881" s="597" t="s">
        <v>3054</v>
      </c>
      <c r="E881" s="697">
        <v>2320000</v>
      </c>
      <c r="F881" s="698">
        <v>1529373</v>
      </c>
      <c r="G881" s="1002"/>
      <c r="H881" s="705"/>
      <c r="I881" s="705"/>
    </row>
    <row r="882" spans="1:9" s="543" customFormat="1" ht="12.75">
      <c r="A882" s="648" t="s">
        <v>1780</v>
      </c>
      <c r="B882" s="630"/>
      <c r="C882" s="1032" t="s">
        <v>2942</v>
      </c>
      <c r="D882" s="597" t="s">
        <v>3056</v>
      </c>
      <c r="E882" s="697">
        <v>9744000</v>
      </c>
      <c r="F882" s="698">
        <v>6324990</v>
      </c>
      <c r="G882" s="1002"/>
      <c r="H882" s="705"/>
      <c r="I882" s="705"/>
    </row>
    <row r="883" spans="1:9" s="543" customFormat="1" ht="12.75">
      <c r="A883" s="648" t="s">
        <v>1781</v>
      </c>
      <c r="B883" s="630"/>
      <c r="C883" s="1032" t="s">
        <v>2948</v>
      </c>
      <c r="D883" s="597" t="s">
        <v>3058</v>
      </c>
      <c r="E883" s="697">
        <v>7280000</v>
      </c>
      <c r="F883" s="698">
        <v>4721259</v>
      </c>
      <c r="G883" s="1002"/>
      <c r="H883" s="705"/>
      <c r="I883" s="705"/>
    </row>
    <row r="884" spans="1:9" s="543" customFormat="1" ht="25.5">
      <c r="A884" s="648" t="s">
        <v>1782</v>
      </c>
      <c r="B884" s="630"/>
      <c r="C884" s="1032" t="s">
        <v>2965</v>
      </c>
      <c r="D884" s="597" t="s">
        <v>3060</v>
      </c>
      <c r="E884" s="697">
        <v>11020000</v>
      </c>
      <c r="F884" s="698">
        <v>7153018</v>
      </c>
      <c r="G884" s="1002"/>
      <c r="H884" s="705"/>
      <c r="I884" s="705"/>
    </row>
    <row r="885" spans="1:9" s="543" customFormat="1" ht="12.75">
      <c r="A885" s="648" t="s">
        <v>1783</v>
      </c>
      <c r="B885" s="630"/>
      <c r="C885" s="1032" t="s">
        <v>2968</v>
      </c>
      <c r="D885" s="597" t="s">
        <v>3062</v>
      </c>
      <c r="E885" s="697">
        <v>3510000</v>
      </c>
      <c r="F885" s="698">
        <v>1931367</v>
      </c>
      <c r="G885" s="1002"/>
      <c r="H885" s="705"/>
      <c r="I885" s="705"/>
    </row>
    <row r="886" spans="1:9" s="543" customFormat="1" ht="12.75">
      <c r="A886" s="648" t="s">
        <v>1784</v>
      </c>
      <c r="B886" s="630"/>
      <c r="C886" s="1032" t="s">
        <v>2968</v>
      </c>
      <c r="D886" s="597" t="s">
        <v>3064</v>
      </c>
      <c r="E886" s="697">
        <v>6600000</v>
      </c>
      <c r="F886" s="698">
        <v>4277971</v>
      </c>
      <c r="G886" s="1002"/>
      <c r="H886" s="705"/>
      <c r="I886" s="705"/>
    </row>
    <row r="887" spans="1:9" s="543" customFormat="1" ht="12.75">
      <c r="A887" s="648" t="s">
        <v>1785</v>
      </c>
      <c r="B887" s="630"/>
      <c r="C887" s="1032" t="s">
        <v>2982</v>
      </c>
      <c r="D887" s="597" t="s">
        <v>3066</v>
      </c>
      <c r="E887" s="697">
        <v>3420000</v>
      </c>
      <c r="F887" s="698">
        <v>2219195</v>
      </c>
      <c r="G887" s="1002"/>
      <c r="H887" s="705"/>
      <c r="I887" s="705"/>
    </row>
    <row r="888" spans="1:9" s="543" customFormat="1" ht="12.75">
      <c r="A888" s="648" t="s">
        <v>1786</v>
      </c>
      <c r="B888" s="630"/>
      <c r="C888" s="1032" t="s">
        <v>2987</v>
      </c>
      <c r="D888" s="597" t="s">
        <v>3068</v>
      </c>
      <c r="E888" s="697">
        <v>21560000</v>
      </c>
      <c r="F888" s="698">
        <v>13412271</v>
      </c>
      <c r="G888" s="1002"/>
      <c r="H888" s="705"/>
      <c r="I888" s="705"/>
    </row>
    <row r="889" spans="1:9" s="543" customFormat="1" ht="12.75">
      <c r="A889" s="648" t="s">
        <v>1787</v>
      </c>
      <c r="B889" s="630"/>
      <c r="C889" s="1032" t="s">
        <v>2987</v>
      </c>
      <c r="D889" s="597" t="s">
        <v>3070</v>
      </c>
      <c r="E889" s="697">
        <v>18150000</v>
      </c>
      <c r="F889" s="698">
        <v>11761041</v>
      </c>
      <c r="G889" s="1002"/>
      <c r="H889" s="705"/>
      <c r="I889" s="705"/>
    </row>
    <row r="890" spans="1:9" s="543" customFormat="1" ht="12.75">
      <c r="A890" s="648" t="s">
        <v>1788</v>
      </c>
      <c r="B890" s="630"/>
      <c r="C890" s="1032" t="s">
        <v>3008</v>
      </c>
      <c r="D890" s="597" t="s">
        <v>3072</v>
      </c>
      <c r="E890" s="697">
        <v>4640000</v>
      </c>
      <c r="F890" s="698">
        <v>3012893</v>
      </c>
      <c r="G890" s="1002"/>
      <c r="H890" s="705"/>
      <c r="I890" s="705"/>
    </row>
    <row r="891" spans="1:9" s="543" customFormat="1" ht="12.75">
      <c r="A891" s="648" t="s">
        <v>1789</v>
      </c>
      <c r="B891" s="630"/>
      <c r="C891" s="1032" t="s">
        <v>405</v>
      </c>
      <c r="D891" s="597" t="s">
        <v>3074</v>
      </c>
      <c r="E891" s="697">
        <v>5200000</v>
      </c>
      <c r="F891" s="698">
        <v>2860303</v>
      </c>
      <c r="G891" s="1002"/>
      <c r="H891" s="705"/>
      <c r="I891" s="705"/>
    </row>
    <row r="892" spans="1:9" s="543" customFormat="1" ht="12.75">
      <c r="A892" s="648" t="s">
        <v>1790</v>
      </c>
      <c r="B892" s="630"/>
      <c r="C892" s="1032" t="s">
        <v>405</v>
      </c>
      <c r="D892" s="597" t="s">
        <v>3076</v>
      </c>
      <c r="E892" s="697">
        <v>15900000</v>
      </c>
      <c r="F892" s="698">
        <v>10289849</v>
      </c>
      <c r="G892" s="1002"/>
      <c r="H892" s="705"/>
      <c r="I892" s="705"/>
    </row>
    <row r="893" spans="1:9" s="543" customFormat="1" ht="12.75">
      <c r="A893" s="648" t="s">
        <v>1791</v>
      </c>
      <c r="B893" s="630"/>
      <c r="C893" s="1032" t="s">
        <v>416</v>
      </c>
      <c r="D893" s="597" t="s">
        <v>3078</v>
      </c>
      <c r="E893" s="697">
        <v>19950000</v>
      </c>
      <c r="F893" s="698">
        <v>12426555</v>
      </c>
      <c r="G893" s="1002"/>
      <c r="H893" s="705"/>
      <c r="I893" s="705"/>
    </row>
    <row r="894" spans="1:9" s="543" customFormat="1" ht="12.75">
      <c r="A894" s="648" t="s">
        <v>1792</v>
      </c>
      <c r="B894" s="630"/>
      <c r="C894" s="1032" t="s">
        <v>416</v>
      </c>
      <c r="D894" s="597" t="s">
        <v>3080</v>
      </c>
      <c r="E894" s="697">
        <v>19800000</v>
      </c>
      <c r="F894" s="698">
        <v>12831718</v>
      </c>
      <c r="G894" s="1002"/>
      <c r="H894" s="705"/>
      <c r="I894" s="705"/>
    </row>
    <row r="895" spans="1:9" s="543" customFormat="1" ht="12.75">
      <c r="A895" s="648" t="s">
        <v>1793</v>
      </c>
      <c r="B895" s="630"/>
      <c r="C895" s="1032" t="s">
        <v>3082</v>
      </c>
      <c r="D895" s="597" t="s">
        <v>3083</v>
      </c>
      <c r="E895" s="697">
        <v>4640000</v>
      </c>
      <c r="F895" s="698">
        <v>3012893</v>
      </c>
      <c r="G895" s="1002"/>
      <c r="H895" s="705"/>
      <c r="I895" s="705"/>
    </row>
    <row r="896" spans="1:9" s="543" customFormat="1" ht="12.75">
      <c r="A896" s="648" t="s">
        <v>1794</v>
      </c>
      <c r="B896" s="630"/>
      <c r="C896" s="1032" t="s">
        <v>446</v>
      </c>
      <c r="D896" s="597" t="s">
        <v>3085</v>
      </c>
      <c r="E896" s="697">
        <v>3420000</v>
      </c>
      <c r="F896" s="698">
        <v>2219195</v>
      </c>
      <c r="G896" s="1002"/>
      <c r="H896" s="705"/>
      <c r="I896" s="705"/>
    </row>
    <row r="897" spans="1:9" s="543" customFormat="1" ht="12.75">
      <c r="A897" s="648" t="s">
        <v>1795</v>
      </c>
      <c r="B897" s="630"/>
      <c r="C897" s="1032" t="s">
        <v>2942</v>
      </c>
      <c r="D897" s="597" t="s">
        <v>3087</v>
      </c>
      <c r="E897" s="697">
        <v>4000000</v>
      </c>
      <c r="F897" s="698">
        <v>2582654</v>
      </c>
      <c r="G897" s="1002"/>
      <c r="H897" s="705"/>
      <c r="I897" s="705"/>
    </row>
    <row r="898" spans="1:9" s="543" customFormat="1" ht="12.75">
      <c r="A898" s="648" t="s">
        <v>1796</v>
      </c>
      <c r="B898" s="630"/>
      <c r="C898" s="1032" t="s">
        <v>451</v>
      </c>
      <c r="D898" s="597" t="s">
        <v>3089</v>
      </c>
      <c r="E898" s="697">
        <v>4500000</v>
      </c>
      <c r="F898" s="698">
        <v>2905900</v>
      </c>
      <c r="G898" s="1002"/>
      <c r="H898" s="705"/>
      <c r="I898" s="705"/>
    </row>
    <row r="899" spans="1:9" s="543" customFormat="1" ht="12.75">
      <c r="A899" s="648" t="s">
        <v>1797</v>
      </c>
      <c r="B899" s="630"/>
      <c r="C899" s="1032" t="s">
        <v>5228</v>
      </c>
      <c r="D899" s="597" t="s">
        <v>3091</v>
      </c>
      <c r="E899" s="697">
        <v>1957418</v>
      </c>
      <c r="F899" s="698">
        <v>1237407</v>
      </c>
      <c r="G899" s="1002"/>
      <c r="H899" s="705"/>
      <c r="I899" s="705"/>
    </row>
    <row r="900" spans="1:9" s="543" customFormat="1" ht="12.75">
      <c r="A900" s="648" t="s">
        <v>1798</v>
      </c>
      <c r="B900" s="630"/>
      <c r="C900" s="1032" t="s">
        <v>888</v>
      </c>
      <c r="D900" s="597" t="s">
        <v>3093</v>
      </c>
      <c r="E900" s="697">
        <v>11408446</v>
      </c>
      <c r="F900" s="698">
        <v>7527466</v>
      </c>
      <c r="G900" s="1002"/>
      <c r="H900" s="705"/>
      <c r="I900" s="705"/>
    </row>
    <row r="901" spans="1:9" s="543" customFormat="1" ht="12.75">
      <c r="A901" s="648" t="s">
        <v>1799</v>
      </c>
      <c r="B901" s="630"/>
      <c r="C901" s="1032" t="s">
        <v>833</v>
      </c>
      <c r="D901" s="597" t="s">
        <v>3095</v>
      </c>
      <c r="E901" s="697">
        <v>32090358</v>
      </c>
      <c r="F901" s="698">
        <v>21065283</v>
      </c>
      <c r="G901" s="1002"/>
      <c r="H901" s="705"/>
      <c r="I901" s="705"/>
    </row>
    <row r="902" spans="1:9" s="543" customFormat="1" ht="12.75">
      <c r="A902" s="648" t="s">
        <v>1800</v>
      </c>
      <c r="B902" s="630"/>
      <c r="C902" s="1060"/>
      <c r="D902" s="720" t="s">
        <v>3097</v>
      </c>
      <c r="E902" s="697">
        <v>18601967</v>
      </c>
      <c r="F902" s="698">
        <v>12550290</v>
      </c>
      <c r="G902" s="1002"/>
      <c r="H902" s="705"/>
      <c r="I902" s="705"/>
    </row>
    <row r="903" spans="1:9" s="543" customFormat="1" ht="12.75">
      <c r="A903" s="648" t="s">
        <v>1801</v>
      </c>
      <c r="B903" s="630"/>
      <c r="C903" s="1060"/>
      <c r="D903" s="720" t="s">
        <v>3099</v>
      </c>
      <c r="E903" s="697">
        <v>320492</v>
      </c>
      <c r="F903" s="698">
        <v>246284</v>
      </c>
      <c r="G903" s="1002"/>
      <c r="H903" s="705"/>
      <c r="I903" s="705"/>
    </row>
    <row r="904" spans="1:9" s="543" customFormat="1" ht="12.75">
      <c r="A904" s="648" t="s">
        <v>1802</v>
      </c>
      <c r="B904" s="630"/>
      <c r="C904" s="1060"/>
      <c r="D904" s="720" t="s">
        <v>905</v>
      </c>
      <c r="E904" s="697">
        <v>625085</v>
      </c>
      <c r="F904" s="698">
        <v>483544</v>
      </c>
      <c r="G904" s="1002"/>
      <c r="H904" s="705"/>
      <c r="I904" s="705"/>
    </row>
    <row r="905" spans="1:9" s="543" customFormat="1" ht="12.75">
      <c r="A905" s="648" t="s">
        <v>1803</v>
      </c>
      <c r="B905" s="630"/>
      <c r="C905" s="1060"/>
      <c r="D905" s="720" t="s">
        <v>3102</v>
      </c>
      <c r="E905" s="697">
        <v>11811742</v>
      </c>
      <c r="F905" s="698">
        <v>9517997</v>
      </c>
      <c r="G905" s="1002"/>
      <c r="H905" s="705"/>
      <c r="I905" s="705"/>
    </row>
    <row r="906" spans="1:9" s="543" customFormat="1" ht="12.75">
      <c r="A906" s="648" t="s">
        <v>1804</v>
      </c>
      <c r="B906" s="630"/>
      <c r="C906" s="1060"/>
      <c r="D906" s="720" t="s">
        <v>3104</v>
      </c>
      <c r="E906" s="697">
        <v>360000</v>
      </c>
      <c r="F906" s="698">
        <v>216250</v>
      </c>
      <c r="G906" s="1002"/>
      <c r="H906" s="705"/>
      <c r="I906" s="705"/>
    </row>
    <row r="907" spans="1:9" s="543" customFormat="1" ht="12.75">
      <c r="A907" s="648" t="s">
        <v>1805</v>
      </c>
      <c r="B907" s="630"/>
      <c r="C907" s="1060"/>
      <c r="D907" s="720" t="s">
        <v>3106</v>
      </c>
      <c r="E907" s="697">
        <v>14969000</v>
      </c>
      <c r="F907" s="698">
        <v>10027610</v>
      </c>
      <c r="G907" s="1002"/>
      <c r="H907" s="705"/>
      <c r="I907" s="705"/>
    </row>
    <row r="908" spans="1:9" s="543" customFormat="1" ht="12.75">
      <c r="A908" s="648" t="s">
        <v>1806</v>
      </c>
      <c r="B908" s="630"/>
      <c r="C908" s="1032" t="s">
        <v>783</v>
      </c>
      <c r="D908" s="597" t="s">
        <v>3108</v>
      </c>
      <c r="E908" s="697">
        <v>1449689</v>
      </c>
      <c r="F908" s="698">
        <v>884516</v>
      </c>
      <c r="G908" s="1002"/>
      <c r="H908" s="705"/>
      <c r="I908" s="705"/>
    </row>
    <row r="909" spans="1:9" s="543" customFormat="1" ht="14.25" customHeight="1">
      <c r="A909" s="648" t="s">
        <v>1807</v>
      </c>
      <c r="B909" s="630"/>
      <c r="C909" s="1032" t="s">
        <v>5231</v>
      </c>
      <c r="D909" s="597" t="s">
        <v>3110</v>
      </c>
      <c r="E909" s="697">
        <v>3820781</v>
      </c>
      <c r="F909" s="698">
        <v>2657991</v>
      </c>
      <c r="G909" s="1002"/>
      <c r="H909" s="705"/>
      <c r="I909" s="705"/>
    </row>
    <row r="910" spans="1:9" s="543" customFormat="1" ht="15" customHeight="1">
      <c r="A910" s="648" t="s">
        <v>1808</v>
      </c>
      <c r="B910" s="630"/>
      <c r="C910" s="1032" t="s">
        <v>5233</v>
      </c>
      <c r="D910" s="597" t="s">
        <v>3110</v>
      </c>
      <c r="E910" s="697">
        <v>8555938</v>
      </c>
      <c r="F910" s="698">
        <v>5952394</v>
      </c>
      <c r="G910" s="1002"/>
      <c r="H910" s="705"/>
      <c r="I910" s="705"/>
    </row>
    <row r="911" spans="1:9" s="543" customFormat="1" ht="12.75">
      <c r="A911" s="648" t="s">
        <v>1809</v>
      </c>
      <c r="B911" s="630"/>
      <c r="C911" s="1032" t="s">
        <v>5238</v>
      </c>
      <c r="D911" s="597" t="s">
        <v>3113</v>
      </c>
      <c r="E911" s="697">
        <v>18339750</v>
      </c>
      <c r="F911" s="698">
        <v>13248553</v>
      </c>
      <c r="G911" s="1002"/>
      <c r="H911" s="705"/>
      <c r="I911" s="705"/>
    </row>
    <row r="912" spans="1:9" s="543" customFormat="1" ht="12.75">
      <c r="A912" s="648" t="s">
        <v>1810</v>
      </c>
      <c r="B912" s="630"/>
      <c r="C912" s="1032" t="s">
        <v>5263</v>
      </c>
      <c r="D912" s="597" t="s">
        <v>3115</v>
      </c>
      <c r="E912" s="697">
        <v>1662203</v>
      </c>
      <c r="F912" s="698">
        <v>1155448</v>
      </c>
      <c r="G912" s="1002"/>
      <c r="H912" s="705"/>
      <c r="I912" s="705"/>
    </row>
    <row r="913" spans="1:9" s="543" customFormat="1" ht="12.75">
      <c r="A913" s="648" t="s">
        <v>1811</v>
      </c>
      <c r="B913" s="630"/>
      <c r="C913" s="1032" t="s">
        <v>2420</v>
      </c>
      <c r="D913" s="597" t="s">
        <v>3115</v>
      </c>
      <c r="E913" s="697">
        <v>5915092</v>
      </c>
      <c r="F913" s="698">
        <v>4115181</v>
      </c>
      <c r="G913" s="1002"/>
      <c r="H913" s="705"/>
      <c r="I913" s="705"/>
    </row>
    <row r="914" spans="1:9" s="543" customFormat="1" ht="12.75">
      <c r="A914" s="648" t="s">
        <v>1812</v>
      </c>
      <c r="B914" s="630"/>
      <c r="C914" s="1032" t="s">
        <v>2424</v>
      </c>
      <c r="D914" s="597" t="s">
        <v>3115</v>
      </c>
      <c r="E914" s="697">
        <v>9045781</v>
      </c>
      <c r="F914" s="698">
        <v>6293739</v>
      </c>
      <c r="G914" s="1002"/>
      <c r="H914" s="705"/>
      <c r="I914" s="705"/>
    </row>
    <row r="915" spans="1:9" s="543" customFormat="1" ht="12.75">
      <c r="A915" s="648" t="s">
        <v>1813</v>
      </c>
      <c r="B915" s="630"/>
      <c r="C915" s="1032" t="s">
        <v>2491</v>
      </c>
      <c r="D915" s="597" t="s">
        <v>3119</v>
      </c>
      <c r="E915" s="697">
        <v>6930000</v>
      </c>
      <c r="F915" s="698">
        <v>4403112</v>
      </c>
      <c r="G915" s="1002"/>
      <c r="H915" s="705"/>
      <c r="I915" s="705"/>
    </row>
    <row r="916" spans="1:9" s="543" customFormat="1" ht="12.75">
      <c r="A916" s="648" t="s">
        <v>1814</v>
      </c>
      <c r="B916" s="630"/>
      <c r="C916" s="1032" t="s">
        <v>2554</v>
      </c>
      <c r="D916" s="597" t="s">
        <v>3106</v>
      </c>
      <c r="E916" s="697">
        <v>39825000</v>
      </c>
      <c r="F916" s="698">
        <v>26676942</v>
      </c>
      <c r="G916" s="1002"/>
      <c r="H916" s="705"/>
      <c r="I916" s="705"/>
    </row>
    <row r="917" spans="1:9" s="543" customFormat="1" ht="12.75">
      <c r="A917" s="648" t="s">
        <v>1815</v>
      </c>
      <c r="B917" s="630"/>
      <c r="C917" s="1032" t="s">
        <v>2562</v>
      </c>
      <c r="D917" s="597" t="s">
        <v>3106</v>
      </c>
      <c r="E917" s="697">
        <v>4838000</v>
      </c>
      <c r="F917" s="698">
        <v>3239754</v>
      </c>
      <c r="G917" s="1002"/>
      <c r="H917" s="705"/>
      <c r="I917" s="705"/>
    </row>
    <row r="918" spans="1:9" s="543" customFormat="1" ht="12.75">
      <c r="A918" s="648" t="s">
        <v>1816</v>
      </c>
      <c r="B918" s="630"/>
      <c r="C918" s="1032" t="s">
        <v>3123</v>
      </c>
      <c r="D918" s="597" t="s">
        <v>3124</v>
      </c>
      <c r="E918" s="697">
        <v>4705175</v>
      </c>
      <c r="F918" s="698">
        <v>4204815</v>
      </c>
      <c r="G918" s="1002"/>
      <c r="H918" s="705"/>
      <c r="I918" s="705"/>
    </row>
    <row r="919" spans="1:9" s="543" customFormat="1" ht="12.75">
      <c r="A919" s="648" t="s">
        <v>1817</v>
      </c>
      <c r="B919" s="630"/>
      <c r="C919" s="1032" t="s">
        <v>3126</v>
      </c>
      <c r="D919" s="597" t="s">
        <v>3127</v>
      </c>
      <c r="E919" s="697">
        <v>12697534</v>
      </c>
      <c r="F919" s="698">
        <v>8970990</v>
      </c>
      <c r="G919" s="1002"/>
      <c r="H919" s="705"/>
      <c r="I919" s="705"/>
    </row>
    <row r="920" spans="1:9" s="543" customFormat="1" ht="25.5">
      <c r="A920" s="648" t="s">
        <v>1818</v>
      </c>
      <c r="B920" s="630"/>
      <c r="C920" s="1032" t="s">
        <v>2636</v>
      </c>
      <c r="D920" s="597" t="s">
        <v>3129</v>
      </c>
      <c r="E920" s="697">
        <v>46263000</v>
      </c>
      <c r="F920" s="698">
        <v>30989729</v>
      </c>
      <c r="G920" s="1002"/>
      <c r="H920" s="705"/>
      <c r="I920" s="705"/>
    </row>
    <row r="921" spans="1:9" s="543" customFormat="1" ht="12.75">
      <c r="A921" s="648" t="s">
        <v>1819</v>
      </c>
      <c r="B921" s="630"/>
      <c r="C921" s="1032" t="s">
        <v>3493</v>
      </c>
      <c r="D921" s="597" t="s">
        <v>3131</v>
      </c>
      <c r="E921" s="697">
        <v>4780282</v>
      </c>
      <c r="F921" s="698">
        <v>3579419</v>
      </c>
      <c r="G921" s="1002"/>
      <c r="H921" s="705"/>
      <c r="I921" s="705"/>
    </row>
    <row r="922" spans="1:9" s="543" customFormat="1" ht="12.75">
      <c r="A922" s="648" t="s">
        <v>1820</v>
      </c>
      <c r="B922" s="630"/>
      <c r="C922" s="1032" t="s">
        <v>3520</v>
      </c>
      <c r="D922" s="597" t="s">
        <v>3133</v>
      </c>
      <c r="E922" s="697">
        <v>490000</v>
      </c>
      <c r="F922" s="698">
        <v>328920</v>
      </c>
      <c r="G922" s="1002"/>
      <c r="H922" s="705"/>
      <c r="I922" s="705"/>
    </row>
    <row r="923" spans="1:9" s="543" customFormat="1" ht="12.75">
      <c r="A923" s="648" t="s">
        <v>1821</v>
      </c>
      <c r="B923" s="630"/>
      <c r="C923" s="1032" t="s">
        <v>3535</v>
      </c>
      <c r="D923" s="597" t="s">
        <v>3106</v>
      </c>
      <c r="E923" s="697">
        <v>1400000</v>
      </c>
      <c r="F923" s="698">
        <v>937948</v>
      </c>
      <c r="G923" s="1002"/>
      <c r="H923" s="705"/>
      <c r="I923" s="705"/>
    </row>
    <row r="924" spans="1:9" s="543" customFormat="1" ht="12.75">
      <c r="A924" s="648" t="s">
        <v>1822</v>
      </c>
      <c r="B924" s="630"/>
      <c r="C924" s="1032" t="s">
        <v>3538</v>
      </c>
      <c r="D924" s="597" t="s">
        <v>3136</v>
      </c>
      <c r="E924" s="697">
        <v>1140000</v>
      </c>
      <c r="F924" s="698">
        <v>762842</v>
      </c>
      <c r="G924" s="1002"/>
      <c r="H924" s="705"/>
      <c r="I924" s="705"/>
    </row>
    <row r="925" spans="1:9" s="543" customFormat="1" ht="13.5" thickBot="1">
      <c r="A925" s="648" t="s">
        <v>1823</v>
      </c>
      <c r="B925" s="630"/>
      <c r="C925" s="1032" t="s">
        <v>3544</v>
      </c>
      <c r="D925" s="597" t="s">
        <v>3138</v>
      </c>
      <c r="E925" s="697">
        <v>5776249</v>
      </c>
      <c r="F925" s="698">
        <v>3521997</v>
      </c>
      <c r="G925" s="1002"/>
      <c r="H925" s="705"/>
      <c r="I925" s="705"/>
    </row>
    <row r="926" spans="1:9" s="543" customFormat="1" ht="48.75" thickBot="1">
      <c r="A926" s="605" t="s">
        <v>4597</v>
      </c>
      <c r="B926" s="606" t="s">
        <v>4601</v>
      </c>
      <c r="C926" s="1008" t="s">
        <v>4602</v>
      </c>
      <c r="D926" s="606" t="s">
        <v>4603</v>
      </c>
      <c r="E926" s="738" t="s">
        <v>4604</v>
      </c>
      <c r="F926" s="739" t="s">
        <v>4605</v>
      </c>
      <c r="G926" s="1002"/>
      <c r="H926" s="705"/>
      <c r="I926" s="705"/>
    </row>
    <row r="927" spans="1:9" s="543" customFormat="1" ht="12.75">
      <c r="A927" s="648" t="s">
        <v>1824</v>
      </c>
      <c r="B927" s="630"/>
      <c r="C927" s="1032" t="s">
        <v>2859</v>
      </c>
      <c r="D927" s="597" t="s">
        <v>3140</v>
      </c>
      <c r="E927" s="697">
        <v>8438000</v>
      </c>
      <c r="F927" s="698">
        <v>5650882</v>
      </c>
      <c r="G927" s="1002"/>
      <c r="H927" s="705"/>
      <c r="I927" s="705"/>
    </row>
    <row r="928" spans="1:9" s="543" customFormat="1" ht="12.75">
      <c r="A928" s="648" t="s">
        <v>1825</v>
      </c>
      <c r="B928" s="630"/>
      <c r="C928" s="1032" t="s">
        <v>2868</v>
      </c>
      <c r="D928" s="597" t="s">
        <v>3142</v>
      </c>
      <c r="E928" s="697">
        <v>24000</v>
      </c>
      <c r="F928" s="698">
        <v>16006</v>
      </c>
      <c r="G928" s="1002"/>
      <c r="H928" s="705"/>
      <c r="I928" s="705"/>
    </row>
    <row r="929" spans="1:9" s="543" customFormat="1" ht="12.75">
      <c r="A929" s="648" t="s">
        <v>1826</v>
      </c>
      <c r="B929" s="630"/>
      <c r="C929" s="1032" t="s">
        <v>2871</v>
      </c>
      <c r="D929" s="597" t="s">
        <v>3144</v>
      </c>
      <c r="E929" s="697">
        <v>24000</v>
      </c>
      <c r="F929" s="698">
        <v>16006</v>
      </c>
      <c r="G929" s="1002"/>
      <c r="H929" s="705"/>
      <c r="I929" s="705"/>
    </row>
    <row r="930" spans="1:9" s="543" customFormat="1" ht="12.75">
      <c r="A930" s="648" t="s">
        <v>1827</v>
      </c>
      <c r="B930" s="630"/>
      <c r="C930" s="1032" t="s">
        <v>2876</v>
      </c>
      <c r="D930" s="597" t="s">
        <v>3146</v>
      </c>
      <c r="E930" s="697">
        <v>1160000</v>
      </c>
      <c r="F930" s="698">
        <v>777882</v>
      </c>
      <c r="G930" s="1002"/>
      <c r="H930" s="705"/>
      <c r="I930" s="705"/>
    </row>
    <row r="931" spans="1:9" s="543" customFormat="1" ht="12.75">
      <c r="A931" s="648" t="s">
        <v>1828</v>
      </c>
      <c r="B931" s="630"/>
      <c r="C931" s="1032" t="s">
        <v>2901</v>
      </c>
      <c r="D931" s="597" t="s">
        <v>3148</v>
      </c>
      <c r="E931" s="697">
        <v>5460000</v>
      </c>
      <c r="F931" s="698">
        <v>3656704</v>
      </c>
      <c r="G931" s="1002"/>
      <c r="H931" s="705"/>
      <c r="I931" s="705"/>
    </row>
    <row r="932" spans="1:9" s="543" customFormat="1" ht="25.5">
      <c r="A932" s="648" t="s">
        <v>1829</v>
      </c>
      <c r="B932" s="630"/>
      <c r="C932" s="1032" t="s">
        <v>2901</v>
      </c>
      <c r="D932" s="597" t="s">
        <v>3150</v>
      </c>
      <c r="E932" s="697">
        <v>2245644</v>
      </c>
      <c r="F932" s="698">
        <v>2006816</v>
      </c>
      <c r="G932" s="1002"/>
      <c r="H932" s="705"/>
      <c r="I932" s="705"/>
    </row>
    <row r="933" spans="1:9" s="543" customFormat="1" ht="12.75">
      <c r="A933" s="648" t="s">
        <v>1830</v>
      </c>
      <c r="B933" s="630"/>
      <c r="C933" s="1032" t="s">
        <v>2907</v>
      </c>
      <c r="D933" s="597" t="s">
        <v>3152</v>
      </c>
      <c r="E933" s="697">
        <v>10594000</v>
      </c>
      <c r="F933" s="698">
        <v>7095573</v>
      </c>
      <c r="G933" s="1002"/>
      <c r="H933" s="705"/>
      <c r="I933" s="705"/>
    </row>
    <row r="934" spans="1:9" s="543" customFormat="1" ht="12.75">
      <c r="A934" s="648" t="s">
        <v>1831</v>
      </c>
      <c r="B934" s="630"/>
      <c r="C934" s="1032" t="s">
        <v>2910</v>
      </c>
      <c r="D934" s="597" t="s">
        <v>3154</v>
      </c>
      <c r="E934" s="697">
        <v>1583828</v>
      </c>
      <c r="F934" s="698">
        <v>1102180</v>
      </c>
      <c r="G934" s="1002"/>
      <c r="H934" s="705"/>
      <c r="I934" s="705"/>
    </row>
    <row r="935" spans="1:9" s="543" customFormat="1" ht="12.75">
      <c r="A935" s="648" t="s">
        <v>1832</v>
      </c>
      <c r="B935" s="630"/>
      <c r="C935" s="1032" t="s">
        <v>2919</v>
      </c>
      <c r="D935" s="597" t="s">
        <v>3106</v>
      </c>
      <c r="E935" s="697">
        <v>2150000</v>
      </c>
      <c r="F935" s="698">
        <v>1439408</v>
      </c>
      <c r="G935" s="1002"/>
      <c r="H935" s="705"/>
      <c r="I935" s="705"/>
    </row>
    <row r="936" spans="1:9" s="543" customFormat="1" ht="12.75">
      <c r="A936" s="648" t="s">
        <v>1833</v>
      </c>
      <c r="B936" s="630"/>
      <c r="C936" s="1032" t="s">
        <v>2928</v>
      </c>
      <c r="D936" s="597" t="s">
        <v>2929</v>
      </c>
      <c r="E936" s="697">
        <v>744000</v>
      </c>
      <c r="F936" s="698">
        <v>498740</v>
      </c>
      <c r="G936" s="1002"/>
      <c r="H936" s="705"/>
      <c r="I936" s="705"/>
    </row>
    <row r="937" spans="1:9" s="543" customFormat="1" ht="25.5">
      <c r="A937" s="648" t="s">
        <v>1834</v>
      </c>
      <c r="B937" s="630"/>
      <c r="C937" s="720" t="s">
        <v>3158</v>
      </c>
      <c r="D937" s="597" t="s">
        <v>3159</v>
      </c>
      <c r="E937" s="697">
        <v>8093791</v>
      </c>
      <c r="F937" s="698">
        <v>6061198</v>
      </c>
      <c r="G937" s="1002"/>
      <c r="H937" s="705"/>
      <c r="I937" s="705"/>
    </row>
    <row r="938" spans="1:9" s="543" customFormat="1" ht="12.75">
      <c r="A938" s="648" t="s">
        <v>1835</v>
      </c>
      <c r="B938" s="630"/>
      <c r="C938" s="1032" t="s">
        <v>2945</v>
      </c>
      <c r="D938" s="597" t="s">
        <v>3106</v>
      </c>
      <c r="E938" s="697">
        <v>1433462</v>
      </c>
      <c r="F938" s="698">
        <v>969625</v>
      </c>
      <c r="G938" s="1002"/>
      <c r="H938" s="705"/>
      <c r="I938" s="705"/>
    </row>
    <row r="939" spans="1:9" s="543" customFormat="1" ht="25.5">
      <c r="A939" s="648" t="s">
        <v>1836</v>
      </c>
      <c r="B939" s="630"/>
      <c r="C939" s="1032" t="s">
        <v>2951</v>
      </c>
      <c r="D939" s="597" t="s">
        <v>3162</v>
      </c>
      <c r="E939" s="697">
        <v>1713000</v>
      </c>
      <c r="F939" s="698">
        <v>1146903</v>
      </c>
      <c r="G939" s="1002"/>
      <c r="H939" s="705"/>
      <c r="I939" s="705"/>
    </row>
    <row r="940" spans="1:9" s="543" customFormat="1" ht="12.75">
      <c r="A940" s="648" t="s">
        <v>1837</v>
      </c>
      <c r="B940" s="630"/>
      <c r="C940" s="1032" t="s">
        <v>2965</v>
      </c>
      <c r="D940" s="597" t="s">
        <v>3164</v>
      </c>
      <c r="E940" s="697">
        <v>14149000</v>
      </c>
      <c r="F940" s="698">
        <v>9477326</v>
      </c>
      <c r="G940" s="1002"/>
      <c r="H940" s="705"/>
      <c r="I940" s="705"/>
    </row>
    <row r="941" spans="1:9" s="543" customFormat="1" ht="12.75">
      <c r="A941" s="648" t="s">
        <v>1838</v>
      </c>
      <c r="B941" s="630"/>
      <c r="C941" s="1032" t="s">
        <v>2993</v>
      </c>
      <c r="D941" s="597" t="s">
        <v>3166</v>
      </c>
      <c r="E941" s="697">
        <v>1973645</v>
      </c>
      <c r="F941" s="698">
        <v>1280731</v>
      </c>
      <c r="G941" s="1002"/>
      <c r="H941" s="705"/>
      <c r="I941" s="705"/>
    </row>
    <row r="942" spans="1:9" s="543" customFormat="1" ht="12.75">
      <c r="A942" s="648" t="s">
        <v>1839</v>
      </c>
      <c r="B942" s="630"/>
      <c r="C942" s="1032" t="s">
        <v>2996</v>
      </c>
      <c r="D942" s="597" t="s">
        <v>3168</v>
      </c>
      <c r="E942" s="697">
        <v>3125000</v>
      </c>
      <c r="F942" s="698">
        <v>2092854</v>
      </c>
      <c r="G942" s="1002"/>
      <c r="H942" s="705"/>
      <c r="I942" s="705"/>
    </row>
    <row r="943" spans="1:9" s="543" customFormat="1" ht="13.5" customHeight="1">
      <c r="A943" s="648" t="s">
        <v>1840</v>
      </c>
      <c r="B943" s="630"/>
      <c r="C943" s="1032" t="s">
        <v>3005</v>
      </c>
      <c r="D943" s="597" t="s">
        <v>3170</v>
      </c>
      <c r="E943" s="697">
        <v>2279605</v>
      </c>
      <c r="F943" s="698">
        <v>1479286</v>
      </c>
      <c r="G943" s="1002"/>
      <c r="H943" s="705"/>
      <c r="I943" s="705"/>
    </row>
    <row r="944" spans="1:9" s="543" customFormat="1" ht="12.75">
      <c r="A944" s="648" t="s">
        <v>1841</v>
      </c>
      <c r="B944" s="630"/>
      <c r="C944" s="1032" t="s">
        <v>425</v>
      </c>
      <c r="D944" s="597" t="s">
        <v>3172</v>
      </c>
      <c r="E944" s="697">
        <v>2520000</v>
      </c>
      <c r="F944" s="698">
        <v>1601298</v>
      </c>
      <c r="G944" s="1002"/>
      <c r="H944" s="705"/>
      <c r="I944" s="705"/>
    </row>
    <row r="945" spans="1:9" s="543" customFormat="1" ht="12.75">
      <c r="A945" s="648" t="s">
        <v>1842</v>
      </c>
      <c r="B945" s="630"/>
      <c r="C945" s="1032" t="s">
        <v>425</v>
      </c>
      <c r="D945" s="597" t="s">
        <v>3174</v>
      </c>
      <c r="E945" s="697">
        <v>2354166</v>
      </c>
      <c r="F945" s="698">
        <v>1408597</v>
      </c>
      <c r="G945" s="1002"/>
      <c r="H945" s="705"/>
      <c r="I945" s="705"/>
    </row>
    <row r="946" spans="1:9" s="543" customFormat="1" ht="12.75">
      <c r="A946" s="648" t="s">
        <v>1843</v>
      </c>
      <c r="B946" s="630"/>
      <c r="C946" s="1032" t="s">
        <v>428</v>
      </c>
      <c r="D946" s="597" t="s">
        <v>3176</v>
      </c>
      <c r="E946" s="697">
        <v>8393516</v>
      </c>
      <c r="F946" s="698">
        <v>5021327</v>
      </c>
      <c r="G946" s="1002"/>
      <c r="H946" s="705"/>
      <c r="I946" s="705"/>
    </row>
    <row r="947" spans="1:9" s="543" customFormat="1" ht="12.75">
      <c r="A947" s="648" t="s">
        <v>1844</v>
      </c>
      <c r="B947" s="630"/>
      <c r="C947" s="1032" t="s">
        <v>431</v>
      </c>
      <c r="D947" s="597" t="s">
        <v>3178</v>
      </c>
      <c r="E947" s="697">
        <v>3000000</v>
      </c>
      <c r="F947" s="698">
        <v>2492047</v>
      </c>
      <c r="G947" s="1002"/>
      <c r="H947" s="705"/>
      <c r="I947" s="705"/>
    </row>
    <row r="948" spans="1:9" s="543" customFormat="1" ht="12.75">
      <c r="A948" s="648" t="s">
        <v>1845</v>
      </c>
      <c r="B948" s="630"/>
      <c r="C948" s="1032" t="s">
        <v>434</v>
      </c>
      <c r="D948" s="597" t="s">
        <v>3180</v>
      </c>
      <c r="E948" s="697">
        <v>4640000</v>
      </c>
      <c r="F948" s="698">
        <v>3108983</v>
      </c>
      <c r="G948" s="1002"/>
      <c r="H948" s="705"/>
      <c r="I948" s="705"/>
    </row>
    <row r="949" spans="1:9" s="543" customFormat="1" ht="12.75">
      <c r="A949" s="648" t="s">
        <v>1846</v>
      </c>
      <c r="B949" s="630"/>
      <c r="C949" s="1032" t="s">
        <v>3182</v>
      </c>
      <c r="D949" s="608" t="s">
        <v>3183</v>
      </c>
      <c r="E949" s="697">
        <v>7197648</v>
      </c>
      <c r="F949" s="698">
        <v>5640109</v>
      </c>
      <c r="G949" s="1002"/>
      <c r="H949" s="705"/>
      <c r="I949" s="705"/>
    </row>
    <row r="950" spans="1:9" s="543" customFormat="1" ht="25.5">
      <c r="A950" s="648" t="s">
        <v>1847</v>
      </c>
      <c r="B950" s="630"/>
      <c r="C950" s="1032" t="s">
        <v>3185</v>
      </c>
      <c r="D950" s="597" t="s">
        <v>3186</v>
      </c>
      <c r="E950" s="697">
        <v>437853</v>
      </c>
      <c r="F950" s="698">
        <v>306649</v>
      </c>
      <c r="G950" s="1002"/>
      <c r="H950" s="705"/>
      <c r="I950" s="705"/>
    </row>
    <row r="951" spans="1:9" s="543" customFormat="1" ht="12.75">
      <c r="A951" s="648" t="s">
        <v>1848</v>
      </c>
      <c r="B951" s="630"/>
      <c r="C951" s="1032" t="s">
        <v>451</v>
      </c>
      <c r="D951" s="597" t="s">
        <v>3188</v>
      </c>
      <c r="E951" s="697">
        <v>6155298</v>
      </c>
      <c r="F951" s="698">
        <v>4609090</v>
      </c>
      <c r="G951" s="1002"/>
      <c r="H951" s="705"/>
      <c r="I951" s="705"/>
    </row>
    <row r="952" spans="1:9" s="543" customFormat="1" ht="12.75">
      <c r="A952" s="648" t="s">
        <v>1849</v>
      </c>
      <c r="B952" s="630"/>
      <c r="C952" s="1032" t="s">
        <v>480</v>
      </c>
      <c r="D952" s="597" t="s">
        <v>3190</v>
      </c>
      <c r="E952" s="697">
        <v>2155660</v>
      </c>
      <c r="F952" s="698">
        <v>1924268</v>
      </c>
      <c r="G952" s="1002"/>
      <c r="H952" s="705"/>
      <c r="I952" s="705"/>
    </row>
    <row r="953" spans="1:9" s="543" customFormat="1" ht="12.75">
      <c r="A953" s="648" t="s">
        <v>1850</v>
      </c>
      <c r="B953" s="630"/>
      <c r="C953" s="1032" t="s">
        <v>486</v>
      </c>
      <c r="D953" s="597" t="s">
        <v>3192</v>
      </c>
      <c r="E953" s="697">
        <v>1939484</v>
      </c>
      <c r="F953" s="698">
        <v>1731292</v>
      </c>
      <c r="G953" s="1002"/>
      <c r="H953" s="705"/>
      <c r="I953" s="705"/>
    </row>
    <row r="954" spans="1:9" s="543" customFormat="1" ht="14.25" customHeight="1">
      <c r="A954" s="648" t="s">
        <v>1851</v>
      </c>
      <c r="B954" s="630"/>
      <c r="C954" s="1032" t="s">
        <v>858</v>
      </c>
      <c r="D954" s="597" t="s">
        <v>3194</v>
      </c>
      <c r="E954" s="697">
        <v>6834000</v>
      </c>
      <c r="F954" s="698">
        <v>4576886</v>
      </c>
      <c r="G954" s="1002"/>
      <c r="H954" s="705"/>
      <c r="I954" s="705"/>
    </row>
    <row r="955" spans="1:9" s="543" customFormat="1" ht="13.5" customHeight="1">
      <c r="A955" s="648" t="s">
        <v>1852</v>
      </c>
      <c r="B955" s="630"/>
      <c r="C955" s="1032" t="s">
        <v>530</v>
      </c>
      <c r="D955" s="597" t="s">
        <v>3196</v>
      </c>
      <c r="E955" s="697">
        <v>8982720</v>
      </c>
      <c r="F955" s="698">
        <v>8027469</v>
      </c>
      <c r="G955" s="1002"/>
      <c r="H955" s="705"/>
      <c r="I955" s="705"/>
    </row>
    <row r="956" spans="1:9" s="543" customFormat="1" ht="12.75">
      <c r="A956" s="648" t="s">
        <v>1853</v>
      </c>
      <c r="B956" s="630"/>
      <c r="C956" s="1088" t="s">
        <v>554</v>
      </c>
      <c r="D956" s="608" t="s">
        <v>3736</v>
      </c>
      <c r="E956" s="697">
        <v>3265980</v>
      </c>
      <c r="F956" s="698">
        <v>3067283</v>
      </c>
      <c r="G956" s="1002"/>
      <c r="H956" s="705"/>
      <c r="I956" s="705"/>
    </row>
    <row r="957" spans="1:9" s="543" customFormat="1" ht="12.75">
      <c r="A957" s="648" t="s">
        <v>1854</v>
      </c>
      <c r="B957" s="630"/>
      <c r="C957" s="1088" t="s">
        <v>2437</v>
      </c>
      <c r="D957" s="608" t="s">
        <v>3736</v>
      </c>
      <c r="E957" s="697">
        <v>39191758</v>
      </c>
      <c r="F957" s="698">
        <v>36810202</v>
      </c>
      <c r="G957" s="1002"/>
      <c r="H957" s="705"/>
      <c r="I957" s="705"/>
    </row>
    <row r="958" spans="1:9" s="543" customFormat="1" ht="12.75">
      <c r="A958" s="648" t="s">
        <v>1855</v>
      </c>
      <c r="B958" s="630"/>
      <c r="C958" s="1088" t="s">
        <v>2431</v>
      </c>
      <c r="D958" s="608" t="s">
        <v>3736</v>
      </c>
      <c r="E958" s="697">
        <v>52255677</v>
      </c>
      <c r="F958" s="698">
        <v>49080424</v>
      </c>
      <c r="G958" s="1002"/>
      <c r="H958" s="705"/>
      <c r="I958" s="705"/>
    </row>
    <row r="959" spans="1:9" s="543" customFormat="1" ht="12.75">
      <c r="A959" s="648" t="s">
        <v>1856</v>
      </c>
      <c r="B959" s="630"/>
      <c r="C959" s="1088" t="s">
        <v>3740</v>
      </c>
      <c r="D959" s="608" t="s">
        <v>3736</v>
      </c>
      <c r="E959" s="697">
        <v>2167475</v>
      </c>
      <c r="F959" s="698">
        <v>2035869</v>
      </c>
      <c r="G959" s="1002"/>
      <c r="H959" s="705"/>
      <c r="I959" s="705"/>
    </row>
    <row r="960" spans="1:9" s="543" customFormat="1" ht="12.75">
      <c r="A960" s="648" t="s">
        <v>1857</v>
      </c>
      <c r="B960" s="630"/>
      <c r="C960" s="1088" t="s">
        <v>3742</v>
      </c>
      <c r="D960" s="608" t="s">
        <v>3736</v>
      </c>
      <c r="E960" s="697">
        <v>2247060</v>
      </c>
      <c r="F960" s="698">
        <v>2110623</v>
      </c>
      <c r="G960" s="1002"/>
      <c r="H960" s="705"/>
      <c r="I960" s="705"/>
    </row>
    <row r="961" spans="1:9" s="543" customFormat="1" ht="14.25" customHeight="1">
      <c r="A961" s="648" t="s">
        <v>1858</v>
      </c>
      <c r="B961" s="630"/>
      <c r="C961" s="1032" t="s">
        <v>545</v>
      </c>
      <c r="D961" s="608" t="s">
        <v>3744</v>
      </c>
      <c r="E961" s="697">
        <v>2300000</v>
      </c>
      <c r="F961" s="698">
        <v>1540724</v>
      </c>
      <c r="G961" s="1002"/>
      <c r="H961" s="705"/>
      <c r="I961" s="705"/>
    </row>
    <row r="962" spans="1:9" s="543" customFormat="1" ht="13.5" thickBot="1">
      <c r="A962" s="751" t="s">
        <v>1859</v>
      </c>
      <c r="B962" s="633"/>
      <c r="C962" s="1077" t="s">
        <v>3359</v>
      </c>
      <c r="D962" s="603" t="s">
        <v>3746</v>
      </c>
      <c r="E962" s="1079">
        <v>2950589</v>
      </c>
      <c r="F962" s="790">
        <v>1797956</v>
      </c>
      <c r="G962" s="1002"/>
      <c r="H962" s="705"/>
      <c r="I962" s="705"/>
    </row>
    <row r="963" spans="1:9" s="543" customFormat="1" ht="13.5" thickBot="1">
      <c r="A963" s="685"/>
      <c r="B963" s="1124">
        <f>B799</f>
        <v>12149112</v>
      </c>
      <c r="C963" s="757" t="s">
        <v>3361</v>
      </c>
      <c r="D963" s="601" t="s">
        <v>1499</v>
      </c>
      <c r="E963" s="773">
        <f>SUM(E799:E962)</f>
        <v>1447751711</v>
      </c>
      <c r="F963" s="774">
        <f>SUM(F799:F962)</f>
        <v>976778132</v>
      </c>
      <c r="G963" s="1002"/>
      <c r="H963" s="705"/>
      <c r="I963" s="705"/>
    </row>
    <row r="964" spans="1:9" s="543" customFormat="1" ht="13.5" thickBot="1">
      <c r="A964" s="2222" t="s">
        <v>3747</v>
      </c>
      <c r="B964" s="2222"/>
      <c r="C964" s="2222"/>
      <c r="D964" s="2222"/>
      <c r="E964" s="1006"/>
      <c r="F964" s="1086"/>
      <c r="G964" s="1002"/>
      <c r="H964" s="705"/>
      <c r="I964" s="705"/>
    </row>
    <row r="965" spans="1:9" s="543" customFormat="1" ht="13.5" thickTop="1">
      <c r="A965" s="1165" t="s">
        <v>1860</v>
      </c>
      <c r="B965" s="1166">
        <v>12149113</v>
      </c>
      <c r="C965" s="1167" t="s">
        <v>5195</v>
      </c>
      <c r="D965" s="721" t="s">
        <v>3749</v>
      </c>
      <c r="E965" s="1168">
        <v>1951503</v>
      </c>
      <c r="F965" s="1169">
        <v>1357713</v>
      </c>
      <c r="G965" s="1002"/>
      <c r="H965" s="705"/>
      <c r="I965" s="705"/>
    </row>
    <row r="966" spans="1:9" s="543" customFormat="1" ht="12.75">
      <c r="A966" s="648" t="s">
        <v>1861</v>
      </c>
      <c r="B966" s="726"/>
      <c r="C966" s="695">
        <v>114</v>
      </c>
      <c r="D966" s="723" t="s">
        <v>3751</v>
      </c>
      <c r="E966" s="697">
        <v>10589819</v>
      </c>
      <c r="F966" s="698">
        <v>7092796</v>
      </c>
      <c r="G966" s="1002"/>
      <c r="H966" s="705"/>
      <c r="I966" s="705"/>
    </row>
    <row r="967" spans="1:9" s="543" customFormat="1" ht="12.75">
      <c r="A967" s="648" t="s">
        <v>1862</v>
      </c>
      <c r="B967" s="726"/>
      <c r="C967" s="1060" t="s">
        <v>5198</v>
      </c>
      <c r="D967" s="723" t="s">
        <v>3751</v>
      </c>
      <c r="E967" s="697">
        <v>13388439</v>
      </c>
      <c r="F967" s="698">
        <v>8967524</v>
      </c>
      <c r="G967" s="1002"/>
      <c r="H967" s="705"/>
      <c r="I967" s="705"/>
    </row>
    <row r="968" spans="1:9" s="543" customFormat="1" ht="12.75">
      <c r="A968" s="648" t="s">
        <v>1863</v>
      </c>
      <c r="B968" s="1139"/>
      <c r="C968" s="1170" t="s">
        <v>5199</v>
      </c>
      <c r="D968" s="725" t="s">
        <v>3754</v>
      </c>
      <c r="E968" s="770">
        <v>4182514</v>
      </c>
      <c r="F968" s="771">
        <v>2801063</v>
      </c>
      <c r="G968" s="1002"/>
      <c r="H968" s="705"/>
      <c r="I968" s="705"/>
    </row>
    <row r="969" spans="1:9" s="543" customFormat="1" ht="12.75">
      <c r="A969" s="648" t="s">
        <v>1864</v>
      </c>
      <c r="B969" s="1108"/>
      <c r="C969" s="1032" t="s">
        <v>3756</v>
      </c>
      <c r="D969" s="597" t="s">
        <v>3757</v>
      </c>
      <c r="E969" s="697">
        <v>4620000</v>
      </c>
      <c r="F969" s="698">
        <v>3093940</v>
      </c>
      <c r="G969" s="1002"/>
      <c r="H969" s="705"/>
      <c r="I969" s="705"/>
    </row>
    <row r="970" spans="1:9" s="543" customFormat="1" ht="12.75">
      <c r="A970" s="648" t="s">
        <v>1865</v>
      </c>
      <c r="B970" s="1014"/>
      <c r="C970" s="1091" t="s">
        <v>3356</v>
      </c>
      <c r="D970" s="610" t="s">
        <v>3759</v>
      </c>
      <c r="E970" s="1058">
        <v>9420</v>
      </c>
      <c r="F970" s="1075">
        <v>8701</v>
      </c>
      <c r="G970" s="1002"/>
      <c r="H970" s="705"/>
      <c r="I970" s="705"/>
    </row>
    <row r="971" spans="1:9" s="543" customFormat="1" ht="12.75">
      <c r="A971" s="648" t="s">
        <v>1866</v>
      </c>
      <c r="B971" s="630"/>
      <c r="C971" s="1032"/>
      <c r="D971" s="597" t="s">
        <v>3761</v>
      </c>
      <c r="E971" s="697">
        <v>2400000</v>
      </c>
      <c r="F971" s="698">
        <v>1608271</v>
      </c>
      <c r="G971" s="1002"/>
      <c r="H971" s="705"/>
      <c r="I971" s="705"/>
    </row>
    <row r="972" spans="1:9" s="543" customFormat="1" ht="12.75">
      <c r="A972" s="648" t="s">
        <v>1867</v>
      </c>
      <c r="B972" s="822"/>
      <c r="C972" s="1032" t="s">
        <v>5207</v>
      </c>
      <c r="D972" s="597" t="s">
        <v>3757</v>
      </c>
      <c r="E972" s="697">
        <v>937000</v>
      </c>
      <c r="F972" s="698">
        <v>627674</v>
      </c>
      <c r="G972" s="1002"/>
      <c r="H972" s="705"/>
      <c r="I972" s="705"/>
    </row>
    <row r="973" spans="1:9" s="543" customFormat="1" ht="12.75">
      <c r="A973" s="648" t="s">
        <v>1868</v>
      </c>
      <c r="B973" s="822"/>
      <c r="C973" s="1032" t="s">
        <v>5209</v>
      </c>
      <c r="D973" s="597" t="s">
        <v>3757</v>
      </c>
      <c r="E973" s="697">
        <v>3533000</v>
      </c>
      <c r="F973" s="698">
        <v>2367510</v>
      </c>
      <c r="G973" s="1002"/>
      <c r="H973" s="705"/>
      <c r="I973" s="705"/>
    </row>
    <row r="974" spans="1:9" s="543" customFormat="1" ht="12.75">
      <c r="A974" s="648" t="s">
        <v>1869</v>
      </c>
      <c r="B974" s="822"/>
      <c r="C974" s="1032" t="s">
        <v>5210</v>
      </c>
      <c r="D974" s="597" t="s">
        <v>3765</v>
      </c>
      <c r="E974" s="697">
        <v>1446000</v>
      </c>
      <c r="F974" s="698">
        <v>968200</v>
      </c>
      <c r="G974" s="1002"/>
      <c r="H974" s="705"/>
      <c r="I974" s="705"/>
    </row>
    <row r="975" spans="1:9" s="543" customFormat="1" ht="12.75">
      <c r="A975" s="648" t="s">
        <v>1870</v>
      </c>
      <c r="B975" s="822"/>
      <c r="C975" s="1032" t="s">
        <v>5212</v>
      </c>
      <c r="D975" s="597" t="s">
        <v>3757</v>
      </c>
      <c r="E975" s="697">
        <v>5940000</v>
      </c>
      <c r="F975" s="698">
        <v>3979384</v>
      </c>
      <c r="G975" s="1002"/>
      <c r="H975" s="705"/>
      <c r="I975" s="705"/>
    </row>
    <row r="976" spans="1:9" s="543" customFormat="1" ht="12.75">
      <c r="A976" s="648" t="s">
        <v>1871</v>
      </c>
      <c r="B976" s="822"/>
      <c r="C976" s="1032" t="s">
        <v>5206</v>
      </c>
      <c r="D976" s="597" t="s">
        <v>3757</v>
      </c>
      <c r="E976" s="697">
        <v>3680000</v>
      </c>
      <c r="F976" s="698">
        <v>2466186</v>
      </c>
      <c r="G976" s="1002"/>
      <c r="H976" s="705"/>
      <c r="I976" s="705"/>
    </row>
    <row r="977" spans="1:9" s="543" customFormat="1" ht="12.75">
      <c r="A977" s="648" t="s">
        <v>1872</v>
      </c>
      <c r="B977" s="822"/>
      <c r="C977" s="1032" t="s">
        <v>3769</v>
      </c>
      <c r="D977" s="597" t="s">
        <v>3765</v>
      </c>
      <c r="E977" s="697">
        <v>2937000</v>
      </c>
      <c r="F977" s="698">
        <v>1968320</v>
      </c>
      <c r="G977" s="1002"/>
      <c r="H977" s="705"/>
      <c r="I977" s="705"/>
    </row>
    <row r="978" spans="1:9" s="543" customFormat="1" ht="12.75">
      <c r="A978" s="648" t="s">
        <v>1873</v>
      </c>
      <c r="B978" s="822"/>
      <c r="C978" s="1032" t="s">
        <v>5213</v>
      </c>
      <c r="D978" s="597" t="s">
        <v>3757</v>
      </c>
      <c r="E978" s="697">
        <v>1098034</v>
      </c>
      <c r="F978" s="698">
        <v>764401</v>
      </c>
      <c r="G978" s="1002"/>
      <c r="H978" s="705"/>
      <c r="I978" s="705"/>
    </row>
    <row r="979" spans="1:9" s="543" customFormat="1" ht="13.5" thickBot="1">
      <c r="A979" s="648" t="s">
        <v>1874</v>
      </c>
      <c r="B979" s="822"/>
      <c r="C979" s="1032" t="s">
        <v>5214</v>
      </c>
      <c r="D979" s="597" t="s">
        <v>3757</v>
      </c>
      <c r="E979" s="697">
        <v>9123000</v>
      </c>
      <c r="F979" s="698">
        <v>6110490</v>
      </c>
      <c r="G979" s="1002"/>
      <c r="H979" s="705"/>
      <c r="I979" s="705"/>
    </row>
    <row r="980" spans="1:9" s="543" customFormat="1" ht="48.75" thickBot="1">
      <c r="A980" s="605" t="s">
        <v>4597</v>
      </c>
      <c r="B980" s="606" t="s">
        <v>4601</v>
      </c>
      <c r="C980" s="1008" t="s">
        <v>4602</v>
      </c>
      <c r="D980" s="606" t="s">
        <v>4603</v>
      </c>
      <c r="E980" s="1171" t="s">
        <v>4604</v>
      </c>
      <c r="F980" s="739" t="s">
        <v>4605</v>
      </c>
      <c r="G980" s="1002"/>
      <c r="H980" s="705"/>
      <c r="I980" s="705"/>
    </row>
    <row r="981" spans="1:9" s="543" customFormat="1" ht="12.75">
      <c r="A981" s="648" t="s">
        <v>1875</v>
      </c>
      <c r="B981" s="822"/>
      <c r="C981" s="1032" t="s">
        <v>5215</v>
      </c>
      <c r="D981" s="597" t="s">
        <v>3757</v>
      </c>
      <c r="E981" s="697">
        <v>1780000</v>
      </c>
      <c r="F981" s="698">
        <v>1193078</v>
      </c>
      <c r="G981" s="1002"/>
      <c r="H981" s="705"/>
      <c r="I981" s="705"/>
    </row>
    <row r="982" spans="1:9" s="543" customFormat="1" ht="12.75">
      <c r="A982" s="648" t="s">
        <v>1876</v>
      </c>
      <c r="B982" s="822"/>
      <c r="C982" s="1032" t="s">
        <v>5216</v>
      </c>
      <c r="D982" s="597" t="s">
        <v>3774</v>
      </c>
      <c r="E982" s="697">
        <v>5581868</v>
      </c>
      <c r="F982" s="698">
        <v>3882507</v>
      </c>
      <c r="G982" s="1002"/>
      <c r="H982" s="705"/>
      <c r="I982" s="705"/>
    </row>
    <row r="983" spans="1:9" s="543" customFormat="1" ht="12.75">
      <c r="A983" s="648" t="s">
        <v>1877</v>
      </c>
      <c r="B983" s="822"/>
      <c r="C983" s="1032" t="s">
        <v>5219</v>
      </c>
      <c r="D983" s="597" t="s">
        <v>3774</v>
      </c>
      <c r="E983" s="697">
        <v>1535366</v>
      </c>
      <c r="F983" s="698">
        <v>1068502</v>
      </c>
      <c r="G983" s="1002"/>
      <c r="H983" s="705"/>
      <c r="I983" s="705"/>
    </row>
    <row r="984" spans="1:9" s="543" customFormat="1" ht="12.75">
      <c r="A984" s="648" t="s">
        <v>1878</v>
      </c>
      <c r="B984" s="822"/>
      <c r="C984" s="1032" t="s">
        <v>5221</v>
      </c>
      <c r="D984" s="597" t="s">
        <v>3774</v>
      </c>
      <c r="E984" s="697">
        <v>728888</v>
      </c>
      <c r="F984" s="698">
        <v>506836</v>
      </c>
      <c r="G984" s="1002"/>
      <c r="H984" s="705"/>
      <c r="I984" s="705"/>
    </row>
    <row r="985" spans="1:9" s="543" customFormat="1" ht="15" customHeight="1">
      <c r="A985" s="648" t="s">
        <v>1879</v>
      </c>
      <c r="B985" s="822"/>
      <c r="C985" s="1032" t="s">
        <v>5223</v>
      </c>
      <c r="D985" s="597" t="s">
        <v>3774</v>
      </c>
      <c r="E985" s="697">
        <v>3061328</v>
      </c>
      <c r="F985" s="698">
        <v>2128734</v>
      </c>
      <c r="G985" s="1002"/>
      <c r="H985" s="705"/>
      <c r="I985" s="705"/>
    </row>
    <row r="986" spans="1:9" s="543" customFormat="1" ht="12.75">
      <c r="A986" s="648" t="s">
        <v>1880</v>
      </c>
      <c r="B986" s="822"/>
      <c r="C986" s="1032" t="s">
        <v>5225</v>
      </c>
      <c r="D986" s="597" t="s">
        <v>3779</v>
      </c>
      <c r="E986" s="697">
        <v>8033438</v>
      </c>
      <c r="F986" s="698">
        <v>5589045</v>
      </c>
      <c r="G986" s="1002"/>
      <c r="H986" s="705"/>
      <c r="I986" s="705"/>
    </row>
    <row r="987" spans="1:9" s="543" customFormat="1" ht="12.75">
      <c r="A987" s="648" t="s">
        <v>1881</v>
      </c>
      <c r="B987" s="822"/>
      <c r="C987" s="1032" t="s">
        <v>5228</v>
      </c>
      <c r="D987" s="597" t="s">
        <v>3781</v>
      </c>
      <c r="E987" s="697">
        <v>1320000</v>
      </c>
      <c r="F987" s="698">
        <v>885447</v>
      </c>
      <c r="G987" s="1002"/>
      <c r="H987" s="705"/>
      <c r="I987" s="705"/>
    </row>
    <row r="988" spans="1:9" s="543" customFormat="1" ht="12.75">
      <c r="A988" s="648" t="s">
        <v>1882</v>
      </c>
      <c r="B988" s="822"/>
      <c r="C988" s="1032" t="s">
        <v>5235</v>
      </c>
      <c r="D988" s="597" t="s">
        <v>3783</v>
      </c>
      <c r="E988" s="697">
        <v>625000</v>
      </c>
      <c r="F988" s="698">
        <v>419593</v>
      </c>
      <c r="G988" s="1002"/>
      <c r="H988" s="705"/>
      <c r="I988" s="705"/>
    </row>
    <row r="989" spans="1:9" s="543" customFormat="1" ht="12.75">
      <c r="A989" s="648" t="s">
        <v>1883</v>
      </c>
      <c r="B989" s="822"/>
      <c r="C989" s="1032" t="s">
        <v>5241</v>
      </c>
      <c r="D989" s="597" t="s">
        <v>3774</v>
      </c>
      <c r="E989" s="697">
        <v>383254</v>
      </c>
      <c r="F989" s="698">
        <v>265486</v>
      </c>
      <c r="G989" s="1002"/>
      <c r="H989" s="705"/>
      <c r="I989" s="705"/>
    </row>
    <row r="990" spans="1:9" s="543" customFormat="1" ht="12.75">
      <c r="A990" s="648" t="s">
        <v>1884</v>
      </c>
      <c r="B990" s="822"/>
      <c r="C990" s="1032" t="s">
        <v>5244</v>
      </c>
      <c r="D990" s="597" t="s">
        <v>3781</v>
      </c>
      <c r="E990" s="697">
        <v>1170000</v>
      </c>
      <c r="F990" s="698">
        <v>784128</v>
      </c>
      <c r="G990" s="1002"/>
      <c r="H990" s="705"/>
      <c r="I990" s="705"/>
    </row>
    <row r="991" spans="1:9" s="543" customFormat="1" ht="12.75">
      <c r="A991" s="648" t="s">
        <v>1885</v>
      </c>
      <c r="B991" s="630"/>
      <c r="C991" s="1032" t="s">
        <v>3787</v>
      </c>
      <c r="D991" s="597" t="s">
        <v>3781</v>
      </c>
      <c r="E991" s="697">
        <v>193000</v>
      </c>
      <c r="F991" s="698">
        <v>128928</v>
      </c>
      <c r="G991" s="1002"/>
      <c r="H991" s="705"/>
      <c r="I991" s="705"/>
    </row>
    <row r="992" spans="1:9" s="543" customFormat="1" ht="12.75">
      <c r="A992" s="648" t="s">
        <v>1886</v>
      </c>
      <c r="B992" s="630"/>
      <c r="C992" s="1032" t="s">
        <v>5248</v>
      </c>
      <c r="D992" s="597" t="s">
        <v>3781</v>
      </c>
      <c r="E992" s="697">
        <v>350000</v>
      </c>
      <c r="F992" s="698">
        <v>233844</v>
      </c>
      <c r="G992" s="1002"/>
      <c r="H992" s="705"/>
      <c r="I992" s="705"/>
    </row>
    <row r="993" spans="1:9" s="543" customFormat="1" ht="12.75">
      <c r="A993" s="648" t="s">
        <v>1887</v>
      </c>
      <c r="B993" s="630"/>
      <c r="C993" s="1032" t="s">
        <v>3790</v>
      </c>
      <c r="D993" s="597" t="s">
        <v>3781</v>
      </c>
      <c r="E993" s="697">
        <v>1953000</v>
      </c>
      <c r="F993" s="698">
        <v>1306963</v>
      </c>
      <c r="G993" s="1002"/>
      <c r="H993" s="705"/>
      <c r="I993" s="705"/>
    </row>
    <row r="994" spans="1:9" s="543" customFormat="1" ht="12.75">
      <c r="A994" s="648" t="s">
        <v>1888</v>
      </c>
      <c r="B994" s="630"/>
      <c r="C994" s="1032" t="s">
        <v>5252</v>
      </c>
      <c r="D994" s="597" t="s">
        <v>3781</v>
      </c>
      <c r="E994" s="697">
        <v>964013</v>
      </c>
      <c r="F994" s="698">
        <v>671131</v>
      </c>
      <c r="G994" s="1002"/>
      <c r="H994" s="705"/>
      <c r="I994" s="705"/>
    </row>
    <row r="995" spans="1:9" s="543" customFormat="1" ht="12.75">
      <c r="A995" s="648" t="s">
        <v>1889</v>
      </c>
      <c r="B995" s="630"/>
      <c r="C995" s="1032" t="s">
        <v>5254</v>
      </c>
      <c r="D995" s="597" t="s">
        <v>3781</v>
      </c>
      <c r="E995" s="697">
        <v>183398</v>
      </c>
      <c r="F995" s="698">
        <v>127742</v>
      </c>
      <c r="G995" s="1002"/>
      <c r="H995" s="705"/>
      <c r="I995" s="705"/>
    </row>
    <row r="996" spans="1:9" s="543" customFormat="1" ht="12.75">
      <c r="A996" s="648" t="s">
        <v>1890</v>
      </c>
      <c r="B996" s="630"/>
      <c r="C996" s="1032" t="s">
        <v>3794</v>
      </c>
      <c r="D996" s="597" t="s">
        <v>3781</v>
      </c>
      <c r="E996" s="697">
        <v>350000</v>
      </c>
      <c r="F996" s="698">
        <v>233844</v>
      </c>
      <c r="G996" s="1002"/>
      <c r="H996" s="705"/>
      <c r="I996" s="705"/>
    </row>
    <row r="997" spans="1:9" s="543" customFormat="1" ht="12.75">
      <c r="A997" s="648" t="s">
        <v>1891</v>
      </c>
      <c r="B997" s="630"/>
      <c r="C997" s="1032" t="s">
        <v>5258</v>
      </c>
      <c r="D997" s="597" t="s">
        <v>3796</v>
      </c>
      <c r="E997" s="697">
        <v>1354320</v>
      </c>
      <c r="F997" s="698">
        <v>942827</v>
      </c>
      <c r="G997" s="1002"/>
      <c r="H997" s="705"/>
      <c r="I997" s="705"/>
    </row>
    <row r="998" spans="1:9" s="543" customFormat="1" ht="12.75">
      <c r="A998" s="648" t="s">
        <v>1892</v>
      </c>
      <c r="B998" s="630"/>
      <c r="C998" s="1032" t="s">
        <v>5261</v>
      </c>
      <c r="D998" s="597" t="s">
        <v>3796</v>
      </c>
      <c r="E998" s="697">
        <v>1375481</v>
      </c>
      <c r="F998" s="698">
        <v>956963</v>
      </c>
      <c r="G998" s="1002"/>
      <c r="H998" s="705"/>
      <c r="I998" s="705"/>
    </row>
    <row r="999" spans="1:9" s="543" customFormat="1" ht="12.75">
      <c r="A999" s="648" t="s">
        <v>1893</v>
      </c>
      <c r="B999" s="630"/>
      <c r="C999" s="1032" t="s">
        <v>2413</v>
      </c>
      <c r="D999" s="597" t="s">
        <v>3799</v>
      </c>
      <c r="E999" s="697">
        <v>3520000</v>
      </c>
      <c r="F999" s="698">
        <v>2358627</v>
      </c>
      <c r="G999" s="1002"/>
      <c r="H999" s="705"/>
      <c r="I999" s="705"/>
    </row>
    <row r="1000" spans="1:9" s="543" customFormat="1" ht="12.75">
      <c r="A1000" s="648" t="s">
        <v>1894</v>
      </c>
      <c r="B1000" s="630"/>
      <c r="C1000" s="1032" t="s">
        <v>2416</v>
      </c>
      <c r="D1000" s="597" t="s">
        <v>3796</v>
      </c>
      <c r="E1000" s="697">
        <v>2188476</v>
      </c>
      <c r="F1000" s="698">
        <v>1522120</v>
      </c>
      <c r="G1000" s="1002"/>
      <c r="H1000" s="705"/>
      <c r="I1000" s="705"/>
    </row>
    <row r="1001" spans="1:9" s="543" customFormat="1" ht="12.75">
      <c r="A1001" s="648" t="s">
        <v>1895</v>
      </c>
      <c r="B1001" s="630"/>
      <c r="C1001" s="1032" t="s">
        <v>2418</v>
      </c>
      <c r="D1001" s="597" t="s">
        <v>3796</v>
      </c>
      <c r="E1001" s="697">
        <v>1923323</v>
      </c>
      <c r="F1001" s="698">
        <v>1338135</v>
      </c>
      <c r="G1001" s="1002"/>
      <c r="H1001" s="705"/>
      <c r="I1001" s="705"/>
    </row>
    <row r="1002" spans="1:9" s="543" customFormat="1" ht="12.75">
      <c r="A1002" s="648" t="s">
        <v>1896</v>
      </c>
      <c r="B1002" s="630"/>
      <c r="C1002" s="1032" t="s">
        <v>2422</v>
      </c>
      <c r="D1002" s="597" t="s">
        <v>3796</v>
      </c>
      <c r="E1002" s="697">
        <v>336229</v>
      </c>
      <c r="F1002" s="698">
        <v>233081</v>
      </c>
      <c r="G1002" s="1002"/>
      <c r="H1002" s="705"/>
      <c r="I1002" s="705"/>
    </row>
    <row r="1003" spans="1:9" s="543" customFormat="1" ht="12.75">
      <c r="A1003" s="648" t="s">
        <v>1897</v>
      </c>
      <c r="B1003" s="630"/>
      <c r="C1003" s="1032" t="s">
        <v>2426</v>
      </c>
      <c r="D1003" s="597" t="s">
        <v>3796</v>
      </c>
      <c r="E1003" s="697">
        <v>1142708</v>
      </c>
      <c r="F1003" s="698">
        <v>794740</v>
      </c>
      <c r="G1003" s="1002"/>
      <c r="H1003" s="705"/>
      <c r="I1003" s="705"/>
    </row>
    <row r="1004" spans="1:9" s="543" customFormat="1" ht="12.75">
      <c r="A1004" s="648" t="s">
        <v>1898</v>
      </c>
      <c r="B1004" s="630"/>
      <c r="C1004" s="1032" t="s">
        <v>2428</v>
      </c>
      <c r="D1004" s="597" t="s">
        <v>3805</v>
      </c>
      <c r="E1004" s="697">
        <v>2974331</v>
      </c>
      <c r="F1004" s="698">
        <v>2070119</v>
      </c>
      <c r="G1004" s="1002"/>
      <c r="H1004" s="705"/>
      <c r="I1004" s="705"/>
    </row>
    <row r="1005" spans="1:9" s="543" customFormat="1" ht="12.75">
      <c r="A1005" s="648" t="s">
        <v>1899</v>
      </c>
      <c r="B1005" s="630"/>
      <c r="C1005" s="1032" t="s">
        <v>2433</v>
      </c>
      <c r="D1005" s="597" t="s">
        <v>3805</v>
      </c>
      <c r="E1005" s="697">
        <v>785318</v>
      </c>
      <c r="F1005" s="698">
        <v>545286</v>
      </c>
      <c r="G1005" s="1002"/>
      <c r="H1005" s="705"/>
      <c r="I1005" s="705"/>
    </row>
    <row r="1006" spans="1:9" s="543" customFormat="1" ht="12.75">
      <c r="A1006" s="648" t="s">
        <v>1900</v>
      </c>
      <c r="B1006" s="630"/>
      <c r="C1006" s="1032" t="s">
        <v>2439</v>
      </c>
      <c r="D1006" s="597" t="s">
        <v>3805</v>
      </c>
      <c r="E1006" s="697">
        <v>425576</v>
      </c>
      <c r="F1006" s="698">
        <v>296004</v>
      </c>
      <c r="G1006" s="1002"/>
      <c r="H1006" s="705"/>
      <c r="I1006" s="705"/>
    </row>
    <row r="1007" spans="1:9" s="543" customFormat="1" ht="12.75">
      <c r="A1007" s="648" t="s">
        <v>1901</v>
      </c>
      <c r="B1007" s="630"/>
      <c r="C1007" s="1032" t="s">
        <v>2441</v>
      </c>
      <c r="D1007" s="597" t="s">
        <v>3809</v>
      </c>
      <c r="E1007" s="697">
        <v>1975000</v>
      </c>
      <c r="F1007" s="698">
        <v>1323766</v>
      </c>
      <c r="G1007" s="1002"/>
      <c r="H1007" s="705"/>
      <c r="I1007" s="705"/>
    </row>
    <row r="1008" spans="1:9" s="543" customFormat="1" ht="12.75">
      <c r="A1008" s="648" t="s">
        <v>1902</v>
      </c>
      <c r="B1008" s="630"/>
      <c r="C1008" s="1032" t="s">
        <v>2444</v>
      </c>
      <c r="D1008" s="597" t="s">
        <v>3783</v>
      </c>
      <c r="E1008" s="697">
        <v>2200000</v>
      </c>
      <c r="F1008" s="698">
        <v>1473180</v>
      </c>
      <c r="G1008" s="1002"/>
      <c r="H1008" s="705"/>
      <c r="I1008" s="705"/>
    </row>
    <row r="1009" spans="1:9" s="543" customFormat="1" ht="12.75">
      <c r="A1009" s="648" t="s">
        <v>1903</v>
      </c>
      <c r="B1009" s="630"/>
      <c r="C1009" s="1032" t="s">
        <v>2447</v>
      </c>
      <c r="D1009" s="597" t="s">
        <v>3809</v>
      </c>
      <c r="E1009" s="697">
        <v>193000</v>
      </c>
      <c r="F1009" s="698">
        <v>128928</v>
      </c>
      <c r="G1009" s="1002"/>
      <c r="H1009" s="705"/>
      <c r="I1009" s="705"/>
    </row>
    <row r="1010" spans="1:9" s="543" customFormat="1" ht="12.75">
      <c r="A1010" s="648" t="s">
        <v>1904</v>
      </c>
      <c r="B1010" s="630"/>
      <c r="C1010" s="1032" t="s">
        <v>851</v>
      </c>
      <c r="D1010" s="597" t="s">
        <v>3813</v>
      </c>
      <c r="E1010" s="697">
        <v>2201060</v>
      </c>
      <c r="F1010" s="698">
        <v>1837560</v>
      </c>
      <c r="G1010" s="1002"/>
      <c r="H1010" s="705"/>
      <c r="I1010" s="705"/>
    </row>
    <row r="1011" spans="1:9" s="543" customFormat="1" ht="12.75">
      <c r="A1011" s="648" t="s">
        <v>1905</v>
      </c>
      <c r="B1011" s="630"/>
      <c r="C1011" s="1032" t="s">
        <v>2452</v>
      </c>
      <c r="D1011" s="597" t="s">
        <v>3809</v>
      </c>
      <c r="E1011" s="697">
        <v>3310560</v>
      </c>
      <c r="F1011" s="698">
        <v>2303198</v>
      </c>
      <c r="G1011" s="1002"/>
      <c r="H1011" s="705"/>
      <c r="I1011" s="705"/>
    </row>
    <row r="1012" spans="1:9" s="543" customFormat="1" ht="12.75">
      <c r="A1012" s="648" t="s">
        <v>1906</v>
      </c>
      <c r="B1012" s="630"/>
      <c r="C1012" s="1032" t="s">
        <v>3816</v>
      </c>
      <c r="D1012" s="597" t="s">
        <v>3809</v>
      </c>
      <c r="E1012" s="697">
        <v>1710000</v>
      </c>
      <c r="F1012" s="698">
        <v>1144266</v>
      </c>
      <c r="G1012" s="1002"/>
      <c r="H1012" s="705"/>
      <c r="I1012" s="705"/>
    </row>
    <row r="1013" spans="1:9" s="543" customFormat="1" ht="12.75">
      <c r="A1013" s="648" t="s">
        <v>1907</v>
      </c>
      <c r="B1013" s="630"/>
      <c r="C1013" s="1032" t="s">
        <v>2456</v>
      </c>
      <c r="D1013" s="597" t="s">
        <v>3809</v>
      </c>
      <c r="E1013" s="697">
        <v>5558355</v>
      </c>
      <c r="F1013" s="698">
        <v>3866304</v>
      </c>
      <c r="G1013" s="1002"/>
      <c r="H1013" s="705"/>
      <c r="I1013" s="705"/>
    </row>
    <row r="1014" spans="1:9" s="543" customFormat="1" ht="12.75">
      <c r="A1014" s="648" t="s">
        <v>1908</v>
      </c>
      <c r="B1014" s="630"/>
      <c r="C1014" s="1032" t="s">
        <v>2458</v>
      </c>
      <c r="D1014" s="597" t="s">
        <v>2471</v>
      </c>
      <c r="E1014" s="697">
        <v>4550000</v>
      </c>
      <c r="F1014" s="698">
        <v>3047682</v>
      </c>
      <c r="G1014" s="1002"/>
      <c r="H1014" s="705"/>
      <c r="I1014" s="705"/>
    </row>
    <row r="1015" spans="1:9" s="543" customFormat="1" ht="12.75">
      <c r="A1015" s="648" t="s">
        <v>1909</v>
      </c>
      <c r="B1015" s="630"/>
      <c r="C1015" s="1032" t="s">
        <v>2461</v>
      </c>
      <c r="D1015" s="597" t="s">
        <v>3809</v>
      </c>
      <c r="E1015" s="697">
        <v>445562</v>
      </c>
      <c r="F1015" s="698">
        <v>309104</v>
      </c>
      <c r="G1015" s="1002"/>
      <c r="H1015" s="705"/>
      <c r="I1015" s="705"/>
    </row>
    <row r="1016" spans="1:9" s="543" customFormat="1" ht="12.75">
      <c r="A1016" s="648" t="s">
        <v>1910</v>
      </c>
      <c r="B1016" s="630"/>
      <c r="C1016" s="1032" t="s">
        <v>2463</v>
      </c>
      <c r="D1016" s="597" t="s">
        <v>3809</v>
      </c>
      <c r="E1016" s="697">
        <v>3637383</v>
      </c>
      <c r="F1016" s="698">
        <v>2530237</v>
      </c>
      <c r="G1016" s="1002"/>
      <c r="H1016" s="705"/>
      <c r="I1016" s="705"/>
    </row>
    <row r="1017" spans="1:9" s="543" customFormat="1" ht="12.75">
      <c r="A1017" s="648" t="s">
        <v>1911</v>
      </c>
      <c r="B1017" s="630"/>
      <c r="C1017" s="1032" t="s">
        <v>2465</v>
      </c>
      <c r="D1017" s="597" t="s">
        <v>3809</v>
      </c>
      <c r="E1017" s="697">
        <v>432630</v>
      </c>
      <c r="F1017" s="698">
        <v>299970</v>
      </c>
      <c r="G1017" s="1002"/>
      <c r="H1017" s="705"/>
      <c r="I1017" s="705"/>
    </row>
    <row r="1018" spans="1:9" s="543" customFormat="1" ht="12.75">
      <c r="A1018" s="648" t="s">
        <v>1912</v>
      </c>
      <c r="B1018" s="630"/>
      <c r="C1018" s="1032" t="s">
        <v>2467</v>
      </c>
      <c r="D1018" s="597" t="s">
        <v>2471</v>
      </c>
      <c r="E1018" s="697">
        <v>2340000</v>
      </c>
      <c r="F1018" s="698">
        <v>1568256</v>
      </c>
      <c r="G1018" s="1002"/>
      <c r="H1018" s="705"/>
      <c r="I1018" s="705"/>
    </row>
    <row r="1019" spans="1:9" s="543" customFormat="1" ht="12.75">
      <c r="A1019" s="648" t="s">
        <v>1913</v>
      </c>
      <c r="B1019" s="630"/>
      <c r="C1019" s="1032" t="s">
        <v>2470</v>
      </c>
      <c r="D1019" s="597" t="s">
        <v>2471</v>
      </c>
      <c r="E1019" s="697">
        <v>6375000</v>
      </c>
      <c r="F1019" s="698">
        <v>4270132</v>
      </c>
      <c r="G1019" s="1002"/>
      <c r="H1019" s="705"/>
      <c r="I1019" s="705"/>
    </row>
    <row r="1020" spans="1:9" s="543" customFormat="1" ht="12.75">
      <c r="A1020" s="648" t="s">
        <v>1914</v>
      </c>
      <c r="B1020" s="630"/>
      <c r="C1020" s="1032" t="s">
        <v>2473</v>
      </c>
      <c r="D1020" s="597" t="s">
        <v>2474</v>
      </c>
      <c r="E1020" s="697">
        <v>38071073</v>
      </c>
      <c r="F1020" s="698">
        <v>25704933</v>
      </c>
      <c r="G1020" s="1002"/>
      <c r="H1020" s="705"/>
      <c r="I1020" s="705"/>
    </row>
    <row r="1021" spans="1:9" s="543" customFormat="1" ht="12.75">
      <c r="A1021" s="648" t="s">
        <v>1915</v>
      </c>
      <c r="B1021" s="630"/>
      <c r="C1021" s="1032" t="s">
        <v>2476</v>
      </c>
      <c r="D1021" s="597" t="s">
        <v>2471</v>
      </c>
      <c r="E1021" s="697">
        <v>2344196</v>
      </c>
      <c r="F1021" s="698">
        <v>1629993</v>
      </c>
      <c r="G1021" s="1002"/>
      <c r="H1021" s="705"/>
      <c r="I1021" s="705"/>
    </row>
    <row r="1022" spans="1:9" s="543" customFormat="1" ht="12.75">
      <c r="A1022" s="648" t="s">
        <v>1916</v>
      </c>
      <c r="B1022" s="630"/>
      <c r="C1022" s="1032" t="s">
        <v>2478</v>
      </c>
      <c r="D1022" s="597" t="s">
        <v>2471</v>
      </c>
      <c r="E1022" s="697">
        <v>992228</v>
      </c>
      <c r="F1022" s="698">
        <v>689235</v>
      </c>
      <c r="G1022" s="1002"/>
      <c r="H1022" s="705"/>
      <c r="I1022" s="705"/>
    </row>
    <row r="1023" spans="1:9" s="543" customFormat="1" ht="12.75">
      <c r="A1023" s="648" t="s">
        <v>1917</v>
      </c>
      <c r="B1023" s="630"/>
      <c r="C1023" s="1032" t="s">
        <v>2480</v>
      </c>
      <c r="D1023" s="597" t="s">
        <v>2471</v>
      </c>
      <c r="E1023" s="697">
        <v>2080856</v>
      </c>
      <c r="F1023" s="698">
        <v>1447596</v>
      </c>
      <c r="G1023" s="1002"/>
      <c r="H1023" s="705"/>
      <c r="I1023" s="705"/>
    </row>
    <row r="1024" spans="1:9" s="543" customFormat="1" ht="12.75">
      <c r="A1024" s="648" t="s">
        <v>2717</v>
      </c>
      <c r="B1024" s="630"/>
      <c r="C1024" s="1032" t="s">
        <v>2482</v>
      </c>
      <c r="D1024" s="597" t="s">
        <v>2471</v>
      </c>
      <c r="E1024" s="697">
        <v>303311</v>
      </c>
      <c r="F1024" s="698">
        <v>210835</v>
      </c>
      <c r="G1024" s="1002"/>
      <c r="H1024" s="705"/>
      <c r="I1024" s="705"/>
    </row>
    <row r="1025" spans="1:9" s="543" customFormat="1" ht="12.75">
      <c r="A1025" s="648" t="s">
        <v>2718</v>
      </c>
      <c r="B1025" s="630"/>
      <c r="C1025" s="1032" t="s">
        <v>2484</v>
      </c>
      <c r="D1025" s="597" t="s">
        <v>2471</v>
      </c>
      <c r="E1025" s="697">
        <v>8144730</v>
      </c>
      <c r="F1025" s="698">
        <v>5666792</v>
      </c>
      <c r="G1025" s="1002"/>
      <c r="H1025" s="705"/>
      <c r="I1025" s="705"/>
    </row>
    <row r="1026" spans="1:9" s="543" customFormat="1" ht="12.75">
      <c r="A1026" s="648" t="s">
        <v>2719</v>
      </c>
      <c r="B1026" s="630"/>
      <c r="C1026" s="1032" t="s">
        <v>2489</v>
      </c>
      <c r="D1026" s="597" t="s">
        <v>2471</v>
      </c>
      <c r="E1026" s="697">
        <v>13162297</v>
      </c>
      <c r="F1026" s="698">
        <v>9155891</v>
      </c>
      <c r="G1026" s="1002"/>
      <c r="H1026" s="705"/>
      <c r="I1026" s="705"/>
    </row>
    <row r="1027" spans="1:9" s="543" customFormat="1" ht="12.75">
      <c r="A1027" s="648" t="s">
        <v>2720</v>
      </c>
      <c r="B1027" s="630"/>
      <c r="C1027" s="1032" t="s">
        <v>2491</v>
      </c>
      <c r="D1027" s="597" t="s">
        <v>3832</v>
      </c>
      <c r="E1027" s="697">
        <v>1380800</v>
      </c>
      <c r="F1027" s="698">
        <v>1147417</v>
      </c>
      <c r="G1027" s="1002"/>
      <c r="H1027" s="705"/>
      <c r="I1027" s="705"/>
    </row>
    <row r="1028" spans="1:9" s="543" customFormat="1" ht="12.75">
      <c r="A1028" s="648" t="s">
        <v>2721</v>
      </c>
      <c r="B1028" s="630"/>
      <c r="C1028" s="1032" t="s">
        <v>3834</v>
      </c>
      <c r="D1028" s="597" t="s">
        <v>3809</v>
      </c>
      <c r="E1028" s="697">
        <v>1540000</v>
      </c>
      <c r="F1028" s="698">
        <v>1030461</v>
      </c>
      <c r="G1028" s="1002"/>
      <c r="H1028" s="705"/>
      <c r="I1028" s="705"/>
    </row>
    <row r="1029" spans="1:9" s="543" customFormat="1" ht="12.75">
      <c r="A1029" s="648" t="s">
        <v>2722</v>
      </c>
      <c r="B1029" s="630"/>
      <c r="C1029" s="1032" t="s">
        <v>2494</v>
      </c>
      <c r="D1029" s="597" t="s">
        <v>3836</v>
      </c>
      <c r="E1029" s="697">
        <v>380903</v>
      </c>
      <c r="F1029" s="698">
        <v>265663</v>
      </c>
      <c r="G1029" s="1002"/>
      <c r="H1029" s="705"/>
      <c r="I1029" s="705"/>
    </row>
    <row r="1030" spans="1:9" s="543" customFormat="1" ht="12.75">
      <c r="A1030" s="648" t="s">
        <v>2723</v>
      </c>
      <c r="B1030" s="630"/>
      <c r="C1030" s="1032" t="s">
        <v>2502</v>
      </c>
      <c r="D1030" s="597" t="s">
        <v>3809</v>
      </c>
      <c r="E1030" s="697">
        <v>1383000</v>
      </c>
      <c r="F1030" s="698">
        <v>925542</v>
      </c>
      <c r="G1030" s="1002"/>
      <c r="H1030" s="705"/>
      <c r="I1030" s="705"/>
    </row>
    <row r="1031" spans="1:9" s="543" customFormat="1" ht="12.75">
      <c r="A1031" s="648" t="s">
        <v>2724</v>
      </c>
      <c r="B1031" s="630"/>
      <c r="C1031" s="1032" t="s">
        <v>2504</v>
      </c>
      <c r="D1031" s="597" t="s">
        <v>3809</v>
      </c>
      <c r="E1031" s="697">
        <v>2888000</v>
      </c>
      <c r="F1031" s="698">
        <v>1935431</v>
      </c>
      <c r="G1031" s="1002"/>
      <c r="H1031" s="705"/>
      <c r="I1031" s="705"/>
    </row>
    <row r="1032" spans="1:9" s="543" customFormat="1" ht="12.75">
      <c r="A1032" s="648" t="s">
        <v>2725</v>
      </c>
      <c r="B1032" s="630"/>
      <c r="C1032" s="1032" t="s">
        <v>2506</v>
      </c>
      <c r="D1032" s="597" t="s">
        <v>3783</v>
      </c>
      <c r="E1032" s="697">
        <v>250000</v>
      </c>
      <c r="F1032" s="698">
        <v>166306</v>
      </c>
      <c r="G1032" s="1002"/>
      <c r="H1032" s="705"/>
      <c r="I1032" s="705"/>
    </row>
    <row r="1033" spans="1:9" s="543" customFormat="1" ht="12.75">
      <c r="A1033" s="648" t="s">
        <v>2726</v>
      </c>
      <c r="B1033" s="630"/>
      <c r="C1033" s="1032" t="s">
        <v>2508</v>
      </c>
      <c r="D1033" s="597" t="s">
        <v>3841</v>
      </c>
      <c r="E1033" s="697">
        <v>2118000</v>
      </c>
      <c r="F1033" s="698">
        <v>1418922</v>
      </c>
      <c r="G1033" s="1002"/>
      <c r="H1033" s="705"/>
      <c r="I1033" s="705"/>
    </row>
    <row r="1034" spans="1:9" s="543" customFormat="1" ht="12.75">
      <c r="A1034" s="648" t="s">
        <v>2727</v>
      </c>
      <c r="B1034" s="630"/>
      <c r="C1034" s="1032" t="s">
        <v>2511</v>
      </c>
      <c r="D1034" s="597" t="s">
        <v>3843</v>
      </c>
      <c r="E1034" s="697">
        <v>6435000</v>
      </c>
      <c r="F1034" s="698">
        <v>4310150</v>
      </c>
      <c r="G1034" s="1002"/>
      <c r="H1034" s="705"/>
      <c r="I1034" s="705"/>
    </row>
    <row r="1035" spans="1:9" s="543" customFormat="1" ht="12.75">
      <c r="A1035" s="648" t="s">
        <v>2728</v>
      </c>
      <c r="B1035" s="630"/>
      <c r="C1035" s="1032" t="s">
        <v>2513</v>
      </c>
      <c r="D1035" s="597" t="s">
        <v>3845</v>
      </c>
      <c r="E1035" s="697">
        <v>1034550</v>
      </c>
      <c r="F1035" s="698">
        <v>719746</v>
      </c>
      <c r="G1035" s="1002"/>
      <c r="H1035" s="705"/>
      <c r="I1035" s="705"/>
    </row>
    <row r="1036" spans="1:9" s="543" customFormat="1" ht="12.75">
      <c r="A1036" s="648" t="s">
        <v>2729</v>
      </c>
      <c r="B1036" s="630"/>
      <c r="C1036" s="1032" t="s">
        <v>2515</v>
      </c>
      <c r="D1036" s="597" t="s">
        <v>3843</v>
      </c>
      <c r="E1036" s="697">
        <v>213964</v>
      </c>
      <c r="F1036" s="698">
        <v>147915</v>
      </c>
      <c r="G1036" s="1002"/>
      <c r="H1036" s="705"/>
      <c r="I1036" s="705"/>
    </row>
    <row r="1037" spans="1:9" s="543" customFormat="1" ht="12.75">
      <c r="A1037" s="648" t="s">
        <v>2730</v>
      </c>
      <c r="B1037" s="630"/>
      <c r="C1037" s="1032" t="s">
        <v>3848</v>
      </c>
      <c r="D1037" s="597" t="s">
        <v>3849</v>
      </c>
      <c r="E1037" s="697">
        <v>3338000</v>
      </c>
      <c r="F1037" s="698">
        <v>2236822</v>
      </c>
      <c r="G1037" s="1002"/>
      <c r="H1037" s="705"/>
      <c r="I1037" s="705"/>
    </row>
    <row r="1038" spans="1:9" s="543" customFormat="1" ht="13.5" thickBot="1">
      <c r="A1038" s="648" t="s">
        <v>2731</v>
      </c>
      <c r="B1038" s="630"/>
      <c r="C1038" s="1032" t="s">
        <v>2518</v>
      </c>
      <c r="D1038" s="597" t="s">
        <v>3849</v>
      </c>
      <c r="E1038" s="697">
        <v>3825000</v>
      </c>
      <c r="F1038" s="698">
        <v>2563102</v>
      </c>
      <c r="G1038" s="1002"/>
      <c r="H1038" s="705"/>
      <c r="I1038" s="705"/>
    </row>
    <row r="1039" spans="1:9" s="543" customFormat="1" ht="48.75" thickBot="1">
      <c r="A1039" s="605" t="s">
        <v>4597</v>
      </c>
      <c r="B1039" s="606" t="s">
        <v>4601</v>
      </c>
      <c r="C1039" s="1008" t="s">
        <v>4602</v>
      </c>
      <c r="D1039" s="606" t="s">
        <v>4603</v>
      </c>
      <c r="E1039" s="1171" t="s">
        <v>4604</v>
      </c>
      <c r="F1039" s="739" t="s">
        <v>4605</v>
      </c>
      <c r="G1039" s="1002"/>
      <c r="H1039" s="705"/>
      <c r="I1039" s="705"/>
    </row>
    <row r="1040" spans="1:9" s="543" customFormat="1" ht="12.75">
      <c r="A1040" s="648" t="s">
        <v>2732</v>
      </c>
      <c r="B1040" s="630"/>
      <c r="C1040" s="1032" t="s">
        <v>2520</v>
      </c>
      <c r="D1040" s="597" t="s">
        <v>3783</v>
      </c>
      <c r="E1040" s="697">
        <v>3780000</v>
      </c>
      <c r="F1040" s="698">
        <v>2531173</v>
      </c>
      <c r="G1040" s="1002"/>
      <c r="H1040" s="705"/>
      <c r="I1040" s="705"/>
    </row>
    <row r="1041" spans="1:9" s="543" customFormat="1" ht="12.75">
      <c r="A1041" s="648" t="s">
        <v>2733</v>
      </c>
      <c r="B1041" s="630"/>
      <c r="C1041" s="1032" t="s">
        <v>2522</v>
      </c>
      <c r="D1041" s="597" t="s">
        <v>3809</v>
      </c>
      <c r="E1041" s="697">
        <v>7425000</v>
      </c>
      <c r="F1041" s="698">
        <v>4974230</v>
      </c>
      <c r="G1041" s="1002"/>
      <c r="H1041" s="705"/>
      <c r="I1041" s="705"/>
    </row>
    <row r="1042" spans="1:9" s="543" customFormat="1" ht="12.75">
      <c r="A1042" s="648" t="s">
        <v>2734</v>
      </c>
      <c r="B1042" s="630"/>
      <c r="C1042" s="1032" t="s">
        <v>2524</v>
      </c>
      <c r="D1042" s="597" t="s">
        <v>3843</v>
      </c>
      <c r="E1042" s="697">
        <v>1760000</v>
      </c>
      <c r="F1042" s="698">
        <v>1178038</v>
      </c>
      <c r="G1042" s="1002"/>
      <c r="H1042" s="705"/>
      <c r="I1042" s="705"/>
    </row>
    <row r="1043" spans="1:9" s="543" customFormat="1" ht="12.75">
      <c r="A1043" s="648" t="s">
        <v>2735</v>
      </c>
      <c r="B1043" s="630"/>
      <c r="C1043" s="1032" t="s">
        <v>2526</v>
      </c>
      <c r="D1043" s="597" t="s">
        <v>3855</v>
      </c>
      <c r="E1043" s="697">
        <v>5729996</v>
      </c>
      <c r="F1043" s="698">
        <v>3985946</v>
      </c>
      <c r="G1043" s="1002"/>
      <c r="H1043" s="705"/>
      <c r="I1043" s="705"/>
    </row>
    <row r="1044" spans="1:9" s="543" customFormat="1" ht="12.75">
      <c r="A1044" s="648" t="s">
        <v>2736</v>
      </c>
      <c r="B1044" s="630"/>
      <c r="C1044" s="1032" t="s">
        <v>2529</v>
      </c>
      <c r="D1044" s="597" t="s">
        <v>3855</v>
      </c>
      <c r="E1044" s="697">
        <v>3322316</v>
      </c>
      <c r="F1044" s="698">
        <v>2311300</v>
      </c>
      <c r="G1044" s="1002"/>
      <c r="H1044" s="705"/>
      <c r="I1044" s="705"/>
    </row>
    <row r="1045" spans="1:9" s="543" customFormat="1" ht="12.75">
      <c r="A1045" s="648" t="s">
        <v>2737</v>
      </c>
      <c r="B1045" s="630"/>
      <c r="C1045" s="1032" t="s">
        <v>2531</v>
      </c>
      <c r="D1045" s="597" t="s">
        <v>3855</v>
      </c>
      <c r="E1045" s="697">
        <v>3355234</v>
      </c>
      <c r="F1045" s="698">
        <v>2333537</v>
      </c>
      <c r="G1045" s="1002"/>
      <c r="H1045" s="705"/>
      <c r="I1045" s="705"/>
    </row>
    <row r="1046" spans="1:9" s="543" customFormat="1" ht="12.75">
      <c r="A1046" s="648" t="s">
        <v>2738</v>
      </c>
      <c r="B1046" s="630"/>
      <c r="C1046" s="1032" t="s">
        <v>2533</v>
      </c>
      <c r="D1046" s="597" t="s">
        <v>3855</v>
      </c>
      <c r="E1046" s="697">
        <v>1168571</v>
      </c>
      <c r="F1046" s="698">
        <v>813019</v>
      </c>
      <c r="G1046" s="1002"/>
      <c r="H1046" s="705"/>
      <c r="I1046" s="705"/>
    </row>
    <row r="1047" spans="1:9" s="543" customFormat="1" ht="12.75">
      <c r="A1047" s="648" t="s">
        <v>2739</v>
      </c>
      <c r="B1047" s="630"/>
      <c r="C1047" s="1032" t="s">
        <v>2535</v>
      </c>
      <c r="D1047" s="597" t="s">
        <v>3855</v>
      </c>
      <c r="E1047" s="697">
        <v>618379</v>
      </c>
      <c r="F1047" s="698">
        <v>429783</v>
      </c>
      <c r="G1047" s="1002"/>
      <c r="H1047" s="705"/>
      <c r="I1047" s="705"/>
    </row>
    <row r="1048" spans="1:9" s="543" customFormat="1" ht="12.75">
      <c r="A1048" s="648" t="s">
        <v>2740</v>
      </c>
      <c r="B1048" s="630"/>
      <c r="C1048" s="1032" t="s">
        <v>2537</v>
      </c>
      <c r="D1048" s="597" t="s">
        <v>3855</v>
      </c>
      <c r="E1048" s="697">
        <v>2280713</v>
      </c>
      <c r="F1048" s="698">
        <v>1587587</v>
      </c>
      <c r="G1048" s="1002"/>
      <c r="H1048" s="705"/>
      <c r="I1048" s="705"/>
    </row>
    <row r="1049" spans="1:9" s="543" customFormat="1" ht="12.75">
      <c r="A1049" s="648" t="s">
        <v>2741</v>
      </c>
      <c r="B1049" s="630"/>
      <c r="C1049" s="1032" t="s">
        <v>2539</v>
      </c>
      <c r="D1049" s="597" t="s">
        <v>3809</v>
      </c>
      <c r="E1049" s="697">
        <v>3705000</v>
      </c>
      <c r="F1049" s="698">
        <v>2480515</v>
      </c>
      <c r="G1049" s="1002"/>
      <c r="H1049" s="705"/>
      <c r="I1049" s="705"/>
    </row>
    <row r="1050" spans="1:9" s="543" customFormat="1" ht="12.75">
      <c r="A1050" s="648" t="s">
        <v>2742</v>
      </c>
      <c r="B1050" s="630"/>
      <c r="C1050" s="1032" t="s">
        <v>2541</v>
      </c>
      <c r="D1050" s="597" t="s">
        <v>3855</v>
      </c>
      <c r="E1050" s="697">
        <v>11730000</v>
      </c>
      <c r="F1050" s="698">
        <v>7857452</v>
      </c>
      <c r="G1050" s="1002"/>
      <c r="H1050" s="705"/>
      <c r="I1050" s="705"/>
    </row>
    <row r="1051" spans="1:9" s="543" customFormat="1" ht="12.75">
      <c r="A1051" s="648" t="s">
        <v>2743</v>
      </c>
      <c r="B1051" s="630"/>
      <c r="C1051" s="1032" t="s">
        <v>2544</v>
      </c>
      <c r="D1051" s="597" t="s">
        <v>3864</v>
      </c>
      <c r="E1051" s="697">
        <v>5464305</v>
      </c>
      <c r="F1051" s="698">
        <v>3801483</v>
      </c>
      <c r="G1051" s="1002"/>
      <c r="H1051" s="705"/>
      <c r="I1051" s="705"/>
    </row>
    <row r="1052" spans="1:9" s="543" customFormat="1" ht="12.75">
      <c r="A1052" s="648" t="s">
        <v>2744</v>
      </c>
      <c r="B1052" s="630"/>
      <c r="C1052" s="1032" t="s">
        <v>2547</v>
      </c>
      <c r="D1052" s="597" t="s">
        <v>3864</v>
      </c>
      <c r="E1052" s="697">
        <v>1225000</v>
      </c>
      <c r="F1052" s="698">
        <v>819743</v>
      </c>
      <c r="G1052" s="1002"/>
      <c r="H1052" s="705"/>
      <c r="I1052" s="705"/>
    </row>
    <row r="1053" spans="1:9" s="543" customFormat="1" ht="12.75">
      <c r="A1053" s="648" t="s">
        <v>2745</v>
      </c>
      <c r="B1053" s="630"/>
      <c r="C1053" s="1032" t="s">
        <v>2549</v>
      </c>
      <c r="D1053" s="597" t="s">
        <v>3867</v>
      </c>
      <c r="E1053" s="697">
        <v>8973000</v>
      </c>
      <c r="F1053" s="698">
        <v>6009171</v>
      </c>
      <c r="G1053" s="1002"/>
      <c r="H1053" s="705"/>
      <c r="I1053" s="705"/>
    </row>
    <row r="1054" spans="1:9" s="543" customFormat="1" ht="12.75">
      <c r="A1054" s="648" t="s">
        <v>2746</v>
      </c>
      <c r="B1054" s="630"/>
      <c r="C1054" s="1032" t="s">
        <v>2552</v>
      </c>
      <c r="D1054" s="597" t="s">
        <v>3855</v>
      </c>
      <c r="E1054" s="697">
        <v>5424334</v>
      </c>
      <c r="F1054" s="698">
        <v>3773036</v>
      </c>
      <c r="G1054" s="1002"/>
      <c r="H1054" s="705"/>
      <c r="I1054" s="705"/>
    </row>
    <row r="1055" spans="1:9" s="543" customFormat="1" ht="12.75" customHeight="1">
      <c r="A1055" s="648" t="s">
        <v>2747</v>
      </c>
      <c r="B1055" s="630"/>
      <c r="C1055" s="1032" t="s">
        <v>2557</v>
      </c>
      <c r="D1055" s="597" t="s">
        <v>3870</v>
      </c>
      <c r="E1055" s="697">
        <v>110509</v>
      </c>
      <c r="F1055" s="698">
        <v>77060</v>
      </c>
      <c r="G1055" s="1002"/>
      <c r="H1055" s="705"/>
      <c r="I1055" s="705"/>
    </row>
    <row r="1056" spans="1:9" s="543" customFormat="1" ht="12.75">
      <c r="A1056" s="648" t="s">
        <v>2748</v>
      </c>
      <c r="B1056" s="630"/>
      <c r="C1056" s="1032" t="s">
        <v>2565</v>
      </c>
      <c r="D1056" s="597" t="s">
        <v>3783</v>
      </c>
      <c r="E1056" s="697">
        <v>3780000</v>
      </c>
      <c r="F1056" s="698">
        <v>2531173</v>
      </c>
      <c r="G1056" s="1002"/>
      <c r="H1056" s="705"/>
      <c r="I1056" s="705"/>
    </row>
    <row r="1057" spans="1:9" s="543" customFormat="1" ht="12.75">
      <c r="A1057" s="648" t="s">
        <v>2749</v>
      </c>
      <c r="B1057" s="630"/>
      <c r="C1057" s="1032" t="s">
        <v>2567</v>
      </c>
      <c r="D1057" s="597" t="s">
        <v>3870</v>
      </c>
      <c r="E1057" s="697">
        <v>2700000</v>
      </c>
      <c r="F1057" s="698">
        <v>1808346</v>
      </c>
      <c r="G1057" s="1002"/>
      <c r="H1057" s="705"/>
      <c r="I1057" s="705"/>
    </row>
    <row r="1058" spans="1:9" s="543" customFormat="1" ht="12.75">
      <c r="A1058" s="648" t="s">
        <v>2750</v>
      </c>
      <c r="B1058" s="630"/>
      <c r="C1058" s="1032" t="s">
        <v>2569</v>
      </c>
      <c r="D1058" s="597" t="s">
        <v>3870</v>
      </c>
      <c r="E1058" s="697">
        <v>2070000</v>
      </c>
      <c r="F1058" s="698">
        <v>1386910</v>
      </c>
      <c r="G1058" s="1002"/>
      <c r="H1058" s="705"/>
      <c r="I1058" s="705"/>
    </row>
    <row r="1059" spans="1:9" s="543" customFormat="1" ht="12.75">
      <c r="A1059" s="648" t="s">
        <v>2751</v>
      </c>
      <c r="B1059" s="630"/>
      <c r="C1059" s="1032" t="s">
        <v>2571</v>
      </c>
      <c r="D1059" s="597" t="s">
        <v>3870</v>
      </c>
      <c r="E1059" s="697">
        <v>3080000</v>
      </c>
      <c r="F1059" s="698">
        <v>2063476</v>
      </c>
      <c r="G1059" s="1002"/>
      <c r="H1059" s="705"/>
      <c r="I1059" s="705"/>
    </row>
    <row r="1060" spans="1:9" s="543" customFormat="1" ht="12.75">
      <c r="A1060" s="648" t="s">
        <v>2752</v>
      </c>
      <c r="B1060" s="630"/>
      <c r="C1060" s="1032" t="s">
        <v>2573</v>
      </c>
      <c r="D1060" s="597" t="s">
        <v>3870</v>
      </c>
      <c r="E1060" s="697">
        <v>2990000</v>
      </c>
      <c r="F1060" s="698">
        <v>2002178</v>
      </c>
      <c r="G1060" s="1002"/>
      <c r="H1060" s="705"/>
      <c r="I1060" s="705"/>
    </row>
    <row r="1061" spans="1:9" s="543" customFormat="1" ht="12.75">
      <c r="A1061" s="648" t="s">
        <v>2753</v>
      </c>
      <c r="B1061" s="630"/>
      <c r="C1061" s="1032" t="s">
        <v>2575</v>
      </c>
      <c r="D1061" s="597" t="s">
        <v>3783</v>
      </c>
      <c r="E1061" s="697">
        <v>281000</v>
      </c>
      <c r="F1061" s="698">
        <v>188466</v>
      </c>
      <c r="G1061" s="1002"/>
      <c r="H1061" s="705"/>
      <c r="I1061" s="705"/>
    </row>
    <row r="1062" spans="1:9" s="543" customFormat="1" ht="12.75">
      <c r="A1062" s="648" t="s">
        <v>2754</v>
      </c>
      <c r="B1062" s="630"/>
      <c r="C1062" s="1032" t="s">
        <v>2577</v>
      </c>
      <c r="D1062" s="597" t="s">
        <v>3864</v>
      </c>
      <c r="E1062" s="697">
        <v>3772000</v>
      </c>
      <c r="F1062" s="698">
        <v>2526690</v>
      </c>
      <c r="G1062" s="1002"/>
      <c r="H1062" s="705"/>
      <c r="I1062" s="705"/>
    </row>
    <row r="1063" spans="1:9" s="543" customFormat="1" ht="12.75">
      <c r="A1063" s="648" t="s">
        <v>2755</v>
      </c>
      <c r="B1063" s="630"/>
      <c r="C1063" s="1032" t="s">
        <v>2585</v>
      </c>
      <c r="D1063" s="597" t="s">
        <v>3783</v>
      </c>
      <c r="E1063" s="697">
        <v>7695000</v>
      </c>
      <c r="F1063" s="698">
        <v>5155576</v>
      </c>
      <c r="G1063" s="1002"/>
      <c r="H1063" s="705"/>
      <c r="I1063" s="705"/>
    </row>
    <row r="1064" spans="1:9" s="543" customFormat="1" ht="12.75">
      <c r="A1064" s="648" t="s">
        <v>2756</v>
      </c>
      <c r="B1064" s="630"/>
      <c r="C1064" s="1032" t="s">
        <v>2587</v>
      </c>
      <c r="D1064" s="597" t="s">
        <v>3783</v>
      </c>
      <c r="E1064" s="697">
        <v>3783000</v>
      </c>
      <c r="F1064" s="698">
        <v>2533810</v>
      </c>
      <c r="G1064" s="1002"/>
      <c r="H1064" s="705"/>
      <c r="I1064" s="705"/>
    </row>
    <row r="1065" spans="1:9" s="543" customFormat="1" ht="12.75">
      <c r="A1065" s="648" t="s">
        <v>2757</v>
      </c>
      <c r="B1065" s="630"/>
      <c r="C1065" s="1032" t="s">
        <v>2589</v>
      </c>
      <c r="D1065" s="597" t="s">
        <v>3864</v>
      </c>
      <c r="E1065" s="697">
        <v>9520211</v>
      </c>
      <c r="F1065" s="698">
        <v>6623764</v>
      </c>
      <c r="G1065" s="1002"/>
      <c r="H1065" s="705"/>
      <c r="I1065" s="705"/>
    </row>
    <row r="1066" spans="1:9" s="543" customFormat="1" ht="12.75">
      <c r="A1066" s="648" t="s">
        <v>2758</v>
      </c>
      <c r="B1066" s="630"/>
      <c r="C1066" s="1032" t="s">
        <v>2591</v>
      </c>
      <c r="D1066" s="597" t="s">
        <v>3845</v>
      </c>
      <c r="E1066" s="697">
        <v>1866370</v>
      </c>
      <c r="F1066" s="698">
        <v>1299228</v>
      </c>
      <c r="G1066" s="1002"/>
      <c r="H1066" s="705"/>
      <c r="I1066" s="705"/>
    </row>
    <row r="1067" spans="1:9" s="543" customFormat="1" ht="12.75">
      <c r="A1067" s="648" t="s">
        <v>2759</v>
      </c>
      <c r="B1067" s="630"/>
      <c r="C1067" s="1032" t="s">
        <v>2593</v>
      </c>
      <c r="D1067" s="597" t="s">
        <v>3883</v>
      </c>
      <c r="E1067" s="697">
        <v>82294</v>
      </c>
      <c r="F1067" s="698">
        <v>56716</v>
      </c>
      <c r="G1067" s="1002"/>
      <c r="H1067" s="705"/>
      <c r="I1067" s="705"/>
    </row>
    <row r="1068" spans="1:9" s="543" customFormat="1" ht="12.75">
      <c r="A1068" s="648" t="s">
        <v>2760</v>
      </c>
      <c r="B1068" s="630"/>
      <c r="C1068" s="1032" t="s">
        <v>2596</v>
      </c>
      <c r="D1068" s="597" t="s">
        <v>3845</v>
      </c>
      <c r="E1068" s="697">
        <v>902096</v>
      </c>
      <c r="F1068" s="698">
        <v>627864</v>
      </c>
      <c r="G1068" s="1002"/>
      <c r="H1068" s="705"/>
      <c r="I1068" s="705"/>
    </row>
    <row r="1069" spans="1:9" s="543" customFormat="1" ht="12.75">
      <c r="A1069" s="648" t="s">
        <v>2761</v>
      </c>
      <c r="B1069" s="630"/>
      <c r="C1069" s="1032" t="s">
        <v>2598</v>
      </c>
      <c r="D1069" s="597" t="s">
        <v>3886</v>
      </c>
      <c r="E1069" s="697">
        <v>1486000</v>
      </c>
      <c r="F1069" s="698">
        <v>995726</v>
      </c>
      <c r="G1069" s="1002"/>
      <c r="H1069" s="705"/>
      <c r="I1069" s="705"/>
    </row>
    <row r="1070" spans="1:9" s="543" customFormat="1" ht="12.75">
      <c r="A1070" s="648" t="s">
        <v>2762</v>
      </c>
      <c r="B1070" s="630"/>
      <c r="C1070" s="1032" t="s">
        <v>2601</v>
      </c>
      <c r="D1070" s="597" t="s">
        <v>3883</v>
      </c>
      <c r="E1070" s="697">
        <v>9865845</v>
      </c>
      <c r="F1070" s="698">
        <v>6862873</v>
      </c>
      <c r="G1070" s="1002"/>
      <c r="H1070" s="705"/>
      <c r="I1070" s="705"/>
    </row>
    <row r="1071" spans="1:9" s="543" customFormat="1" ht="12.75">
      <c r="A1071" s="648" t="s">
        <v>2763</v>
      </c>
      <c r="B1071" s="630"/>
      <c r="C1071" s="1032" t="s">
        <v>2603</v>
      </c>
      <c r="D1071" s="597" t="s">
        <v>3783</v>
      </c>
      <c r="E1071" s="697">
        <v>2000000</v>
      </c>
      <c r="F1071" s="698">
        <v>1340652</v>
      </c>
      <c r="G1071" s="1002"/>
      <c r="H1071" s="705"/>
      <c r="I1071" s="705"/>
    </row>
    <row r="1072" spans="1:9" s="543" customFormat="1" ht="12.75">
      <c r="A1072" s="648" t="s">
        <v>2764</v>
      </c>
      <c r="B1072" s="630"/>
      <c r="C1072" s="1032" t="s">
        <v>2606</v>
      </c>
      <c r="D1072" s="597" t="s">
        <v>3883</v>
      </c>
      <c r="E1072" s="697">
        <v>2172555</v>
      </c>
      <c r="F1072" s="698">
        <v>1510351</v>
      </c>
      <c r="G1072" s="1002"/>
      <c r="H1072" s="705"/>
      <c r="I1072" s="705"/>
    </row>
    <row r="1073" spans="1:9" s="543" customFormat="1" ht="12.75">
      <c r="A1073" s="648" t="s">
        <v>2765</v>
      </c>
      <c r="B1073" s="630"/>
      <c r="C1073" s="1032" t="s">
        <v>2608</v>
      </c>
      <c r="D1073" s="597" t="s">
        <v>3886</v>
      </c>
      <c r="E1073" s="697">
        <v>10658000</v>
      </c>
      <c r="F1073" s="698">
        <v>7139108</v>
      </c>
      <c r="G1073" s="1002"/>
      <c r="H1073" s="705"/>
      <c r="I1073" s="705"/>
    </row>
    <row r="1074" spans="1:9" s="543" customFormat="1" ht="12.75">
      <c r="A1074" s="648" t="s">
        <v>2766</v>
      </c>
      <c r="B1074" s="630"/>
      <c r="C1074" s="1032" t="s">
        <v>2610</v>
      </c>
      <c r="D1074" s="597" t="s">
        <v>3883</v>
      </c>
      <c r="E1074" s="697">
        <v>6835530</v>
      </c>
      <c r="F1074" s="698">
        <v>4754700</v>
      </c>
      <c r="G1074" s="1002"/>
      <c r="H1074" s="705"/>
      <c r="I1074" s="705"/>
    </row>
    <row r="1075" spans="1:9" s="543" customFormat="1" ht="12.75">
      <c r="A1075" s="648" t="s">
        <v>2767</v>
      </c>
      <c r="B1075" s="630"/>
      <c r="C1075" s="1032" t="s">
        <v>3893</v>
      </c>
      <c r="D1075" s="597" t="s">
        <v>3886</v>
      </c>
      <c r="E1075" s="697">
        <v>1015000</v>
      </c>
      <c r="F1075" s="698">
        <v>680969</v>
      </c>
      <c r="G1075" s="1002"/>
      <c r="H1075" s="705"/>
      <c r="I1075" s="705"/>
    </row>
    <row r="1076" spans="1:9" s="694" customFormat="1" ht="12.75">
      <c r="A1076" s="648" t="s">
        <v>2768</v>
      </c>
      <c r="B1076" s="726"/>
      <c r="C1076" s="1041" t="s">
        <v>2616</v>
      </c>
      <c r="D1076" s="675" t="s">
        <v>3883</v>
      </c>
      <c r="E1076" s="697">
        <v>875000</v>
      </c>
      <c r="F1076" s="698">
        <v>585896</v>
      </c>
      <c r="G1076" s="1047"/>
      <c r="H1076" s="708"/>
      <c r="I1076" s="708"/>
    </row>
    <row r="1077" spans="1:9" s="543" customFormat="1" ht="12.75">
      <c r="A1077" s="648" t="s">
        <v>2769</v>
      </c>
      <c r="B1077" s="630"/>
      <c r="C1077" s="1032" t="s">
        <v>2618</v>
      </c>
      <c r="D1077" s="597" t="s">
        <v>3886</v>
      </c>
      <c r="E1077" s="697">
        <v>940000</v>
      </c>
      <c r="F1077" s="698">
        <v>630311</v>
      </c>
      <c r="G1077" s="1002"/>
      <c r="H1077" s="705"/>
      <c r="I1077" s="705"/>
    </row>
    <row r="1078" spans="1:9" s="543" customFormat="1" ht="12.75">
      <c r="A1078" s="648" t="s">
        <v>2770</v>
      </c>
      <c r="B1078" s="630"/>
      <c r="C1078" s="1032" t="s">
        <v>2620</v>
      </c>
      <c r="D1078" s="597" t="s">
        <v>3886</v>
      </c>
      <c r="E1078" s="697">
        <v>920000</v>
      </c>
      <c r="F1078" s="698">
        <v>615268</v>
      </c>
      <c r="G1078" s="1002"/>
      <c r="H1078" s="705"/>
      <c r="I1078" s="705"/>
    </row>
    <row r="1079" spans="1:9" s="543" customFormat="1" ht="12.75">
      <c r="A1079" s="648" t="s">
        <v>2771</v>
      </c>
      <c r="B1079" s="630"/>
      <c r="C1079" s="1032" t="s">
        <v>2622</v>
      </c>
      <c r="D1079" s="597" t="s">
        <v>3883</v>
      </c>
      <c r="E1079" s="697">
        <v>959310</v>
      </c>
      <c r="F1079" s="698">
        <v>666996</v>
      </c>
      <c r="G1079" s="1002"/>
      <c r="H1079" s="705"/>
      <c r="I1079" s="705"/>
    </row>
    <row r="1080" spans="1:9" s="543" customFormat="1" ht="12.75">
      <c r="A1080" s="648" t="s">
        <v>2772</v>
      </c>
      <c r="B1080" s="630"/>
      <c r="C1080" s="1032" t="s">
        <v>2624</v>
      </c>
      <c r="D1080" s="597" t="s">
        <v>3883</v>
      </c>
      <c r="E1080" s="697">
        <v>1147410</v>
      </c>
      <c r="F1080" s="698">
        <v>798878</v>
      </c>
      <c r="G1080" s="1002"/>
      <c r="H1080" s="705"/>
      <c r="I1080" s="705"/>
    </row>
    <row r="1081" spans="1:9" s="543" customFormat="1" ht="12.75">
      <c r="A1081" s="648" t="s">
        <v>2773</v>
      </c>
      <c r="B1081" s="630"/>
      <c r="C1081" s="1032" t="s">
        <v>2626</v>
      </c>
      <c r="D1081" s="597" t="s">
        <v>3886</v>
      </c>
      <c r="E1081" s="697">
        <v>2125000</v>
      </c>
      <c r="F1081" s="698">
        <v>1422528</v>
      </c>
      <c r="G1081" s="1002"/>
      <c r="H1081" s="705"/>
      <c r="I1081" s="705"/>
    </row>
    <row r="1082" spans="1:9" s="543" customFormat="1" ht="12.75">
      <c r="A1082" s="648" t="s">
        <v>2774</v>
      </c>
      <c r="B1082" s="630"/>
      <c r="C1082" s="1032" t="s">
        <v>2628</v>
      </c>
      <c r="D1082" s="597" t="s">
        <v>3783</v>
      </c>
      <c r="E1082" s="697">
        <v>500000</v>
      </c>
      <c r="F1082" s="698">
        <v>335160</v>
      </c>
      <c r="G1082" s="1002"/>
      <c r="H1082" s="705"/>
      <c r="I1082" s="705"/>
    </row>
    <row r="1083" spans="1:9" s="543" customFormat="1" ht="12.75">
      <c r="A1083" s="648" t="s">
        <v>2775</v>
      </c>
      <c r="B1083" s="630"/>
      <c r="C1083" s="1032" t="s">
        <v>2630</v>
      </c>
      <c r="D1083" s="597" t="s">
        <v>3883</v>
      </c>
      <c r="E1083" s="697">
        <v>3515119</v>
      </c>
      <c r="F1083" s="698">
        <v>2445081</v>
      </c>
      <c r="G1083" s="1002"/>
      <c r="H1083" s="705"/>
      <c r="I1083" s="705"/>
    </row>
    <row r="1084" spans="1:9" s="543" customFormat="1" ht="12.75">
      <c r="A1084" s="648" t="s">
        <v>2776</v>
      </c>
      <c r="B1084" s="630"/>
      <c r="C1084" s="1032" t="s">
        <v>3903</v>
      </c>
      <c r="D1084" s="597" t="s">
        <v>3883</v>
      </c>
      <c r="E1084" s="697">
        <v>1406047</v>
      </c>
      <c r="F1084" s="698">
        <v>977134</v>
      </c>
      <c r="G1084" s="1002"/>
      <c r="H1084" s="705"/>
      <c r="I1084" s="705"/>
    </row>
    <row r="1085" spans="1:9" s="543" customFormat="1" ht="12.75">
      <c r="A1085" s="648" t="s">
        <v>2777</v>
      </c>
      <c r="B1085" s="630"/>
      <c r="C1085" s="1032" t="s">
        <v>2634</v>
      </c>
      <c r="D1085" s="597" t="s">
        <v>3886</v>
      </c>
      <c r="E1085" s="697">
        <v>2600000</v>
      </c>
      <c r="F1085" s="698">
        <v>1740802</v>
      </c>
      <c r="G1085" s="1002"/>
      <c r="H1085" s="705"/>
      <c r="I1085" s="705"/>
    </row>
    <row r="1086" spans="1:9" s="543" customFormat="1" ht="12.75">
      <c r="A1086" s="648" t="s">
        <v>2072</v>
      </c>
      <c r="B1086" s="630"/>
      <c r="C1086" s="1032" t="s">
        <v>2639</v>
      </c>
      <c r="D1086" s="597" t="s">
        <v>3886</v>
      </c>
      <c r="E1086" s="697">
        <v>1100000</v>
      </c>
      <c r="F1086" s="698">
        <v>737870</v>
      </c>
      <c r="G1086" s="1002"/>
      <c r="H1086" s="705"/>
      <c r="I1086" s="705"/>
    </row>
    <row r="1087" spans="1:9" s="543" customFormat="1" ht="12.75">
      <c r="A1087" s="648" t="s">
        <v>2073</v>
      </c>
      <c r="B1087" s="630"/>
      <c r="C1087" s="1032" t="s">
        <v>5202</v>
      </c>
      <c r="D1087" s="597" t="s">
        <v>3886</v>
      </c>
      <c r="E1087" s="697">
        <v>2175000</v>
      </c>
      <c r="F1087" s="698">
        <v>1456294</v>
      </c>
      <c r="G1087" s="1002"/>
      <c r="H1087" s="705"/>
      <c r="I1087" s="705"/>
    </row>
    <row r="1088" spans="1:9" s="543" customFormat="1" ht="12.75">
      <c r="A1088" s="648" t="s">
        <v>2074</v>
      </c>
      <c r="B1088" s="630"/>
      <c r="C1088" s="1032" t="s">
        <v>2641</v>
      </c>
      <c r="D1088" s="597" t="s">
        <v>3908</v>
      </c>
      <c r="E1088" s="697">
        <v>252000</v>
      </c>
      <c r="F1088" s="698">
        <v>168060</v>
      </c>
      <c r="G1088" s="1002"/>
      <c r="H1088" s="705"/>
      <c r="I1088" s="705"/>
    </row>
    <row r="1089" spans="1:9" s="543" customFormat="1" ht="12.75">
      <c r="A1089" s="648" t="s">
        <v>2075</v>
      </c>
      <c r="B1089" s="630"/>
      <c r="C1089" s="1032" t="s">
        <v>2644</v>
      </c>
      <c r="D1089" s="597" t="s">
        <v>3751</v>
      </c>
      <c r="E1089" s="697">
        <v>6888000</v>
      </c>
      <c r="F1089" s="698">
        <v>4614178</v>
      </c>
      <c r="G1089" s="1002"/>
      <c r="H1089" s="705"/>
      <c r="I1089" s="705"/>
    </row>
    <row r="1090" spans="1:9" s="543" customFormat="1" ht="12.75">
      <c r="A1090" s="648" t="s">
        <v>2076</v>
      </c>
      <c r="B1090" s="630"/>
      <c r="C1090" s="1032" t="s">
        <v>2652</v>
      </c>
      <c r="D1090" s="597" t="s">
        <v>3911</v>
      </c>
      <c r="E1090" s="697">
        <v>43650000</v>
      </c>
      <c r="F1090" s="698">
        <v>29237484</v>
      </c>
      <c r="G1090" s="1002"/>
      <c r="H1090" s="705"/>
      <c r="I1090" s="705"/>
    </row>
    <row r="1091" spans="1:9" s="543" customFormat="1" ht="12.75">
      <c r="A1091" s="648" t="s">
        <v>2077</v>
      </c>
      <c r="B1091" s="630"/>
      <c r="C1091" s="1032" t="s">
        <v>3490</v>
      </c>
      <c r="D1091" s="597" t="s">
        <v>3913</v>
      </c>
      <c r="E1091" s="697">
        <v>135000</v>
      </c>
      <c r="F1091" s="698">
        <v>90670</v>
      </c>
      <c r="G1091" s="1002"/>
      <c r="H1091" s="705"/>
      <c r="I1091" s="705"/>
    </row>
    <row r="1092" spans="1:9" s="543" customFormat="1" ht="12.75">
      <c r="A1092" s="648" t="s">
        <v>2078</v>
      </c>
      <c r="B1092" s="630"/>
      <c r="C1092" s="1032" t="s">
        <v>3496</v>
      </c>
      <c r="D1092" s="597" t="s">
        <v>3497</v>
      </c>
      <c r="E1092" s="697">
        <v>140000</v>
      </c>
      <c r="F1092" s="698">
        <v>92513</v>
      </c>
      <c r="G1092" s="1002"/>
      <c r="H1092" s="705"/>
      <c r="I1092" s="705"/>
    </row>
    <row r="1093" spans="1:9" s="543" customFormat="1" ht="12.75">
      <c r="A1093" s="648" t="s">
        <v>2079</v>
      </c>
      <c r="B1093" s="630"/>
      <c r="C1093" s="1032" t="s">
        <v>3514</v>
      </c>
      <c r="D1093" s="597" t="s">
        <v>3916</v>
      </c>
      <c r="E1093" s="697">
        <v>613000</v>
      </c>
      <c r="F1093" s="698">
        <v>411590</v>
      </c>
      <c r="G1093" s="1002"/>
      <c r="H1093" s="705"/>
      <c r="I1093" s="705"/>
    </row>
    <row r="1094" spans="1:9" s="543" customFormat="1" ht="12.75">
      <c r="A1094" s="648" t="s">
        <v>2080</v>
      </c>
      <c r="B1094" s="630"/>
      <c r="C1094" s="1032" t="s">
        <v>3520</v>
      </c>
      <c r="D1094" s="597" t="s">
        <v>3918</v>
      </c>
      <c r="E1094" s="697">
        <v>145000</v>
      </c>
      <c r="F1094" s="698">
        <v>89691</v>
      </c>
      <c r="G1094" s="1002"/>
      <c r="H1094" s="705"/>
      <c r="I1094" s="705"/>
    </row>
    <row r="1095" spans="1:9" s="543" customFormat="1" ht="12.75">
      <c r="A1095" s="648" t="s">
        <v>2081</v>
      </c>
      <c r="B1095" s="630"/>
      <c r="C1095" s="1032" t="s">
        <v>3920</v>
      </c>
      <c r="D1095" s="597" t="s">
        <v>3783</v>
      </c>
      <c r="E1095" s="697">
        <v>500000</v>
      </c>
      <c r="F1095" s="698">
        <v>335160</v>
      </c>
      <c r="G1095" s="1002"/>
      <c r="H1095" s="705"/>
      <c r="I1095" s="705"/>
    </row>
    <row r="1096" spans="1:9" s="543" customFormat="1" ht="12.75">
      <c r="A1096" s="648" t="s">
        <v>2082</v>
      </c>
      <c r="B1096" s="630"/>
      <c r="C1096" s="1032" t="s">
        <v>3922</v>
      </c>
      <c r="D1096" s="597" t="s">
        <v>3923</v>
      </c>
      <c r="E1096" s="697">
        <v>431335</v>
      </c>
      <c r="F1096" s="698">
        <v>288846</v>
      </c>
      <c r="G1096" s="1002"/>
      <c r="H1096" s="705"/>
      <c r="I1096" s="705"/>
    </row>
    <row r="1097" spans="1:9" s="543" customFormat="1" ht="13.5" thickBot="1">
      <c r="A1097" s="648" t="s">
        <v>2083</v>
      </c>
      <c r="B1097" s="630"/>
      <c r="C1097" s="1032" t="s">
        <v>3538</v>
      </c>
      <c r="D1097" s="597" t="s">
        <v>3925</v>
      </c>
      <c r="E1097" s="697">
        <v>285000</v>
      </c>
      <c r="F1097" s="698">
        <v>191989</v>
      </c>
      <c r="G1097" s="1002"/>
      <c r="H1097" s="705"/>
      <c r="I1097" s="705"/>
    </row>
    <row r="1098" spans="1:9" s="543" customFormat="1" ht="48.75" thickBot="1">
      <c r="A1098" s="605" t="s">
        <v>4597</v>
      </c>
      <c r="B1098" s="606" t="s">
        <v>4601</v>
      </c>
      <c r="C1098" s="1008" t="s">
        <v>4602</v>
      </c>
      <c r="D1098" s="606" t="s">
        <v>4603</v>
      </c>
      <c r="E1098" s="1171" t="s">
        <v>4604</v>
      </c>
      <c r="F1098" s="739" t="s">
        <v>4605</v>
      </c>
      <c r="G1098" s="1002"/>
      <c r="H1098" s="705"/>
      <c r="I1098" s="705"/>
    </row>
    <row r="1099" spans="1:9" s="543" customFormat="1" ht="12.75">
      <c r="A1099" s="648" t="s">
        <v>2084</v>
      </c>
      <c r="B1099" s="630"/>
      <c r="C1099" s="1032" t="s">
        <v>3541</v>
      </c>
      <c r="D1099" s="597" t="s">
        <v>3927</v>
      </c>
      <c r="E1099" s="697">
        <v>250000</v>
      </c>
      <c r="F1099" s="698">
        <v>166306</v>
      </c>
      <c r="G1099" s="1002"/>
      <c r="H1099" s="705"/>
      <c r="I1099" s="705"/>
    </row>
    <row r="1100" spans="1:9" s="543" customFormat="1" ht="12.75">
      <c r="A1100" s="648" t="s">
        <v>2085</v>
      </c>
      <c r="B1100" s="630"/>
      <c r="C1100" s="1032" t="s">
        <v>2882</v>
      </c>
      <c r="D1100" s="597" t="s">
        <v>3929</v>
      </c>
      <c r="E1100" s="697">
        <v>99000</v>
      </c>
      <c r="F1100" s="698">
        <v>66664</v>
      </c>
      <c r="G1100" s="1002"/>
      <c r="H1100" s="705"/>
      <c r="I1100" s="705"/>
    </row>
    <row r="1101" spans="1:9" s="543" customFormat="1" ht="12.75">
      <c r="A1101" s="648" t="s">
        <v>2086</v>
      </c>
      <c r="B1101" s="630"/>
      <c r="C1101" s="1032" t="s">
        <v>2890</v>
      </c>
      <c r="D1101" s="597" t="s">
        <v>3931</v>
      </c>
      <c r="E1101" s="697">
        <v>570000</v>
      </c>
      <c r="F1101" s="698">
        <v>381424</v>
      </c>
      <c r="G1101" s="1002"/>
      <c r="H1101" s="705"/>
      <c r="I1101" s="705"/>
    </row>
    <row r="1102" spans="1:9" s="543" customFormat="1" ht="12.75">
      <c r="A1102" s="648" t="s">
        <v>2087</v>
      </c>
      <c r="B1102" s="630"/>
      <c r="C1102" s="1032" t="s">
        <v>2901</v>
      </c>
      <c r="D1102" s="597" t="s">
        <v>3933</v>
      </c>
      <c r="E1102" s="697">
        <v>737344</v>
      </c>
      <c r="F1102" s="698">
        <v>493306</v>
      </c>
      <c r="G1102" s="1002"/>
      <c r="H1102" s="705"/>
      <c r="I1102" s="705"/>
    </row>
    <row r="1103" spans="1:9" s="543" customFormat="1" ht="12.75">
      <c r="A1103" s="648" t="s">
        <v>2088</v>
      </c>
      <c r="B1103" s="630"/>
      <c r="C1103" s="1032" t="s">
        <v>2913</v>
      </c>
      <c r="D1103" s="597" t="s">
        <v>3935</v>
      </c>
      <c r="E1103" s="697">
        <v>140000</v>
      </c>
      <c r="F1103" s="698">
        <v>92513</v>
      </c>
      <c r="G1103" s="1002"/>
      <c r="H1103" s="705"/>
      <c r="I1103" s="705"/>
    </row>
    <row r="1104" spans="1:9" s="543" customFormat="1" ht="12.75">
      <c r="A1104" s="648" t="s">
        <v>2089</v>
      </c>
      <c r="B1104" s="630"/>
      <c r="C1104" s="1032" t="s">
        <v>2936</v>
      </c>
      <c r="D1104" s="597" t="s">
        <v>3937</v>
      </c>
      <c r="E1104" s="697">
        <v>2148000</v>
      </c>
      <c r="F1104" s="698">
        <v>1437654</v>
      </c>
      <c r="G1104" s="1002"/>
      <c r="H1104" s="705"/>
      <c r="I1104" s="705"/>
    </row>
    <row r="1105" spans="1:9" s="543" customFormat="1" ht="12.75">
      <c r="A1105" s="648" t="s">
        <v>2090</v>
      </c>
      <c r="B1105" s="630"/>
      <c r="C1105" s="1032" t="s">
        <v>2942</v>
      </c>
      <c r="D1105" s="597" t="s">
        <v>3939</v>
      </c>
      <c r="E1105" s="697">
        <v>945923</v>
      </c>
      <c r="F1105" s="698">
        <v>633023</v>
      </c>
      <c r="G1105" s="1002"/>
      <c r="H1105" s="705"/>
      <c r="I1105" s="705"/>
    </row>
    <row r="1106" spans="1:9" s="543" customFormat="1" ht="12.75">
      <c r="A1106" s="648" t="s">
        <v>2091</v>
      </c>
      <c r="B1106" s="630"/>
      <c r="C1106" s="1032" t="s">
        <v>2948</v>
      </c>
      <c r="D1106" s="597" t="s">
        <v>3941</v>
      </c>
      <c r="E1106" s="697">
        <v>1260000</v>
      </c>
      <c r="F1106" s="698">
        <v>842869</v>
      </c>
      <c r="G1106" s="1002"/>
      <c r="H1106" s="705"/>
      <c r="I1106" s="705"/>
    </row>
    <row r="1107" spans="1:9" s="543" customFormat="1" ht="12.75">
      <c r="A1107" s="648" t="s">
        <v>2092</v>
      </c>
      <c r="B1107" s="630"/>
      <c r="C1107" s="1032" t="s">
        <v>2982</v>
      </c>
      <c r="D1107" s="597" t="s">
        <v>3943</v>
      </c>
      <c r="E1107" s="697">
        <v>560000</v>
      </c>
      <c r="F1107" s="698">
        <v>375178</v>
      </c>
      <c r="G1107" s="1002"/>
      <c r="H1107" s="705"/>
      <c r="I1107" s="705"/>
    </row>
    <row r="1108" spans="1:9" s="543" customFormat="1" ht="12.75">
      <c r="A1108" s="648" t="s">
        <v>2093</v>
      </c>
      <c r="B1108" s="630"/>
      <c r="C1108" s="1032" t="s">
        <v>3005</v>
      </c>
      <c r="D1108" s="597" t="s">
        <v>3945</v>
      </c>
      <c r="E1108" s="697">
        <v>357154</v>
      </c>
      <c r="F1108" s="698">
        <v>241916</v>
      </c>
      <c r="G1108" s="1002"/>
      <c r="H1108" s="705"/>
      <c r="I1108" s="705"/>
    </row>
    <row r="1109" spans="1:9" s="543" customFormat="1" ht="12.75">
      <c r="A1109" s="648" t="s">
        <v>2094</v>
      </c>
      <c r="B1109" s="630"/>
      <c r="C1109" s="1032" t="s">
        <v>3008</v>
      </c>
      <c r="D1109" s="597" t="s">
        <v>3947</v>
      </c>
      <c r="E1109" s="697">
        <v>550000</v>
      </c>
      <c r="F1109" s="698">
        <v>368935</v>
      </c>
      <c r="G1109" s="1002"/>
      <c r="H1109" s="705"/>
      <c r="I1109" s="705"/>
    </row>
    <row r="1110" spans="1:9" s="543" customFormat="1" ht="25.5">
      <c r="A1110" s="648" t="s">
        <v>2095</v>
      </c>
      <c r="B1110" s="630"/>
      <c r="C1110" s="1032" t="s">
        <v>413</v>
      </c>
      <c r="D1110" s="597" t="s">
        <v>3949</v>
      </c>
      <c r="E1110" s="697">
        <v>357469</v>
      </c>
      <c r="F1110" s="698">
        <v>242144</v>
      </c>
      <c r="G1110" s="1002"/>
      <c r="H1110" s="705"/>
      <c r="I1110" s="705"/>
    </row>
    <row r="1111" spans="1:9" s="543" customFormat="1" ht="12.75">
      <c r="A1111" s="648" t="s">
        <v>2096</v>
      </c>
      <c r="B1111" s="630"/>
      <c r="C1111" s="1032" t="s">
        <v>419</v>
      </c>
      <c r="D1111" s="597" t="s">
        <v>3951</v>
      </c>
      <c r="E1111" s="697">
        <v>356155</v>
      </c>
      <c r="F1111" s="698">
        <v>241035</v>
      </c>
      <c r="G1111" s="1002"/>
      <c r="H1111" s="705"/>
      <c r="I1111" s="705"/>
    </row>
    <row r="1112" spans="1:9" s="543" customFormat="1" ht="12.75">
      <c r="A1112" s="648" t="s">
        <v>2097</v>
      </c>
      <c r="B1112" s="630"/>
      <c r="C1112" s="1032" t="s">
        <v>434</v>
      </c>
      <c r="D1112" s="597" t="s">
        <v>3947</v>
      </c>
      <c r="E1112" s="697">
        <v>580000</v>
      </c>
      <c r="F1112" s="698">
        <v>387664</v>
      </c>
      <c r="G1112" s="1002"/>
      <c r="H1112" s="705"/>
      <c r="I1112" s="705"/>
    </row>
    <row r="1113" spans="1:9" s="543" customFormat="1" ht="12.75">
      <c r="A1113" s="648" t="s">
        <v>2098</v>
      </c>
      <c r="B1113" s="630"/>
      <c r="C1113" s="1032" t="s">
        <v>3082</v>
      </c>
      <c r="D1113" s="597" t="s">
        <v>3954</v>
      </c>
      <c r="E1113" s="697">
        <v>570000</v>
      </c>
      <c r="F1113" s="698">
        <v>381424</v>
      </c>
      <c r="G1113" s="1002"/>
      <c r="H1113" s="705"/>
      <c r="I1113" s="705"/>
    </row>
    <row r="1114" spans="1:9" s="543" customFormat="1" ht="25.5">
      <c r="A1114" s="648" t="s">
        <v>2099</v>
      </c>
      <c r="B1114" s="630"/>
      <c r="C1114" s="1032" t="s">
        <v>443</v>
      </c>
      <c r="D1114" s="597" t="s">
        <v>3956</v>
      </c>
      <c r="E1114" s="697">
        <v>132300</v>
      </c>
      <c r="F1114" s="698">
        <v>109834</v>
      </c>
      <c r="G1114" s="1002"/>
      <c r="H1114" s="705"/>
      <c r="I1114" s="705"/>
    </row>
    <row r="1115" spans="1:9" s="543" customFormat="1" ht="12.75">
      <c r="A1115" s="648" t="s">
        <v>2100</v>
      </c>
      <c r="B1115" s="630"/>
      <c r="C1115" s="1032" t="s">
        <v>446</v>
      </c>
      <c r="D1115" s="597" t="s">
        <v>3958</v>
      </c>
      <c r="E1115" s="697">
        <v>413000</v>
      </c>
      <c r="F1115" s="698">
        <v>276502</v>
      </c>
      <c r="G1115" s="1002"/>
      <c r="H1115" s="705"/>
      <c r="I1115" s="705"/>
    </row>
    <row r="1116" spans="1:9" s="543" customFormat="1" ht="12.75">
      <c r="A1116" s="648" t="s">
        <v>2101</v>
      </c>
      <c r="B1116" s="630"/>
      <c r="C1116" s="1032" t="s">
        <v>449</v>
      </c>
      <c r="D1116" s="597" t="s">
        <v>3960</v>
      </c>
      <c r="E1116" s="697">
        <v>460000</v>
      </c>
      <c r="F1116" s="698">
        <v>307634</v>
      </c>
      <c r="G1116" s="1002"/>
      <c r="H1116" s="705"/>
      <c r="I1116" s="705"/>
    </row>
    <row r="1117" spans="1:9" s="543" customFormat="1" ht="12.75">
      <c r="A1117" s="648" t="s">
        <v>2102</v>
      </c>
      <c r="B1117" s="630"/>
      <c r="C1117" s="1032" t="s">
        <v>451</v>
      </c>
      <c r="D1117" s="597" t="s">
        <v>3962</v>
      </c>
      <c r="E1117" s="697">
        <v>320100</v>
      </c>
      <c r="F1117" s="698">
        <v>214396</v>
      </c>
      <c r="G1117" s="1002"/>
      <c r="H1117" s="705"/>
      <c r="I1117" s="705"/>
    </row>
    <row r="1118" spans="1:9" s="543" customFormat="1" ht="12.75">
      <c r="A1118" s="648" t="s">
        <v>2103</v>
      </c>
      <c r="B1118" s="630"/>
      <c r="C1118" s="1032" t="s">
        <v>454</v>
      </c>
      <c r="D1118" s="597" t="s">
        <v>3964</v>
      </c>
      <c r="E1118" s="697">
        <v>528248</v>
      </c>
      <c r="F1118" s="698">
        <v>368410</v>
      </c>
      <c r="G1118" s="1002"/>
      <c r="H1118" s="705"/>
      <c r="I1118" s="705"/>
    </row>
    <row r="1119" spans="1:9" s="543" customFormat="1" ht="12.75">
      <c r="A1119" s="648" t="s">
        <v>2104</v>
      </c>
      <c r="B1119" s="630"/>
      <c r="C1119" s="1032" t="s">
        <v>471</v>
      </c>
      <c r="D1119" s="597" t="s">
        <v>3966</v>
      </c>
      <c r="E1119" s="697">
        <v>757812</v>
      </c>
      <c r="F1119" s="698">
        <v>507408</v>
      </c>
      <c r="G1119" s="1002"/>
      <c r="H1119" s="705"/>
      <c r="I1119" s="705"/>
    </row>
    <row r="1120" spans="1:9" s="694" customFormat="1" ht="12.75">
      <c r="A1120" s="648" t="s">
        <v>2105</v>
      </c>
      <c r="B1120" s="726"/>
      <c r="C1120" s="1041" t="s">
        <v>515</v>
      </c>
      <c r="D1120" s="675" t="s">
        <v>3968</v>
      </c>
      <c r="E1120" s="697">
        <v>350000</v>
      </c>
      <c r="F1120" s="698">
        <v>233844</v>
      </c>
      <c r="G1120" s="1047"/>
      <c r="H1120" s="708"/>
      <c r="I1120" s="708"/>
    </row>
    <row r="1121" spans="1:9" s="543" customFormat="1" ht="12.75">
      <c r="A1121" s="648" t="s">
        <v>2106</v>
      </c>
      <c r="B1121" s="630"/>
      <c r="C1121" s="1032" t="s">
        <v>840</v>
      </c>
      <c r="D1121" s="597" t="s">
        <v>3970</v>
      </c>
      <c r="E1121" s="697">
        <v>10400000</v>
      </c>
      <c r="F1121" s="698">
        <v>6965765</v>
      </c>
      <c r="G1121" s="1002"/>
      <c r="H1121" s="705"/>
      <c r="I1121" s="705"/>
    </row>
    <row r="1122" spans="1:9" s="543" customFormat="1" ht="12.75">
      <c r="A1122" s="648" t="s">
        <v>2107</v>
      </c>
      <c r="B1122" s="630"/>
      <c r="C1122" s="1032" t="s">
        <v>530</v>
      </c>
      <c r="D1122" s="597" t="s">
        <v>3972</v>
      </c>
      <c r="E1122" s="697">
        <v>302500</v>
      </c>
      <c r="F1122" s="698">
        <v>203173</v>
      </c>
      <c r="G1122" s="1002"/>
      <c r="H1122" s="705"/>
      <c r="I1122" s="705"/>
    </row>
    <row r="1123" spans="1:9" s="543" customFormat="1" ht="12.75">
      <c r="A1123" s="648" t="s">
        <v>2108</v>
      </c>
      <c r="B1123" s="630"/>
      <c r="C1123" s="1032" t="s">
        <v>533</v>
      </c>
      <c r="D1123" s="597" t="s">
        <v>3974</v>
      </c>
      <c r="E1123" s="697">
        <v>738000</v>
      </c>
      <c r="F1123" s="698">
        <v>493466</v>
      </c>
      <c r="G1123" s="1002"/>
      <c r="H1123" s="705"/>
      <c r="I1123" s="705"/>
    </row>
    <row r="1124" spans="1:9" s="543" customFormat="1" ht="12.75">
      <c r="A1124" s="648" t="s">
        <v>2109</v>
      </c>
      <c r="B1124" s="630"/>
      <c r="C1124" s="1032"/>
      <c r="D1124" s="608" t="s">
        <v>3805</v>
      </c>
      <c r="E1124" s="697">
        <v>21161</v>
      </c>
      <c r="F1124" s="698">
        <v>11930</v>
      </c>
      <c r="G1124" s="1002"/>
      <c r="H1124" s="705"/>
      <c r="I1124" s="705"/>
    </row>
    <row r="1125" spans="1:9" s="543" customFormat="1" ht="24" customHeight="1">
      <c r="A1125" s="648" t="s">
        <v>2110</v>
      </c>
      <c r="B1125" s="630"/>
      <c r="C1125" s="1032"/>
      <c r="D1125" s="608" t="s">
        <v>3977</v>
      </c>
      <c r="E1125" s="697">
        <v>554380</v>
      </c>
      <c r="F1125" s="698">
        <v>516925</v>
      </c>
      <c r="G1125" s="1002"/>
      <c r="H1125" s="705"/>
      <c r="I1125" s="705"/>
    </row>
    <row r="1126" spans="1:9" s="543" customFormat="1" ht="12.75">
      <c r="A1126" s="648" t="s">
        <v>2111</v>
      </c>
      <c r="B1126" s="630"/>
      <c r="C1126" s="1032"/>
      <c r="D1126" s="608" t="s">
        <v>3805</v>
      </c>
      <c r="E1126" s="697">
        <v>773561</v>
      </c>
      <c r="F1126" s="698">
        <v>528097</v>
      </c>
      <c r="G1126" s="1002"/>
      <c r="H1126" s="705"/>
      <c r="I1126" s="705"/>
    </row>
    <row r="1127" spans="1:9" s="543" customFormat="1" ht="12.75">
      <c r="A1127" s="648" t="s">
        <v>2112</v>
      </c>
      <c r="B1127" s="630"/>
      <c r="C1127" s="1032" t="s">
        <v>548</v>
      </c>
      <c r="D1127" s="597" t="s">
        <v>3980</v>
      </c>
      <c r="E1127" s="697">
        <v>413000</v>
      </c>
      <c r="F1127" s="698">
        <v>276502</v>
      </c>
      <c r="G1127" s="1002"/>
      <c r="H1127" s="705"/>
      <c r="I1127" s="705"/>
    </row>
    <row r="1128" spans="1:9" s="543" customFormat="1" ht="12.75">
      <c r="A1128" s="648" t="s">
        <v>2113</v>
      </c>
      <c r="B1128" s="630"/>
      <c r="C1128" s="1041" t="s">
        <v>2579</v>
      </c>
      <c r="D1128" s="675" t="s">
        <v>3981</v>
      </c>
      <c r="E1128" s="697">
        <v>740705</v>
      </c>
      <c r="F1128" s="698">
        <v>496052</v>
      </c>
      <c r="G1128" s="1002"/>
      <c r="H1128" s="705"/>
      <c r="I1128" s="705"/>
    </row>
    <row r="1129" spans="1:9" s="543" customFormat="1" ht="12.75">
      <c r="A1129" s="648" t="s">
        <v>2114</v>
      </c>
      <c r="B1129" s="630"/>
      <c r="C1129" s="1041" t="s">
        <v>3982</v>
      </c>
      <c r="D1129" s="675" t="s">
        <v>3981</v>
      </c>
      <c r="E1129" s="697">
        <v>3573168</v>
      </c>
      <c r="F1129" s="698">
        <v>3392660</v>
      </c>
      <c r="G1129" s="1002"/>
      <c r="H1129" s="705"/>
      <c r="I1129" s="705"/>
    </row>
    <row r="1130" spans="1:9" s="543" customFormat="1" ht="12.75">
      <c r="A1130" s="648" t="s">
        <v>2115</v>
      </c>
      <c r="B1130" s="630"/>
      <c r="C1130" s="1041" t="s">
        <v>2582</v>
      </c>
      <c r="D1130" s="675" t="s">
        <v>3981</v>
      </c>
      <c r="E1130" s="697">
        <v>7293469</v>
      </c>
      <c r="F1130" s="698">
        <v>4884453</v>
      </c>
      <c r="G1130" s="1002"/>
      <c r="H1130" s="705"/>
      <c r="I1130" s="705"/>
    </row>
    <row r="1131" spans="1:9" s="543" customFormat="1" ht="12.75">
      <c r="A1131" s="648" t="s">
        <v>2116</v>
      </c>
      <c r="B1131" s="630"/>
      <c r="C1131" s="1041" t="s">
        <v>2583</v>
      </c>
      <c r="D1131" s="675" t="s">
        <v>3981</v>
      </c>
      <c r="E1131" s="697">
        <v>4920709</v>
      </c>
      <c r="F1131" s="698">
        <v>3295410</v>
      </c>
      <c r="G1131" s="1002"/>
      <c r="H1131" s="705"/>
      <c r="I1131" s="705"/>
    </row>
    <row r="1132" spans="1:9" s="543" customFormat="1" ht="12.75">
      <c r="A1132" s="648" t="s">
        <v>2117</v>
      </c>
      <c r="B1132" s="630"/>
      <c r="C1132" s="1041" t="s">
        <v>3983</v>
      </c>
      <c r="D1132" s="675" t="s">
        <v>3984</v>
      </c>
      <c r="E1132" s="697">
        <v>3775000</v>
      </c>
      <c r="F1132" s="698">
        <v>2529153</v>
      </c>
      <c r="G1132" s="1002"/>
      <c r="H1132" s="705"/>
      <c r="I1132" s="705"/>
    </row>
    <row r="1133" spans="1:9" s="543" customFormat="1" ht="13.5" thickBot="1">
      <c r="A1133" s="751" t="s">
        <v>2118</v>
      </c>
      <c r="B1133" s="633"/>
      <c r="C1133" s="1172" t="s">
        <v>561</v>
      </c>
      <c r="D1133" s="728" t="s">
        <v>3984</v>
      </c>
      <c r="E1133" s="1079">
        <v>4520672</v>
      </c>
      <c r="F1133" s="790">
        <v>4418863</v>
      </c>
      <c r="G1133" s="1002"/>
      <c r="H1133" s="705"/>
      <c r="I1133" s="705"/>
    </row>
    <row r="1134" spans="1:12" s="543" customFormat="1" ht="13.5" thickBot="1">
      <c r="A1134" s="729"/>
      <c r="B1134" s="1124">
        <f>L1134</f>
        <v>0</v>
      </c>
      <c r="C1134" s="757" t="s">
        <v>3361</v>
      </c>
      <c r="D1134" s="706" t="s">
        <v>1499</v>
      </c>
      <c r="E1134" s="773">
        <f>SUM(E965:E1133)</f>
        <v>499286811</v>
      </c>
      <c r="F1134" s="774">
        <f>SUM(F965:F1133)</f>
        <v>341507798</v>
      </c>
      <c r="G1134" s="1002"/>
      <c r="H1134" s="705"/>
      <c r="I1134" s="705"/>
      <c r="L1134" s="682"/>
    </row>
    <row r="1135" spans="1:9" s="543" customFormat="1" ht="13.5" thickBot="1">
      <c r="A1135" s="1173"/>
      <c r="B1135" s="622"/>
      <c r="C1135" s="1143"/>
      <c r="D1135" s="731"/>
      <c r="E1135" s="1103"/>
      <c r="F1135" s="1104"/>
      <c r="G1135" s="1002"/>
      <c r="H1135" s="705"/>
      <c r="I1135" s="705"/>
    </row>
    <row r="1136" spans="1:13" ht="13.5" thickBot="1">
      <c r="A1136" s="2220" t="s">
        <v>3985</v>
      </c>
      <c r="B1136" s="2220"/>
      <c r="C1136" s="2220"/>
      <c r="D1136" s="2220"/>
      <c r="E1136" s="2224"/>
      <c r="F1136" s="2224"/>
      <c r="J1136" s="543"/>
      <c r="K1136"/>
      <c r="L1136"/>
      <c r="M1136"/>
    </row>
    <row r="1137" spans="1:9" s="543" customFormat="1" ht="12.75">
      <c r="A1137" s="644" t="s">
        <v>2119</v>
      </c>
      <c r="B1137" s="645">
        <v>121492</v>
      </c>
      <c r="C1137" s="1071" t="s">
        <v>858</v>
      </c>
      <c r="D1137" s="673" t="s">
        <v>3986</v>
      </c>
      <c r="E1137" s="1058">
        <v>100000</v>
      </c>
      <c r="F1137" s="1075">
        <v>67544</v>
      </c>
      <c r="G1137" s="1002"/>
      <c r="H1137" s="705"/>
      <c r="I1137" s="705"/>
    </row>
    <row r="1138" spans="1:9" s="543" customFormat="1" ht="12.75">
      <c r="A1138" s="644" t="s">
        <v>2120</v>
      </c>
      <c r="B1138" s="630"/>
      <c r="C1138" s="1032" t="s">
        <v>3987</v>
      </c>
      <c r="D1138" s="597" t="s">
        <v>3988</v>
      </c>
      <c r="E1138" s="697">
        <v>478000</v>
      </c>
      <c r="F1138" s="698">
        <v>320920</v>
      </c>
      <c r="G1138" s="1002"/>
      <c r="H1138" s="705"/>
      <c r="I1138" s="705"/>
    </row>
    <row r="1139" spans="1:9" s="543" customFormat="1" ht="12.75">
      <c r="A1139" s="644" t="s">
        <v>2121</v>
      </c>
      <c r="B1139" s="630"/>
      <c r="C1139" s="1032" t="s">
        <v>783</v>
      </c>
      <c r="D1139" s="608" t="s">
        <v>3989</v>
      </c>
      <c r="E1139" s="697">
        <v>493000</v>
      </c>
      <c r="F1139" s="698">
        <v>329003</v>
      </c>
      <c r="G1139" s="1002"/>
      <c r="H1139" s="705"/>
      <c r="I1139" s="705"/>
    </row>
    <row r="1140" spans="1:9" s="543" customFormat="1" ht="12.75">
      <c r="A1140" s="644" t="s">
        <v>2122</v>
      </c>
      <c r="B1140" s="630"/>
      <c r="C1140" s="1032" t="s">
        <v>858</v>
      </c>
      <c r="D1140" s="597" t="s">
        <v>3990</v>
      </c>
      <c r="E1140" s="697">
        <v>10081476</v>
      </c>
      <c r="F1140" s="698">
        <v>7594600</v>
      </c>
      <c r="G1140" s="1002"/>
      <c r="H1140" s="705"/>
      <c r="I1140" s="705"/>
    </row>
    <row r="1141" spans="1:9" s="543" customFormat="1" ht="12.75">
      <c r="A1141" s="644" t="s">
        <v>2123</v>
      </c>
      <c r="B1141" s="630"/>
      <c r="C1141" s="1032" t="s">
        <v>858</v>
      </c>
      <c r="D1141" s="597" t="s">
        <v>3991</v>
      </c>
      <c r="E1141" s="697">
        <v>1280046</v>
      </c>
      <c r="F1141" s="698">
        <v>352004</v>
      </c>
      <c r="G1141" s="1002"/>
      <c r="H1141" s="705"/>
      <c r="I1141" s="705"/>
    </row>
    <row r="1142" spans="1:9" s="543" customFormat="1" ht="12.75">
      <c r="A1142" s="644" t="s">
        <v>2124</v>
      </c>
      <c r="B1142" s="1174"/>
      <c r="C1142" s="1175"/>
      <c r="D1142" s="673" t="s">
        <v>3993</v>
      </c>
      <c r="E1142" s="1058">
        <v>576000</v>
      </c>
      <c r="F1142" s="1075">
        <v>386698</v>
      </c>
      <c r="G1142" s="1002"/>
      <c r="H1142" s="705"/>
      <c r="I1142" s="705"/>
    </row>
    <row r="1143" spans="1:9" s="543" customFormat="1" ht="12.75">
      <c r="A1143" s="644" t="s">
        <v>2125</v>
      </c>
      <c r="B1143" s="1014"/>
      <c r="C1143" s="1071" t="s">
        <v>3369</v>
      </c>
      <c r="D1143" s="673" t="s">
        <v>3994</v>
      </c>
      <c r="E1143" s="1058">
        <v>1656000</v>
      </c>
      <c r="F1143" s="1075">
        <v>1109528</v>
      </c>
      <c r="G1143" s="1002"/>
      <c r="H1143" s="705"/>
      <c r="I1143" s="705"/>
    </row>
    <row r="1144" spans="1:9" s="543" customFormat="1" ht="12.75">
      <c r="A1144" s="644" t="s">
        <v>2126</v>
      </c>
      <c r="B1144" s="1014"/>
      <c r="C1144" s="1071"/>
      <c r="D1144" s="673" t="s">
        <v>3995</v>
      </c>
      <c r="E1144" s="1058">
        <v>57543987</v>
      </c>
      <c r="F1144" s="1075">
        <v>51898553</v>
      </c>
      <c r="G1144" s="1002"/>
      <c r="H1144" s="705"/>
      <c r="I1144" s="705"/>
    </row>
    <row r="1145" spans="1:9" s="543" customFormat="1" ht="12.75">
      <c r="A1145" s="644" t="s">
        <v>2127</v>
      </c>
      <c r="B1145" s="822"/>
      <c r="C1145" s="1032" t="s">
        <v>3365</v>
      </c>
      <c r="D1145" s="597" t="s">
        <v>3996</v>
      </c>
      <c r="E1145" s="697">
        <v>466000</v>
      </c>
      <c r="F1145" s="698">
        <v>312914</v>
      </c>
      <c r="G1145" s="1002"/>
      <c r="H1145" s="705"/>
      <c r="I1145" s="705"/>
    </row>
    <row r="1146" spans="1:9" s="543" customFormat="1" ht="12.75">
      <c r="A1146" s="644" t="s">
        <v>2128</v>
      </c>
      <c r="B1146" s="822"/>
      <c r="C1146" s="1032" t="s">
        <v>3365</v>
      </c>
      <c r="D1146" s="597" t="s">
        <v>3997</v>
      </c>
      <c r="E1146" s="697">
        <v>1472000</v>
      </c>
      <c r="F1146" s="698">
        <v>985960</v>
      </c>
      <c r="G1146" s="1002"/>
      <c r="H1146" s="705"/>
      <c r="I1146" s="705"/>
    </row>
    <row r="1147" spans="1:9" s="543" customFormat="1" ht="12.75">
      <c r="A1147" s="644" t="s">
        <v>2129</v>
      </c>
      <c r="B1147" s="822"/>
      <c r="C1147" s="1032" t="s">
        <v>3388</v>
      </c>
      <c r="D1147" s="597" t="s">
        <v>3998</v>
      </c>
      <c r="E1147" s="697">
        <v>245000</v>
      </c>
      <c r="F1147" s="698">
        <v>164460</v>
      </c>
      <c r="G1147" s="1002"/>
      <c r="H1147" s="705"/>
      <c r="I1147" s="705"/>
    </row>
    <row r="1148" spans="1:9" s="543" customFormat="1" ht="12.75">
      <c r="A1148" s="644" t="s">
        <v>2130</v>
      </c>
      <c r="B1148" s="822"/>
      <c r="C1148" s="1032" t="s">
        <v>3999</v>
      </c>
      <c r="D1148" s="597" t="s">
        <v>4000</v>
      </c>
      <c r="E1148" s="697">
        <v>6000000</v>
      </c>
      <c r="F1148" s="698">
        <v>4019396</v>
      </c>
      <c r="G1148" s="1002"/>
      <c r="H1148" s="705"/>
      <c r="I1148" s="705"/>
    </row>
    <row r="1149" spans="1:9" s="543" customFormat="1" ht="12.75">
      <c r="A1149" s="644" t="s">
        <v>2131</v>
      </c>
      <c r="B1149" s="822"/>
      <c r="C1149" s="1032" t="s">
        <v>3376</v>
      </c>
      <c r="D1149" s="597" t="s">
        <v>4001</v>
      </c>
      <c r="E1149" s="697">
        <v>80000</v>
      </c>
      <c r="F1149" s="698">
        <v>52501</v>
      </c>
      <c r="G1149" s="1002"/>
      <c r="H1149" s="705"/>
      <c r="I1149" s="705"/>
    </row>
    <row r="1150" spans="1:9" s="543" customFormat="1" ht="25.5">
      <c r="A1150" s="644" t="s">
        <v>2132</v>
      </c>
      <c r="B1150" s="822"/>
      <c r="C1150" s="1032" t="s">
        <v>858</v>
      </c>
      <c r="D1150" s="597" t="s">
        <v>4002</v>
      </c>
      <c r="E1150" s="697">
        <v>1017800</v>
      </c>
      <c r="F1150" s="698">
        <v>775193</v>
      </c>
      <c r="G1150" s="1002"/>
      <c r="H1150" s="705"/>
      <c r="I1150" s="705"/>
    </row>
    <row r="1151" spans="1:9" s="543" customFormat="1" ht="12.75">
      <c r="A1151" s="644" t="s">
        <v>2133</v>
      </c>
      <c r="B1151" s="822"/>
      <c r="C1151" s="1032" t="s">
        <v>4003</v>
      </c>
      <c r="D1151" s="597" t="s">
        <v>4004</v>
      </c>
      <c r="E1151" s="697">
        <v>1434260</v>
      </c>
      <c r="F1151" s="698">
        <v>1121967</v>
      </c>
      <c r="G1151" s="1002"/>
      <c r="H1151" s="705"/>
      <c r="I1151" s="705"/>
    </row>
    <row r="1152" spans="1:9" s="543" customFormat="1" ht="13.5" thickBot="1">
      <c r="A1152" s="644" t="s">
        <v>2134</v>
      </c>
      <c r="B1152" s="822"/>
      <c r="C1152" s="1032" t="s">
        <v>761</v>
      </c>
      <c r="D1152" s="597" t="s">
        <v>4005</v>
      </c>
      <c r="E1152" s="697">
        <v>156000</v>
      </c>
      <c r="F1152" s="698">
        <v>104036</v>
      </c>
      <c r="G1152" s="1002"/>
      <c r="H1152" s="705"/>
      <c r="I1152" s="705"/>
    </row>
    <row r="1153" spans="1:9" s="543" customFormat="1" ht="48.75" thickBot="1">
      <c r="A1153" s="605" t="s">
        <v>4597</v>
      </c>
      <c r="B1153" s="606" t="s">
        <v>4601</v>
      </c>
      <c r="C1153" s="1008" t="s">
        <v>4602</v>
      </c>
      <c r="D1153" s="606" t="s">
        <v>4603</v>
      </c>
      <c r="E1153" s="1171" t="s">
        <v>4604</v>
      </c>
      <c r="F1153" s="739" t="s">
        <v>4605</v>
      </c>
      <c r="G1153" s="1002"/>
      <c r="H1153" s="705"/>
      <c r="I1153" s="705"/>
    </row>
    <row r="1154" spans="1:9" s="543" customFormat="1" ht="12.75">
      <c r="A1154" s="644" t="s">
        <v>2135</v>
      </c>
      <c r="B1154" s="822"/>
      <c r="C1154" s="1032" t="s">
        <v>798</v>
      </c>
      <c r="D1154" s="597" t="s">
        <v>4006</v>
      </c>
      <c r="E1154" s="697">
        <v>476000</v>
      </c>
      <c r="F1154" s="698">
        <v>319160</v>
      </c>
      <c r="G1154" s="1002"/>
      <c r="H1154" s="705"/>
      <c r="I1154" s="705"/>
    </row>
    <row r="1155" spans="1:9" s="543" customFormat="1" ht="12.75">
      <c r="A1155" s="644" t="s">
        <v>2136</v>
      </c>
      <c r="B1155" s="822"/>
      <c r="C1155" s="1032" t="s">
        <v>4007</v>
      </c>
      <c r="D1155" s="597" t="s">
        <v>4008</v>
      </c>
      <c r="E1155" s="697">
        <v>256000</v>
      </c>
      <c r="F1155" s="698">
        <v>171580</v>
      </c>
      <c r="G1155" s="1002"/>
      <c r="H1155" s="705"/>
      <c r="I1155" s="705"/>
    </row>
    <row r="1156" spans="1:9" s="543" customFormat="1" ht="12.75">
      <c r="A1156" s="644" t="s">
        <v>2137</v>
      </c>
      <c r="B1156" s="822"/>
      <c r="C1156" s="1032" t="s">
        <v>3363</v>
      </c>
      <c r="D1156" s="597" t="s">
        <v>4009</v>
      </c>
      <c r="E1156" s="697">
        <v>365000</v>
      </c>
      <c r="F1156" s="698">
        <v>244490</v>
      </c>
      <c r="G1156" s="1002"/>
      <c r="H1156" s="705"/>
      <c r="I1156" s="705"/>
    </row>
    <row r="1157" spans="1:9" s="543" customFormat="1" ht="12.75">
      <c r="A1157" s="644" t="s">
        <v>2138</v>
      </c>
      <c r="B1157" s="822"/>
      <c r="C1157" s="1032" t="s">
        <v>3371</v>
      </c>
      <c r="D1157" s="597" t="s">
        <v>4010</v>
      </c>
      <c r="E1157" s="697">
        <v>32000</v>
      </c>
      <c r="F1157" s="698">
        <v>20489</v>
      </c>
      <c r="G1157" s="1002"/>
      <c r="H1157" s="705"/>
      <c r="I1157" s="705"/>
    </row>
    <row r="1158" spans="1:9" s="543" customFormat="1" ht="12.75">
      <c r="A1158" s="644" t="s">
        <v>2139</v>
      </c>
      <c r="B1158" s="822"/>
      <c r="C1158" s="1032" t="s">
        <v>3386</v>
      </c>
      <c r="D1158" s="597" t="s">
        <v>4011</v>
      </c>
      <c r="E1158" s="697">
        <v>71000</v>
      </c>
      <c r="F1158" s="698">
        <v>47138</v>
      </c>
      <c r="G1158" s="1002"/>
      <c r="H1158" s="705"/>
      <c r="I1158" s="705"/>
    </row>
    <row r="1159" spans="1:9" s="543" customFormat="1" ht="14.25" customHeight="1">
      <c r="A1159" s="644" t="s">
        <v>2140</v>
      </c>
      <c r="B1159" s="822"/>
      <c r="C1159" s="1032"/>
      <c r="D1159" s="608" t="s">
        <v>4012</v>
      </c>
      <c r="E1159" s="697">
        <v>38000</v>
      </c>
      <c r="F1159" s="698">
        <v>25772</v>
      </c>
      <c r="G1159" s="1002"/>
      <c r="H1159" s="705"/>
      <c r="I1159" s="705"/>
    </row>
    <row r="1160" spans="1:9" s="543" customFormat="1" ht="15" customHeight="1">
      <c r="A1160" s="644" t="s">
        <v>2141</v>
      </c>
      <c r="B1160" s="645"/>
      <c r="C1160" s="1071"/>
      <c r="D1160" s="610" t="s">
        <v>4013</v>
      </c>
      <c r="E1160" s="1058">
        <v>31960668</v>
      </c>
      <c r="F1160" s="1075">
        <v>30677003</v>
      </c>
      <c r="G1160" s="1002"/>
      <c r="H1160" s="705"/>
      <c r="I1160" s="705"/>
    </row>
    <row r="1161" spans="1:9" s="543" customFormat="1" ht="25.5" customHeight="1">
      <c r="A1161" s="644" t="s">
        <v>2142</v>
      </c>
      <c r="B1161" s="645"/>
      <c r="C1161" s="1036" t="s">
        <v>4003</v>
      </c>
      <c r="D1161" s="610" t="s">
        <v>4014</v>
      </c>
      <c r="E1161" s="1058">
        <v>656548</v>
      </c>
      <c r="F1161" s="1075">
        <v>644945</v>
      </c>
      <c r="G1161" s="1002"/>
      <c r="H1161" s="705"/>
      <c r="I1161" s="705"/>
    </row>
    <row r="1162" spans="1:9" s="543" customFormat="1" ht="25.5" customHeight="1">
      <c r="A1162" s="644" t="s">
        <v>2143</v>
      </c>
      <c r="B1162" s="645"/>
      <c r="C1162" s="1036" t="s">
        <v>2646</v>
      </c>
      <c r="D1162" s="610" t="s">
        <v>4015</v>
      </c>
      <c r="E1162" s="1058">
        <v>1247249</v>
      </c>
      <c r="F1162" s="1075">
        <v>1225107</v>
      </c>
      <c r="G1162" s="1002"/>
      <c r="H1162" s="705"/>
      <c r="I1162" s="705"/>
    </row>
    <row r="1163" spans="1:9" s="543" customFormat="1" ht="25.5" customHeight="1">
      <c r="A1163" s="644" t="s">
        <v>2144</v>
      </c>
      <c r="B1163" s="645"/>
      <c r="C1163" s="1036" t="s">
        <v>3987</v>
      </c>
      <c r="D1163" s="610" t="s">
        <v>4016</v>
      </c>
      <c r="E1163" s="1058">
        <v>2195040</v>
      </c>
      <c r="F1163" s="1075">
        <v>2161844</v>
      </c>
      <c r="G1163" s="1002"/>
      <c r="H1163" s="705"/>
      <c r="I1163" s="705"/>
    </row>
    <row r="1164" spans="1:9" s="543" customFormat="1" ht="12.75">
      <c r="A1164" s="644" t="s">
        <v>2145</v>
      </c>
      <c r="B1164" s="1014"/>
      <c r="C1164" s="1071"/>
      <c r="D1164" s="673" t="s">
        <v>4018</v>
      </c>
      <c r="E1164" s="1058">
        <v>43000</v>
      </c>
      <c r="F1164" s="1075">
        <v>13250</v>
      </c>
      <c r="G1164" s="1002"/>
      <c r="H1164" s="705"/>
      <c r="I1164" s="705"/>
    </row>
    <row r="1165" spans="1:9" s="543" customFormat="1" ht="12.75">
      <c r="A1165" s="644" t="s">
        <v>2146</v>
      </c>
      <c r="B1165" s="630"/>
      <c r="C1165" s="1032"/>
      <c r="D1165" s="597" t="s">
        <v>562</v>
      </c>
      <c r="E1165" s="697">
        <v>19034</v>
      </c>
      <c r="F1165" s="698">
        <v>6336</v>
      </c>
      <c r="G1165" s="1002"/>
      <c r="H1165" s="705"/>
      <c r="I1165" s="705"/>
    </row>
    <row r="1166" spans="1:9" s="543" customFormat="1" ht="12.75">
      <c r="A1166" s="644" t="s">
        <v>2147</v>
      </c>
      <c r="B1166" s="630"/>
      <c r="C1166" s="1032"/>
      <c r="D1166" s="597" t="s">
        <v>563</v>
      </c>
      <c r="E1166" s="697">
        <v>475000</v>
      </c>
      <c r="F1166" s="698">
        <v>430686</v>
      </c>
      <c r="G1166" s="1002"/>
      <c r="H1166" s="705"/>
      <c r="I1166" s="705"/>
    </row>
    <row r="1167" spans="1:9" s="543" customFormat="1" ht="12.75">
      <c r="A1167" s="644" t="s">
        <v>2148</v>
      </c>
      <c r="B1167" s="630"/>
      <c r="C1167" s="1032" t="s">
        <v>3381</v>
      </c>
      <c r="D1167" s="597" t="s">
        <v>564</v>
      </c>
      <c r="E1167" s="697">
        <v>1745000</v>
      </c>
      <c r="F1167" s="698">
        <v>1169949</v>
      </c>
      <c r="G1167" s="1002"/>
      <c r="H1167" s="705"/>
      <c r="I1167" s="705"/>
    </row>
    <row r="1168" spans="1:9" s="543" customFormat="1" ht="12.75">
      <c r="A1168" s="644" t="s">
        <v>2149</v>
      </c>
      <c r="B1168" s="733">
        <v>1214925</v>
      </c>
      <c r="C1168" s="1048">
        <v>3</v>
      </c>
      <c r="D1168" s="734" t="s">
        <v>565</v>
      </c>
      <c r="E1168" s="736">
        <v>774000</v>
      </c>
      <c r="F1168" s="737">
        <v>354716</v>
      </c>
      <c r="G1168" s="1002"/>
      <c r="H1168" s="705"/>
      <c r="I1168" s="705"/>
    </row>
    <row r="1169" spans="1:9" s="543" customFormat="1" ht="12.75">
      <c r="A1169" s="644" t="s">
        <v>2150</v>
      </c>
      <c r="B1169" s="733"/>
      <c r="C1169" s="1048">
        <v>3</v>
      </c>
      <c r="D1169" s="734" t="s">
        <v>566</v>
      </c>
      <c r="E1169" s="736">
        <v>150000</v>
      </c>
      <c r="F1169" s="737">
        <v>88068</v>
      </c>
      <c r="G1169" s="1002"/>
      <c r="H1169" s="705"/>
      <c r="I1169" s="705"/>
    </row>
    <row r="1170" spans="1:13" ht="12.75">
      <c r="A1170" s="644" t="s">
        <v>2151</v>
      </c>
      <c r="B1170" s="726">
        <v>121492</v>
      </c>
      <c r="C1170" s="1032" t="s">
        <v>1549</v>
      </c>
      <c r="D1170" s="747" t="s">
        <v>2152</v>
      </c>
      <c r="E1170" s="697">
        <v>834000</v>
      </c>
      <c r="F1170" s="698">
        <v>557393</v>
      </c>
      <c r="J1170" s="543"/>
      <c r="K1170"/>
      <c r="L1170"/>
      <c r="M1170"/>
    </row>
    <row r="1171" spans="1:13" ht="12.75">
      <c r="A1171" s="644" t="s">
        <v>2153</v>
      </c>
      <c r="B1171" s="726">
        <v>12144128</v>
      </c>
      <c r="C1171" s="1032" t="s">
        <v>1559</v>
      </c>
      <c r="D1171" s="747" t="s">
        <v>2154</v>
      </c>
      <c r="E1171" s="697">
        <v>336000</v>
      </c>
      <c r="F1171" s="698">
        <v>223972</v>
      </c>
      <c r="J1171" s="543"/>
      <c r="K1171"/>
      <c r="L1171"/>
      <c r="M1171"/>
    </row>
    <row r="1172" spans="1:13" ht="12.75">
      <c r="A1172" s="644" t="s">
        <v>2155</v>
      </c>
      <c r="B1172" s="822"/>
      <c r="C1172" s="1032" t="s">
        <v>4592</v>
      </c>
      <c r="D1172" s="747" t="s">
        <v>2156</v>
      </c>
      <c r="E1172" s="1022">
        <v>39000</v>
      </c>
      <c r="F1172" s="788">
        <v>13762</v>
      </c>
      <c r="J1172" s="543"/>
      <c r="K1172"/>
      <c r="L1172"/>
      <c r="M1172"/>
    </row>
    <row r="1173" spans="1:13" ht="12.75">
      <c r="A1173" s="644" t="s">
        <v>2157</v>
      </c>
      <c r="B1173" s="822"/>
      <c r="C1173" s="1032" t="s">
        <v>4592</v>
      </c>
      <c r="D1173" s="747" t="s">
        <v>2158</v>
      </c>
      <c r="E1173" s="1022">
        <v>320000</v>
      </c>
      <c r="F1173" s="788">
        <v>215118</v>
      </c>
      <c r="J1173" s="543"/>
      <c r="K1173"/>
      <c r="L1173"/>
      <c r="M1173"/>
    </row>
    <row r="1174" spans="1:13" ht="12.75">
      <c r="A1174" s="644" t="s">
        <v>2159</v>
      </c>
      <c r="B1174" s="630">
        <v>121492</v>
      </c>
      <c r="C1174" s="1032" t="s">
        <v>1026</v>
      </c>
      <c r="D1174" s="747" t="s">
        <v>2160</v>
      </c>
      <c r="E1174" s="697">
        <v>375000</v>
      </c>
      <c r="F1174" s="698">
        <v>250730</v>
      </c>
      <c r="J1174" s="543"/>
      <c r="K1174"/>
      <c r="L1174"/>
      <c r="M1174"/>
    </row>
    <row r="1175" spans="1:13" ht="12.75">
      <c r="A1175" s="644" t="s">
        <v>2161</v>
      </c>
      <c r="B1175" s="822"/>
      <c r="C1175" s="1032" t="s">
        <v>1026</v>
      </c>
      <c r="D1175" s="747" t="s">
        <v>2162</v>
      </c>
      <c r="E1175" s="697">
        <v>328000</v>
      </c>
      <c r="F1175" s="698">
        <v>219604</v>
      </c>
      <c r="J1175" s="543"/>
      <c r="K1175"/>
      <c r="L1175"/>
      <c r="M1175"/>
    </row>
    <row r="1176" spans="1:13" ht="12.75">
      <c r="A1176" s="644" t="s">
        <v>2163</v>
      </c>
      <c r="B1176" s="822"/>
      <c r="C1176" s="1032" t="s">
        <v>1026</v>
      </c>
      <c r="D1176" s="747" t="s">
        <v>2164</v>
      </c>
      <c r="E1176" s="697">
        <v>602000</v>
      </c>
      <c r="F1176" s="698">
        <v>404467</v>
      </c>
      <c r="J1176" s="543"/>
      <c r="K1176"/>
      <c r="L1176"/>
      <c r="M1176"/>
    </row>
    <row r="1177" spans="1:13" ht="13.5" thickBot="1">
      <c r="A1177" s="644" t="s">
        <v>2165</v>
      </c>
      <c r="B1177" s="633">
        <v>121492</v>
      </c>
      <c r="C1177" s="1077" t="s">
        <v>1029</v>
      </c>
      <c r="D1177" s="1176" t="s">
        <v>2166</v>
      </c>
      <c r="E1177" s="1079">
        <v>1492000</v>
      </c>
      <c r="F1177" s="790">
        <v>998449</v>
      </c>
      <c r="J1177" s="543"/>
      <c r="K1177"/>
      <c r="L1177"/>
      <c r="M1177"/>
    </row>
    <row r="1178" spans="1:11" s="543" customFormat="1" ht="13.5" thickBot="1">
      <c r="A1178" s="685"/>
      <c r="B1178" s="1177">
        <f>B1142</f>
        <v>0</v>
      </c>
      <c r="C1178" s="757" t="s">
        <v>853</v>
      </c>
      <c r="D1178" s="601" t="s">
        <v>1499</v>
      </c>
      <c r="E1178" s="773">
        <f>SUM(E1137:E1177)</f>
        <v>127909108</v>
      </c>
      <c r="F1178" s="774">
        <f>SUM(F1137:F1177)</f>
        <v>110079305</v>
      </c>
      <c r="G1178" s="1002"/>
      <c r="H1178" s="705"/>
      <c r="I1178" s="705"/>
      <c r="K1178" s="1002"/>
    </row>
    <row r="1179" spans="1:9" s="543" customFormat="1" ht="13.5" thickBot="1">
      <c r="A1179" s="1178"/>
      <c r="B1179" s="1179"/>
      <c r="C1179" s="1143"/>
      <c r="D1179" s="732"/>
      <c r="E1179" s="766"/>
      <c r="F1179" s="1145"/>
      <c r="G1179" s="1002"/>
      <c r="H1179" s="705"/>
      <c r="I1179" s="705"/>
    </row>
    <row r="1180" spans="1:9" s="543" customFormat="1" ht="12.75" customHeight="1" thickBot="1">
      <c r="A1180" s="2229" t="s">
        <v>567</v>
      </c>
      <c r="B1180" s="2229"/>
      <c r="C1180" s="2229"/>
      <c r="D1180" s="740"/>
      <c r="E1180" s="1180"/>
      <c r="F1180" s="1181"/>
      <c r="G1180" s="1002"/>
      <c r="H1180" s="705"/>
      <c r="I1180" s="705"/>
    </row>
    <row r="1181" spans="1:9" s="543" customFormat="1" ht="12.75">
      <c r="A1181" s="717" t="s">
        <v>2167</v>
      </c>
      <c r="B1181" s="645">
        <v>121493</v>
      </c>
      <c r="C1181" s="1071"/>
      <c r="D1181" s="673" t="s">
        <v>568</v>
      </c>
      <c r="E1181" s="1058">
        <v>11000</v>
      </c>
      <c r="F1181" s="1075">
        <v>7126</v>
      </c>
      <c r="G1181" s="1002"/>
      <c r="H1181" s="705"/>
      <c r="I1181" s="705"/>
    </row>
    <row r="1182" spans="1:9" s="543" customFormat="1" ht="12.75">
      <c r="A1182" s="717" t="s">
        <v>2168</v>
      </c>
      <c r="B1182" s="822"/>
      <c r="C1182" s="1032" t="s">
        <v>3399</v>
      </c>
      <c r="D1182" s="597" t="s">
        <v>569</v>
      </c>
      <c r="E1182" s="697">
        <v>39000</v>
      </c>
      <c r="F1182" s="698">
        <v>26649</v>
      </c>
      <c r="G1182" s="1002"/>
      <c r="H1182" s="705"/>
      <c r="I1182" s="705"/>
    </row>
    <row r="1183" spans="1:9" s="543" customFormat="1" ht="12.75">
      <c r="A1183" s="717" t="s">
        <v>2169</v>
      </c>
      <c r="B1183" s="822"/>
      <c r="C1183" s="1032" t="s">
        <v>3403</v>
      </c>
      <c r="D1183" s="597" t="s">
        <v>570</v>
      </c>
      <c r="E1183" s="697">
        <v>193000</v>
      </c>
      <c r="F1183" s="698">
        <v>128928</v>
      </c>
      <c r="G1183" s="1002"/>
      <c r="H1183" s="705"/>
      <c r="I1183" s="705"/>
    </row>
    <row r="1184" spans="1:9" s="543" customFormat="1" ht="12.75">
      <c r="A1184" s="717" t="s">
        <v>2170</v>
      </c>
      <c r="B1184" s="1020"/>
      <c r="C1184" s="1032" t="s">
        <v>3405</v>
      </c>
      <c r="D1184" s="597" t="s">
        <v>571</v>
      </c>
      <c r="E1184" s="697">
        <v>212000</v>
      </c>
      <c r="F1184" s="698">
        <v>143091</v>
      </c>
      <c r="G1184" s="1002"/>
      <c r="H1184" s="705"/>
      <c r="I1184" s="705"/>
    </row>
    <row r="1185" spans="1:9" s="543" customFormat="1" ht="12.75">
      <c r="A1185" s="717" t="s">
        <v>2171</v>
      </c>
      <c r="B1185" s="630"/>
      <c r="C1185" s="1032" t="s">
        <v>3407</v>
      </c>
      <c r="D1185" s="597" t="s">
        <v>572</v>
      </c>
      <c r="E1185" s="697">
        <v>250000</v>
      </c>
      <c r="F1185" s="698">
        <v>166306</v>
      </c>
      <c r="G1185" s="1002"/>
      <c r="H1185" s="705"/>
      <c r="I1185" s="705"/>
    </row>
    <row r="1186" spans="1:9" s="543" customFormat="1" ht="12.75">
      <c r="A1186" s="717" t="s">
        <v>2172</v>
      </c>
      <c r="B1186" s="630"/>
      <c r="C1186" s="1032" t="s">
        <v>3436</v>
      </c>
      <c r="D1186" s="597" t="s">
        <v>573</v>
      </c>
      <c r="E1186" s="697">
        <v>19000</v>
      </c>
      <c r="F1186" s="698">
        <v>11603</v>
      </c>
      <c r="G1186" s="1002"/>
      <c r="H1186" s="705"/>
      <c r="I1186" s="705"/>
    </row>
    <row r="1187" spans="1:9" s="543" customFormat="1" ht="25.5">
      <c r="A1187" s="717" t="s">
        <v>2173</v>
      </c>
      <c r="B1187" s="631"/>
      <c r="C1187" s="1182" t="s">
        <v>771</v>
      </c>
      <c r="D1187" s="677" t="s">
        <v>574</v>
      </c>
      <c r="E1187" s="770">
        <v>364753</v>
      </c>
      <c r="F1187" s="771">
        <v>344153</v>
      </c>
      <c r="G1187" s="1002"/>
      <c r="H1187" s="705"/>
      <c r="I1187" s="705"/>
    </row>
    <row r="1188" spans="1:9" s="543" customFormat="1" ht="12.75">
      <c r="A1188" s="717" t="s">
        <v>2174</v>
      </c>
      <c r="B1188" s="631"/>
      <c r="C1188" s="1182" t="s">
        <v>829</v>
      </c>
      <c r="D1188" s="677" t="s">
        <v>575</v>
      </c>
      <c r="E1188" s="770">
        <v>948129</v>
      </c>
      <c r="F1188" s="771">
        <v>948129</v>
      </c>
      <c r="G1188" s="1002"/>
      <c r="H1188" s="705"/>
      <c r="I1188" s="705"/>
    </row>
    <row r="1189" spans="1:9" s="543" customFormat="1" ht="12.75">
      <c r="A1189" s="717" t="s">
        <v>2175</v>
      </c>
      <c r="B1189" s="631"/>
      <c r="C1189" s="1182" t="s">
        <v>829</v>
      </c>
      <c r="D1189" s="677" t="s">
        <v>576</v>
      </c>
      <c r="E1189" s="770">
        <v>41808</v>
      </c>
      <c r="F1189" s="771">
        <v>41808</v>
      </c>
      <c r="G1189" s="1002"/>
      <c r="H1189" s="705"/>
      <c r="I1189" s="705"/>
    </row>
    <row r="1190" spans="1:9" s="543" customFormat="1" ht="13.5" thickBot="1">
      <c r="A1190" s="717" t="s">
        <v>2176</v>
      </c>
      <c r="B1190" s="633"/>
      <c r="C1190" s="1172" t="s">
        <v>3369</v>
      </c>
      <c r="D1190" s="742" t="s">
        <v>577</v>
      </c>
      <c r="E1190" s="1079">
        <v>424372</v>
      </c>
      <c r="F1190" s="790">
        <v>416768</v>
      </c>
      <c r="G1190" s="1002"/>
      <c r="H1190" s="705"/>
      <c r="I1190" s="705"/>
    </row>
    <row r="1191" spans="1:9" s="543" customFormat="1" ht="13.5" thickBot="1">
      <c r="A1191" s="663"/>
      <c r="B1191" s="1124">
        <v>121493</v>
      </c>
      <c r="C1191" s="757" t="s">
        <v>757</v>
      </c>
      <c r="D1191" s="706" t="s">
        <v>1499</v>
      </c>
      <c r="E1191" s="773">
        <f>SUM(E1181:E1190)</f>
        <v>2503062</v>
      </c>
      <c r="F1191" s="774">
        <f>SUM(F1181:F1190)</f>
        <v>2234561</v>
      </c>
      <c r="G1191" s="1002"/>
      <c r="H1191" s="705"/>
      <c r="I1191" s="705"/>
    </row>
    <row r="1192" spans="1:9" s="543" customFormat="1" ht="12.75">
      <c r="A1192" s="1111"/>
      <c r="B1192" s="592"/>
      <c r="C1192" s="1152"/>
      <c r="D1192" s="711"/>
      <c r="E1192" s="1103"/>
      <c r="F1192" s="1104"/>
      <c r="G1192" s="1002"/>
      <c r="H1192" s="705"/>
      <c r="I1192" s="705"/>
    </row>
    <row r="1193" spans="1:13" ht="13.5" thickBot="1">
      <c r="A1193" s="2227" t="s">
        <v>578</v>
      </c>
      <c r="B1193" s="2227"/>
      <c r="C1193" s="2227"/>
      <c r="D1193" s="2227"/>
      <c r="E1193" s="1183"/>
      <c r="F1193" s="1184"/>
      <c r="J1193" s="543"/>
      <c r="K1193"/>
      <c r="L1193"/>
      <c r="M1193"/>
    </row>
    <row r="1194" spans="1:9" s="543" customFormat="1" ht="12.75">
      <c r="A1194" s="680" t="s">
        <v>2177</v>
      </c>
      <c r="B1194" s="819">
        <v>1219312</v>
      </c>
      <c r="C1194" s="1185" t="s">
        <v>579</v>
      </c>
      <c r="D1194" s="743" t="s">
        <v>580</v>
      </c>
      <c r="E1194" s="692">
        <v>993750</v>
      </c>
      <c r="F1194" s="693">
        <v>0</v>
      </c>
      <c r="G1194" s="1002"/>
      <c r="H1194" s="705"/>
      <c r="I1194" s="705"/>
    </row>
    <row r="1195" spans="1:9" s="543" customFormat="1" ht="12.75">
      <c r="A1195" s="648" t="s">
        <v>2178</v>
      </c>
      <c r="B1195" s="1186"/>
      <c r="C1195" s="767"/>
      <c r="D1195" s="745" t="s">
        <v>581</v>
      </c>
      <c r="E1195" s="1134">
        <v>613250</v>
      </c>
      <c r="F1195" s="746">
        <v>0</v>
      </c>
      <c r="G1195" s="1002"/>
      <c r="H1195" s="705"/>
      <c r="I1195" s="705"/>
    </row>
    <row r="1196" spans="1:9" s="543" customFormat="1" ht="12.75">
      <c r="A1196" s="648" t="s">
        <v>2179</v>
      </c>
      <c r="B1196" s="630"/>
      <c r="C1196" s="607" t="s">
        <v>579</v>
      </c>
      <c r="D1196" s="747" t="s">
        <v>582</v>
      </c>
      <c r="E1196" s="697">
        <v>198525</v>
      </c>
      <c r="F1196" s="698">
        <v>0</v>
      </c>
      <c r="G1196" s="1002"/>
      <c r="H1196" s="705"/>
      <c r="I1196" s="705"/>
    </row>
    <row r="1197" spans="1:9" s="543" customFormat="1" ht="12.75">
      <c r="A1197" s="648" t="s">
        <v>2180</v>
      </c>
      <c r="B1197" s="1187"/>
      <c r="C1197" s="1188"/>
      <c r="D1197" s="749" t="s">
        <v>583</v>
      </c>
      <c r="E1197" s="750">
        <v>92250</v>
      </c>
      <c r="F1197" s="1189">
        <v>0</v>
      </c>
      <c r="G1197" s="1002"/>
      <c r="H1197" s="705"/>
      <c r="I1197" s="705"/>
    </row>
    <row r="1198" spans="1:9" s="543" customFormat="1" ht="13.5" thickBot="1">
      <c r="A1198" s="751" t="s">
        <v>2181</v>
      </c>
      <c r="B1198" s="822"/>
      <c r="C1198" s="1032" t="s">
        <v>3386</v>
      </c>
      <c r="D1198" s="597" t="s">
        <v>584</v>
      </c>
      <c r="E1198" s="697">
        <v>696066</v>
      </c>
      <c r="F1198" s="698">
        <v>0</v>
      </c>
      <c r="G1198" s="1002"/>
      <c r="H1198" s="705"/>
      <c r="I1198" s="705"/>
    </row>
    <row r="1199" spans="1:9" s="543" customFormat="1" ht="13.5" thickBot="1">
      <c r="A1199" s="613"/>
      <c r="B1199" s="1124">
        <f>B1194</f>
        <v>1219312</v>
      </c>
      <c r="C1199" s="664"/>
      <c r="D1199" s="601" t="s">
        <v>1499</v>
      </c>
      <c r="E1199" s="773">
        <f>SUM(E1194:E1198)</f>
        <v>2593841</v>
      </c>
      <c r="F1199" s="774">
        <f>SUM(F1194:F1198)</f>
        <v>0</v>
      </c>
      <c r="G1199" s="1002"/>
      <c r="H1199" s="705"/>
      <c r="I1199" s="705"/>
    </row>
    <row r="1200" spans="1:13" ht="13.5" thickBot="1">
      <c r="A1200" s="2222" t="s">
        <v>585</v>
      </c>
      <c r="B1200" s="2222"/>
      <c r="C1200" s="2222"/>
      <c r="D1200" s="2222"/>
      <c r="E1200" s="1163"/>
      <c r="F1200" s="1164"/>
      <c r="J1200" s="543"/>
      <c r="K1200"/>
      <c r="L1200"/>
      <c r="M1200"/>
    </row>
    <row r="1201" spans="1:10" ht="12.75">
      <c r="A1201" s="680" t="s">
        <v>2182</v>
      </c>
      <c r="B1201" s="819">
        <v>1219411</v>
      </c>
      <c r="C1201" s="753">
        <v>1</v>
      </c>
      <c r="D1201" s="628" t="s">
        <v>586</v>
      </c>
      <c r="E1201" s="692">
        <v>8371000</v>
      </c>
      <c r="F1201" s="693">
        <v>0</v>
      </c>
      <c r="J1201" s="543"/>
    </row>
    <row r="1202" spans="1:10" ht="12.75">
      <c r="A1202" s="648" t="s">
        <v>2183</v>
      </c>
      <c r="B1202" s="722"/>
      <c r="C1202" s="754" t="s">
        <v>587</v>
      </c>
      <c r="D1202" s="612" t="s">
        <v>586</v>
      </c>
      <c r="E1202" s="697">
        <v>273000</v>
      </c>
      <c r="F1202" s="698">
        <v>0</v>
      </c>
      <c r="J1202" s="543"/>
    </row>
    <row r="1203" spans="1:10" ht="12.75">
      <c r="A1203" s="648" t="s">
        <v>2184</v>
      </c>
      <c r="B1203" s="722"/>
      <c r="C1203" s="754">
        <v>1580</v>
      </c>
      <c r="D1203" s="612" t="s">
        <v>588</v>
      </c>
      <c r="E1203" s="697">
        <v>21834000</v>
      </c>
      <c r="F1203" s="698">
        <v>0</v>
      </c>
      <c r="J1203" s="543"/>
    </row>
    <row r="1204" spans="1:9" s="1193" customFormat="1" ht="12.75">
      <c r="A1204" s="648" t="s">
        <v>2185</v>
      </c>
      <c r="B1204" s="1190"/>
      <c r="C1204" s="1191">
        <v>1835</v>
      </c>
      <c r="D1204" s="727" t="s">
        <v>589</v>
      </c>
      <c r="E1204" s="697">
        <v>550000</v>
      </c>
      <c r="F1204" s="1192">
        <v>0</v>
      </c>
      <c r="G1204" s="1149"/>
      <c r="H1204" s="1162"/>
      <c r="I1204" s="1162"/>
    </row>
    <row r="1205" spans="1:10" ht="13.5" thickBot="1">
      <c r="A1205" s="648" t="s">
        <v>2186</v>
      </c>
      <c r="B1205" s="722"/>
      <c r="C1205" s="754">
        <v>1902</v>
      </c>
      <c r="D1205" s="612" t="s">
        <v>2897</v>
      </c>
      <c r="E1205" s="697">
        <v>189000</v>
      </c>
      <c r="F1205" s="698">
        <v>0</v>
      </c>
      <c r="J1205" s="543"/>
    </row>
    <row r="1206" spans="1:10" s="752" customFormat="1" ht="48.75" thickBot="1">
      <c r="A1206" s="605" t="s">
        <v>4597</v>
      </c>
      <c r="B1206" s="606" t="s">
        <v>4601</v>
      </c>
      <c r="C1206" s="1008" t="s">
        <v>4602</v>
      </c>
      <c r="D1206" s="606" t="s">
        <v>4603</v>
      </c>
      <c r="E1206" s="738" t="s">
        <v>4604</v>
      </c>
      <c r="F1206" s="739" t="s">
        <v>4605</v>
      </c>
      <c r="G1206" s="1127"/>
      <c r="H1206" s="1128"/>
      <c r="I1206" s="1128"/>
      <c r="J1206" s="666"/>
    </row>
    <row r="1207" spans="1:10" ht="12.75">
      <c r="A1207" s="648" t="s">
        <v>2187</v>
      </c>
      <c r="B1207" s="722"/>
      <c r="C1207" s="754">
        <v>1933</v>
      </c>
      <c r="D1207" s="612" t="s">
        <v>2926</v>
      </c>
      <c r="E1207" s="697">
        <v>1175000</v>
      </c>
      <c r="F1207" s="698">
        <v>0</v>
      </c>
      <c r="J1207" s="543"/>
    </row>
    <row r="1208" spans="1:10" ht="13.5" thickBot="1">
      <c r="A1208" s="751" t="s">
        <v>2188</v>
      </c>
      <c r="B1208" s="762"/>
      <c r="C1208" s="755">
        <v>1935</v>
      </c>
      <c r="D1208" s="634" t="s">
        <v>590</v>
      </c>
      <c r="E1208" s="770">
        <v>794000</v>
      </c>
      <c r="F1208" s="771">
        <v>0</v>
      </c>
      <c r="J1208" s="543"/>
    </row>
    <row r="1209" spans="1:9" s="686" customFormat="1" ht="13.5" thickBot="1">
      <c r="A1209" s="613"/>
      <c r="B1209" s="1124"/>
      <c r="C1209" s="664"/>
      <c r="D1209" s="602" t="s">
        <v>1499</v>
      </c>
      <c r="E1209" s="773">
        <f>SUM(E1201:E1208)</f>
        <v>33186000</v>
      </c>
      <c r="F1209" s="774">
        <f>SUM(F1201:F1208)</f>
        <v>0</v>
      </c>
      <c r="G1209" s="1001"/>
      <c r="H1209" s="817"/>
      <c r="I1209" s="817"/>
    </row>
    <row r="1210" spans="1:10" ht="12.75">
      <c r="A1210" s="1194"/>
      <c r="B1210" s="592"/>
      <c r="C1210" s="1152"/>
      <c r="D1210" s="711"/>
      <c r="E1210" s="1103"/>
      <c r="F1210" s="1104"/>
      <c r="J1210" s="543"/>
    </row>
    <row r="1211" spans="1:10" ht="13.5" thickBot="1">
      <c r="A1211" s="2227" t="s">
        <v>591</v>
      </c>
      <c r="B1211" s="2227"/>
      <c r="C1211" s="2227"/>
      <c r="D1211" s="2227"/>
      <c r="E1211" s="2228"/>
      <c r="F1211" s="2228"/>
      <c r="J1211" s="543"/>
    </row>
    <row r="1212" spans="1:10" ht="12.75">
      <c r="A1212" s="680" t="s">
        <v>2189</v>
      </c>
      <c r="B1212" s="819">
        <v>1219412</v>
      </c>
      <c r="C1212" s="1115" t="s">
        <v>4003</v>
      </c>
      <c r="D1212" s="643" t="s">
        <v>592</v>
      </c>
      <c r="E1212" s="692">
        <v>4968637</v>
      </c>
      <c r="F1212" s="693">
        <v>0</v>
      </c>
      <c r="J1212" s="543"/>
    </row>
    <row r="1213" spans="1:10" ht="12.75">
      <c r="A1213" s="648" t="s">
        <v>2190</v>
      </c>
      <c r="B1213" s="630"/>
      <c r="C1213" s="1032" t="s">
        <v>593</v>
      </c>
      <c r="D1213" s="597" t="s">
        <v>594</v>
      </c>
      <c r="E1213" s="697">
        <v>9052656</v>
      </c>
      <c r="F1213" s="698">
        <v>0</v>
      </c>
      <c r="J1213" s="543"/>
    </row>
    <row r="1214" spans="1:10" ht="13.5" thickBot="1">
      <c r="A1214" s="751" t="s">
        <v>2191</v>
      </c>
      <c r="B1214" s="630"/>
      <c r="C1214" s="1032" t="s">
        <v>595</v>
      </c>
      <c r="D1214" s="597" t="s">
        <v>596</v>
      </c>
      <c r="E1214" s="697">
        <v>12859757</v>
      </c>
      <c r="F1214" s="698">
        <v>0</v>
      </c>
      <c r="J1214" s="543"/>
    </row>
    <row r="1215" spans="1:10" ht="13.5" thickBot="1">
      <c r="A1215" s="613"/>
      <c r="B1215" s="1124">
        <f>B1212</f>
        <v>1219412</v>
      </c>
      <c r="C1215" s="757"/>
      <c r="D1215" s="601" t="s">
        <v>1499</v>
      </c>
      <c r="E1215" s="1195">
        <f>SUM(E1212:E1214)</f>
        <v>26881050</v>
      </c>
      <c r="F1215" s="1196">
        <f>SUM(F1212:F1214)</f>
        <v>0</v>
      </c>
      <c r="J1215" s="543"/>
    </row>
    <row r="1216" spans="1:10" ht="13.5" thickBot="1">
      <c r="A1216" s="756"/>
      <c r="B1216" s="615"/>
      <c r="C1216" s="1197"/>
      <c r="D1216" s="740"/>
      <c r="E1216" s="780"/>
      <c r="F1216" s="1198"/>
      <c r="J1216" s="543"/>
    </row>
    <row r="1217" spans="1:13" ht="13.5" thickBot="1">
      <c r="A1217" s="2225" t="s">
        <v>597</v>
      </c>
      <c r="B1217" s="2220"/>
      <c r="C1217" s="2220"/>
      <c r="D1217" s="2220"/>
      <c r="E1217" s="2220"/>
      <c r="F1217" s="2220"/>
      <c r="J1217" s="543"/>
      <c r="K1217"/>
      <c r="L1217"/>
      <c r="M1217"/>
    </row>
    <row r="1218" spans="1:13" ht="12.75">
      <c r="A1218" s="1199" t="s">
        <v>2192</v>
      </c>
      <c r="B1218" s="1200" t="s">
        <v>598</v>
      </c>
      <c r="C1218" s="1115"/>
      <c r="D1218" s="714" t="s">
        <v>599</v>
      </c>
      <c r="E1218" s="692">
        <v>9000</v>
      </c>
      <c r="F1218" s="693">
        <v>0</v>
      </c>
      <c r="J1218" s="543"/>
      <c r="K1218"/>
      <c r="L1218"/>
      <c r="M1218"/>
    </row>
    <row r="1219" spans="1:13" ht="12.75">
      <c r="A1219" s="1201" t="s">
        <v>2193</v>
      </c>
      <c r="B1219" s="1014">
        <v>12194</v>
      </c>
      <c r="C1219" s="1071" t="s">
        <v>1029</v>
      </c>
      <c r="D1219" s="646" t="s">
        <v>2194</v>
      </c>
      <c r="E1219" s="1058">
        <v>147000</v>
      </c>
      <c r="F1219" s="1075">
        <v>0</v>
      </c>
      <c r="J1219" s="543"/>
      <c r="K1219"/>
      <c r="L1219"/>
      <c r="M1219"/>
    </row>
    <row r="1220" spans="1:13" ht="13.5" thickBot="1">
      <c r="A1220" s="1202" t="s">
        <v>2195</v>
      </c>
      <c r="B1220" s="1076"/>
      <c r="C1220" s="1077" t="s">
        <v>1029</v>
      </c>
      <c r="D1220" s="1176" t="s">
        <v>2196</v>
      </c>
      <c r="E1220" s="1079">
        <v>1248000</v>
      </c>
      <c r="F1220" s="790">
        <v>0</v>
      </c>
      <c r="J1220" s="543"/>
      <c r="K1220"/>
      <c r="L1220"/>
      <c r="M1220"/>
    </row>
    <row r="1221" spans="1:13" ht="13.5" thickBot="1">
      <c r="A1221" s="1080"/>
      <c r="B1221" s="1177" t="str">
        <f>B1218</f>
        <v>1219492</v>
      </c>
      <c r="C1221" s="664"/>
      <c r="D1221" s="1141" t="s">
        <v>1499</v>
      </c>
      <c r="E1221" s="773">
        <f>SUM(E1218:E1220)</f>
        <v>1404000</v>
      </c>
      <c r="F1221" s="774">
        <f>SUM(F1218:F1220)</f>
        <v>0</v>
      </c>
      <c r="J1221" s="543"/>
      <c r="K1221"/>
      <c r="L1221"/>
      <c r="M1221"/>
    </row>
    <row r="1222" spans="1:13" ht="12.75">
      <c r="A1222" s="1082"/>
      <c r="B1222" s="1179"/>
      <c r="C1222" s="730"/>
      <c r="D1222" s="640"/>
      <c r="E1222" s="1103"/>
      <c r="F1222" s="1104"/>
      <c r="J1222" s="543"/>
      <c r="K1222"/>
      <c r="L1222"/>
      <c r="M1222"/>
    </row>
    <row r="1223" spans="2:13" ht="12.75">
      <c r="B1223" s="1203"/>
      <c r="C1223" s="637"/>
      <c r="D1223" s="640"/>
      <c r="E1223" s="1103"/>
      <c r="F1223" s="1104"/>
      <c r="J1223" s="543"/>
      <c r="K1223"/>
      <c r="L1223"/>
      <c r="M1223"/>
    </row>
    <row r="1224" spans="1:13" ht="12.75">
      <c r="A1224" s="2226" t="s">
        <v>2197</v>
      </c>
      <c r="B1224" s="2226"/>
      <c r="C1224" s="2226"/>
      <c r="D1224" s="1204"/>
      <c r="E1224" s="1205">
        <f>E1221+E1215+E1209+E1199+E1191+E1178+E1134+E963+E797+E781+E743+E697+E629+E598+E302+E251</f>
        <v>2783015785.5478525</v>
      </c>
      <c r="F1224" s="1104">
        <f>F1221+F1215+F1209+F1199+F1191+F1178+F1134+F963+F797+F781+F743+F697+F629+F598+F302+F251</f>
        <v>1991717905</v>
      </c>
      <c r="K1224"/>
      <c r="L1224"/>
      <c r="M1224"/>
    </row>
    <row r="1225" spans="10:13" ht="12.75">
      <c r="J1225" s="543"/>
      <c r="K1225"/>
      <c r="L1225"/>
      <c r="M1225"/>
    </row>
    <row r="1226" spans="1:13" ht="12.75">
      <c r="A1226" s="2222" t="s">
        <v>2198</v>
      </c>
      <c r="B1226" s="2222"/>
      <c r="C1226" s="2222"/>
      <c r="D1226" s="2222"/>
      <c r="E1226" s="2222"/>
      <c r="F1226" s="2222"/>
      <c r="J1226" s="543"/>
      <c r="K1226"/>
      <c r="L1226"/>
      <c r="M1226"/>
    </row>
    <row r="1227" spans="10:13" ht="12.75">
      <c r="J1227" s="543"/>
      <c r="K1227"/>
      <c r="L1227"/>
      <c r="M1227"/>
    </row>
    <row r="1228" spans="1:13" ht="13.5" thickBot="1">
      <c r="A1228" s="2222" t="s">
        <v>600</v>
      </c>
      <c r="B1228" s="2222"/>
      <c r="C1228" s="2222"/>
      <c r="D1228" s="2222"/>
      <c r="E1228" s="2222"/>
      <c r="F1228" s="2222"/>
      <c r="J1228" s="543"/>
      <c r="K1228"/>
      <c r="L1228"/>
      <c r="M1228"/>
    </row>
    <row r="1229" spans="1:9" s="543" customFormat="1" ht="12.75">
      <c r="A1229" s="680" t="s">
        <v>2199</v>
      </c>
      <c r="B1229" s="819">
        <v>131113</v>
      </c>
      <c r="C1229" s="1087" t="s">
        <v>1077</v>
      </c>
      <c r="D1229" s="616" t="s">
        <v>601</v>
      </c>
      <c r="E1229" s="692">
        <v>186480</v>
      </c>
      <c r="F1229" s="716">
        <v>10968</v>
      </c>
      <c r="G1229" s="1002"/>
      <c r="H1229" s="705"/>
      <c r="I1229" s="705"/>
    </row>
    <row r="1230" spans="1:9" s="543" customFormat="1" ht="12.75">
      <c r="A1230" s="648" t="s">
        <v>2200</v>
      </c>
      <c r="B1230" s="1014"/>
      <c r="C1230" s="1088" t="s">
        <v>1077</v>
      </c>
      <c r="D1230" s="598" t="s">
        <v>602</v>
      </c>
      <c r="E1230" s="697">
        <v>45000</v>
      </c>
      <c r="F1230" s="758">
        <v>2647</v>
      </c>
      <c r="G1230" s="1002"/>
      <c r="H1230" s="705"/>
      <c r="I1230" s="705"/>
    </row>
    <row r="1231" spans="1:9" s="543" customFormat="1" ht="12.75">
      <c r="A1231" s="648" t="s">
        <v>2201</v>
      </c>
      <c r="B1231" s="1014"/>
      <c r="C1231" s="1088" t="s">
        <v>1077</v>
      </c>
      <c r="D1231" s="598" t="s">
        <v>603</v>
      </c>
      <c r="E1231" s="697">
        <v>18990</v>
      </c>
      <c r="F1231" s="758">
        <v>1186</v>
      </c>
      <c r="G1231" s="1002"/>
      <c r="H1231" s="705"/>
      <c r="I1231" s="705"/>
    </row>
    <row r="1232" spans="1:9" s="759" customFormat="1" ht="12.75">
      <c r="A1232" s="648" t="s">
        <v>2202</v>
      </c>
      <c r="B1232" s="1014"/>
      <c r="C1232" s="1088" t="s">
        <v>1077</v>
      </c>
      <c r="D1232" s="598" t="s">
        <v>604</v>
      </c>
      <c r="E1232" s="697">
        <v>16215</v>
      </c>
      <c r="F1232" s="758">
        <v>3608</v>
      </c>
      <c r="G1232" s="1206"/>
      <c r="H1232" s="849"/>
      <c r="I1232" s="849"/>
    </row>
    <row r="1233" spans="1:9" s="543" customFormat="1" ht="12.75">
      <c r="A1233" s="648" t="s">
        <v>2203</v>
      </c>
      <c r="B1233" s="1014"/>
      <c r="C1233" s="1088" t="s">
        <v>1077</v>
      </c>
      <c r="D1233" s="598" t="s">
        <v>605</v>
      </c>
      <c r="E1233" s="697">
        <v>499990</v>
      </c>
      <c r="F1233" s="758">
        <v>111230</v>
      </c>
      <c r="G1233" s="1002"/>
      <c r="H1233" s="705"/>
      <c r="I1233" s="705"/>
    </row>
    <row r="1234" spans="1:9" s="543" customFormat="1" ht="12.75">
      <c r="A1234" s="648" t="s">
        <v>2204</v>
      </c>
      <c r="B1234" s="1014"/>
      <c r="C1234" s="1088" t="s">
        <v>1077</v>
      </c>
      <c r="D1234" s="598" t="s">
        <v>605</v>
      </c>
      <c r="E1234" s="697">
        <v>499990</v>
      </c>
      <c r="F1234" s="758">
        <v>111230</v>
      </c>
      <c r="G1234" s="1002"/>
      <c r="H1234" s="705"/>
      <c r="I1234" s="705"/>
    </row>
    <row r="1235" spans="1:9" s="543" customFormat="1" ht="12.75">
      <c r="A1235" s="648" t="s">
        <v>2205</v>
      </c>
      <c r="B1235" s="1014"/>
      <c r="C1235" s="1088" t="s">
        <v>1077</v>
      </c>
      <c r="D1235" s="598" t="s">
        <v>605</v>
      </c>
      <c r="E1235" s="697">
        <v>499990</v>
      </c>
      <c r="F1235" s="758">
        <v>111230</v>
      </c>
      <c r="G1235" s="1002"/>
      <c r="H1235" s="705"/>
      <c r="I1235" s="705"/>
    </row>
    <row r="1236" spans="1:9" s="543" customFormat="1" ht="12.75">
      <c r="A1236" s="648" t="s">
        <v>2206</v>
      </c>
      <c r="B1236" s="1014"/>
      <c r="C1236" s="1088" t="s">
        <v>1077</v>
      </c>
      <c r="D1236" s="598" t="s">
        <v>605</v>
      </c>
      <c r="E1236" s="697">
        <v>499990</v>
      </c>
      <c r="F1236" s="758">
        <v>111230</v>
      </c>
      <c r="G1236" s="1002"/>
      <c r="H1236" s="705"/>
      <c r="I1236" s="705"/>
    </row>
    <row r="1237" spans="1:9" s="543" customFormat="1" ht="12.75">
      <c r="A1237" s="648" t="s">
        <v>2207</v>
      </c>
      <c r="B1237" s="1014"/>
      <c r="C1237" s="1088" t="s">
        <v>1077</v>
      </c>
      <c r="D1237" s="598" t="s">
        <v>605</v>
      </c>
      <c r="E1237" s="697">
        <v>499990</v>
      </c>
      <c r="F1237" s="758">
        <v>111230</v>
      </c>
      <c r="G1237" s="1002"/>
      <c r="H1237" s="705"/>
      <c r="I1237" s="705"/>
    </row>
    <row r="1238" spans="1:9" s="543" customFormat="1" ht="12.75">
      <c r="A1238" s="648" t="s">
        <v>2208</v>
      </c>
      <c r="B1238" s="1014"/>
      <c r="C1238" s="1088" t="s">
        <v>1077</v>
      </c>
      <c r="D1238" s="598" t="s">
        <v>605</v>
      </c>
      <c r="E1238" s="697">
        <v>499990</v>
      </c>
      <c r="F1238" s="758">
        <v>111230</v>
      </c>
      <c r="G1238" s="1002"/>
      <c r="H1238" s="705"/>
      <c r="I1238" s="705"/>
    </row>
    <row r="1239" spans="1:9" s="543" customFormat="1" ht="12.75">
      <c r="A1239" s="648" t="s">
        <v>2209</v>
      </c>
      <c r="B1239" s="1014"/>
      <c r="C1239" s="1088" t="s">
        <v>1077</v>
      </c>
      <c r="D1239" s="598" t="s">
        <v>605</v>
      </c>
      <c r="E1239" s="697">
        <v>499990</v>
      </c>
      <c r="F1239" s="758">
        <v>111230</v>
      </c>
      <c r="G1239" s="1002"/>
      <c r="H1239" s="705"/>
      <c r="I1239" s="705"/>
    </row>
    <row r="1240" spans="1:9" s="543" customFormat="1" ht="12.75">
      <c r="A1240" s="648" t="s">
        <v>2210</v>
      </c>
      <c r="B1240" s="1014"/>
      <c r="C1240" s="1088" t="s">
        <v>1077</v>
      </c>
      <c r="D1240" s="598" t="s">
        <v>606</v>
      </c>
      <c r="E1240" s="697">
        <v>173000</v>
      </c>
      <c r="F1240" s="758">
        <v>38486</v>
      </c>
      <c r="G1240" s="1002"/>
      <c r="H1240" s="705"/>
      <c r="I1240" s="705"/>
    </row>
    <row r="1241" spans="1:9" s="543" customFormat="1" ht="12.75">
      <c r="A1241" s="648" t="s">
        <v>2211</v>
      </c>
      <c r="B1241" s="1014"/>
      <c r="C1241" s="1088" t="s">
        <v>1077</v>
      </c>
      <c r="D1241" s="598" t="s">
        <v>606</v>
      </c>
      <c r="E1241" s="697">
        <v>173000</v>
      </c>
      <c r="F1241" s="758">
        <v>38486</v>
      </c>
      <c r="G1241" s="1002"/>
      <c r="H1241" s="705"/>
      <c r="I1241" s="705"/>
    </row>
    <row r="1242" spans="1:9" s="543" customFormat="1" ht="12.75">
      <c r="A1242" s="648" t="s">
        <v>2212</v>
      </c>
      <c r="B1242" s="1014"/>
      <c r="C1242" s="1088" t="s">
        <v>1077</v>
      </c>
      <c r="D1242" s="598" t="s">
        <v>606</v>
      </c>
      <c r="E1242" s="697">
        <v>173000</v>
      </c>
      <c r="F1242" s="758">
        <v>38486</v>
      </c>
      <c r="G1242" s="1002"/>
      <c r="H1242" s="705"/>
      <c r="I1242" s="705"/>
    </row>
    <row r="1243" spans="1:9" s="543" customFormat="1" ht="12.75">
      <c r="A1243" s="648" t="s">
        <v>2213</v>
      </c>
      <c r="B1243" s="1014"/>
      <c r="C1243" s="1088" t="s">
        <v>1077</v>
      </c>
      <c r="D1243" s="598" t="s">
        <v>606</v>
      </c>
      <c r="E1243" s="697">
        <v>173000</v>
      </c>
      <c r="F1243" s="758">
        <v>38486</v>
      </c>
      <c r="G1243" s="1002"/>
      <c r="H1243" s="705"/>
      <c r="I1243" s="705"/>
    </row>
    <row r="1244" spans="1:9" s="543" customFormat="1" ht="12.75">
      <c r="A1244" s="648" t="s">
        <v>2214</v>
      </c>
      <c r="B1244" s="1014"/>
      <c r="C1244" s="1088" t="s">
        <v>1077</v>
      </c>
      <c r="D1244" s="598" t="s">
        <v>606</v>
      </c>
      <c r="E1244" s="697">
        <v>173000</v>
      </c>
      <c r="F1244" s="758">
        <v>38486</v>
      </c>
      <c r="G1244" s="1002"/>
      <c r="H1244" s="705"/>
      <c r="I1244" s="705"/>
    </row>
    <row r="1245" spans="1:9" s="543" customFormat="1" ht="12.75">
      <c r="A1245" s="648" t="s">
        <v>2215</v>
      </c>
      <c r="B1245" s="1014"/>
      <c r="C1245" s="1088" t="s">
        <v>1077</v>
      </c>
      <c r="D1245" s="598" t="s">
        <v>606</v>
      </c>
      <c r="E1245" s="697">
        <v>173000</v>
      </c>
      <c r="F1245" s="758">
        <v>38486</v>
      </c>
      <c r="G1245" s="1002"/>
      <c r="H1245" s="705"/>
      <c r="I1245" s="705"/>
    </row>
    <row r="1246" spans="1:9" s="543" customFormat="1" ht="12.75">
      <c r="A1246" s="648" t="s">
        <v>2216</v>
      </c>
      <c r="B1246" s="1014"/>
      <c r="C1246" s="1088" t="s">
        <v>1077</v>
      </c>
      <c r="D1246" s="598" t="s">
        <v>606</v>
      </c>
      <c r="E1246" s="697">
        <v>173000</v>
      </c>
      <c r="F1246" s="758">
        <v>38486</v>
      </c>
      <c r="G1246" s="1002"/>
      <c r="H1246" s="705"/>
      <c r="I1246" s="705"/>
    </row>
    <row r="1247" spans="1:9" s="543" customFormat="1" ht="12.75">
      <c r="A1247" s="648" t="s">
        <v>2217</v>
      </c>
      <c r="B1247" s="1014"/>
      <c r="C1247" s="1088" t="s">
        <v>1077</v>
      </c>
      <c r="D1247" s="598" t="s">
        <v>608</v>
      </c>
      <c r="E1247" s="697">
        <v>126115</v>
      </c>
      <c r="F1247" s="758">
        <v>28056</v>
      </c>
      <c r="G1247" s="1002"/>
      <c r="H1247" s="705"/>
      <c r="I1247" s="705"/>
    </row>
    <row r="1248" spans="1:9" s="543" customFormat="1" ht="12.75">
      <c r="A1248" s="648" t="s">
        <v>2218</v>
      </c>
      <c r="B1248" s="1014"/>
      <c r="C1248" s="1088" t="s">
        <v>1077</v>
      </c>
      <c r="D1248" s="598" t="s">
        <v>608</v>
      </c>
      <c r="E1248" s="697">
        <v>126115</v>
      </c>
      <c r="F1248" s="758">
        <v>28056</v>
      </c>
      <c r="G1248" s="1002"/>
      <c r="H1248" s="705"/>
      <c r="I1248" s="705"/>
    </row>
    <row r="1249" spans="1:10" ht="12.75">
      <c r="A1249" s="648" t="s">
        <v>2219</v>
      </c>
      <c r="B1249" s="1014"/>
      <c r="C1249" s="1088" t="s">
        <v>1077</v>
      </c>
      <c r="D1249" s="598" t="s">
        <v>608</v>
      </c>
      <c r="E1249" s="697">
        <v>126115</v>
      </c>
      <c r="F1249" s="758">
        <v>28056</v>
      </c>
      <c r="J1249" s="543"/>
    </row>
    <row r="1250" spans="1:10" ht="12.75">
      <c r="A1250" s="648" t="s">
        <v>2220</v>
      </c>
      <c r="B1250" s="1014"/>
      <c r="C1250" s="1088" t="s">
        <v>1077</v>
      </c>
      <c r="D1250" s="598" t="s">
        <v>608</v>
      </c>
      <c r="E1250" s="697">
        <v>126115</v>
      </c>
      <c r="F1250" s="758">
        <v>28056</v>
      </c>
      <c r="J1250" s="543"/>
    </row>
    <row r="1251" spans="1:10" ht="12.75">
      <c r="A1251" s="648" t="s">
        <v>2221</v>
      </c>
      <c r="B1251" s="1014"/>
      <c r="C1251" s="1088" t="s">
        <v>1077</v>
      </c>
      <c r="D1251" s="598" t="s">
        <v>608</v>
      </c>
      <c r="E1251" s="697">
        <v>126115</v>
      </c>
      <c r="F1251" s="758">
        <v>28056</v>
      </c>
      <c r="J1251" s="543"/>
    </row>
    <row r="1252" spans="1:10" ht="12.75">
      <c r="A1252" s="648" t="s">
        <v>2222</v>
      </c>
      <c r="B1252" s="1014"/>
      <c r="C1252" s="1088" t="s">
        <v>1077</v>
      </c>
      <c r="D1252" s="598" t="s">
        <v>608</v>
      </c>
      <c r="E1252" s="697">
        <v>126115</v>
      </c>
      <c r="F1252" s="758">
        <v>28056</v>
      </c>
      <c r="J1252" s="543"/>
    </row>
    <row r="1253" spans="1:10" ht="12.75">
      <c r="A1253" s="648" t="s">
        <v>2223</v>
      </c>
      <c r="B1253" s="1014"/>
      <c r="C1253" s="1088" t="s">
        <v>1077</v>
      </c>
      <c r="D1253" s="598" t="s">
        <v>608</v>
      </c>
      <c r="E1253" s="697">
        <v>126115</v>
      </c>
      <c r="F1253" s="758">
        <v>28056</v>
      </c>
      <c r="J1253" s="543"/>
    </row>
    <row r="1254" spans="1:10" ht="12.75">
      <c r="A1254" s="648" t="s">
        <v>2224</v>
      </c>
      <c r="B1254" s="1014"/>
      <c r="C1254" s="1088" t="s">
        <v>1077</v>
      </c>
      <c r="D1254" s="598" t="s">
        <v>609</v>
      </c>
      <c r="E1254" s="697">
        <v>19999</v>
      </c>
      <c r="F1254" s="758">
        <v>5626</v>
      </c>
      <c r="J1254" s="543"/>
    </row>
    <row r="1255" spans="1:10" ht="12.75">
      <c r="A1255" s="648" t="s">
        <v>2225</v>
      </c>
      <c r="B1255" s="1014"/>
      <c r="C1255" s="1088" t="s">
        <v>1077</v>
      </c>
      <c r="D1255" s="598" t="s">
        <v>609</v>
      </c>
      <c r="E1255" s="697">
        <v>19999</v>
      </c>
      <c r="F1255" s="758">
        <v>5626</v>
      </c>
      <c r="J1255" s="543"/>
    </row>
    <row r="1256" spans="1:10" ht="12.75">
      <c r="A1256" s="648" t="s">
        <v>2226</v>
      </c>
      <c r="B1256" s="1014"/>
      <c r="C1256" s="1088" t="s">
        <v>1077</v>
      </c>
      <c r="D1256" s="598" t="s">
        <v>609</v>
      </c>
      <c r="E1256" s="697">
        <v>19999</v>
      </c>
      <c r="F1256" s="758">
        <v>5626</v>
      </c>
      <c r="J1256" s="543"/>
    </row>
    <row r="1257" spans="1:10" ht="12.75">
      <c r="A1257" s="648" t="s">
        <v>2227</v>
      </c>
      <c r="B1257" s="1014"/>
      <c r="C1257" s="1088" t="s">
        <v>1077</v>
      </c>
      <c r="D1257" s="598" t="s">
        <v>609</v>
      </c>
      <c r="E1257" s="697">
        <v>19999</v>
      </c>
      <c r="F1257" s="758">
        <v>5626</v>
      </c>
      <c r="J1257" s="543"/>
    </row>
    <row r="1258" spans="1:10" ht="12.75">
      <c r="A1258" s="648" t="s">
        <v>2228</v>
      </c>
      <c r="B1258" s="1014"/>
      <c r="C1258" s="1088" t="s">
        <v>1077</v>
      </c>
      <c r="D1258" s="598" t="s">
        <v>610</v>
      </c>
      <c r="E1258" s="697">
        <v>19999</v>
      </c>
      <c r="F1258" s="758">
        <v>5626</v>
      </c>
      <c r="J1258" s="543"/>
    </row>
    <row r="1259" spans="1:10" ht="12.75">
      <c r="A1259" s="648" t="s">
        <v>2229</v>
      </c>
      <c r="B1259" s="1014"/>
      <c r="C1259" s="1088" t="s">
        <v>1077</v>
      </c>
      <c r="D1259" s="598" t="s">
        <v>611</v>
      </c>
      <c r="E1259" s="697">
        <v>181490</v>
      </c>
      <c r="F1259" s="758">
        <v>61378</v>
      </c>
      <c r="J1259" s="543"/>
    </row>
    <row r="1260" spans="1:10" ht="12.75">
      <c r="A1260" s="648" t="s">
        <v>2230</v>
      </c>
      <c r="B1260" s="1014"/>
      <c r="C1260" s="1088" t="s">
        <v>1077</v>
      </c>
      <c r="D1260" s="598" t="s">
        <v>612</v>
      </c>
      <c r="E1260" s="697">
        <v>181490</v>
      </c>
      <c r="F1260" s="758">
        <v>61378</v>
      </c>
      <c r="J1260" s="543"/>
    </row>
    <row r="1261" spans="1:10" ht="12.75">
      <c r="A1261" s="648" t="s">
        <v>2231</v>
      </c>
      <c r="B1261" s="1014"/>
      <c r="C1261" s="1088" t="s">
        <v>1077</v>
      </c>
      <c r="D1261" s="598" t="s">
        <v>613</v>
      </c>
      <c r="E1261" s="697">
        <v>181490</v>
      </c>
      <c r="F1261" s="758">
        <v>61378</v>
      </c>
      <c r="J1261" s="543"/>
    </row>
    <row r="1262" spans="1:10" ht="12.75">
      <c r="A1262" s="648" t="s">
        <v>2232</v>
      </c>
      <c r="B1262" s="1014"/>
      <c r="C1262" s="1088" t="s">
        <v>1077</v>
      </c>
      <c r="D1262" s="598" t="s">
        <v>614</v>
      </c>
      <c r="E1262" s="697">
        <v>181490</v>
      </c>
      <c r="F1262" s="758">
        <v>61378</v>
      </c>
      <c r="J1262" s="543"/>
    </row>
    <row r="1263" spans="1:10" ht="13.5" customHeight="1" thickBot="1">
      <c r="A1263" s="648" t="s">
        <v>2233</v>
      </c>
      <c r="B1263" s="630"/>
      <c r="C1263" s="1088" t="s">
        <v>1077</v>
      </c>
      <c r="D1263" s="598" t="s">
        <v>615</v>
      </c>
      <c r="E1263" s="697">
        <v>181490</v>
      </c>
      <c r="F1263" s="758">
        <v>61378</v>
      </c>
      <c r="J1263" s="543"/>
    </row>
    <row r="1264" spans="1:10" s="752" customFormat="1" ht="48.75" thickBot="1">
      <c r="A1264" s="605" t="s">
        <v>4597</v>
      </c>
      <c r="B1264" s="606" t="s">
        <v>4601</v>
      </c>
      <c r="C1264" s="1008" t="s">
        <v>4602</v>
      </c>
      <c r="D1264" s="606" t="s">
        <v>4603</v>
      </c>
      <c r="E1264" s="738" t="s">
        <v>4604</v>
      </c>
      <c r="F1264" s="739" t="s">
        <v>4605</v>
      </c>
      <c r="G1264" s="1127"/>
      <c r="H1264" s="1128"/>
      <c r="I1264" s="1128"/>
      <c r="J1264" s="666"/>
    </row>
    <row r="1265" spans="1:9" s="543" customFormat="1" ht="12.75">
      <c r="A1265" s="648" t="s">
        <v>2234</v>
      </c>
      <c r="B1265" s="630"/>
      <c r="C1265" s="1088" t="s">
        <v>1077</v>
      </c>
      <c r="D1265" s="598" t="s">
        <v>616</v>
      </c>
      <c r="E1265" s="697">
        <v>181490</v>
      </c>
      <c r="F1265" s="758">
        <v>61378</v>
      </c>
      <c r="G1265" s="1002"/>
      <c r="H1265" s="705"/>
      <c r="I1265" s="705"/>
    </row>
    <row r="1266" spans="1:9" s="543" customFormat="1" ht="12.75">
      <c r="A1266" s="648" t="s">
        <v>2235</v>
      </c>
      <c r="B1266" s="1014"/>
      <c r="C1266" s="1088" t="s">
        <v>1077</v>
      </c>
      <c r="D1266" s="598" t="s">
        <v>617</v>
      </c>
      <c r="E1266" s="697">
        <v>181490</v>
      </c>
      <c r="F1266" s="758">
        <v>61378</v>
      </c>
      <c r="G1266" s="1002"/>
      <c r="H1266" s="705"/>
      <c r="I1266" s="705"/>
    </row>
    <row r="1267" spans="1:9" s="543" customFormat="1" ht="12.75">
      <c r="A1267" s="648" t="s">
        <v>2236</v>
      </c>
      <c r="B1267" s="1014"/>
      <c r="C1267" s="1088" t="s">
        <v>1077</v>
      </c>
      <c r="D1267" s="598" t="s">
        <v>618</v>
      </c>
      <c r="E1267" s="697">
        <v>181490</v>
      </c>
      <c r="F1267" s="758">
        <v>61378</v>
      </c>
      <c r="G1267" s="1002"/>
      <c r="H1267" s="705"/>
      <c r="I1267" s="705"/>
    </row>
    <row r="1268" spans="1:9" s="543" customFormat="1" ht="12.75">
      <c r="A1268" s="648" t="s">
        <v>2237</v>
      </c>
      <c r="B1268" s="1014"/>
      <c r="C1268" s="1088" t="s">
        <v>1077</v>
      </c>
      <c r="D1268" s="598" t="s">
        <v>619</v>
      </c>
      <c r="E1268" s="697">
        <v>181490</v>
      </c>
      <c r="F1268" s="758">
        <v>61378</v>
      </c>
      <c r="G1268" s="1002"/>
      <c r="H1268" s="705"/>
      <c r="I1268" s="705"/>
    </row>
    <row r="1269" spans="1:9" s="543" customFormat="1" ht="12.75" customHeight="1">
      <c r="A1269" s="648" t="s">
        <v>2238</v>
      </c>
      <c r="B1269" s="1014"/>
      <c r="C1269" s="1088" t="s">
        <v>1077</v>
      </c>
      <c r="D1269" s="598" t="s">
        <v>620</v>
      </c>
      <c r="E1269" s="697">
        <v>181490</v>
      </c>
      <c r="F1269" s="758">
        <v>61378</v>
      </c>
      <c r="G1269" s="1002"/>
      <c r="H1269" s="705"/>
      <c r="I1269" s="705"/>
    </row>
    <row r="1270" spans="1:9" s="543" customFormat="1" ht="25.5">
      <c r="A1270" s="648" t="s">
        <v>2239</v>
      </c>
      <c r="B1270" s="631"/>
      <c r="C1270" s="1129" t="s">
        <v>1077</v>
      </c>
      <c r="D1270" s="600" t="s">
        <v>621</v>
      </c>
      <c r="E1270" s="770">
        <v>135115</v>
      </c>
      <c r="F1270" s="760">
        <v>57147</v>
      </c>
      <c r="G1270" s="1002"/>
      <c r="H1270" s="705"/>
      <c r="I1270" s="705"/>
    </row>
    <row r="1271" spans="1:9" s="543" customFormat="1" ht="25.5">
      <c r="A1271" s="648" t="s">
        <v>2240</v>
      </c>
      <c r="B1271" s="630"/>
      <c r="C1271" s="1088" t="s">
        <v>1077</v>
      </c>
      <c r="D1271" s="598" t="s">
        <v>622</v>
      </c>
      <c r="E1271" s="697">
        <v>34925</v>
      </c>
      <c r="F1271" s="758">
        <v>22172</v>
      </c>
      <c r="G1271" s="1002"/>
      <c r="H1271" s="705"/>
      <c r="I1271" s="705"/>
    </row>
    <row r="1272" spans="1:9" s="543" customFormat="1" ht="14.25" customHeight="1">
      <c r="A1272" s="648" t="s">
        <v>2241</v>
      </c>
      <c r="B1272" s="630"/>
      <c r="C1272" s="1088" t="s">
        <v>1077</v>
      </c>
      <c r="D1272" s="598" t="s">
        <v>3254</v>
      </c>
      <c r="E1272" s="697">
        <v>267999</v>
      </c>
      <c r="F1272" s="758">
        <v>209846</v>
      </c>
      <c r="G1272" s="1002"/>
      <c r="H1272" s="705"/>
      <c r="I1272" s="705"/>
    </row>
    <row r="1273" spans="1:9" s="543" customFormat="1" ht="12.75">
      <c r="A1273" s="648" t="s">
        <v>2242</v>
      </c>
      <c r="B1273" s="630"/>
      <c r="C1273" s="1088" t="s">
        <v>1077</v>
      </c>
      <c r="D1273" s="598" t="s">
        <v>3254</v>
      </c>
      <c r="E1273" s="697">
        <v>267999</v>
      </c>
      <c r="F1273" s="758">
        <v>209846</v>
      </c>
      <c r="G1273" s="1002"/>
      <c r="H1273" s="705"/>
      <c r="I1273" s="705"/>
    </row>
    <row r="1274" spans="1:9" s="543" customFormat="1" ht="12.75">
      <c r="A1274" s="648" t="s">
        <v>2243</v>
      </c>
      <c r="B1274" s="630"/>
      <c r="C1274" s="1088" t="s">
        <v>1077</v>
      </c>
      <c r="D1274" s="598" t="s">
        <v>3254</v>
      </c>
      <c r="E1274" s="697">
        <v>267999</v>
      </c>
      <c r="F1274" s="758">
        <v>209846</v>
      </c>
      <c r="G1274" s="1002"/>
      <c r="H1274" s="705"/>
      <c r="I1274" s="705"/>
    </row>
    <row r="1275" spans="1:9" s="543" customFormat="1" ht="12.75">
      <c r="A1275" s="648" t="s">
        <v>2244</v>
      </c>
      <c r="B1275" s="630"/>
      <c r="C1275" s="1088" t="s">
        <v>1077</v>
      </c>
      <c r="D1275" s="598" t="s">
        <v>3254</v>
      </c>
      <c r="E1275" s="697">
        <v>267999</v>
      </c>
      <c r="F1275" s="758">
        <v>209846</v>
      </c>
      <c r="G1275" s="1002"/>
      <c r="H1275" s="705"/>
      <c r="I1275" s="705"/>
    </row>
    <row r="1276" spans="1:9" s="543" customFormat="1" ht="12.75">
      <c r="A1276" s="648" t="s">
        <v>2245</v>
      </c>
      <c r="B1276" s="630"/>
      <c r="C1276" s="1088" t="s">
        <v>1077</v>
      </c>
      <c r="D1276" s="598" t="s">
        <v>3254</v>
      </c>
      <c r="E1276" s="697">
        <v>267999</v>
      </c>
      <c r="F1276" s="758">
        <v>209846</v>
      </c>
      <c r="G1276" s="1002"/>
      <c r="H1276" s="705"/>
      <c r="I1276" s="705"/>
    </row>
    <row r="1277" spans="1:9" s="543" customFormat="1" ht="12.75">
      <c r="A1277" s="648" t="s">
        <v>2246</v>
      </c>
      <c r="B1277" s="630"/>
      <c r="C1277" s="1088" t="s">
        <v>1077</v>
      </c>
      <c r="D1277" s="598" t="s">
        <v>3254</v>
      </c>
      <c r="E1277" s="697">
        <v>267999</v>
      </c>
      <c r="F1277" s="758">
        <v>209846</v>
      </c>
      <c r="G1277" s="1002"/>
      <c r="H1277" s="705"/>
      <c r="I1277" s="705"/>
    </row>
    <row r="1278" spans="1:9" s="543" customFormat="1" ht="12.75">
      <c r="A1278" s="648" t="s">
        <v>2247</v>
      </c>
      <c r="B1278" s="630"/>
      <c r="C1278" s="1088" t="s">
        <v>1077</v>
      </c>
      <c r="D1278" s="598" t="s">
        <v>3254</v>
      </c>
      <c r="E1278" s="697">
        <v>267999</v>
      </c>
      <c r="F1278" s="758">
        <v>209846</v>
      </c>
      <c r="G1278" s="1002"/>
      <c r="H1278" s="705"/>
      <c r="I1278" s="705"/>
    </row>
    <row r="1279" spans="1:9" s="543" customFormat="1" ht="12.75">
      <c r="A1279" s="648" t="s">
        <v>2248</v>
      </c>
      <c r="B1279" s="630"/>
      <c r="C1279" s="1088" t="s">
        <v>1077</v>
      </c>
      <c r="D1279" s="598" t="s">
        <v>3254</v>
      </c>
      <c r="E1279" s="697">
        <v>267999</v>
      </c>
      <c r="F1279" s="758">
        <v>209846</v>
      </c>
      <c r="G1279" s="1002"/>
      <c r="H1279" s="705"/>
      <c r="I1279" s="705"/>
    </row>
    <row r="1280" spans="1:9" s="543" customFormat="1" ht="12.75">
      <c r="A1280" s="648" t="s">
        <v>2249</v>
      </c>
      <c r="B1280" s="630"/>
      <c r="C1280" s="1088" t="s">
        <v>1077</v>
      </c>
      <c r="D1280" s="598" t="s">
        <v>3254</v>
      </c>
      <c r="E1280" s="697">
        <v>267999</v>
      </c>
      <c r="F1280" s="758">
        <v>209846</v>
      </c>
      <c r="G1280" s="1002"/>
      <c r="H1280" s="705"/>
      <c r="I1280" s="705"/>
    </row>
    <row r="1281" spans="1:9" s="543" customFormat="1" ht="12.75">
      <c r="A1281" s="648" t="s">
        <v>2250</v>
      </c>
      <c r="B1281" s="630"/>
      <c r="C1281" s="1088" t="s">
        <v>1077</v>
      </c>
      <c r="D1281" s="598" t="s">
        <v>3254</v>
      </c>
      <c r="E1281" s="697">
        <v>267999</v>
      </c>
      <c r="F1281" s="758">
        <v>209846</v>
      </c>
      <c r="G1281" s="1002"/>
      <c r="H1281" s="705"/>
      <c r="I1281" s="705"/>
    </row>
    <row r="1282" spans="1:9" s="543" customFormat="1" ht="12.75">
      <c r="A1282" s="648" t="s">
        <v>2251</v>
      </c>
      <c r="B1282" s="630"/>
      <c r="C1282" s="1088" t="s">
        <v>1077</v>
      </c>
      <c r="D1282" s="598" t="s">
        <v>3254</v>
      </c>
      <c r="E1282" s="697">
        <v>267999</v>
      </c>
      <c r="F1282" s="758">
        <v>209846</v>
      </c>
      <c r="G1282" s="1002"/>
      <c r="H1282" s="705"/>
      <c r="I1282" s="705"/>
    </row>
    <row r="1283" spans="1:9" s="543" customFormat="1" ht="12.75">
      <c r="A1283" s="648" t="s">
        <v>2252</v>
      </c>
      <c r="B1283" s="630"/>
      <c r="C1283" s="1088" t="s">
        <v>1077</v>
      </c>
      <c r="D1283" s="598" t="s">
        <v>3254</v>
      </c>
      <c r="E1283" s="697">
        <v>267999</v>
      </c>
      <c r="F1283" s="758">
        <v>209846</v>
      </c>
      <c r="G1283" s="1002"/>
      <c r="H1283" s="705"/>
      <c r="I1283" s="705"/>
    </row>
    <row r="1284" spans="1:9" s="543" customFormat="1" ht="12.75">
      <c r="A1284" s="648" t="s">
        <v>2253</v>
      </c>
      <c r="B1284" s="630"/>
      <c r="C1284" s="1088" t="s">
        <v>1077</v>
      </c>
      <c r="D1284" s="598" t="s">
        <v>3254</v>
      </c>
      <c r="E1284" s="697">
        <v>267999</v>
      </c>
      <c r="F1284" s="758">
        <v>209846</v>
      </c>
      <c r="G1284" s="1002"/>
      <c r="H1284" s="705"/>
      <c r="I1284" s="705"/>
    </row>
    <row r="1285" spans="1:9" s="543" customFormat="1" ht="12.75">
      <c r="A1285" s="648" t="s">
        <v>2254</v>
      </c>
      <c r="B1285" s="630"/>
      <c r="C1285" s="1088" t="s">
        <v>1077</v>
      </c>
      <c r="D1285" s="598" t="s">
        <v>3255</v>
      </c>
      <c r="E1285" s="697">
        <v>22860</v>
      </c>
      <c r="F1285" s="758">
        <v>17901</v>
      </c>
      <c r="G1285" s="1002"/>
      <c r="H1285" s="705"/>
      <c r="I1285" s="705"/>
    </row>
    <row r="1286" spans="1:9" s="543" customFormat="1" ht="12.75">
      <c r="A1286" s="648" t="s">
        <v>2255</v>
      </c>
      <c r="B1286" s="630"/>
      <c r="C1286" s="1088" t="s">
        <v>1077</v>
      </c>
      <c r="D1286" s="598" t="s">
        <v>3256</v>
      </c>
      <c r="E1286" s="697">
        <v>22860</v>
      </c>
      <c r="F1286" s="758">
        <v>17901</v>
      </c>
      <c r="G1286" s="1002"/>
      <c r="H1286" s="705"/>
      <c r="I1286" s="705"/>
    </row>
    <row r="1287" spans="1:9" s="543" customFormat="1" ht="12.75">
      <c r="A1287" s="648" t="s">
        <v>2256</v>
      </c>
      <c r="B1287" s="630"/>
      <c r="C1287" s="1088" t="s">
        <v>1077</v>
      </c>
      <c r="D1287" s="598" t="s">
        <v>3257</v>
      </c>
      <c r="E1287" s="697">
        <v>22860</v>
      </c>
      <c r="F1287" s="758">
        <v>17901</v>
      </c>
      <c r="G1287" s="1002"/>
      <c r="H1287" s="705"/>
      <c r="I1287" s="705"/>
    </row>
    <row r="1288" spans="1:9" s="543" customFormat="1" ht="12.75">
      <c r="A1288" s="648" t="s">
        <v>2257</v>
      </c>
      <c r="B1288" s="630"/>
      <c r="C1288" s="1088" t="s">
        <v>1077</v>
      </c>
      <c r="D1288" s="598" t="s">
        <v>3257</v>
      </c>
      <c r="E1288" s="697">
        <v>22860</v>
      </c>
      <c r="F1288" s="758">
        <v>17901</v>
      </c>
      <c r="G1288" s="1002"/>
      <c r="H1288" s="705"/>
      <c r="I1288" s="705"/>
    </row>
    <row r="1289" spans="1:9" s="543" customFormat="1" ht="12.75">
      <c r="A1289" s="648" t="s">
        <v>2258</v>
      </c>
      <c r="B1289" s="630"/>
      <c r="C1289" s="1088" t="s">
        <v>1077</v>
      </c>
      <c r="D1289" s="598" t="s">
        <v>3257</v>
      </c>
      <c r="E1289" s="697">
        <v>22860</v>
      </c>
      <c r="F1289" s="758">
        <v>17901</v>
      </c>
      <c r="G1289" s="1002"/>
      <c r="H1289" s="705"/>
      <c r="I1289" s="705"/>
    </row>
    <row r="1290" spans="1:9" s="543" customFormat="1" ht="12.75">
      <c r="A1290" s="648" t="s">
        <v>2259</v>
      </c>
      <c r="B1290" s="630"/>
      <c r="C1290" s="1088" t="s">
        <v>1077</v>
      </c>
      <c r="D1290" s="598" t="s">
        <v>3257</v>
      </c>
      <c r="E1290" s="697">
        <v>22860</v>
      </c>
      <c r="F1290" s="758">
        <v>17901</v>
      </c>
      <c r="G1290" s="1002"/>
      <c r="H1290" s="705"/>
      <c r="I1290" s="705"/>
    </row>
    <row r="1291" spans="1:9" s="543" customFormat="1" ht="12.75">
      <c r="A1291" s="648" t="s">
        <v>2260</v>
      </c>
      <c r="B1291" s="630"/>
      <c r="C1291" s="1088" t="s">
        <v>1077</v>
      </c>
      <c r="D1291" s="598" t="s">
        <v>3257</v>
      </c>
      <c r="E1291" s="697">
        <v>22860</v>
      </c>
      <c r="F1291" s="758">
        <v>17901</v>
      </c>
      <c r="G1291" s="1002"/>
      <c r="H1291" s="705"/>
      <c r="I1291" s="705"/>
    </row>
    <row r="1292" spans="1:9" s="543" customFormat="1" ht="12.75">
      <c r="A1292" s="648" t="s">
        <v>2261</v>
      </c>
      <c r="B1292" s="630"/>
      <c r="C1292" s="1088" t="s">
        <v>1077</v>
      </c>
      <c r="D1292" s="598" t="s">
        <v>3257</v>
      </c>
      <c r="E1292" s="697">
        <v>22860</v>
      </c>
      <c r="F1292" s="758">
        <v>17901</v>
      </c>
      <c r="G1292" s="1002"/>
      <c r="H1292" s="705"/>
      <c r="I1292" s="705"/>
    </row>
    <row r="1293" spans="1:9" s="543" customFormat="1" ht="12.75">
      <c r="A1293" s="648" t="s">
        <v>2262</v>
      </c>
      <c r="B1293" s="630"/>
      <c r="C1293" s="1088" t="s">
        <v>1077</v>
      </c>
      <c r="D1293" s="598" t="s">
        <v>3257</v>
      </c>
      <c r="E1293" s="697">
        <v>22860</v>
      </c>
      <c r="F1293" s="758">
        <v>17901</v>
      </c>
      <c r="G1293" s="1002"/>
      <c r="H1293" s="705"/>
      <c r="I1293" s="705"/>
    </row>
    <row r="1294" spans="1:9" s="543" customFormat="1" ht="12.75">
      <c r="A1294" s="648" t="s">
        <v>2263</v>
      </c>
      <c r="B1294" s="630"/>
      <c r="C1294" s="1088" t="s">
        <v>1077</v>
      </c>
      <c r="D1294" s="598" t="s">
        <v>3257</v>
      </c>
      <c r="E1294" s="697">
        <v>22860</v>
      </c>
      <c r="F1294" s="758">
        <v>17901</v>
      </c>
      <c r="G1294" s="1002"/>
      <c r="H1294" s="705"/>
      <c r="I1294" s="705"/>
    </row>
    <row r="1295" spans="1:9" s="543" customFormat="1" ht="12.75">
      <c r="A1295" s="648" t="s">
        <v>2264</v>
      </c>
      <c r="B1295" s="630"/>
      <c r="C1295" s="1088" t="s">
        <v>1077</v>
      </c>
      <c r="D1295" s="598" t="s">
        <v>3257</v>
      </c>
      <c r="E1295" s="697">
        <v>22860</v>
      </c>
      <c r="F1295" s="758">
        <v>17901</v>
      </c>
      <c r="G1295" s="1002"/>
      <c r="H1295" s="705"/>
      <c r="I1295" s="705"/>
    </row>
    <row r="1296" spans="1:9" s="543" customFormat="1" ht="12.75">
      <c r="A1296" s="648" t="s">
        <v>4447</v>
      </c>
      <c r="B1296" s="630"/>
      <c r="C1296" s="1088" t="s">
        <v>1077</v>
      </c>
      <c r="D1296" s="598" t="s">
        <v>3257</v>
      </c>
      <c r="E1296" s="697">
        <v>22860</v>
      </c>
      <c r="F1296" s="758">
        <v>17901</v>
      </c>
      <c r="G1296" s="1002"/>
      <c r="H1296" s="705"/>
      <c r="I1296" s="705"/>
    </row>
    <row r="1297" spans="1:9" s="543" customFormat="1" ht="12.75">
      <c r="A1297" s="648" t="s">
        <v>4449</v>
      </c>
      <c r="B1297" s="630"/>
      <c r="C1297" s="1088" t="s">
        <v>1077</v>
      </c>
      <c r="D1297" s="598" t="s">
        <v>3257</v>
      </c>
      <c r="E1297" s="697">
        <v>22860</v>
      </c>
      <c r="F1297" s="758">
        <v>17901</v>
      </c>
      <c r="G1297" s="1002"/>
      <c r="H1297" s="705"/>
      <c r="I1297" s="705"/>
    </row>
    <row r="1298" spans="1:9" s="543" customFormat="1" ht="12.75">
      <c r="A1298" s="648" t="s">
        <v>4451</v>
      </c>
      <c r="B1298" s="630"/>
      <c r="C1298" s="1088" t="s">
        <v>1077</v>
      </c>
      <c r="D1298" s="598" t="s">
        <v>3258</v>
      </c>
      <c r="E1298" s="697">
        <v>6198</v>
      </c>
      <c r="F1298" s="758">
        <v>4852</v>
      </c>
      <c r="G1298" s="1002"/>
      <c r="H1298" s="705"/>
      <c r="I1298" s="705"/>
    </row>
    <row r="1299" spans="1:9" s="543" customFormat="1" ht="12.75">
      <c r="A1299" s="648" t="s">
        <v>4453</v>
      </c>
      <c r="B1299" s="630"/>
      <c r="C1299" s="1088" t="s">
        <v>1077</v>
      </c>
      <c r="D1299" s="598" t="s">
        <v>3258</v>
      </c>
      <c r="E1299" s="697">
        <v>6199</v>
      </c>
      <c r="F1299" s="758">
        <v>4853</v>
      </c>
      <c r="G1299" s="1002"/>
      <c r="H1299" s="705"/>
      <c r="I1299" s="705"/>
    </row>
    <row r="1300" spans="1:9" s="543" customFormat="1" ht="12.75">
      <c r="A1300" s="648" t="s">
        <v>4455</v>
      </c>
      <c r="B1300" s="630"/>
      <c r="C1300" s="1088" t="s">
        <v>1077</v>
      </c>
      <c r="D1300" s="598" t="s">
        <v>3258</v>
      </c>
      <c r="E1300" s="697">
        <v>6199</v>
      </c>
      <c r="F1300" s="758">
        <v>4853</v>
      </c>
      <c r="G1300" s="1002"/>
      <c r="H1300" s="705"/>
      <c r="I1300" s="705"/>
    </row>
    <row r="1301" spans="1:9" s="543" customFormat="1" ht="12.75">
      <c r="A1301" s="648" t="s">
        <v>2265</v>
      </c>
      <c r="B1301" s="630"/>
      <c r="C1301" s="1088" t="s">
        <v>1077</v>
      </c>
      <c r="D1301" s="598" t="s">
        <v>3258</v>
      </c>
      <c r="E1301" s="697">
        <v>6199</v>
      </c>
      <c r="F1301" s="758">
        <v>4853</v>
      </c>
      <c r="G1301" s="1002"/>
      <c r="H1301" s="705"/>
      <c r="I1301" s="705"/>
    </row>
    <row r="1302" spans="1:9" s="543" customFormat="1" ht="12.75">
      <c r="A1302" s="648" t="s">
        <v>4457</v>
      </c>
      <c r="B1302" s="630"/>
      <c r="C1302" s="1088" t="s">
        <v>1077</v>
      </c>
      <c r="D1302" s="598" t="s">
        <v>3258</v>
      </c>
      <c r="E1302" s="697">
        <v>6199</v>
      </c>
      <c r="F1302" s="758">
        <v>4853</v>
      </c>
      <c r="G1302" s="1002"/>
      <c r="H1302" s="705"/>
      <c r="I1302" s="705"/>
    </row>
    <row r="1303" spans="1:9" s="543" customFormat="1" ht="12.75">
      <c r="A1303" s="648" t="s">
        <v>4459</v>
      </c>
      <c r="B1303" s="630"/>
      <c r="C1303" s="1088" t="s">
        <v>1077</v>
      </c>
      <c r="D1303" s="598" t="s">
        <v>3258</v>
      </c>
      <c r="E1303" s="697">
        <v>6199</v>
      </c>
      <c r="F1303" s="758">
        <v>4853</v>
      </c>
      <c r="G1303" s="1002"/>
      <c r="H1303" s="705"/>
      <c r="I1303" s="705"/>
    </row>
    <row r="1304" spans="1:9" s="543" customFormat="1" ht="12.75">
      <c r="A1304" s="648" t="s">
        <v>2266</v>
      </c>
      <c r="B1304" s="630"/>
      <c r="C1304" s="1088" t="s">
        <v>1077</v>
      </c>
      <c r="D1304" s="598" t="s">
        <v>3258</v>
      </c>
      <c r="E1304" s="697">
        <v>6199</v>
      </c>
      <c r="F1304" s="758">
        <v>4853</v>
      </c>
      <c r="G1304" s="1002"/>
      <c r="H1304" s="705"/>
      <c r="I1304" s="705"/>
    </row>
    <row r="1305" spans="1:9" s="543" customFormat="1" ht="12.75">
      <c r="A1305" s="648" t="s">
        <v>4465</v>
      </c>
      <c r="B1305" s="630"/>
      <c r="C1305" s="1088" t="s">
        <v>1077</v>
      </c>
      <c r="D1305" s="598" t="s">
        <v>3258</v>
      </c>
      <c r="E1305" s="697">
        <v>6199</v>
      </c>
      <c r="F1305" s="758">
        <v>4853</v>
      </c>
      <c r="G1305" s="1002"/>
      <c r="H1305" s="705"/>
      <c r="I1305" s="705"/>
    </row>
    <row r="1306" spans="1:9" s="543" customFormat="1" ht="12.75">
      <c r="A1306" s="648" t="s">
        <v>4467</v>
      </c>
      <c r="B1306" s="630"/>
      <c r="C1306" s="1088" t="s">
        <v>1077</v>
      </c>
      <c r="D1306" s="598" t="s">
        <v>3258</v>
      </c>
      <c r="E1306" s="697">
        <v>6199</v>
      </c>
      <c r="F1306" s="758">
        <v>4853</v>
      </c>
      <c r="G1306" s="1002"/>
      <c r="H1306" s="705"/>
      <c r="I1306" s="705"/>
    </row>
    <row r="1307" spans="1:9" s="543" customFormat="1" ht="12.75">
      <c r="A1307" s="648" t="s">
        <v>4469</v>
      </c>
      <c r="B1307" s="630"/>
      <c r="C1307" s="1088" t="s">
        <v>1077</v>
      </c>
      <c r="D1307" s="598" t="s">
        <v>3258</v>
      </c>
      <c r="E1307" s="697">
        <v>6199</v>
      </c>
      <c r="F1307" s="758">
        <v>4853</v>
      </c>
      <c r="G1307" s="1002"/>
      <c r="H1307" s="705"/>
      <c r="I1307" s="705"/>
    </row>
    <row r="1308" spans="1:9" s="543" customFormat="1" ht="12.75">
      <c r="A1308" s="648" t="s">
        <v>4471</v>
      </c>
      <c r="B1308" s="630"/>
      <c r="C1308" s="1088" t="s">
        <v>1077</v>
      </c>
      <c r="D1308" s="598" t="s">
        <v>3259</v>
      </c>
      <c r="E1308" s="697">
        <v>6199</v>
      </c>
      <c r="F1308" s="758">
        <v>4853</v>
      </c>
      <c r="G1308" s="1002"/>
      <c r="H1308" s="705"/>
      <c r="I1308" s="705"/>
    </row>
    <row r="1309" spans="1:9" s="543" customFormat="1" ht="12.75">
      <c r="A1309" s="648" t="s">
        <v>4473</v>
      </c>
      <c r="B1309" s="630"/>
      <c r="C1309" s="1088" t="s">
        <v>1077</v>
      </c>
      <c r="D1309" s="598" t="s">
        <v>3259</v>
      </c>
      <c r="E1309" s="697">
        <v>6199</v>
      </c>
      <c r="F1309" s="758">
        <v>4853</v>
      </c>
      <c r="G1309" s="1002"/>
      <c r="H1309" s="705"/>
      <c r="I1309" s="705"/>
    </row>
    <row r="1310" spans="1:9" s="543" customFormat="1" ht="12.75">
      <c r="A1310" s="648" t="s">
        <v>4475</v>
      </c>
      <c r="B1310" s="630"/>
      <c r="C1310" s="1088" t="s">
        <v>1077</v>
      </c>
      <c r="D1310" s="598" t="s">
        <v>3259</v>
      </c>
      <c r="E1310" s="697">
        <v>6199</v>
      </c>
      <c r="F1310" s="758">
        <v>4853</v>
      </c>
      <c r="G1310" s="1002"/>
      <c r="H1310" s="705"/>
      <c r="I1310" s="705"/>
    </row>
    <row r="1311" spans="1:9" s="543" customFormat="1" ht="25.5">
      <c r="A1311" s="648" t="s">
        <v>4477</v>
      </c>
      <c r="B1311" s="630"/>
      <c r="C1311" s="1088" t="s">
        <v>1077</v>
      </c>
      <c r="D1311" s="598" t="s">
        <v>3260</v>
      </c>
      <c r="E1311" s="697">
        <v>427990</v>
      </c>
      <c r="F1311" s="758">
        <v>335123</v>
      </c>
      <c r="G1311" s="1002"/>
      <c r="H1311" s="705"/>
      <c r="I1311" s="705"/>
    </row>
    <row r="1312" spans="1:9" s="543" customFormat="1" ht="12.75">
      <c r="A1312" s="648" t="s">
        <v>4479</v>
      </c>
      <c r="B1312" s="630"/>
      <c r="C1312" s="1088" t="s">
        <v>1077</v>
      </c>
      <c r="D1312" s="598" t="s">
        <v>3261</v>
      </c>
      <c r="E1312" s="697">
        <v>15176</v>
      </c>
      <c r="F1312" s="758">
        <v>14408</v>
      </c>
      <c r="G1312" s="1002"/>
      <c r="H1312" s="705"/>
      <c r="I1312" s="705"/>
    </row>
    <row r="1313" spans="1:9" s="543" customFormat="1" ht="12.75">
      <c r="A1313" s="648" t="s">
        <v>4481</v>
      </c>
      <c r="B1313" s="630"/>
      <c r="C1313" s="1088" t="s">
        <v>1077</v>
      </c>
      <c r="D1313" s="598" t="s">
        <v>3262</v>
      </c>
      <c r="E1313" s="697">
        <v>124990</v>
      </c>
      <c r="F1313" s="758">
        <v>122730</v>
      </c>
      <c r="G1313" s="1002"/>
      <c r="H1313" s="705"/>
      <c r="I1313" s="705"/>
    </row>
    <row r="1314" spans="1:9" s="543" customFormat="1" ht="12.75">
      <c r="A1314" s="648" t="s">
        <v>4483</v>
      </c>
      <c r="B1314" s="630"/>
      <c r="C1314" s="1088" t="s">
        <v>1077</v>
      </c>
      <c r="D1314" s="598" t="s">
        <v>3263</v>
      </c>
      <c r="E1314" s="697">
        <v>49999</v>
      </c>
      <c r="F1314" s="758">
        <v>49095</v>
      </c>
      <c r="G1314" s="1002"/>
      <c r="H1314" s="705"/>
      <c r="I1314" s="705"/>
    </row>
    <row r="1315" spans="1:9" s="543" customFormat="1" ht="12.75">
      <c r="A1315" s="648" t="s">
        <v>4485</v>
      </c>
      <c r="B1315" s="630"/>
      <c r="C1315" s="1088" t="s">
        <v>1077</v>
      </c>
      <c r="D1315" s="598" t="s">
        <v>3264</v>
      </c>
      <c r="E1315" s="697">
        <v>70000</v>
      </c>
      <c r="F1315" s="758">
        <v>68987</v>
      </c>
      <c r="G1315" s="1002"/>
      <c r="H1315" s="705"/>
      <c r="I1315" s="705"/>
    </row>
    <row r="1316" spans="1:9" s="543" customFormat="1" ht="12.75">
      <c r="A1316" s="648" t="s">
        <v>4487</v>
      </c>
      <c r="B1316" s="630"/>
      <c r="C1316" s="1088" t="s">
        <v>1077</v>
      </c>
      <c r="D1316" s="598" t="s">
        <v>3265</v>
      </c>
      <c r="E1316" s="697">
        <v>118110</v>
      </c>
      <c r="F1316" s="758">
        <v>116829</v>
      </c>
      <c r="G1316" s="1002"/>
      <c r="H1316" s="705"/>
      <c r="I1316" s="705"/>
    </row>
    <row r="1317" spans="1:9" s="543" customFormat="1" ht="12.75">
      <c r="A1317" s="648" t="s">
        <v>4489</v>
      </c>
      <c r="B1317" s="630"/>
      <c r="C1317" s="1088" t="s">
        <v>1077</v>
      </c>
      <c r="D1317" s="598" t="s">
        <v>3266</v>
      </c>
      <c r="E1317" s="697">
        <v>182800</v>
      </c>
      <c r="F1317" s="758">
        <v>180982</v>
      </c>
      <c r="G1317" s="1002"/>
      <c r="H1317" s="705"/>
      <c r="I1317" s="705"/>
    </row>
    <row r="1318" spans="1:9" s="543" customFormat="1" ht="12.75">
      <c r="A1318" s="648" t="s">
        <v>1049</v>
      </c>
      <c r="B1318" s="631"/>
      <c r="C1318" s="1129" t="s">
        <v>1077</v>
      </c>
      <c r="D1318" s="600" t="s">
        <v>3267</v>
      </c>
      <c r="E1318" s="770">
        <v>120000</v>
      </c>
      <c r="F1318" s="760">
        <v>119024</v>
      </c>
      <c r="G1318" s="1002"/>
      <c r="H1318" s="705"/>
      <c r="I1318" s="705"/>
    </row>
    <row r="1319" spans="1:13" ht="25.5">
      <c r="A1319" s="648" t="s">
        <v>1051</v>
      </c>
      <c r="B1319" s="822"/>
      <c r="C1319" s="1060" t="s">
        <v>1077</v>
      </c>
      <c r="D1319" s="608" t="s">
        <v>3269</v>
      </c>
      <c r="E1319" s="697">
        <v>6942920</v>
      </c>
      <c r="F1319" s="698">
        <v>6942920</v>
      </c>
      <c r="J1319" s="543"/>
      <c r="K1319"/>
      <c r="L1319"/>
      <c r="M1319"/>
    </row>
    <row r="1320" spans="1:10" s="400" customFormat="1" ht="12.75">
      <c r="A1320" s="648" t="s">
        <v>4247</v>
      </c>
      <c r="B1320" s="645"/>
      <c r="C1320" s="1091" t="s">
        <v>4592</v>
      </c>
      <c r="D1320" s="596" t="s">
        <v>4299</v>
      </c>
      <c r="E1320" s="1038">
        <v>95463</v>
      </c>
      <c r="F1320" s="1039">
        <v>43475</v>
      </c>
      <c r="G1320" s="1002"/>
      <c r="H1320" s="705"/>
      <c r="I1320" s="705"/>
      <c r="J1320" s="543"/>
    </row>
    <row r="1321" spans="1:10" s="400" customFormat="1" ht="13.5" thickBot="1">
      <c r="A1321" s="648" t="s">
        <v>1170</v>
      </c>
      <c r="B1321" s="822"/>
      <c r="C1321" s="1088" t="s">
        <v>4592</v>
      </c>
      <c r="D1321" s="598" t="s">
        <v>2267</v>
      </c>
      <c r="E1321" s="1022">
        <v>35677</v>
      </c>
      <c r="F1321" s="788">
        <v>16248</v>
      </c>
      <c r="G1321" s="1002"/>
      <c r="H1321" s="705"/>
      <c r="I1321" s="705"/>
      <c r="J1321" s="543"/>
    </row>
    <row r="1322" spans="1:10" s="752" customFormat="1" ht="48.75" thickBot="1">
      <c r="A1322" s="605" t="s">
        <v>4597</v>
      </c>
      <c r="B1322" s="606" t="s">
        <v>4601</v>
      </c>
      <c r="C1322" s="1008" t="s">
        <v>4602</v>
      </c>
      <c r="D1322" s="606" t="s">
        <v>4603</v>
      </c>
      <c r="E1322" s="738" t="s">
        <v>4604</v>
      </c>
      <c r="F1322" s="739" t="s">
        <v>4605</v>
      </c>
      <c r="G1322" s="1127"/>
      <c r="H1322" s="1128"/>
      <c r="I1322" s="1128"/>
      <c r="J1322" s="666"/>
    </row>
    <row r="1323" spans="1:10" s="400" customFormat="1" ht="12.75">
      <c r="A1323" s="648" t="s">
        <v>1172</v>
      </c>
      <c r="B1323" s="822"/>
      <c r="C1323" s="1088" t="s">
        <v>4592</v>
      </c>
      <c r="D1323" s="598" t="s">
        <v>4299</v>
      </c>
      <c r="E1323" s="1022">
        <v>82583</v>
      </c>
      <c r="F1323" s="788">
        <v>38653</v>
      </c>
      <c r="G1323" s="1002"/>
      <c r="H1323" s="705"/>
      <c r="I1323" s="705"/>
      <c r="J1323" s="543"/>
    </row>
    <row r="1324" spans="1:10" s="400" customFormat="1" ht="25.5">
      <c r="A1324" s="648" t="s">
        <v>1174</v>
      </c>
      <c r="B1324" s="1059"/>
      <c r="C1324" s="1129" t="s">
        <v>4592</v>
      </c>
      <c r="D1324" s="600" t="s">
        <v>2268</v>
      </c>
      <c r="E1324" s="1029">
        <v>143040</v>
      </c>
      <c r="F1324" s="1030">
        <v>102432</v>
      </c>
      <c r="G1324" s="1002"/>
      <c r="H1324" s="705"/>
      <c r="I1324" s="705"/>
      <c r="J1324" s="543"/>
    </row>
    <row r="1325" spans="1:10" s="400" customFormat="1" ht="13.5" customHeight="1">
      <c r="A1325" s="648" t="s">
        <v>1176</v>
      </c>
      <c r="B1325" s="630"/>
      <c r="C1325" s="1032" t="s">
        <v>1029</v>
      </c>
      <c r="D1325" s="1033" t="s">
        <v>2269</v>
      </c>
      <c r="E1325" s="697">
        <v>64590</v>
      </c>
      <c r="F1325" s="698">
        <v>37627</v>
      </c>
      <c r="G1325" s="1002"/>
      <c r="H1325" s="705"/>
      <c r="I1325" s="705"/>
      <c r="J1325" s="543"/>
    </row>
    <row r="1326" spans="1:10" s="400" customFormat="1" ht="25.5">
      <c r="A1326" s="648" t="s">
        <v>1178</v>
      </c>
      <c r="B1326" s="782">
        <v>131113</v>
      </c>
      <c r="C1326" s="1207" t="s">
        <v>579</v>
      </c>
      <c r="D1326" s="1025" t="s">
        <v>2270</v>
      </c>
      <c r="E1326" s="1067">
        <v>169990</v>
      </c>
      <c r="F1326" s="784">
        <v>71898</v>
      </c>
      <c r="G1326" s="1002"/>
      <c r="H1326" s="705"/>
      <c r="I1326" s="705"/>
      <c r="J1326" s="543"/>
    </row>
    <row r="1327" spans="1:10" s="400" customFormat="1" ht="12.75">
      <c r="A1327" s="648" t="s">
        <v>1180</v>
      </c>
      <c r="B1327" s="1208"/>
      <c r="C1327" s="1207" t="s">
        <v>579</v>
      </c>
      <c r="D1327" s="1028" t="s">
        <v>2271</v>
      </c>
      <c r="E1327" s="1209">
        <v>145288</v>
      </c>
      <c r="F1327" s="1210">
        <v>97474</v>
      </c>
      <c r="G1327" s="1002"/>
      <c r="H1327" s="705"/>
      <c r="I1327" s="705"/>
      <c r="J1327" s="543"/>
    </row>
    <row r="1328" spans="1:10" s="400" customFormat="1" ht="12.75">
      <c r="A1328" s="648" t="s">
        <v>1182</v>
      </c>
      <c r="B1328" s="1208"/>
      <c r="C1328" s="1207" t="s">
        <v>579</v>
      </c>
      <c r="D1328" s="1028" t="s">
        <v>2272</v>
      </c>
      <c r="E1328" s="1209">
        <v>145288</v>
      </c>
      <c r="F1328" s="1210">
        <v>97474</v>
      </c>
      <c r="G1328" s="1002"/>
      <c r="H1328" s="705"/>
      <c r="I1328" s="705"/>
      <c r="J1328" s="543"/>
    </row>
    <row r="1329" spans="1:10" s="400" customFormat="1" ht="12.75">
      <c r="A1329" s="648" t="s">
        <v>1184</v>
      </c>
      <c r="B1329" s="1208"/>
      <c r="C1329" s="1207" t="s">
        <v>579</v>
      </c>
      <c r="D1329" s="1028" t="s">
        <v>2273</v>
      </c>
      <c r="E1329" s="1209">
        <v>27194</v>
      </c>
      <c r="F1329" s="1210">
        <v>18245</v>
      </c>
      <c r="G1329" s="1002"/>
      <c r="H1329" s="705"/>
      <c r="I1329" s="705"/>
      <c r="J1329" s="543"/>
    </row>
    <row r="1330" spans="1:10" s="400" customFormat="1" ht="12.75">
      <c r="A1330" s="648" t="s">
        <v>1186</v>
      </c>
      <c r="B1330" s="1208"/>
      <c r="C1330" s="1207" t="s">
        <v>579</v>
      </c>
      <c r="D1330" s="1028" t="s">
        <v>2274</v>
      </c>
      <c r="E1330" s="1209">
        <v>27195</v>
      </c>
      <c r="F1330" s="1210">
        <v>18246</v>
      </c>
      <c r="G1330" s="1002"/>
      <c r="H1330" s="705"/>
      <c r="I1330" s="705"/>
      <c r="J1330" s="543"/>
    </row>
    <row r="1331" spans="1:10" s="400" customFormat="1" ht="12.75">
      <c r="A1331" s="648" t="s">
        <v>1188</v>
      </c>
      <c r="B1331" s="1208"/>
      <c r="C1331" s="1207" t="s">
        <v>579</v>
      </c>
      <c r="D1331" s="1028" t="s">
        <v>2275</v>
      </c>
      <c r="E1331" s="1209">
        <v>25164</v>
      </c>
      <c r="F1331" s="1210">
        <v>19954</v>
      </c>
      <c r="G1331" s="1002"/>
      <c r="H1331" s="705"/>
      <c r="I1331" s="705"/>
      <c r="J1331" s="543"/>
    </row>
    <row r="1332" spans="1:10" s="400" customFormat="1" ht="12.75">
      <c r="A1332" s="648" t="s">
        <v>4462</v>
      </c>
      <c r="B1332" s="1208"/>
      <c r="C1332" s="1207" t="s">
        <v>579</v>
      </c>
      <c r="D1332" s="1028" t="s">
        <v>2276</v>
      </c>
      <c r="E1332" s="1209">
        <v>149900</v>
      </c>
      <c r="F1332" s="1210">
        <v>138651</v>
      </c>
      <c r="G1332" s="1002"/>
      <c r="H1332" s="705"/>
      <c r="I1332" s="705"/>
      <c r="J1332" s="543"/>
    </row>
    <row r="1333" spans="1:10" ht="12.75">
      <c r="A1333" s="648" t="s">
        <v>2277</v>
      </c>
      <c r="B1333" s="1208"/>
      <c r="C1333" s="1207" t="s">
        <v>579</v>
      </c>
      <c r="D1333" s="1028" t="s">
        <v>2278</v>
      </c>
      <c r="E1333" s="1209">
        <v>149899</v>
      </c>
      <c r="F1333" s="1210">
        <v>138650</v>
      </c>
      <c r="J1333" s="543"/>
    </row>
    <row r="1334" spans="1:10" s="400" customFormat="1" ht="12.75">
      <c r="A1334" s="648" t="s">
        <v>2279</v>
      </c>
      <c r="B1334" s="1208"/>
      <c r="C1334" s="1207" t="s">
        <v>579</v>
      </c>
      <c r="D1334" s="1028" t="s">
        <v>2280</v>
      </c>
      <c r="E1334" s="1209">
        <v>156845</v>
      </c>
      <c r="F1334" s="1210">
        <v>148620</v>
      </c>
      <c r="G1334" s="1002"/>
      <c r="H1334" s="705"/>
      <c r="I1334" s="705"/>
      <c r="J1334" s="543"/>
    </row>
    <row r="1335" spans="1:10" s="400" customFormat="1" ht="12.75">
      <c r="A1335" s="648" t="s">
        <v>3268</v>
      </c>
      <c r="B1335" s="1208"/>
      <c r="C1335" s="1207" t="s">
        <v>579</v>
      </c>
      <c r="D1335" s="1028" t="s">
        <v>2281</v>
      </c>
      <c r="E1335" s="1209">
        <v>36849</v>
      </c>
      <c r="F1335" s="1210">
        <v>36116</v>
      </c>
      <c r="G1335" s="1002"/>
      <c r="H1335" s="705"/>
      <c r="I1335" s="705"/>
      <c r="J1335" s="543"/>
    </row>
    <row r="1336" spans="1:10" s="400" customFormat="1" ht="13.5" thickBot="1">
      <c r="A1336" s="751" t="s">
        <v>741</v>
      </c>
      <c r="B1336" s="1208"/>
      <c r="C1336" s="1211" t="s">
        <v>579</v>
      </c>
      <c r="D1336" s="1028" t="s">
        <v>2282</v>
      </c>
      <c r="E1336" s="1209">
        <v>15502</v>
      </c>
      <c r="F1336" s="1210">
        <v>15194</v>
      </c>
      <c r="G1336" s="1002"/>
      <c r="H1336" s="705"/>
      <c r="I1336" s="705"/>
      <c r="J1336" s="543"/>
    </row>
    <row r="1337" spans="1:10" ht="13.5" thickBot="1">
      <c r="A1337" s="685"/>
      <c r="B1337" s="820">
        <v>131113</v>
      </c>
      <c r="C1337" s="1212" t="s">
        <v>757</v>
      </c>
      <c r="D1337" s="1213" t="s">
        <v>1499</v>
      </c>
      <c r="E1337" s="773">
        <f>SUM(E1229:E1336)</f>
        <v>21329560</v>
      </c>
      <c r="F1337" s="774">
        <f>SUM(F1229:F1336)</f>
        <v>13996896</v>
      </c>
      <c r="J1337" s="543"/>
    </row>
    <row r="1338" spans="1:10" ht="13.5" thickBot="1">
      <c r="A1338" s="1214"/>
      <c r="B1338" s="622"/>
      <c r="C1338" s="730"/>
      <c r="D1338" s="765"/>
      <c r="E1338" s="766"/>
      <c r="F1338" s="1145"/>
      <c r="J1338" s="543"/>
    </row>
    <row r="1339" spans="1:10" s="400" customFormat="1" ht="13.5" thickBot="1">
      <c r="A1339" s="2249" t="s">
        <v>2283</v>
      </c>
      <c r="B1339" s="2250"/>
      <c r="C1339" s="2250"/>
      <c r="D1339" s="2250"/>
      <c r="E1339" s="2250"/>
      <c r="F1339" s="2251"/>
      <c r="G1339" s="1002"/>
      <c r="H1339" s="705"/>
      <c r="I1339" s="705"/>
      <c r="J1339" s="543"/>
    </row>
    <row r="1340" spans="1:10" s="400" customFormat="1" ht="13.5" thickTop="1">
      <c r="A1340" s="1215" t="s">
        <v>743</v>
      </c>
      <c r="B1340" s="1216">
        <v>131122</v>
      </c>
      <c r="C1340" s="1217" t="s">
        <v>4592</v>
      </c>
      <c r="D1340" s="1218" t="s">
        <v>2284</v>
      </c>
      <c r="E1340" s="1219">
        <v>862330</v>
      </c>
      <c r="F1340" s="1220">
        <v>679899</v>
      </c>
      <c r="G1340" s="1002"/>
      <c r="H1340" s="705"/>
      <c r="I1340" s="705"/>
      <c r="J1340" s="543"/>
    </row>
    <row r="1341" spans="1:10" s="400" customFormat="1" ht="12.75">
      <c r="A1341" s="1221" t="s">
        <v>745</v>
      </c>
      <c r="B1341" s="726"/>
      <c r="C1341" s="1060" t="s">
        <v>4592</v>
      </c>
      <c r="D1341" s="1222" t="s">
        <v>2285</v>
      </c>
      <c r="E1341" s="1022">
        <v>750000</v>
      </c>
      <c r="F1341" s="788">
        <v>591332</v>
      </c>
      <c r="G1341" s="1002"/>
      <c r="H1341" s="705"/>
      <c r="I1341" s="705"/>
      <c r="J1341" s="543"/>
    </row>
    <row r="1342" spans="1:10" s="400" customFormat="1" ht="12.75">
      <c r="A1342" s="1221" t="s">
        <v>747</v>
      </c>
      <c r="B1342" s="726"/>
      <c r="C1342" s="1060" t="s">
        <v>4592</v>
      </c>
      <c r="D1342" s="1222" t="s">
        <v>2286</v>
      </c>
      <c r="E1342" s="1022">
        <v>665801</v>
      </c>
      <c r="F1342" s="788">
        <v>524945</v>
      </c>
      <c r="G1342" s="1002"/>
      <c r="H1342" s="705"/>
      <c r="I1342" s="705"/>
      <c r="J1342" s="543"/>
    </row>
    <row r="1343" spans="1:10" s="400" customFormat="1" ht="25.5">
      <c r="A1343" s="1221" t="s">
        <v>749</v>
      </c>
      <c r="B1343" s="726"/>
      <c r="C1343" s="1060" t="s">
        <v>4592</v>
      </c>
      <c r="D1343" s="1222" t="s">
        <v>2287</v>
      </c>
      <c r="E1343" s="1022">
        <v>580000</v>
      </c>
      <c r="F1343" s="788">
        <v>485100</v>
      </c>
      <c r="G1343" s="1002"/>
      <c r="H1343" s="705"/>
      <c r="I1343" s="705"/>
      <c r="J1343" s="543"/>
    </row>
    <row r="1344" spans="1:10" s="400" customFormat="1" ht="12.75">
      <c r="A1344" s="1221" t="s">
        <v>751</v>
      </c>
      <c r="B1344" s="726"/>
      <c r="C1344" s="1060" t="s">
        <v>4592</v>
      </c>
      <c r="D1344" s="1222" t="s">
        <v>2288</v>
      </c>
      <c r="E1344" s="1022">
        <v>199600</v>
      </c>
      <c r="F1344" s="788">
        <v>167969</v>
      </c>
      <c r="G1344" s="1002"/>
      <c r="H1344" s="705"/>
      <c r="I1344" s="705"/>
      <c r="J1344" s="543"/>
    </row>
    <row r="1345" spans="1:10" s="400" customFormat="1" ht="12.75">
      <c r="A1345" s="1221" t="s">
        <v>2289</v>
      </c>
      <c r="B1345" s="726"/>
      <c r="C1345" s="1060" t="s">
        <v>4592</v>
      </c>
      <c r="D1345" s="1222" t="s">
        <v>2290</v>
      </c>
      <c r="E1345" s="1022">
        <v>1623822</v>
      </c>
      <c r="F1345" s="788">
        <v>1416752</v>
      </c>
      <c r="G1345" s="1002"/>
      <c r="H1345" s="705"/>
      <c r="I1345" s="705"/>
      <c r="J1345" s="543"/>
    </row>
    <row r="1346" spans="1:10" s="400" customFormat="1" ht="12.75">
      <c r="A1346" s="1221" t="s">
        <v>2291</v>
      </c>
      <c r="B1346" s="726"/>
      <c r="C1346" s="1060" t="s">
        <v>4592</v>
      </c>
      <c r="D1346" s="1222" t="s">
        <v>2292</v>
      </c>
      <c r="E1346" s="1022">
        <v>1206500</v>
      </c>
      <c r="F1346" s="788">
        <v>1088114</v>
      </c>
      <c r="G1346" s="1002"/>
      <c r="H1346" s="705"/>
      <c r="I1346" s="705"/>
      <c r="J1346" s="543"/>
    </row>
    <row r="1347" spans="1:10" s="400" customFormat="1" ht="12.75">
      <c r="A1347" s="1221" t="s">
        <v>2293</v>
      </c>
      <c r="B1347" s="726"/>
      <c r="C1347" s="1060" t="s">
        <v>4592</v>
      </c>
      <c r="D1347" s="1222" t="s">
        <v>2294</v>
      </c>
      <c r="E1347" s="1022">
        <v>293243</v>
      </c>
      <c r="F1347" s="788">
        <v>266217</v>
      </c>
      <c r="G1347" s="1002"/>
      <c r="H1347" s="705"/>
      <c r="I1347" s="705"/>
      <c r="J1347" s="543"/>
    </row>
    <row r="1348" spans="1:10" s="400" customFormat="1" ht="12.75">
      <c r="A1348" s="1221" t="s">
        <v>2295</v>
      </c>
      <c r="B1348" s="726"/>
      <c r="C1348" s="1060" t="s">
        <v>4592</v>
      </c>
      <c r="D1348" s="1222" t="s">
        <v>2296</v>
      </c>
      <c r="E1348" s="1022">
        <v>293243</v>
      </c>
      <c r="F1348" s="788">
        <v>266217</v>
      </c>
      <c r="G1348" s="1002"/>
      <c r="H1348" s="705"/>
      <c r="I1348" s="705"/>
      <c r="J1348" s="543"/>
    </row>
    <row r="1349" spans="1:10" s="400" customFormat="1" ht="12.75" customHeight="1">
      <c r="A1349" s="1221" t="s">
        <v>2297</v>
      </c>
      <c r="B1349" s="726"/>
      <c r="C1349" s="1060" t="s">
        <v>4592</v>
      </c>
      <c r="D1349" s="1222" t="s">
        <v>2298</v>
      </c>
      <c r="E1349" s="1022">
        <v>3627120</v>
      </c>
      <c r="F1349" s="788">
        <v>3302915</v>
      </c>
      <c r="G1349" s="1002"/>
      <c r="H1349" s="705"/>
      <c r="I1349" s="705"/>
      <c r="J1349" s="543"/>
    </row>
    <row r="1350" spans="1:10" s="400" customFormat="1" ht="12.75" customHeight="1">
      <c r="A1350" s="1221" t="s">
        <v>2299</v>
      </c>
      <c r="B1350" s="726"/>
      <c r="C1350" s="1060" t="s">
        <v>4592</v>
      </c>
      <c r="D1350" s="1222" t="s">
        <v>2300</v>
      </c>
      <c r="E1350" s="1022">
        <v>163918</v>
      </c>
      <c r="F1350" s="788">
        <v>147834</v>
      </c>
      <c r="G1350" s="1002"/>
      <c r="H1350" s="705"/>
      <c r="I1350" s="705"/>
      <c r="J1350" s="543"/>
    </row>
    <row r="1351" spans="1:10" s="400" customFormat="1" ht="12.75" customHeight="1">
      <c r="A1351" s="1221" t="s">
        <v>2301</v>
      </c>
      <c r="B1351" s="726"/>
      <c r="C1351" s="1060" t="s">
        <v>4592</v>
      </c>
      <c r="D1351" s="1222" t="s">
        <v>2302</v>
      </c>
      <c r="E1351" s="1022">
        <v>3499993</v>
      </c>
      <c r="F1351" s="788">
        <v>3245548</v>
      </c>
      <c r="G1351" s="1002"/>
      <c r="H1351" s="705"/>
      <c r="I1351" s="705"/>
      <c r="J1351" s="543"/>
    </row>
    <row r="1352" spans="1:10" s="400" customFormat="1" ht="12.75" customHeight="1">
      <c r="A1352" s="1221" t="s">
        <v>2303</v>
      </c>
      <c r="B1352" s="726"/>
      <c r="C1352" s="1060" t="s">
        <v>4592</v>
      </c>
      <c r="D1352" s="1222" t="s">
        <v>2304</v>
      </c>
      <c r="E1352" s="1022">
        <v>4234180</v>
      </c>
      <c r="F1352" s="788">
        <v>3963366</v>
      </c>
      <c r="G1352" s="1002"/>
      <c r="H1352" s="705"/>
      <c r="I1352" s="705"/>
      <c r="J1352" s="543"/>
    </row>
    <row r="1353" spans="1:10" s="400" customFormat="1" ht="12.75" customHeight="1">
      <c r="A1353" s="1221" t="s">
        <v>2305</v>
      </c>
      <c r="B1353" s="726"/>
      <c r="C1353" s="1060" t="s">
        <v>4592</v>
      </c>
      <c r="D1353" s="1222" t="s">
        <v>2306</v>
      </c>
      <c r="E1353" s="1022">
        <v>544195</v>
      </c>
      <c r="F1353" s="788">
        <v>519766</v>
      </c>
      <c r="G1353" s="1002"/>
      <c r="H1353" s="705"/>
      <c r="I1353" s="705"/>
      <c r="J1353" s="543"/>
    </row>
    <row r="1354" spans="1:10" s="400" customFormat="1" ht="12.75" customHeight="1">
      <c r="A1354" s="1221" t="s">
        <v>2307</v>
      </c>
      <c r="B1354" s="726"/>
      <c r="C1354" s="1060" t="s">
        <v>4592</v>
      </c>
      <c r="D1354" s="1222" t="s">
        <v>2308</v>
      </c>
      <c r="E1354" s="1022">
        <v>1016000</v>
      </c>
      <c r="F1354" s="788">
        <v>994205</v>
      </c>
      <c r="G1354" s="1002"/>
      <c r="H1354" s="705"/>
      <c r="I1354" s="705"/>
      <c r="J1354" s="543"/>
    </row>
    <row r="1355" spans="1:10" s="400" customFormat="1" ht="12.75">
      <c r="A1355" s="1221" t="s">
        <v>2309</v>
      </c>
      <c r="B1355" s="726"/>
      <c r="C1355" s="1060" t="s">
        <v>4592</v>
      </c>
      <c r="D1355" s="1222" t="s">
        <v>2310</v>
      </c>
      <c r="E1355" s="1022">
        <v>5286312</v>
      </c>
      <c r="F1355" s="788">
        <v>4123972</v>
      </c>
      <c r="G1355" s="1002"/>
      <c r="H1355" s="705"/>
      <c r="I1355" s="705"/>
      <c r="J1355" s="543"/>
    </row>
    <row r="1356" spans="1:10" s="400" customFormat="1" ht="25.5">
      <c r="A1356" s="1221" t="s">
        <v>2311</v>
      </c>
      <c r="B1356" s="726"/>
      <c r="C1356" s="1060" t="s">
        <v>4592</v>
      </c>
      <c r="D1356" s="1222" t="s">
        <v>2312</v>
      </c>
      <c r="E1356" s="1022">
        <v>107950</v>
      </c>
      <c r="F1356" s="788">
        <v>92084</v>
      </c>
      <c r="G1356" s="1002"/>
      <c r="H1356" s="705"/>
      <c r="I1356" s="705"/>
      <c r="J1356" s="543"/>
    </row>
    <row r="1357" spans="1:10" s="400" customFormat="1" ht="13.5" thickBot="1">
      <c r="A1357" s="1223"/>
      <c r="B1357" s="1076">
        <v>131122</v>
      </c>
      <c r="C1357" s="618"/>
      <c r="D1357" s="798"/>
      <c r="E1357" s="1224">
        <f>SUM(E1340:E1356)</f>
        <v>24954207</v>
      </c>
      <c r="F1357" s="1225">
        <f>SUM(F1340:F1356)</f>
        <v>21876235</v>
      </c>
      <c r="G1357" s="1002"/>
      <c r="H1357" s="705"/>
      <c r="I1357" s="705"/>
      <c r="J1357" s="543"/>
    </row>
    <row r="1358" spans="1:10" ht="13.5" thickBot="1">
      <c r="A1358" s="1226"/>
      <c r="B1358" s="592"/>
      <c r="C1358" s="1152"/>
      <c r="D1358" s="711"/>
      <c r="E1358" s="1103"/>
      <c r="F1358" s="1104"/>
      <c r="J1358" s="543"/>
    </row>
    <row r="1359" spans="1:10" ht="13.5" thickBot="1">
      <c r="A1359" s="2252" t="s">
        <v>3270</v>
      </c>
      <c r="B1359" s="2253"/>
      <c r="C1359" s="2253"/>
      <c r="D1359" s="2253"/>
      <c r="E1359" s="2253"/>
      <c r="F1359" s="2253"/>
      <c r="J1359" s="543"/>
    </row>
    <row r="1360" spans="1:10" ht="12.75">
      <c r="A1360" s="648" t="s">
        <v>2313</v>
      </c>
      <c r="B1360" s="630">
        <v>131123</v>
      </c>
      <c r="C1360" s="1088" t="s">
        <v>1077</v>
      </c>
      <c r="D1360" s="616" t="s">
        <v>3271</v>
      </c>
      <c r="E1360" s="692">
        <v>199900</v>
      </c>
      <c r="F1360" s="693">
        <v>74002</v>
      </c>
      <c r="J1360" s="543"/>
    </row>
    <row r="1361" spans="1:10" ht="12.75">
      <c r="A1361" s="648" t="s">
        <v>2314</v>
      </c>
      <c r="B1361" s="630"/>
      <c r="C1361" s="1088" t="s">
        <v>1077</v>
      </c>
      <c r="D1361" s="598" t="s">
        <v>3272</v>
      </c>
      <c r="E1361" s="697">
        <v>172440</v>
      </c>
      <c r="F1361" s="698">
        <v>30889</v>
      </c>
      <c r="J1361" s="543"/>
    </row>
    <row r="1362" spans="1:10" ht="12.75">
      <c r="A1362" s="648" t="s">
        <v>2315</v>
      </c>
      <c r="B1362" s="630"/>
      <c r="C1362" s="1088" t="s">
        <v>1077</v>
      </c>
      <c r="D1362" s="598" t="s">
        <v>3273</v>
      </c>
      <c r="E1362" s="697">
        <v>123950</v>
      </c>
      <c r="F1362" s="698">
        <v>56883</v>
      </c>
      <c r="J1362" s="543"/>
    </row>
    <row r="1363" spans="1:10" ht="12.75">
      <c r="A1363" s="648" t="s">
        <v>2316</v>
      </c>
      <c r="B1363" s="630"/>
      <c r="C1363" s="1088" t="s">
        <v>1077</v>
      </c>
      <c r="D1363" s="598" t="s">
        <v>3274</v>
      </c>
      <c r="E1363" s="697">
        <v>1199760</v>
      </c>
      <c r="F1363" s="698">
        <v>42637</v>
      </c>
      <c r="J1363" s="543"/>
    </row>
    <row r="1364" spans="1:10" ht="12.75">
      <c r="A1364" s="648" t="s">
        <v>2317</v>
      </c>
      <c r="B1364" s="630"/>
      <c r="C1364" s="1088" t="s">
        <v>1077</v>
      </c>
      <c r="D1364" s="598" t="s">
        <v>3275</v>
      </c>
      <c r="E1364" s="697">
        <v>603938</v>
      </c>
      <c r="F1364" s="698">
        <v>56372</v>
      </c>
      <c r="J1364" s="543"/>
    </row>
    <row r="1365" spans="1:10" ht="12.75">
      <c r="A1365" s="648" t="s">
        <v>2318</v>
      </c>
      <c r="B1365" s="630"/>
      <c r="C1365" s="1088" t="s">
        <v>1077</v>
      </c>
      <c r="D1365" s="598" t="s">
        <v>3276</v>
      </c>
      <c r="E1365" s="697">
        <v>200000</v>
      </c>
      <c r="F1365" s="698">
        <v>25932</v>
      </c>
      <c r="J1365" s="543"/>
    </row>
    <row r="1366" spans="1:10" ht="12.75">
      <c r="A1366" s="648" t="s">
        <v>2319</v>
      </c>
      <c r="B1366" s="630"/>
      <c r="C1366" s="1088" t="s">
        <v>1077</v>
      </c>
      <c r="D1366" s="598" t="s">
        <v>3277</v>
      </c>
      <c r="E1366" s="697">
        <v>216900</v>
      </c>
      <c r="F1366" s="698">
        <v>139264</v>
      </c>
      <c r="J1366" s="543"/>
    </row>
    <row r="1367" spans="1:10" ht="25.5">
      <c r="A1367" s="648" t="s">
        <v>2320</v>
      </c>
      <c r="B1367" s="630"/>
      <c r="C1367" s="1088" t="s">
        <v>1077</v>
      </c>
      <c r="D1367" s="598" t="s">
        <v>3278</v>
      </c>
      <c r="E1367" s="697">
        <v>3673621</v>
      </c>
      <c r="F1367" s="698">
        <v>2670853</v>
      </c>
      <c r="J1367" s="543"/>
    </row>
    <row r="1368" spans="1:10" ht="25.5">
      <c r="A1368" s="648" t="s">
        <v>2321</v>
      </c>
      <c r="B1368" s="630"/>
      <c r="C1368" s="1088" t="s">
        <v>1077</v>
      </c>
      <c r="D1368" s="598" t="s">
        <v>3279</v>
      </c>
      <c r="E1368" s="697">
        <v>100000</v>
      </c>
      <c r="F1368" s="698">
        <v>80904</v>
      </c>
      <c r="J1368" s="543"/>
    </row>
    <row r="1369" spans="1:10" ht="25.5">
      <c r="A1369" s="648" t="s">
        <v>2322</v>
      </c>
      <c r="B1369" s="630"/>
      <c r="C1369" s="1088" t="s">
        <v>1077</v>
      </c>
      <c r="D1369" s="598" t="s">
        <v>3280</v>
      </c>
      <c r="E1369" s="697">
        <v>101400</v>
      </c>
      <c r="F1369" s="698">
        <v>82037</v>
      </c>
      <c r="J1369" s="543"/>
    </row>
    <row r="1370" spans="1:9" s="694" customFormat="1" ht="12.75">
      <c r="A1370" s="648" t="s">
        <v>2323</v>
      </c>
      <c r="B1370" s="726"/>
      <c r="C1370" s="1041" t="s">
        <v>1077</v>
      </c>
      <c r="D1370" s="598" t="s">
        <v>3281</v>
      </c>
      <c r="E1370" s="697">
        <v>307340</v>
      </c>
      <c r="F1370" s="698">
        <v>261436</v>
      </c>
      <c r="G1370" s="1047"/>
      <c r="H1370" s="708"/>
      <c r="I1370" s="708"/>
    </row>
    <row r="1371" spans="1:10" ht="25.5">
      <c r="A1371" s="648" t="s">
        <v>2324</v>
      </c>
      <c r="B1371" s="630"/>
      <c r="C1371" s="1088" t="s">
        <v>1077</v>
      </c>
      <c r="D1371" s="598" t="s">
        <v>3282</v>
      </c>
      <c r="E1371" s="697">
        <v>330073</v>
      </c>
      <c r="F1371" s="698">
        <v>280776</v>
      </c>
      <c r="J1371" s="543"/>
    </row>
    <row r="1372" spans="1:10" ht="12.75">
      <c r="A1372" s="648" t="s">
        <v>2325</v>
      </c>
      <c r="B1372" s="630"/>
      <c r="C1372" s="1088" t="s">
        <v>1077</v>
      </c>
      <c r="D1372" s="598" t="s">
        <v>3283</v>
      </c>
      <c r="E1372" s="697">
        <v>1597660</v>
      </c>
      <c r="F1372" s="698">
        <v>1359037</v>
      </c>
      <c r="J1372" s="543"/>
    </row>
    <row r="1373" spans="1:10" ht="26.25" thickBot="1">
      <c r="A1373" s="648" t="s">
        <v>2326</v>
      </c>
      <c r="B1373" s="630"/>
      <c r="C1373" s="1088" t="s">
        <v>1077</v>
      </c>
      <c r="D1373" s="598" t="s">
        <v>3284</v>
      </c>
      <c r="E1373" s="697">
        <v>422631</v>
      </c>
      <c r="F1373" s="698">
        <v>366555</v>
      </c>
      <c r="J1373" s="543"/>
    </row>
    <row r="1374" spans="1:10" s="752" customFormat="1" ht="48.75" thickBot="1">
      <c r="A1374" s="605" t="s">
        <v>4597</v>
      </c>
      <c r="B1374" s="606" t="s">
        <v>4601</v>
      </c>
      <c r="C1374" s="1008" t="s">
        <v>4602</v>
      </c>
      <c r="D1374" s="606" t="s">
        <v>4603</v>
      </c>
      <c r="E1374" s="738" t="s">
        <v>4604</v>
      </c>
      <c r="F1374" s="739" t="s">
        <v>4605</v>
      </c>
      <c r="G1374" s="1127"/>
      <c r="H1374" s="1128"/>
      <c r="I1374" s="1128"/>
      <c r="J1374" s="666"/>
    </row>
    <row r="1375" spans="1:10" ht="12.75">
      <c r="A1375" s="648" t="s">
        <v>2327</v>
      </c>
      <c r="B1375" s="630"/>
      <c r="C1375" s="1088" t="s">
        <v>1077</v>
      </c>
      <c r="D1375" s="598" t="s">
        <v>3285</v>
      </c>
      <c r="E1375" s="697">
        <v>989076</v>
      </c>
      <c r="F1375" s="698">
        <v>867663</v>
      </c>
      <c r="J1375" s="543"/>
    </row>
    <row r="1376" spans="1:10" ht="12.75">
      <c r="A1376" s="648" t="s">
        <v>2328</v>
      </c>
      <c r="B1376" s="630"/>
      <c r="C1376" s="1088" t="s">
        <v>1077</v>
      </c>
      <c r="D1376" s="598" t="s">
        <v>3286</v>
      </c>
      <c r="E1376" s="697">
        <v>774700</v>
      </c>
      <c r="F1376" s="698">
        <v>686065</v>
      </c>
      <c r="J1376" s="543"/>
    </row>
    <row r="1377" spans="1:10" ht="25.5">
      <c r="A1377" s="648" t="s">
        <v>2329</v>
      </c>
      <c r="B1377" s="630"/>
      <c r="C1377" s="1088" t="s">
        <v>1077</v>
      </c>
      <c r="D1377" s="598" t="s">
        <v>3287</v>
      </c>
      <c r="E1377" s="697">
        <v>95000</v>
      </c>
      <c r="F1377" s="698">
        <v>84697</v>
      </c>
      <c r="J1377" s="543"/>
    </row>
    <row r="1378" spans="1:10" ht="12.75">
      <c r="A1378" s="648" t="s">
        <v>2330</v>
      </c>
      <c r="B1378" s="630"/>
      <c r="C1378" s="1088" t="s">
        <v>1077</v>
      </c>
      <c r="D1378" s="598" t="s">
        <v>3288</v>
      </c>
      <c r="E1378" s="697">
        <v>5069235</v>
      </c>
      <c r="F1378" s="698">
        <v>4624184</v>
      </c>
      <c r="J1378" s="543"/>
    </row>
    <row r="1379" spans="1:10" ht="12.75">
      <c r="A1379" s="648" t="s">
        <v>2331</v>
      </c>
      <c r="B1379" s="630"/>
      <c r="C1379" s="1088" t="s">
        <v>1077</v>
      </c>
      <c r="D1379" s="598" t="s">
        <v>3289</v>
      </c>
      <c r="E1379" s="697">
        <v>3649095</v>
      </c>
      <c r="F1379" s="698">
        <v>3328724</v>
      </c>
      <c r="J1379" s="543"/>
    </row>
    <row r="1380" spans="1:10" ht="12.75">
      <c r="A1380" s="648" t="s">
        <v>2332</v>
      </c>
      <c r="B1380" s="630"/>
      <c r="C1380" s="1088" t="s">
        <v>1077</v>
      </c>
      <c r="D1380" s="598" t="s">
        <v>3290</v>
      </c>
      <c r="E1380" s="697">
        <v>261620</v>
      </c>
      <c r="F1380" s="698">
        <v>236364</v>
      </c>
      <c r="J1380" s="543"/>
    </row>
    <row r="1381" spans="1:10" ht="12.75">
      <c r="A1381" s="648" t="s">
        <v>2333</v>
      </c>
      <c r="B1381" s="630"/>
      <c r="C1381" s="1088" t="s">
        <v>1077</v>
      </c>
      <c r="D1381" s="598" t="s">
        <v>3291</v>
      </c>
      <c r="E1381" s="697">
        <v>1214755</v>
      </c>
      <c r="F1381" s="698">
        <v>1103763</v>
      </c>
      <c r="J1381" s="543"/>
    </row>
    <row r="1382" spans="1:10" ht="12.75">
      <c r="A1382" s="648" t="s">
        <v>2334</v>
      </c>
      <c r="B1382" s="630"/>
      <c r="C1382" s="1088" t="s">
        <v>1077</v>
      </c>
      <c r="D1382" s="598" t="s">
        <v>3292</v>
      </c>
      <c r="E1382" s="697">
        <v>109990</v>
      </c>
      <c r="F1382" s="698">
        <v>109291</v>
      </c>
      <c r="J1382" s="543"/>
    </row>
    <row r="1383" spans="1:10" ht="25.5">
      <c r="A1383" s="648" t="s">
        <v>2335</v>
      </c>
      <c r="B1383" s="630"/>
      <c r="C1383" s="1088" t="s">
        <v>1077</v>
      </c>
      <c r="D1383" s="598" t="s">
        <v>3293</v>
      </c>
      <c r="E1383" s="697">
        <v>119990</v>
      </c>
      <c r="F1383" s="698">
        <v>119418</v>
      </c>
      <c r="J1383" s="543"/>
    </row>
    <row r="1384" spans="1:10" ht="12.75">
      <c r="A1384" s="648" t="s">
        <v>2336</v>
      </c>
      <c r="B1384" s="1186"/>
      <c r="C1384" s="1129" t="s">
        <v>1077</v>
      </c>
      <c r="D1384" s="600" t="s">
        <v>3294</v>
      </c>
      <c r="E1384" s="770">
        <v>2134833</v>
      </c>
      <c r="F1384" s="771">
        <v>2134833</v>
      </c>
      <c r="J1384" s="543"/>
    </row>
    <row r="1385" spans="1:9" s="694" customFormat="1" ht="12.75">
      <c r="A1385" s="648" t="s">
        <v>2337</v>
      </c>
      <c r="B1385" s="822">
        <v>1311236</v>
      </c>
      <c r="C1385" s="1088" t="s">
        <v>1077</v>
      </c>
      <c r="D1385" s="696" t="s">
        <v>3295</v>
      </c>
      <c r="E1385" s="697">
        <v>398400</v>
      </c>
      <c r="F1385" s="698">
        <v>77366</v>
      </c>
      <c r="G1385" s="1047"/>
      <c r="H1385" s="708"/>
      <c r="I1385" s="708"/>
    </row>
    <row r="1386" spans="1:9" s="694" customFormat="1" ht="12.75">
      <c r="A1386" s="648" t="s">
        <v>2338</v>
      </c>
      <c r="B1386" s="726"/>
      <c r="C1386" s="1088" t="s">
        <v>1077</v>
      </c>
      <c r="D1386" s="696" t="s">
        <v>3296</v>
      </c>
      <c r="E1386" s="697">
        <v>379920</v>
      </c>
      <c r="F1386" s="698">
        <v>103069</v>
      </c>
      <c r="G1386" s="1047"/>
      <c r="H1386" s="708"/>
      <c r="I1386" s="708"/>
    </row>
    <row r="1387" spans="1:9" s="694" customFormat="1" ht="12.75">
      <c r="A1387" s="648" t="s">
        <v>2339</v>
      </c>
      <c r="B1387" s="726"/>
      <c r="C1387" s="1088" t="s">
        <v>1077</v>
      </c>
      <c r="D1387" s="696" t="s">
        <v>3297</v>
      </c>
      <c r="E1387" s="697">
        <v>176000</v>
      </c>
      <c r="F1387" s="698">
        <v>98740</v>
      </c>
      <c r="G1387" s="1047"/>
      <c r="H1387" s="708"/>
      <c r="I1387" s="708"/>
    </row>
    <row r="1388" spans="1:9" s="694" customFormat="1" ht="12.75">
      <c r="A1388" s="648" t="s">
        <v>2340</v>
      </c>
      <c r="B1388" s="726"/>
      <c r="C1388" s="1088" t="s">
        <v>1077</v>
      </c>
      <c r="D1388" s="696" t="s">
        <v>3298</v>
      </c>
      <c r="E1388" s="697">
        <v>176000</v>
      </c>
      <c r="F1388" s="698">
        <v>98740</v>
      </c>
      <c r="G1388" s="1047"/>
      <c r="H1388" s="708"/>
      <c r="I1388" s="708"/>
    </row>
    <row r="1389" spans="1:9" s="694" customFormat="1" ht="12.75">
      <c r="A1389" s="648" t="s">
        <v>2341</v>
      </c>
      <c r="B1389" s="726"/>
      <c r="C1389" s="1088" t="s">
        <v>1077</v>
      </c>
      <c r="D1389" s="696" t="s">
        <v>3299</v>
      </c>
      <c r="E1389" s="697">
        <v>176000</v>
      </c>
      <c r="F1389" s="698">
        <v>98810</v>
      </c>
      <c r="G1389" s="1047"/>
      <c r="H1389" s="708"/>
      <c r="I1389" s="708"/>
    </row>
    <row r="1390" spans="1:9" s="694" customFormat="1" ht="12.75">
      <c r="A1390" s="648" t="s">
        <v>2342</v>
      </c>
      <c r="B1390" s="1139"/>
      <c r="C1390" s="1129" t="s">
        <v>1077</v>
      </c>
      <c r="D1390" s="724" t="s">
        <v>3300</v>
      </c>
      <c r="E1390" s="770">
        <v>176000</v>
      </c>
      <c r="F1390" s="771">
        <v>105103</v>
      </c>
      <c r="G1390" s="1047"/>
      <c r="H1390" s="708"/>
      <c r="I1390" s="708"/>
    </row>
    <row r="1391" spans="1:10" s="400" customFormat="1" ht="12.75">
      <c r="A1391" s="648" t="s">
        <v>2343</v>
      </c>
      <c r="B1391" s="822"/>
      <c r="C1391" s="1032" t="s">
        <v>4592</v>
      </c>
      <c r="D1391" s="598" t="s">
        <v>2344</v>
      </c>
      <c r="E1391" s="1022">
        <v>320000</v>
      </c>
      <c r="F1391" s="788">
        <v>14769</v>
      </c>
      <c r="G1391" s="1002"/>
      <c r="H1391" s="705"/>
      <c r="I1391" s="705"/>
      <c r="J1391" s="543"/>
    </row>
    <row r="1392" spans="1:10" s="400" customFormat="1" ht="12.75">
      <c r="A1392" s="648" t="s">
        <v>2345</v>
      </c>
      <c r="B1392" s="822"/>
      <c r="C1392" s="1032" t="s">
        <v>4592</v>
      </c>
      <c r="D1392" s="598" t="s">
        <v>2346</v>
      </c>
      <c r="E1392" s="1022">
        <v>129900</v>
      </c>
      <c r="F1392" s="788">
        <v>63070</v>
      </c>
      <c r="G1392" s="1002"/>
      <c r="H1392" s="705"/>
      <c r="I1392" s="705"/>
      <c r="J1392" s="543"/>
    </row>
    <row r="1393" spans="1:10" s="400" customFormat="1" ht="12.75">
      <c r="A1393" s="648" t="s">
        <v>2347</v>
      </c>
      <c r="B1393" s="822"/>
      <c r="C1393" s="1032" t="s">
        <v>4592</v>
      </c>
      <c r="D1393" s="598" t="s">
        <v>2348</v>
      </c>
      <c r="E1393" s="1022">
        <v>229000</v>
      </c>
      <c r="F1393" s="788">
        <v>115921</v>
      </c>
      <c r="G1393" s="1002"/>
      <c r="H1393" s="705"/>
      <c r="I1393" s="705"/>
      <c r="J1393" s="543"/>
    </row>
    <row r="1394" spans="1:10" s="400" customFormat="1" ht="12.75">
      <c r="A1394" s="648" t="s">
        <v>2349</v>
      </c>
      <c r="B1394" s="822"/>
      <c r="C1394" s="1032" t="s">
        <v>4592</v>
      </c>
      <c r="D1394" s="598" t="s">
        <v>2348</v>
      </c>
      <c r="E1394" s="1022">
        <v>229000</v>
      </c>
      <c r="F1394" s="788">
        <v>115921</v>
      </c>
      <c r="G1394" s="1002"/>
      <c r="H1394" s="705"/>
      <c r="I1394" s="705"/>
      <c r="J1394" s="543"/>
    </row>
    <row r="1395" spans="1:10" s="400" customFormat="1" ht="12.75">
      <c r="A1395" s="648" t="s">
        <v>2350</v>
      </c>
      <c r="B1395" s="822"/>
      <c r="C1395" s="1032" t="s">
        <v>4592</v>
      </c>
      <c r="D1395" s="598" t="s">
        <v>2351</v>
      </c>
      <c r="E1395" s="1022">
        <v>653750</v>
      </c>
      <c r="F1395" s="788">
        <v>455851</v>
      </c>
      <c r="G1395" s="1002"/>
      <c r="H1395" s="705"/>
      <c r="I1395" s="705"/>
      <c r="J1395" s="543"/>
    </row>
    <row r="1396" spans="1:10" s="400" customFormat="1" ht="12.75">
      <c r="A1396" s="648" t="s">
        <v>2352</v>
      </c>
      <c r="B1396" s="822"/>
      <c r="C1396" s="1032" t="s">
        <v>4592</v>
      </c>
      <c r="D1396" s="598" t="s">
        <v>2353</v>
      </c>
      <c r="E1396" s="1022">
        <v>2377825</v>
      </c>
      <c r="F1396" s="788">
        <v>1673142</v>
      </c>
      <c r="G1396" s="1002"/>
      <c r="H1396" s="705"/>
      <c r="I1396" s="705"/>
      <c r="J1396" s="543"/>
    </row>
    <row r="1397" spans="1:10" s="400" customFormat="1" ht="12.75">
      <c r="A1397" s="648" t="s">
        <v>2354</v>
      </c>
      <c r="B1397" s="822"/>
      <c r="C1397" s="1032" t="s">
        <v>4592</v>
      </c>
      <c r="D1397" s="598" t="s">
        <v>2355</v>
      </c>
      <c r="E1397" s="1022">
        <v>192237</v>
      </c>
      <c r="F1397" s="788">
        <v>32555</v>
      </c>
      <c r="G1397" s="1002"/>
      <c r="H1397" s="705"/>
      <c r="I1397" s="705"/>
      <c r="J1397" s="543"/>
    </row>
    <row r="1398" spans="1:10" s="400" customFormat="1" ht="12.75">
      <c r="A1398" s="648" t="s">
        <v>2356</v>
      </c>
      <c r="B1398" s="822"/>
      <c r="C1398" s="1032" t="s">
        <v>4592</v>
      </c>
      <c r="D1398" s="598" t="s">
        <v>2357</v>
      </c>
      <c r="E1398" s="1022">
        <v>192236</v>
      </c>
      <c r="F1398" s="788">
        <v>32556</v>
      </c>
      <c r="G1398" s="1002"/>
      <c r="H1398" s="705"/>
      <c r="I1398" s="705"/>
      <c r="J1398" s="543"/>
    </row>
    <row r="1399" spans="1:10" s="400" customFormat="1" ht="12.75">
      <c r="A1399" s="648" t="s">
        <v>2358</v>
      </c>
      <c r="B1399" s="822"/>
      <c r="C1399" s="1032" t="s">
        <v>4592</v>
      </c>
      <c r="D1399" s="598" t="s">
        <v>2359</v>
      </c>
      <c r="E1399" s="1022">
        <v>239999</v>
      </c>
      <c r="F1399" s="788">
        <v>40002</v>
      </c>
      <c r="G1399" s="1002"/>
      <c r="H1399" s="705"/>
      <c r="I1399" s="705"/>
      <c r="J1399" s="543"/>
    </row>
    <row r="1400" spans="1:10" s="400" customFormat="1" ht="12.75">
      <c r="A1400" s="648" t="s">
        <v>2360</v>
      </c>
      <c r="B1400" s="822"/>
      <c r="C1400" s="1032" t="s">
        <v>4592</v>
      </c>
      <c r="D1400" s="598" t="s">
        <v>4393</v>
      </c>
      <c r="E1400" s="1022">
        <v>462600</v>
      </c>
      <c r="F1400" s="788">
        <v>85363</v>
      </c>
      <c r="G1400" s="1002"/>
      <c r="H1400" s="705"/>
      <c r="I1400" s="705"/>
      <c r="J1400" s="543"/>
    </row>
    <row r="1401" spans="1:10" s="400" customFormat="1" ht="12.75">
      <c r="A1401" s="648" t="s">
        <v>2361</v>
      </c>
      <c r="B1401" s="822"/>
      <c r="C1401" s="1032" t="s">
        <v>4592</v>
      </c>
      <c r="D1401" s="598" t="s">
        <v>2362</v>
      </c>
      <c r="E1401" s="1022">
        <v>240468</v>
      </c>
      <c r="F1401" s="788">
        <v>47905</v>
      </c>
      <c r="G1401" s="1002"/>
      <c r="H1401" s="705"/>
      <c r="I1401" s="705"/>
      <c r="J1401" s="543"/>
    </row>
    <row r="1402" spans="1:10" s="400" customFormat="1" ht="12.75">
      <c r="A1402" s="648" t="s">
        <v>2363</v>
      </c>
      <c r="B1402" s="822"/>
      <c r="C1402" s="1032" t="s">
        <v>4592</v>
      </c>
      <c r="D1402" s="598" t="s">
        <v>2364</v>
      </c>
      <c r="E1402" s="1022">
        <v>226000</v>
      </c>
      <c r="F1402" s="788">
        <v>65670</v>
      </c>
      <c r="G1402" s="1002"/>
      <c r="H1402" s="705"/>
      <c r="I1402" s="705"/>
      <c r="J1402" s="543"/>
    </row>
    <row r="1403" spans="1:10" s="400" customFormat="1" ht="12.75">
      <c r="A1403" s="648" t="s">
        <v>2365</v>
      </c>
      <c r="B1403" s="822"/>
      <c r="C1403" s="1032" t="s">
        <v>4592</v>
      </c>
      <c r="D1403" s="598" t="s">
        <v>2366</v>
      </c>
      <c r="E1403" s="1022">
        <v>262500</v>
      </c>
      <c r="F1403" s="788">
        <v>99223</v>
      </c>
      <c r="G1403" s="1002"/>
      <c r="H1403" s="705"/>
      <c r="I1403" s="705"/>
      <c r="J1403" s="543"/>
    </row>
    <row r="1404" spans="1:10" s="400" customFormat="1" ht="12.75">
      <c r="A1404" s="648" t="s">
        <v>2367</v>
      </c>
      <c r="B1404" s="822"/>
      <c r="C1404" s="1032" t="s">
        <v>4592</v>
      </c>
      <c r="D1404" s="598" t="s">
        <v>2368</v>
      </c>
      <c r="E1404" s="1022">
        <v>400000</v>
      </c>
      <c r="F1404" s="788">
        <v>166413</v>
      </c>
      <c r="G1404" s="1002"/>
      <c r="H1404" s="705"/>
      <c r="I1404" s="705"/>
      <c r="J1404" s="543"/>
    </row>
    <row r="1405" spans="1:10" s="400" customFormat="1" ht="12.75">
      <c r="A1405" s="648" t="s">
        <v>2369</v>
      </c>
      <c r="B1405" s="822"/>
      <c r="C1405" s="1032" t="s">
        <v>4592</v>
      </c>
      <c r="D1405" s="598" t="s">
        <v>2370</v>
      </c>
      <c r="E1405" s="1022">
        <v>2187500</v>
      </c>
      <c r="F1405" s="788">
        <v>967410</v>
      </c>
      <c r="G1405" s="1002"/>
      <c r="H1405" s="705"/>
      <c r="I1405" s="705"/>
      <c r="J1405" s="543"/>
    </row>
    <row r="1406" spans="1:10" s="400" customFormat="1" ht="12.75">
      <c r="A1406" s="648" t="s">
        <v>2371</v>
      </c>
      <c r="B1406" s="822"/>
      <c r="C1406" s="1088" t="s">
        <v>4592</v>
      </c>
      <c r="D1406" s="598" t="s">
        <v>2372</v>
      </c>
      <c r="E1406" s="1022">
        <v>133617</v>
      </c>
      <c r="F1406" s="788">
        <v>97517</v>
      </c>
      <c r="G1406" s="1002"/>
      <c r="H1406" s="705"/>
      <c r="I1406" s="705"/>
      <c r="J1406" s="543"/>
    </row>
    <row r="1407" spans="1:10" s="400" customFormat="1" ht="12.75">
      <c r="A1407" s="648" t="s">
        <v>2373</v>
      </c>
      <c r="B1407" s="822"/>
      <c r="C1407" s="1088" t="s">
        <v>4592</v>
      </c>
      <c r="D1407" s="598" t="s">
        <v>2374</v>
      </c>
      <c r="E1407" s="1022">
        <v>35900</v>
      </c>
      <c r="F1407" s="788">
        <v>27509</v>
      </c>
      <c r="G1407" s="1002"/>
      <c r="H1407" s="705"/>
      <c r="I1407" s="705"/>
      <c r="J1407" s="543"/>
    </row>
    <row r="1408" spans="1:10" s="400" customFormat="1" ht="12.75">
      <c r="A1408" s="648" t="s">
        <v>2375</v>
      </c>
      <c r="B1408" s="1131"/>
      <c r="C1408" s="1129" t="s">
        <v>4592</v>
      </c>
      <c r="D1408" s="1227" t="s">
        <v>2376</v>
      </c>
      <c r="E1408" s="1136">
        <v>276800</v>
      </c>
      <c r="F1408" s="1137">
        <v>239963</v>
      </c>
      <c r="G1408" s="1002"/>
      <c r="H1408" s="705"/>
      <c r="I1408" s="705"/>
      <c r="J1408" s="543"/>
    </row>
    <row r="1409" spans="1:10" s="400" customFormat="1" ht="12.75">
      <c r="A1409" s="648" t="s">
        <v>2377</v>
      </c>
      <c r="B1409" s="630">
        <v>131123</v>
      </c>
      <c r="C1409" s="1032" t="s">
        <v>1029</v>
      </c>
      <c r="D1409" s="598" t="s">
        <v>2378</v>
      </c>
      <c r="E1409" s="697">
        <v>177300</v>
      </c>
      <c r="F1409" s="698">
        <v>88130</v>
      </c>
      <c r="G1409" s="1002"/>
      <c r="H1409" s="705"/>
      <c r="I1409" s="705"/>
      <c r="J1409" s="543"/>
    </row>
    <row r="1410" spans="1:10" s="400" customFormat="1" ht="12.75">
      <c r="A1410" s="648" t="s">
        <v>2379</v>
      </c>
      <c r="B1410" s="822"/>
      <c r="C1410" s="1032" t="s">
        <v>1029</v>
      </c>
      <c r="D1410" s="598" t="s">
        <v>2380</v>
      </c>
      <c r="E1410" s="697">
        <v>153313</v>
      </c>
      <c r="F1410" s="698">
        <v>85163</v>
      </c>
      <c r="G1410" s="1002"/>
      <c r="H1410" s="705"/>
      <c r="I1410" s="705"/>
      <c r="J1410" s="543"/>
    </row>
    <row r="1411" spans="1:10" s="400" customFormat="1" ht="25.5">
      <c r="A1411" s="648" t="s">
        <v>2381</v>
      </c>
      <c r="B1411" s="822"/>
      <c r="C1411" s="1032" t="s">
        <v>1029</v>
      </c>
      <c r="D1411" s="598" t="s">
        <v>2382</v>
      </c>
      <c r="E1411" s="697">
        <v>121275</v>
      </c>
      <c r="F1411" s="698">
        <v>67126</v>
      </c>
      <c r="G1411" s="1002"/>
      <c r="H1411" s="705"/>
      <c r="I1411" s="705"/>
      <c r="J1411" s="543"/>
    </row>
    <row r="1412" spans="1:10" s="400" customFormat="1" ht="12.75">
      <c r="A1412" s="648" t="s">
        <v>1926</v>
      </c>
      <c r="B1412" s="822"/>
      <c r="C1412" s="1032" t="s">
        <v>1029</v>
      </c>
      <c r="D1412" s="598" t="s">
        <v>2383</v>
      </c>
      <c r="E1412" s="697">
        <v>165000</v>
      </c>
      <c r="F1412" s="698">
        <v>5084</v>
      </c>
      <c r="G1412" s="1002"/>
      <c r="H1412" s="705"/>
      <c r="I1412" s="705"/>
      <c r="J1412" s="543"/>
    </row>
    <row r="1413" spans="1:10" s="400" customFormat="1" ht="12.75">
      <c r="A1413" s="648" t="s">
        <v>1928</v>
      </c>
      <c r="B1413" s="822"/>
      <c r="C1413" s="1032" t="s">
        <v>1029</v>
      </c>
      <c r="D1413" s="598" t="s">
        <v>2384</v>
      </c>
      <c r="E1413" s="697">
        <v>164500</v>
      </c>
      <c r="F1413" s="698">
        <v>33925</v>
      </c>
      <c r="G1413" s="1002"/>
      <c r="H1413" s="705"/>
      <c r="I1413" s="705"/>
      <c r="J1413" s="543"/>
    </row>
    <row r="1414" spans="1:10" s="400" customFormat="1" ht="33" customHeight="1">
      <c r="A1414" s="648" t="s">
        <v>2385</v>
      </c>
      <c r="B1414" s="1059"/>
      <c r="C1414" s="1032" t="s">
        <v>1029</v>
      </c>
      <c r="D1414" s="600" t="s">
        <v>2386</v>
      </c>
      <c r="E1414" s="770">
        <f>148065+1</f>
        <v>148066</v>
      </c>
      <c r="F1414" s="771">
        <v>2953</v>
      </c>
      <c r="G1414" s="1002"/>
      <c r="H1414" s="705"/>
      <c r="I1414" s="705"/>
      <c r="J1414" s="543"/>
    </row>
    <row r="1415" spans="1:10" s="400" customFormat="1" ht="12.75">
      <c r="A1415" s="648" t="s">
        <v>2387</v>
      </c>
      <c r="B1415" s="1059"/>
      <c r="C1415" s="1073" t="s">
        <v>1029</v>
      </c>
      <c r="D1415" s="600" t="s">
        <v>2388</v>
      </c>
      <c r="E1415" s="770">
        <v>102299</v>
      </c>
      <c r="F1415" s="771">
        <v>83452</v>
      </c>
      <c r="G1415" s="1002"/>
      <c r="H1415" s="705"/>
      <c r="I1415" s="705"/>
      <c r="J1415" s="543"/>
    </row>
    <row r="1416" spans="1:10" s="400" customFormat="1" ht="12.75">
      <c r="A1416" s="648" t="s">
        <v>2389</v>
      </c>
      <c r="B1416" s="630">
        <v>131123</v>
      </c>
      <c r="C1416" s="1032" t="s">
        <v>1026</v>
      </c>
      <c r="D1416" s="598" t="s">
        <v>2390</v>
      </c>
      <c r="E1416" s="697">
        <v>118750</v>
      </c>
      <c r="F1416" s="698">
        <v>56008</v>
      </c>
      <c r="G1416" s="1002"/>
      <c r="H1416" s="705"/>
      <c r="I1416" s="705"/>
      <c r="J1416" s="543"/>
    </row>
    <row r="1417" spans="1:10" s="400" customFormat="1" ht="12.75">
      <c r="A1417" s="648" t="s">
        <v>2391</v>
      </c>
      <c r="B1417" s="630"/>
      <c r="C1417" s="1032" t="s">
        <v>1026</v>
      </c>
      <c r="D1417" s="598" t="s">
        <v>2390</v>
      </c>
      <c r="E1417" s="697">
        <v>118750</v>
      </c>
      <c r="F1417" s="1075">
        <v>56008</v>
      </c>
      <c r="G1417" s="1002"/>
      <c r="H1417" s="705"/>
      <c r="I1417" s="705"/>
      <c r="J1417" s="543"/>
    </row>
    <row r="1418" spans="1:10" s="400" customFormat="1" ht="12.75">
      <c r="A1418" s="648" t="s">
        <v>2392</v>
      </c>
      <c r="B1418" s="822"/>
      <c r="C1418" s="1032" t="s">
        <v>1026</v>
      </c>
      <c r="D1418" s="598" t="s">
        <v>2393</v>
      </c>
      <c r="E1418" s="697">
        <v>360000</v>
      </c>
      <c r="F1418" s="698">
        <v>58682</v>
      </c>
      <c r="G1418" s="1002"/>
      <c r="H1418" s="705"/>
      <c r="I1418" s="705"/>
      <c r="J1418" s="543"/>
    </row>
    <row r="1419" spans="1:10" s="400" customFormat="1" ht="12.75">
      <c r="A1419" s="648" t="s">
        <v>2394</v>
      </c>
      <c r="B1419" s="822"/>
      <c r="C1419" s="1032" t="s">
        <v>1026</v>
      </c>
      <c r="D1419" s="598" t="s">
        <v>2395</v>
      </c>
      <c r="E1419" s="697">
        <v>71760</v>
      </c>
      <c r="F1419" s="698">
        <v>9923</v>
      </c>
      <c r="G1419" s="1002"/>
      <c r="H1419" s="705"/>
      <c r="I1419" s="705"/>
      <c r="J1419" s="543"/>
    </row>
    <row r="1420" spans="1:10" s="400" customFormat="1" ht="12.75">
      <c r="A1420" s="648" t="s">
        <v>2396</v>
      </c>
      <c r="B1420" s="822"/>
      <c r="C1420" s="1032" t="s">
        <v>1026</v>
      </c>
      <c r="D1420" s="598" t="s">
        <v>2397</v>
      </c>
      <c r="E1420" s="697">
        <v>570000</v>
      </c>
      <c r="F1420" s="698">
        <v>193073</v>
      </c>
      <c r="G1420" s="1002"/>
      <c r="H1420" s="705"/>
      <c r="I1420" s="705"/>
      <c r="J1420" s="543"/>
    </row>
    <row r="1421" spans="1:10" s="400" customFormat="1" ht="12.75">
      <c r="A1421" s="648" t="s">
        <v>2398</v>
      </c>
      <c r="B1421" s="822"/>
      <c r="C1421" s="1032" t="s">
        <v>1026</v>
      </c>
      <c r="D1421" s="598" t="s">
        <v>2399</v>
      </c>
      <c r="E1421" s="697">
        <v>129000</v>
      </c>
      <c r="F1421" s="698">
        <v>43724</v>
      </c>
      <c r="G1421" s="1002"/>
      <c r="H1421" s="705"/>
      <c r="I1421" s="705"/>
      <c r="J1421" s="543"/>
    </row>
    <row r="1422" spans="1:10" s="400" customFormat="1" ht="12.75">
      <c r="A1422" s="648" t="s">
        <v>2400</v>
      </c>
      <c r="B1422" s="822"/>
      <c r="C1422" s="1032" t="s">
        <v>1026</v>
      </c>
      <c r="D1422" s="598" t="s">
        <v>2401</v>
      </c>
      <c r="E1422" s="697">
        <v>960000</v>
      </c>
      <c r="F1422" s="698">
        <v>325095</v>
      </c>
      <c r="G1422" s="1002"/>
      <c r="H1422" s="705"/>
      <c r="I1422" s="705"/>
      <c r="J1422" s="543"/>
    </row>
    <row r="1423" spans="1:10" s="400" customFormat="1" ht="12.75">
      <c r="A1423" s="648" t="s">
        <v>2402</v>
      </c>
      <c r="B1423" s="822"/>
      <c r="C1423" s="1032" t="s">
        <v>1026</v>
      </c>
      <c r="D1423" s="598" t="s">
        <v>2403</v>
      </c>
      <c r="E1423" s="697">
        <v>285000</v>
      </c>
      <c r="F1423" s="698">
        <v>96534</v>
      </c>
      <c r="G1423" s="1002"/>
      <c r="H1423" s="705"/>
      <c r="I1423" s="705"/>
      <c r="J1423" s="543"/>
    </row>
    <row r="1424" spans="1:10" s="400" customFormat="1" ht="12.75">
      <c r="A1424" s="648" t="s">
        <v>2404</v>
      </c>
      <c r="B1424" s="822"/>
      <c r="C1424" s="1032" t="s">
        <v>1026</v>
      </c>
      <c r="D1424" s="598" t="s">
        <v>2403</v>
      </c>
      <c r="E1424" s="697">
        <v>285000</v>
      </c>
      <c r="F1424" s="698">
        <v>96534</v>
      </c>
      <c r="G1424" s="1002"/>
      <c r="H1424" s="705"/>
      <c r="I1424" s="705"/>
      <c r="J1424" s="543"/>
    </row>
    <row r="1425" spans="1:10" s="400" customFormat="1" ht="12.75">
      <c r="A1425" s="648" t="s">
        <v>2405</v>
      </c>
      <c r="B1425" s="1059"/>
      <c r="C1425" s="1073" t="s">
        <v>1026</v>
      </c>
      <c r="D1425" s="600" t="s">
        <v>2406</v>
      </c>
      <c r="E1425" s="770">
        <v>280000</v>
      </c>
      <c r="F1425" s="771">
        <v>94848</v>
      </c>
      <c r="G1425" s="1002"/>
      <c r="H1425" s="705"/>
      <c r="I1425" s="705"/>
      <c r="J1425" s="543"/>
    </row>
    <row r="1426" spans="1:10" s="400" customFormat="1" ht="12.75">
      <c r="A1426" s="648" t="s">
        <v>2407</v>
      </c>
      <c r="B1426" s="1228"/>
      <c r="C1426" s="1229" t="s">
        <v>1026</v>
      </c>
      <c r="D1426" s="1230" t="s">
        <v>2408</v>
      </c>
      <c r="E1426" s="1231">
        <v>160020</v>
      </c>
      <c r="F1426" s="1232">
        <v>131873</v>
      </c>
      <c r="G1426" s="1002"/>
      <c r="H1426" s="705"/>
      <c r="I1426" s="705"/>
      <c r="J1426" s="543"/>
    </row>
    <row r="1427" spans="1:10" s="400" customFormat="1" ht="12.75">
      <c r="A1427" s="648" t="s">
        <v>2409</v>
      </c>
      <c r="B1427" s="1233"/>
      <c r="C1427" s="1234" t="s">
        <v>1026</v>
      </c>
      <c r="D1427" s="1235" t="s">
        <v>2408</v>
      </c>
      <c r="E1427" s="1236">
        <v>160020</v>
      </c>
      <c r="F1427" s="1237">
        <v>131873</v>
      </c>
      <c r="G1427" s="1002"/>
      <c r="H1427" s="705"/>
      <c r="I1427" s="705"/>
      <c r="J1427" s="543"/>
    </row>
    <row r="1428" spans="1:10" s="400" customFormat="1" ht="12.75">
      <c r="A1428" s="648" t="s">
        <v>2410</v>
      </c>
      <c r="B1428" s="1059"/>
      <c r="C1428" s="1073" t="s">
        <v>1026</v>
      </c>
      <c r="D1428" s="600" t="s">
        <v>2411</v>
      </c>
      <c r="E1428" s="770">
        <v>108000</v>
      </c>
      <c r="F1428" s="771">
        <v>36548</v>
      </c>
      <c r="G1428" s="1002"/>
      <c r="H1428" s="705"/>
      <c r="I1428" s="705"/>
      <c r="J1428" s="543"/>
    </row>
    <row r="1429" spans="1:10" s="400" customFormat="1" ht="12.75">
      <c r="A1429" s="648" t="s">
        <v>2412</v>
      </c>
      <c r="B1429" s="1059"/>
      <c r="C1429" s="1073" t="s">
        <v>1026</v>
      </c>
      <c r="D1429" s="600" t="s">
        <v>0</v>
      </c>
      <c r="E1429" s="770">
        <v>330581</v>
      </c>
      <c r="F1429" s="771">
        <v>294466</v>
      </c>
      <c r="G1429" s="1002"/>
      <c r="H1429" s="705"/>
      <c r="I1429" s="705"/>
      <c r="J1429" s="543"/>
    </row>
    <row r="1430" spans="1:13" ht="13.5" thickBot="1">
      <c r="A1430" s="648" t="s">
        <v>1</v>
      </c>
      <c r="B1430" s="630">
        <v>1311238</v>
      </c>
      <c r="C1430" s="661" t="s">
        <v>1517</v>
      </c>
      <c r="D1430" s="597" t="s">
        <v>2</v>
      </c>
      <c r="E1430" s="748">
        <v>363156</v>
      </c>
      <c r="F1430" s="1238">
        <v>77744</v>
      </c>
      <c r="J1430" s="543"/>
      <c r="K1430"/>
      <c r="L1430"/>
      <c r="M1430"/>
    </row>
    <row r="1431" spans="1:10" s="752" customFormat="1" ht="48.75" thickBot="1">
      <c r="A1431" s="605" t="s">
        <v>4597</v>
      </c>
      <c r="B1431" s="606" t="s">
        <v>4601</v>
      </c>
      <c r="C1431" s="1008" t="s">
        <v>4602</v>
      </c>
      <c r="D1431" s="606" t="s">
        <v>4603</v>
      </c>
      <c r="E1431" s="738" t="s">
        <v>4604</v>
      </c>
      <c r="F1431" s="739" t="s">
        <v>4605</v>
      </c>
      <c r="G1431" s="1127"/>
      <c r="H1431" s="1128"/>
      <c r="I1431" s="1128"/>
      <c r="J1431" s="666"/>
    </row>
    <row r="1432" spans="1:13" ht="12.75">
      <c r="A1432" s="648" t="s">
        <v>3</v>
      </c>
      <c r="B1432" s="630"/>
      <c r="C1432" s="661" t="s">
        <v>1517</v>
      </c>
      <c r="D1432" s="597" t="s">
        <v>4</v>
      </c>
      <c r="E1432" s="748">
        <v>373763</v>
      </c>
      <c r="F1432" s="1238">
        <v>92925</v>
      </c>
      <c r="J1432" s="543"/>
      <c r="K1432"/>
      <c r="L1432"/>
      <c r="M1432"/>
    </row>
    <row r="1433" spans="1:13" ht="25.5">
      <c r="A1433" s="648" t="s">
        <v>5</v>
      </c>
      <c r="B1433" s="630"/>
      <c r="C1433" s="661" t="s">
        <v>1517</v>
      </c>
      <c r="D1433" s="597" t="s">
        <v>6</v>
      </c>
      <c r="E1433" s="748">
        <v>67996</v>
      </c>
      <c r="F1433" s="1238">
        <v>16631</v>
      </c>
      <c r="J1433" s="543"/>
      <c r="K1433"/>
      <c r="L1433"/>
      <c r="M1433"/>
    </row>
    <row r="1434" spans="1:13" ht="12.75">
      <c r="A1434" s="648" t="s">
        <v>7</v>
      </c>
      <c r="B1434" s="630"/>
      <c r="C1434" s="661" t="s">
        <v>1517</v>
      </c>
      <c r="D1434" s="597" t="s">
        <v>8</v>
      </c>
      <c r="E1434" s="748">
        <v>184000</v>
      </c>
      <c r="F1434" s="1238">
        <v>76072</v>
      </c>
      <c r="J1434" s="543"/>
      <c r="K1434"/>
      <c r="L1434"/>
      <c r="M1434"/>
    </row>
    <row r="1435" spans="1:13" ht="12.75">
      <c r="A1435" s="648" t="s">
        <v>9</v>
      </c>
      <c r="B1435" s="630"/>
      <c r="C1435" s="661" t="s">
        <v>1517</v>
      </c>
      <c r="D1435" s="675" t="s">
        <v>10</v>
      </c>
      <c r="E1435" s="748">
        <v>115000</v>
      </c>
      <c r="F1435" s="1238">
        <v>114041</v>
      </c>
      <c r="J1435" s="543"/>
      <c r="K1435"/>
      <c r="L1435"/>
      <c r="M1435"/>
    </row>
    <row r="1436" spans="1:13" ht="25.5">
      <c r="A1436" s="648" t="s">
        <v>11</v>
      </c>
      <c r="B1436" s="630"/>
      <c r="C1436" s="661" t="s">
        <v>1517</v>
      </c>
      <c r="D1436" s="675" t="s">
        <v>12</v>
      </c>
      <c r="E1436" s="748">
        <v>130000</v>
      </c>
      <c r="F1436" s="1238">
        <v>128915</v>
      </c>
      <c r="J1436" s="543"/>
      <c r="K1436"/>
      <c r="L1436"/>
      <c r="M1436"/>
    </row>
    <row r="1437" spans="1:9" s="694" customFormat="1" ht="13.5" thickBot="1">
      <c r="A1437" s="1239"/>
      <c r="B1437" s="1240">
        <v>1311236</v>
      </c>
      <c r="C1437" s="1241" t="s">
        <v>757</v>
      </c>
      <c r="D1437" s="1242" t="s">
        <v>1499</v>
      </c>
      <c r="E1437" s="1243">
        <f>SUM(E1360:E1436)</f>
        <v>40142108</v>
      </c>
      <c r="F1437" s="1244">
        <f>SUM(F1360:F1436)</f>
        <v>26242517</v>
      </c>
      <c r="G1437" s="1047"/>
      <c r="H1437" s="708"/>
      <c r="I1437" s="708"/>
    </row>
    <row r="1438" spans="1:9" s="543" customFormat="1" ht="13.5" thickBot="1">
      <c r="A1438" s="2254" t="s">
        <v>3301</v>
      </c>
      <c r="B1438" s="2248"/>
      <c r="C1438" s="2248"/>
      <c r="D1438" s="2248"/>
      <c r="E1438" s="1245"/>
      <c r="F1438" s="1246"/>
      <c r="G1438" s="1002"/>
      <c r="H1438" s="705"/>
      <c r="I1438" s="705"/>
    </row>
    <row r="1439" spans="1:9" s="543" customFormat="1" ht="13.5" thickBot="1">
      <c r="A1439" s="808" t="s">
        <v>13</v>
      </c>
      <c r="B1439" s="819">
        <v>131132</v>
      </c>
      <c r="C1439" s="1091" t="s">
        <v>1077</v>
      </c>
      <c r="D1439" s="775" t="s">
        <v>3302</v>
      </c>
      <c r="E1439" s="1247">
        <v>99000</v>
      </c>
      <c r="F1439" s="1248">
        <v>99000</v>
      </c>
      <c r="G1439" s="1002"/>
      <c r="H1439" s="705"/>
      <c r="I1439" s="705"/>
    </row>
    <row r="1440" spans="1:9" s="543" customFormat="1" ht="12.75">
      <c r="A1440" s="687" t="s">
        <v>14</v>
      </c>
      <c r="B1440" s="819">
        <v>131132</v>
      </c>
      <c r="C1440" s="1087" t="s">
        <v>1077</v>
      </c>
      <c r="D1440" s="776" t="s">
        <v>3303</v>
      </c>
      <c r="E1440" s="1249">
        <v>60000</v>
      </c>
      <c r="F1440" s="1250">
        <v>60000</v>
      </c>
      <c r="G1440" s="1002"/>
      <c r="H1440" s="705"/>
      <c r="I1440" s="705"/>
    </row>
    <row r="1441" spans="1:9" s="543" customFormat="1" ht="12.75">
      <c r="A1441" s="687" t="s">
        <v>15</v>
      </c>
      <c r="B1441" s="1014"/>
      <c r="C1441" s="1088" t="s">
        <v>1077</v>
      </c>
      <c r="D1441" s="597" t="s">
        <v>3304</v>
      </c>
      <c r="E1441" s="697">
        <v>300000</v>
      </c>
      <c r="F1441" s="698">
        <v>300000</v>
      </c>
      <c r="G1441" s="1002"/>
      <c r="H1441" s="705"/>
      <c r="I1441" s="705"/>
    </row>
    <row r="1442" spans="1:9" s="543" customFormat="1" ht="12.75">
      <c r="A1442" s="687" t="s">
        <v>16</v>
      </c>
      <c r="B1442" s="1186"/>
      <c r="C1442" s="1088" t="s">
        <v>1077</v>
      </c>
      <c r="D1442" s="673" t="s">
        <v>3305</v>
      </c>
      <c r="E1442" s="1058">
        <v>153677</v>
      </c>
      <c r="F1442" s="1075">
        <v>153677</v>
      </c>
      <c r="G1442" s="1002"/>
      <c r="H1442" s="705"/>
      <c r="I1442" s="705"/>
    </row>
    <row r="1443" spans="1:9" s="543" customFormat="1" ht="12.75">
      <c r="A1443" s="687" t="s">
        <v>17</v>
      </c>
      <c r="B1443" s="631"/>
      <c r="C1443" s="1129" t="s">
        <v>1077</v>
      </c>
      <c r="D1443" s="599" t="s">
        <v>3306</v>
      </c>
      <c r="E1443" s="770">
        <v>800000</v>
      </c>
      <c r="F1443" s="771">
        <v>800000</v>
      </c>
      <c r="G1443" s="1002"/>
      <c r="H1443" s="705"/>
      <c r="I1443" s="705"/>
    </row>
    <row r="1444" spans="1:9" s="543" customFormat="1" ht="12.75">
      <c r="A1444" s="687" t="s">
        <v>18</v>
      </c>
      <c r="B1444" s="630">
        <v>131132</v>
      </c>
      <c r="C1444" s="1088" t="s">
        <v>1077</v>
      </c>
      <c r="D1444" s="597" t="s">
        <v>3307</v>
      </c>
      <c r="E1444" s="697">
        <v>60000</v>
      </c>
      <c r="F1444" s="698">
        <v>60000</v>
      </c>
      <c r="G1444" s="1002"/>
      <c r="H1444" s="705"/>
      <c r="I1444" s="705"/>
    </row>
    <row r="1445" spans="1:9" s="543" customFormat="1" ht="12.75">
      <c r="A1445" s="687" t="s">
        <v>19</v>
      </c>
      <c r="B1445" s="1014"/>
      <c r="C1445" s="1091" t="s">
        <v>1077</v>
      </c>
      <c r="D1445" s="673" t="s">
        <v>3308</v>
      </c>
      <c r="E1445" s="1058">
        <v>110000</v>
      </c>
      <c r="F1445" s="1075">
        <v>110000</v>
      </c>
      <c r="G1445" s="1002"/>
      <c r="H1445" s="705"/>
      <c r="I1445" s="705"/>
    </row>
    <row r="1446" spans="1:9" s="543" customFormat="1" ht="12.75">
      <c r="A1446" s="687" t="s">
        <v>20</v>
      </c>
      <c r="B1446" s="630"/>
      <c r="C1446" s="1088" t="s">
        <v>1077</v>
      </c>
      <c r="D1446" s="597" t="s">
        <v>3309</v>
      </c>
      <c r="E1446" s="697">
        <v>400000</v>
      </c>
      <c r="F1446" s="698">
        <v>400000</v>
      </c>
      <c r="G1446" s="1002"/>
      <c r="H1446" s="705"/>
      <c r="I1446" s="705"/>
    </row>
    <row r="1447" spans="1:9" s="543" customFormat="1" ht="25.5">
      <c r="A1447" s="687" t="s">
        <v>21</v>
      </c>
      <c r="B1447" s="630"/>
      <c r="C1447" s="1088" t="s">
        <v>1077</v>
      </c>
      <c r="D1447" s="597" t="s">
        <v>3310</v>
      </c>
      <c r="E1447" s="697">
        <v>400000</v>
      </c>
      <c r="F1447" s="698">
        <v>400000</v>
      </c>
      <c r="G1447" s="1002"/>
      <c r="H1447" s="705"/>
      <c r="I1447" s="705"/>
    </row>
    <row r="1448" spans="1:9" s="543" customFormat="1" ht="12.75">
      <c r="A1448" s="687" t="s">
        <v>22</v>
      </c>
      <c r="B1448" s="630"/>
      <c r="C1448" s="1088" t="s">
        <v>1077</v>
      </c>
      <c r="D1448" s="597" t="s">
        <v>3311</v>
      </c>
      <c r="E1448" s="697">
        <v>200000</v>
      </c>
      <c r="F1448" s="698">
        <v>200000</v>
      </c>
      <c r="G1448" s="1002"/>
      <c r="H1448" s="705"/>
      <c r="I1448" s="705"/>
    </row>
    <row r="1449" spans="1:9" s="543" customFormat="1" ht="12.75">
      <c r="A1449" s="687" t="s">
        <v>23</v>
      </c>
      <c r="B1449" s="630"/>
      <c r="C1449" s="1088" t="s">
        <v>1077</v>
      </c>
      <c r="D1449" s="597" t="s">
        <v>3312</v>
      </c>
      <c r="E1449" s="697">
        <v>300000</v>
      </c>
      <c r="F1449" s="698">
        <v>300000</v>
      </c>
      <c r="G1449" s="1002"/>
      <c r="H1449" s="705"/>
      <c r="I1449" s="705"/>
    </row>
    <row r="1450" spans="1:9" s="543" customFormat="1" ht="12.75">
      <c r="A1450" s="687" t="s">
        <v>24</v>
      </c>
      <c r="B1450" s="631"/>
      <c r="C1450" s="1129" t="s">
        <v>1077</v>
      </c>
      <c r="D1450" s="599" t="s">
        <v>3313</v>
      </c>
      <c r="E1450" s="770">
        <v>90500</v>
      </c>
      <c r="F1450" s="771">
        <v>90500</v>
      </c>
      <c r="G1450" s="1002"/>
      <c r="H1450" s="705"/>
      <c r="I1450" s="705"/>
    </row>
    <row r="1451" spans="1:9" s="543" customFormat="1" ht="13.5" thickBot="1">
      <c r="A1451" s="1251" t="s">
        <v>25</v>
      </c>
      <c r="B1451" s="633"/>
      <c r="C1451" s="1147" t="s">
        <v>1077</v>
      </c>
      <c r="D1451" s="728" t="s">
        <v>3314</v>
      </c>
      <c r="E1451" s="1079">
        <v>143000</v>
      </c>
      <c r="F1451" s="790">
        <v>143000</v>
      </c>
      <c r="G1451" s="1002"/>
      <c r="H1451" s="705"/>
      <c r="I1451" s="705"/>
    </row>
    <row r="1452" spans="1:9" s="543" customFormat="1" ht="13.5" thickBot="1">
      <c r="A1452" s="613"/>
      <c r="B1452" s="1124">
        <f>B1444</f>
        <v>131132</v>
      </c>
      <c r="C1452" s="664" t="s">
        <v>3315</v>
      </c>
      <c r="D1452" s="601" t="s">
        <v>1499</v>
      </c>
      <c r="E1452" s="773">
        <f>SUM(E1439:E1451)</f>
        <v>3116177</v>
      </c>
      <c r="F1452" s="774">
        <f>SUM(F1439:F1451)</f>
        <v>3116177</v>
      </c>
      <c r="G1452" s="1002"/>
      <c r="H1452" s="705"/>
      <c r="I1452" s="705"/>
    </row>
    <row r="1453" spans="1:9" s="543" customFormat="1" ht="13.5" thickBot="1">
      <c r="A1453" s="2255" t="s">
        <v>3316</v>
      </c>
      <c r="B1453" s="2255"/>
      <c r="C1453" s="2255"/>
      <c r="D1453" s="2255"/>
      <c r="E1453" s="2255"/>
      <c r="F1453" s="2255"/>
      <c r="G1453" s="1002"/>
      <c r="H1453" s="705"/>
      <c r="I1453" s="705"/>
    </row>
    <row r="1454" spans="1:9" s="543" customFormat="1" ht="13.5" thickBot="1">
      <c r="A1454" s="648" t="s">
        <v>1949</v>
      </c>
      <c r="B1454" s="630">
        <v>131133</v>
      </c>
      <c r="C1454" s="1087" t="s">
        <v>1077</v>
      </c>
      <c r="D1454" s="598" t="s">
        <v>3317</v>
      </c>
      <c r="E1454" s="697">
        <v>1000000</v>
      </c>
      <c r="F1454" s="698">
        <v>1000000</v>
      </c>
      <c r="G1454" s="1002"/>
      <c r="H1454" s="705"/>
      <c r="I1454" s="705"/>
    </row>
    <row r="1455" spans="1:9" s="543" customFormat="1" ht="13.5" thickBot="1">
      <c r="A1455" s="613"/>
      <c r="B1455" s="1124">
        <v>131133</v>
      </c>
      <c r="C1455" s="664" t="s">
        <v>757</v>
      </c>
      <c r="D1455" s="601" t="s">
        <v>1499</v>
      </c>
      <c r="E1455" s="773">
        <f>SUM(E1454)</f>
        <v>1000000</v>
      </c>
      <c r="F1455" s="774">
        <f>F1454</f>
        <v>1000000</v>
      </c>
      <c r="G1455" s="1002"/>
      <c r="H1455" s="705"/>
      <c r="I1455" s="705"/>
    </row>
    <row r="1456" spans="1:9" s="543" customFormat="1" ht="13.5" thickBot="1">
      <c r="A1456" s="2220" t="s">
        <v>3318</v>
      </c>
      <c r="B1456" s="2221"/>
      <c r="C1456" s="2221"/>
      <c r="D1456" s="2221"/>
      <c r="E1456" s="2221"/>
      <c r="F1456" s="2221"/>
      <c r="G1456" s="1002"/>
      <c r="H1456" s="705"/>
      <c r="I1456" s="705"/>
    </row>
    <row r="1457" spans="1:9" s="543" customFormat="1" ht="13.5" thickBot="1">
      <c r="A1457" s="1252" t="s">
        <v>1951</v>
      </c>
      <c r="B1457" s="1124">
        <v>1311436</v>
      </c>
      <c r="C1457" s="1253"/>
      <c r="D1457" s="777" t="s">
        <v>3319</v>
      </c>
      <c r="E1457" s="778">
        <v>210400</v>
      </c>
      <c r="F1457" s="779">
        <v>210400</v>
      </c>
      <c r="G1457" s="1002"/>
      <c r="H1457" s="705"/>
      <c r="I1457" s="705"/>
    </row>
    <row r="1458" spans="1:9" s="543" customFormat="1" ht="13.5" thickBot="1">
      <c r="A1458" s="947"/>
      <c r="B1458" s="1254"/>
      <c r="C1458" s="1255"/>
      <c r="D1458" s="641" t="s">
        <v>1499</v>
      </c>
      <c r="E1458" s="780">
        <v>210400</v>
      </c>
      <c r="F1458" s="1256">
        <v>210400</v>
      </c>
      <c r="G1458" s="1002"/>
      <c r="H1458" s="705"/>
      <c r="I1458" s="705"/>
    </row>
    <row r="1459" spans="1:9" s="543" customFormat="1" ht="12.75">
      <c r="A1459" s="2222" t="s">
        <v>26</v>
      </c>
      <c r="B1459" s="2222"/>
      <c r="C1459" s="2222"/>
      <c r="D1459" s="2222"/>
      <c r="E1459" s="2222"/>
      <c r="F1459" s="2222"/>
      <c r="G1459" s="1002"/>
      <c r="H1459" s="705"/>
      <c r="I1459" s="705"/>
    </row>
    <row r="1460" spans="1:9" s="543" customFormat="1" ht="12.75">
      <c r="A1460" s="648" t="s">
        <v>1953</v>
      </c>
      <c r="B1460" s="781">
        <v>1311913</v>
      </c>
      <c r="C1460" s="1129" t="s">
        <v>1077</v>
      </c>
      <c r="D1460" s="600" t="s">
        <v>3320</v>
      </c>
      <c r="E1460" s="770">
        <v>117649</v>
      </c>
      <c r="F1460" s="760">
        <v>0</v>
      </c>
      <c r="G1460" s="1002"/>
      <c r="H1460" s="705"/>
      <c r="I1460" s="705"/>
    </row>
    <row r="1461" spans="1:9" s="543" customFormat="1" ht="12.75">
      <c r="A1461" s="648" t="s">
        <v>1955</v>
      </c>
      <c r="B1461" s="782"/>
      <c r="C1461" s="1129" t="s">
        <v>1077</v>
      </c>
      <c r="D1461" s="783" t="s">
        <v>3321</v>
      </c>
      <c r="E1461" s="1067">
        <v>208300</v>
      </c>
      <c r="F1461" s="784">
        <v>0</v>
      </c>
      <c r="G1461" s="1002"/>
      <c r="H1461" s="705"/>
      <c r="I1461" s="705"/>
    </row>
    <row r="1462" spans="1:9" s="543" customFormat="1" ht="12.75">
      <c r="A1462" s="648" t="s">
        <v>1958</v>
      </c>
      <c r="B1462" s="782"/>
      <c r="C1462" s="1088" t="s">
        <v>1077</v>
      </c>
      <c r="D1462" s="783" t="s">
        <v>3322</v>
      </c>
      <c r="E1462" s="1067">
        <v>38300</v>
      </c>
      <c r="F1462" s="784">
        <v>0</v>
      </c>
      <c r="G1462" s="1002"/>
      <c r="H1462" s="705"/>
      <c r="I1462" s="705"/>
    </row>
    <row r="1463" spans="1:9" s="543" customFormat="1" ht="12.75">
      <c r="A1463" s="648" t="s">
        <v>1960</v>
      </c>
      <c r="B1463" s="782"/>
      <c r="C1463" s="1088" t="s">
        <v>1077</v>
      </c>
      <c r="D1463" s="783" t="s">
        <v>3323</v>
      </c>
      <c r="E1463" s="1067">
        <v>208806</v>
      </c>
      <c r="F1463" s="784">
        <v>0</v>
      </c>
      <c r="G1463" s="1002"/>
      <c r="H1463" s="705"/>
      <c r="I1463" s="705"/>
    </row>
    <row r="1464" spans="1:9" s="759" customFormat="1" ht="12.75">
      <c r="A1464" s="648" t="s">
        <v>1962</v>
      </c>
      <c r="B1464" s="782"/>
      <c r="C1464" s="1088" t="s">
        <v>1077</v>
      </c>
      <c r="D1464" s="783" t="s">
        <v>3324</v>
      </c>
      <c r="E1464" s="1067">
        <v>95584</v>
      </c>
      <c r="F1464" s="784">
        <v>0</v>
      </c>
      <c r="G1464" s="1206"/>
      <c r="H1464" s="849"/>
      <c r="I1464" s="849"/>
    </row>
    <row r="1465" spans="1:9" s="543" customFormat="1" ht="25.5">
      <c r="A1465" s="648" t="s">
        <v>1964</v>
      </c>
      <c r="B1465" s="782"/>
      <c r="C1465" s="1088" t="s">
        <v>1077</v>
      </c>
      <c r="D1465" s="783" t="s">
        <v>3325</v>
      </c>
      <c r="E1465" s="1067">
        <v>24698</v>
      </c>
      <c r="F1465" s="784">
        <v>0</v>
      </c>
      <c r="G1465" s="1002"/>
      <c r="H1465" s="705"/>
      <c r="I1465" s="705"/>
    </row>
    <row r="1466" spans="1:9" s="543" customFormat="1" ht="12.75">
      <c r="A1466" s="648" t="s">
        <v>1966</v>
      </c>
      <c r="B1466" s="782"/>
      <c r="C1466" s="1088" t="s">
        <v>1077</v>
      </c>
      <c r="D1466" s="783" t="s">
        <v>3323</v>
      </c>
      <c r="E1466" s="1067">
        <v>208806</v>
      </c>
      <c r="F1466" s="784">
        <v>0</v>
      </c>
      <c r="G1466" s="1002"/>
      <c r="H1466" s="705"/>
      <c r="I1466" s="705"/>
    </row>
    <row r="1467" spans="1:9" s="686" customFormat="1" ht="25.5">
      <c r="A1467" s="648" t="s">
        <v>27</v>
      </c>
      <c r="B1467" s="782"/>
      <c r="C1467" s="1088" t="s">
        <v>1077</v>
      </c>
      <c r="D1467" s="783" t="s">
        <v>3326</v>
      </c>
      <c r="E1467" s="1067">
        <v>69900</v>
      </c>
      <c r="F1467" s="784">
        <v>0</v>
      </c>
      <c r="G1467" s="1001"/>
      <c r="H1467" s="817"/>
      <c r="I1467" s="817"/>
    </row>
    <row r="1468" spans="1:9" s="543" customFormat="1" ht="25.5">
      <c r="A1468" s="648" t="s">
        <v>1974</v>
      </c>
      <c r="B1468" s="782"/>
      <c r="C1468" s="1088" t="s">
        <v>1077</v>
      </c>
      <c r="D1468" s="783" t="s">
        <v>3327</v>
      </c>
      <c r="E1468" s="1067">
        <v>69903</v>
      </c>
      <c r="F1468" s="784">
        <v>0</v>
      </c>
      <c r="G1468" s="1002"/>
      <c r="H1468" s="705"/>
      <c r="I1468" s="705"/>
    </row>
    <row r="1469" spans="1:9" s="543" customFormat="1" ht="25.5">
      <c r="A1469" s="648" t="s">
        <v>1979</v>
      </c>
      <c r="B1469" s="782"/>
      <c r="C1469" s="1088" t="s">
        <v>1077</v>
      </c>
      <c r="D1469" s="783" t="s">
        <v>3328</v>
      </c>
      <c r="E1469" s="1067">
        <v>69900</v>
      </c>
      <c r="F1469" s="784">
        <v>0</v>
      </c>
      <c r="G1469" s="1002"/>
      <c r="H1469" s="705"/>
      <c r="I1469" s="705"/>
    </row>
    <row r="1470" spans="1:9" s="543" customFormat="1" ht="29.25" customHeight="1">
      <c r="A1470" s="648" t="s">
        <v>1982</v>
      </c>
      <c r="B1470" s="782"/>
      <c r="C1470" s="1088" t="s">
        <v>1077</v>
      </c>
      <c r="D1470" s="783" t="s">
        <v>3329</v>
      </c>
      <c r="E1470" s="1067">
        <v>69900</v>
      </c>
      <c r="F1470" s="784">
        <v>0</v>
      </c>
      <c r="G1470" s="1002"/>
      <c r="H1470" s="705"/>
      <c r="I1470" s="705"/>
    </row>
    <row r="1471" spans="1:9" s="543" customFormat="1" ht="25.5">
      <c r="A1471" s="648" t="s">
        <v>28</v>
      </c>
      <c r="B1471" s="782"/>
      <c r="C1471" s="1088" t="s">
        <v>1077</v>
      </c>
      <c r="D1471" s="783" t="s">
        <v>3330</v>
      </c>
      <c r="E1471" s="1067">
        <v>299999</v>
      </c>
      <c r="F1471" s="784">
        <v>0</v>
      </c>
      <c r="G1471" s="1002"/>
      <c r="H1471" s="705"/>
      <c r="I1471" s="705"/>
    </row>
    <row r="1472" spans="1:9" s="543" customFormat="1" ht="13.5" customHeight="1">
      <c r="A1472" s="648" t="s">
        <v>1984</v>
      </c>
      <c r="B1472" s="782"/>
      <c r="C1472" s="1088" t="s">
        <v>1077</v>
      </c>
      <c r="D1472" s="783" t="s">
        <v>3331</v>
      </c>
      <c r="E1472" s="1067">
        <v>300000</v>
      </c>
      <c r="F1472" s="784">
        <v>0</v>
      </c>
      <c r="G1472" s="1002"/>
      <c r="H1472" s="705"/>
      <c r="I1472" s="705"/>
    </row>
    <row r="1473" spans="1:9" s="543" customFormat="1" ht="12.75">
      <c r="A1473" s="648" t="s">
        <v>1986</v>
      </c>
      <c r="B1473" s="782"/>
      <c r="C1473" s="1088" t="s">
        <v>1077</v>
      </c>
      <c r="D1473" s="785" t="s">
        <v>3332</v>
      </c>
      <c r="E1473" s="1067">
        <v>300000</v>
      </c>
      <c r="F1473" s="784">
        <v>0</v>
      </c>
      <c r="G1473" s="1002"/>
      <c r="H1473" s="705"/>
      <c r="I1473" s="705"/>
    </row>
    <row r="1474" spans="1:9" s="543" customFormat="1" ht="12.75">
      <c r="A1474" s="648" t="s">
        <v>1988</v>
      </c>
      <c r="B1474" s="782"/>
      <c r="C1474" s="1088" t="s">
        <v>1077</v>
      </c>
      <c r="D1474" s="786" t="s">
        <v>3333</v>
      </c>
      <c r="E1474" s="1067">
        <v>300000</v>
      </c>
      <c r="F1474" s="784">
        <v>0</v>
      </c>
      <c r="G1474" s="1002"/>
      <c r="H1474" s="705"/>
      <c r="I1474" s="705"/>
    </row>
    <row r="1475" spans="1:9" s="543" customFormat="1" ht="12.75">
      <c r="A1475" s="648" t="s">
        <v>1990</v>
      </c>
      <c r="B1475" s="782"/>
      <c r="C1475" s="1088" t="s">
        <v>1077</v>
      </c>
      <c r="D1475" s="786" t="s">
        <v>3334</v>
      </c>
      <c r="E1475" s="1067">
        <v>300000</v>
      </c>
      <c r="F1475" s="784">
        <v>0</v>
      </c>
      <c r="G1475" s="1002"/>
      <c r="H1475" s="705"/>
      <c r="I1475" s="705"/>
    </row>
    <row r="1476" spans="1:9" s="543" customFormat="1" ht="15.75" customHeight="1">
      <c r="A1476" s="648" t="s">
        <v>1992</v>
      </c>
      <c r="B1476" s="782"/>
      <c r="C1476" s="1088" t="s">
        <v>1077</v>
      </c>
      <c r="D1476" s="787" t="s">
        <v>3335</v>
      </c>
      <c r="E1476" s="1067">
        <v>300000</v>
      </c>
      <c r="F1476" s="784">
        <v>0</v>
      </c>
      <c r="G1476" s="1002"/>
      <c r="H1476" s="705"/>
      <c r="I1476" s="705"/>
    </row>
    <row r="1477" spans="1:9" s="543" customFormat="1" ht="25.5">
      <c r="A1477" s="648" t="s">
        <v>1994</v>
      </c>
      <c r="B1477" s="782"/>
      <c r="C1477" s="1088" t="s">
        <v>1077</v>
      </c>
      <c r="D1477" s="787" t="s">
        <v>3336</v>
      </c>
      <c r="E1477" s="1067">
        <v>300000</v>
      </c>
      <c r="F1477" s="784">
        <v>0</v>
      </c>
      <c r="G1477" s="1002"/>
      <c r="H1477" s="705"/>
      <c r="I1477" s="705"/>
    </row>
    <row r="1478" spans="1:9" s="543" customFormat="1" ht="13.5" thickBot="1">
      <c r="A1478" s="648" t="s">
        <v>1996</v>
      </c>
      <c r="B1478" s="782"/>
      <c r="C1478" s="1088" t="s">
        <v>1077</v>
      </c>
      <c r="D1478" s="786" t="s">
        <v>3337</v>
      </c>
      <c r="E1478" s="1067">
        <v>300000</v>
      </c>
      <c r="F1478" s="784">
        <v>0</v>
      </c>
      <c r="G1478" s="1002"/>
      <c r="H1478" s="705"/>
      <c r="I1478" s="705"/>
    </row>
    <row r="1479" spans="1:9" s="543" customFormat="1" ht="48.75" thickBot="1">
      <c r="A1479" s="605" t="s">
        <v>4597</v>
      </c>
      <c r="B1479" s="606" t="s">
        <v>4601</v>
      </c>
      <c r="C1479" s="1008" t="s">
        <v>4602</v>
      </c>
      <c r="D1479" s="606" t="s">
        <v>4603</v>
      </c>
      <c r="E1479" s="738" t="s">
        <v>4604</v>
      </c>
      <c r="F1479" s="739" t="s">
        <v>4605</v>
      </c>
      <c r="G1479" s="1002"/>
      <c r="H1479" s="705"/>
      <c r="I1479" s="705"/>
    </row>
    <row r="1480" spans="1:9" s="543" customFormat="1" ht="12.75">
      <c r="A1480" s="648" t="s">
        <v>2000</v>
      </c>
      <c r="B1480" s="782"/>
      <c r="C1480" s="1088" t="s">
        <v>1077</v>
      </c>
      <c r="D1480" s="786" t="s">
        <v>3338</v>
      </c>
      <c r="E1480" s="1067">
        <v>300000</v>
      </c>
      <c r="F1480" s="784">
        <v>0</v>
      </c>
      <c r="G1480" s="1002"/>
      <c r="H1480" s="705"/>
      <c r="I1480" s="705"/>
    </row>
    <row r="1481" spans="1:9" s="543" customFormat="1" ht="12.75">
      <c r="A1481" s="648" t="s">
        <v>2003</v>
      </c>
      <c r="B1481" s="782"/>
      <c r="C1481" s="1091" t="s">
        <v>1077</v>
      </c>
      <c r="D1481" s="783" t="s">
        <v>3339</v>
      </c>
      <c r="E1481" s="1067">
        <v>62488</v>
      </c>
      <c r="F1481" s="784">
        <v>0</v>
      </c>
      <c r="G1481" s="1002"/>
      <c r="H1481" s="705"/>
      <c r="I1481" s="705"/>
    </row>
    <row r="1482" spans="1:9" s="543" customFormat="1" ht="12.75">
      <c r="A1482" s="648" t="s">
        <v>2007</v>
      </c>
      <c r="B1482" s="630"/>
      <c r="C1482" s="1088" t="s">
        <v>1077</v>
      </c>
      <c r="D1482" s="598" t="s">
        <v>3340</v>
      </c>
      <c r="E1482" s="697">
        <v>229463</v>
      </c>
      <c r="F1482" s="788">
        <v>0</v>
      </c>
      <c r="G1482" s="1002"/>
      <c r="H1482" s="705"/>
      <c r="I1482" s="705"/>
    </row>
    <row r="1483" spans="1:9" s="543" customFormat="1" ht="12.75" customHeight="1">
      <c r="A1483" s="648" t="s">
        <v>2010</v>
      </c>
      <c r="B1483" s="630"/>
      <c r="C1483" s="1088" t="s">
        <v>1077</v>
      </c>
      <c r="D1483" s="598" t="s">
        <v>3341</v>
      </c>
      <c r="E1483" s="697">
        <v>229462</v>
      </c>
      <c r="F1483" s="788">
        <v>0</v>
      </c>
      <c r="G1483" s="1002"/>
      <c r="H1483" s="705"/>
      <c r="I1483" s="705"/>
    </row>
    <row r="1484" spans="1:9" s="543" customFormat="1" ht="25.5">
      <c r="A1484" s="648" t="s">
        <v>2017</v>
      </c>
      <c r="B1484" s="630"/>
      <c r="C1484" s="1088" t="s">
        <v>1077</v>
      </c>
      <c r="D1484" s="598" t="s">
        <v>3342</v>
      </c>
      <c r="E1484" s="697">
        <v>229463</v>
      </c>
      <c r="F1484" s="788">
        <v>0</v>
      </c>
      <c r="G1484" s="1002"/>
      <c r="H1484" s="705"/>
      <c r="I1484" s="705"/>
    </row>
    <row r="1485" spans="1:9" s="543" customFormat="1" ht="12.75">
      <c r="A1485" s="648" t="s">
        <v>2020</v>
      </c>
      <c r="B1485" s="630"/>
      <c r="C1485" s="1088" t="s">
        <v>1077</v>
      </c>
      <c r="D1485" s="598" t="s">
        <v>3343</v>
      </c>
      <c r="E1485" s="697">
        <v>66550</v>
      </c>
      <c r="F1485" s="788">
        <v>0</v>
      </c>
      <c r="G1485" s="1002"/>
      <c r="H1485" s="705"/>
      <c r="I1485" s="705"/>
    </row>
    <row r="1486" spans="1:9" s="543" customFormat="1" ht="25.5">
      <c r="A1486" s="648" t="s">
        <v>2025</v>
      </c>
      <c r="B1486" s="630"/>
      <c r="C1486" s="1088" t="s">
        <v>1077</v>
      </c>
      <c r="D1486" s="598" t="s">
        <v>3344</v>
      </c>
      <c r="E1486" s="697">
        <v>66550</v>
      </c>
      <c r="F1486" s="788">
        <v>0</v>
      </c>
      <c r="G1486" s="1002"/>
      <c r="H1486" s="705"/>
      <c r="I1486" s="705"/>
    </row>
    <row r="1487" spans="1:9" s="543" customFormat="1" ht="25.5">
      <c r="A1487" s="648" t="s">
        <v>2029</v>
      </c>
      <c r="B1487" s="630"/>
      <c r="C1487" s="1088" t="s">
        <v>1077</v>
      </c>
      <c r="D1487" s="598" t="s">
        <v>3345</v>
      </c>
      <c r="E1487" s="697">
        <v>66550</v>
      </c>
      <c r="F1487" s="788">
        <v>0</v>
      </c>
      <c r="G1487" s="1002"/>
      <c r="H1487" s="705"/>
      <c r="I1487" s="705"/>
    </row>
    <row r="1488" spans="1:9" s="543" customFormat="1" ht="12.75">
      <c r="A1488" s="648" t="s">
        <v>4251</v>
      </c>
      <c r="B1488" s="630"/>
      <c r="C1488" s="1088" t="s">
        <v>1077</v>
      </c>
      <c r="D1488" s="598" t="s">
        <v>3346</v>
      </c>
      <c r="E1488" s="697">
        <v>66550</v>
      </c>
      <c r="F1488" s="788">
        <v>0</v>
      </c>
      <c r="G1488" s="1002"/>
      <c r="H1488" s="705"/>
      <c r="I1488" s="705"/>
    </row>
    <row r="1489" spans="1:9" s="543" customFormat="1" ht="25.5">
      <c r="A1489" s="648" t="s">
        <v>4257</v>
      </c>
      <c r="B1489" s="630"/>
      <c r="C1489" s="1088" t="s">
        <v>1077</v>
      </c>
      <c r="D1489" s="598" t="s">
        <v>3347</v>
      </c>
      <c r="E1489" s="697">
        <v>66550</v>
      </c>
      <c r="F1489" s="788">
        <v>0</v>
      </c>
      <c r="G1489" s="1002"/>
      <c r="H1489" s="705"/>
      <c r="I1489" s="705"/>
    </row>
    <row r="1490" spans="1:9" s="543" customFormat="1" ht="25.5">
      <c r="A1490" s="648" t="s">
        <v>4260</v>
      </c>
      <c r="B1490" s="630"/>
      <c r="C1490" s="1088" t="s">
        <v>1077</v>
      </c>
      <c r="D1490" s="598" t="s">
        <v>3348</v>
      </c>
      <c r="E1490" s="697">
        <v>66550</v>
      </c>
      <c r="F1490" s="788">
        <v>0</v>
      </c>
      <c r="G1490" s="1002"/>
      <c r="H1490" s="705"/>
      <c r="I1490" s="705"/>
    </row>
    <row r="1491" spans="1:9" s="543" customFormat="1" ht="15.75" customHeight="1">
      <c r="A1491" s="648" t="s">
        <v>29</v>
      </c>
      <c r="B1491" s="630"/>
      <c r="C1491" s="1088" t="s">
        <v>1077</v>
      </c>
      <c r="D1491" s="789" t="s">
        <v>3349</v>
      </c>
      <c r="E1491" s="697">
        <v>1678116</v>
      </c>
      <c r="F1491" s="698">
        <v>0</v>
      </c>
      <c r="G1491" s="1002"/>
      <c r="H1491" s="705"/>
      <c r="I1491" s="705"/>
    </row>
    <row r="1492" spans="1:9" s="543" customFormat="1" ht="25.5">
      <c r="A1492" s="648" t="s">
        <v>30</v>
      </c>
      <c r="B1492" s="630"/>
      <c r="C1492" s="1088" t="s">
        <v>1077</v>
      </c>
      <c r="D1492" s="789" t="s">
        <v>3350</v>
      </c>
      <c r="E1492" s="697">
        <v>203097</v>
      </c>
      <c r="F1492" s="698">
        <v>0</v>
      </c>
      <c r="G1492" s="1002"/>
      <c r="H1492" s="705"/>
      <c r="I1492" s="705"/>
    </row>
    <row r="1493" spans="1:9" s="543" customFormat="1" ht="12.75">
      <c r="A1493" s="648" t="s">
        <v>31</v>
      </c>
      <c r="B1493" s="630"/>
      <c r="C1493" s="1088" t="s">
        <v>1077</v>
      </c>
      <c r="D1493" s="789" t="s">
        <v>3351</v>
      </c>
      <c r="E1493" s="697">
        <v>203097</v>
      </c>
      <c r="F1493" s="698">
        <v>0</v>
      </c>
      <c r="G1493" s="1002"/>
      <c r="H1493" s="705"/>
      <c r="I1493" s="705"/>
    </row>
    <row r="1494" spans="1:9" s="543" customFormat="1" ht="12.75">
      <c r="A1494" s="648" t="s">
        <v>32</v>
      </c>
      <c r="B1494" s="630"/>
      <c r="C1494" s="1088" t="s">
        <v>1077</v>
      </c>
      <c r="D1494" s="789" t="s">
        <v>3352</v>
      </c>
      <c r="E1494" s="697">
        <v>203097</v>
      </c>
      <c r="F1494" s="698">
        <v>0</v>
      </c>
      <c r="G1494" s="1002"/>
      <c r="H1494" s="705"/>
      <c r="I1494" s="705"/>
    </row>
    <row r="1495" spans="1:9" s="543" customFormat="1" ht="12.75">
      <c r="A1495" s="648" t="s">
        <v>33</v>
      </c>
      <c r="B1495" s="630"/>
      <c r="C1495" s="1088" t="s">
        <v>1077</v>
      </c>
      <c r="D1495" s="789" t="s">
        <v>3353</v>
      </c>
      <c r="E1495" s="697">
        <v>203097</v>
      </c>
      <c r="F1495" s="698">
        <v>0</v>
      </c>
      <c r="G1495" s="1002"/>
      <c r="H1495" s="705"/>
      <c r="I1495" s="705"/>
    </row>
    <row r="1496" spans="1:9" s="543" customFormat="1" ht="12.75">
      <c r="A1496" s="648" t="s">
        <v>34</v>
      </c>
      <c r="B1496" s="630"/>
      <c r="C1496" s="1088" t="s">
        <v>1077</v>
      </c>
      <c r="D1496" s="789" t="s">
        <v>4279</v>
      </c>
      <c r="E1496" s="697">
        <v>203098</v>
      </c>
      <c r="F1496" s="698">
        <v>0</v>
      </c>
      <c r="G1496" s="1002"/>
      <c r="H1496" s="705"/>
      <c r="I1496" s="705"/>
    </row>
    <row r="1497" spans="1:9" s="543" customFormat="1" ht="12.75">
      <c r="A1497" s="648" t="s">
        <v>35</v>
      </c>
      <c r="B1497" s="630"/>
      <c r="C1497" s="1088" t="s">
        <v>1077</v>
      </c>
      <c r="D1497" s="789" t="s">
        <v>4280</v>
      </c>
      <c r="E1497" s="697">
        <v>203098</v>
      </c>
      <c r="F1497" s="698">
        <v>0</v>
      </c>
      <c r="G1497" s="1002"/>
      <c r="H1497" s="705"/>
      <c r="I1497" s="705"/>
    </row>
    <row r="1498" spans="1:9" s="543" customFormat="1" ht="12.75">
      <c r="A1498" s="648" t="s">
        <v>36</v>
      </c>
      <c r="B1498" s="630"/>
      <c r="C1498" s="1088" t="s">
        <v>1077</v>
      </c>
      <c r="D1498" s="789" t="s">
        <v>4281</v>
      </c>
      <c r="E1498" s="697">
        <v>203098</v>
      </c>
      <c r="F1498" s="698">
        <v>0</v>
      </c>
      <c r="G1498" s="1002"/>
      <c r="H1498" s="705"/>
      <c r="I1498" s="705"/>
    </row>
    <row r="1499" spans="1:9" s="543" customFormat="1" ht="12.75">
      <c r="A1499" s="648" t="s">
        <v>37</v>
      </c>
      <c r="B1499" s="630"/>
      <c r="C1499" s="1088" t="s">
        <v>1077</v>
      </c>
      <c r="D1499" s="789" t="s">
        <v>4282</v>
      </c>
      <c r="E1499" s="697">
        <v>203098</v>
      </c>
      <c r="F1499" s="698">
        <v>0</v>
      </c>
      <c r="G1499" s="1002"/>
      <c r="H1499" s="705"/>
      <c r="I1499" s="705"/>
    </row>
    <row r="1500" spans="1:9" s="543" customFormat="1" ht="12.75">
      <c r="A1500" s="648" t="s">
        <v>38</v>
      </c>
      <c r="B1500" s="630"/>
      <c r="C1500" s="1088" t="s">
        <v>1077</v>
      </c>
      <c r="D1500" s="789" t="s">
        <v>4283</v>
      </c>
      <c r="E1500" s="697">
        <v>203097</v>
      </c>
      <c r="F1500" s="698">
        <v>0</v>
      </c>
      <c r="G1500" s="1002"/>
      <c r="H1500" s="705"/>
      <c r="I1500" s="705"/>
    </row>
    <row r="1501" spans="1:9" s="543" customFormat="1" ht="25.5">
      <c r="A1501" s="648" t="s">
        <v>39</v>
      </c>
      <c r="B1501" s="630"/>
      <c r="C1501" s="1088" t="s">
        <v>1077</v>
      </c>
      <c r="D1501" s="789" t="s">
        <v>4284</v>
      </c>
      <c r="E1501" s="697">
        <v>128270</v>
      </c>
      <c r="F1501" s="698">
        <v>0</v>
      </c>
      <c r="G1501" s="1002"/>
      <c r="H1501" s="705"/>
      <c r="I1501" s="705"/>
    </row>
    <row r="1502" spans="1:9" s="543" customFormat="1" ht="12.75">
      <c r="A1502" s="648" t="s">
        <v>40</v>
      </c>
      <c r="B1502" s="630"/>
      <c r="C1502" s="1088" t="s">
        <v>1077</v>
      </c>
      <c r="D1502" s="789" t="s">
        <v>3349</v>
      </c>
      <c r="E1502" s="697">
        <v>828233</v>
      </c>
      <c r="F1502" s="698">
        <v>0</v>
      </c>
      <c r="G1502" s="1002"/>
      <c r="H1502" s="705"/>
      <c r="I1502" s="705"/>
    </row>
    <row r="1503" spans="1:9" s="543" customFormat="1" ht="12.75">
      <c r="A1503" s="648" t="s">
        <v>41</v>
      </c>
      <c r="B1503" s="631"/>
      <c r="C1503" s="1088" t="s">
        <v>1077</v>
      </c>
      <c r="D1503" s="600" t="s">
        <v>4285</v>
      </c>
      <c r="E1503" s="770">
        <v>169500</v>
      </c>
      <c r="F1503" s="760">
        <v>0</v>
      </c>
      <c r="G1503" s="1002"/>
      <c r="H1503" s="705"/>
      <c r="I1503" s="705"/>
    </row>
    <row r="1504" spans="1:9" s="543" customFormat="1" ht="12.75">
      <c r="A1504" s="648" t="s">
        <v>42</v>
      </c>
      <c r="B1504" s="631"/>
      <c r="C1504" s="1088" t="s">
        <v>1077</v>
      </c>
      <c r="D1504" s="600" t="s">
        <v>4286</v>
      </c>
      <c r="E1504" s="770">
        <v>28600</v>
      </c>
      <c r="F1504" s="760">
        <v>0</v>
      </c>
      <c r="G1504" s="1002"/>
      <c r="H1504" s="705"/>
      <c r="I1504" s="705"/>
    </row>
    <row r="1505" spans="1:9" s="543" customFormat="1" ht="12.75">
      <c r="A1505" s="648" t="s">
        <v>43</v>
      </c>
      <c r="B1505" s="631"/>
      <c r="C1505" s="1088" t="s">
        <v>1077</v>
      </c>
      <c r="D1505" s="600" t="s">
        <v>4287</v>
      </c>
      <c r="E1505" s="770">
        <v>92500</v>
      </c>
      <c r="F1505" s="760">
        <v>0</v>
      </c>
      <c r="G1505" s="1002"/>
      <c r="H1505" s="705"/>
      <c r="I1505" s="705"/>
    </row>
    <row r="1506" spans="1:9" s="543" customFormat="1" ht="12.75">
      <c r="A1506" s="648" t="s">
        <v>44</v>
      </c>
      <c r="B1506" s="631"/>
      <c r="C1506" s="1088" t="s">
        <v>1077</v>
      </c>
      <c r="D1506" s="600" t="s">
        <v>4288</v>
      </c>
      <c r="E1506" s="770">
        <v>27500</v>
      </c>
      <c r="F1506" s="760">
        <v>0</v>
      </c>
      <c r="G1506" s="1002"/>
      <c r="H1506" s="705"/>
      <c r="I1506" s="705"/>
    </row>
    <row r="1507" spans="1:9" s="543" customFormat="1" ht="25.5">
      <c r="A1507" s="648" t="s">
        <v>45</v>
      </c>
      <c r="B1507" s="631"/>
      <c r="C1507" s="1088" t="s">
        <v>1077</v>
      </c>
      <c r="D1507" s="600" t="s">
        <v>4289</v>
      </c>
      <c r="E1507" s="770">
        <v>129900</v>
      </c>
      <c r="F1507" s="760">
        <v>0</v>
      </c>
      <c r="G1507" s="1002"/>
      <c r="H1507" s="705"/>
      <c r="I1507" s="705"/>
    </row>
    <row r="1508" spans="1:9" s="543" customFormat="1" ht="25.5">
      <c r="A1508" s="648" t="s">
        <v>46</v>
      </c>
      <c r="B1508" s="631"/>
      <c r="C1508" s="1088" t="s">
        <v>1077</v>
      </c>
      <c r="D1508" s="600" t="s">
        <v>4289</v>
      </c>
      <c r="E1508" s="770">
        <v>129900</v>
      </c>
      <c r="F1508" s="760">
        <v>0</v>
      </c>
      <c r="G1508" s="1002"/>
      <c r="H1508" s="705"/>
      <c r="I1508" s="705"/>
    </row>
    <row r="1509" spans="1:9" s="543" customFormat="1" ht="25.5">
      <c r="A1509" s="648" t="s">
        <v>47</v>
      </c>
      <c r="B1509" s="631"/>
      <c r="C1509" s="1088" t="s">
        <v>1077</v>
      </c>
      <c r="D1509" s="600" t="s">
        <v>4289</v>
      </c>
      <c r="E1509" s="770">
        <v>129900</v>
      </c>
      <c r="F1509" s="760">
        <v>0</v>
      </c>
      <c r="G1509" s="1002"/>
      <c r="H1509" s="705"/>
      <c r="I1509" s="705"/>
    </row>
    <row r="1510" spans="1:9" s="543" customFormat="1" ht="25.5">
      <c r="A1510" s="648" t="s">
        <v>48</v>
      </c>
      <c r="B1510" s="631"/>
      <c r="C1510" s="1088" t="s">
        <v>1077</v>
      </c>
      <c r="D1510" s="600" t="s">
        <v>4290</v>
      </c>
      <c r="E1510" s="770">
        <v>129900</v>
      </c>
      <c r="F1510" s="760">
        <v>0</v>
      </c>
      <c r="G1510" s="1002"/>
      <c r="H1510" s="705"/>
      <c r="I1510" s="705"/>
    </row>
    <row r="1511" spans="1:9" s="543" customFormat="1" ht="25.5">
      <c r="A1511" s="648" t="s">
        <v>49</v>
      </c>
      <c r="B1511" s="631"/>
      <c r="C1511" s="1088" t="s">
        <v>1077</v>
      </c>
      <c r="D1511" s="600" t="s">
        <v>4291</v>
      </c>
      <c r="E1511" s="770">
        <v>120900</v>
      </c>
      <c r="F1511" s="760">
        <v>0</v>
      </c>
      <c r="G1511" s="1002"/>
      <c r="H1511" s="705"/>
      <c r="I1511" s="705"/>
    </row>
    <row r="1512" spans="1:9" s="543" customFormat="1" ht="25.5">
      <c r="A1512" s="648" t="s">
        <v>50</v>
      </c>
      <c r="B1512" s="631"/>
      <c r="C1512" s="1088" t="s">
        <v>1077</v>
      </c>
      <c r="D1512" s="600" t="s">
        <v>4291</v>
      </c>
      <c r="E1512" s="770">
        <v>120900</v>
      </c>
      <c r="F1512" s="760">
        <v>0</v>
      </c>
      <c r="G1512" s="1002"/>
      <c r="H1512" s="705"/>
      <c r="I1512" s="705"/>
    </row>
    <row r="1513" spans="1:9" s="543" customFormat="1" ht="12.75">
      <c r="A1513" s="648" t="s">
        <v>51</v>
      </c>
      <c r="B1513" s="630"/>
      <c r="C1513" s="1088" t="s">
        <v>1077</v>
      </c>
      <c r="D1513" s="789" t="s">
        <v>4292</v>
      </c>
      <c r="E1513" s="697">
        <v>313625</v>
      </c>
      <c r="F1513" s="698">
        <v>0</v>
      </c>
      <c r="G1513" s="1002"/>
      <c r="H1513" s="705"/>
      <c r="I1513" s="705"/>
    </row>
    <row r="1514" spans="1:9" s="543" customFormat="1" ht="12.75">
      <c r="A1514" s="648" t="s">
        <v>52</v>
      </c>
      <c r="B1514" s="630"/>
      <c r="C1514" s="1088" t="s">
        <v>1077</v>
      </c>
      <c r="D1514" s="789" t="s">
        <v>4293</v>
      </c>
      <c r="E1514" s="697">
        <v>120000</v>
      </c>
      <c r="F1514" s="698">
        <v>0</v>
      </c>
      <c r="G1514" s="1002"/>
      <c r="H1514" s="705"/>
      <c r="I1514" s="705"/>
    </row>
    <row r="1515" spans="1:9" s="543" customFormat="1" ht="12.75">
      <c r="A1515" s="648" t="s">
        <v>53</v>
      </c>
      <c r="B1515" s="630"/>
      <c r="C1515" s="1088" t="s">
        <v>1077</v>
      </c>
      <c r="D1515" s="789" t="s">
        <v>4294</v>
      </c>
      <c r="E1515" s="697">
        <v>185625</v>
      </c>
      <c r="F1515" s="698">
        <v>0</v>
      </c>
      <c r="G1515" s="1002"/>
      <c r="H1515" s="705"/>
      <c r="I1515" s="705"/>
    </row>
    <row r="1516" spans="1:9" s="543" customFormat="1" ht="25.5">
      <c r="A1516" s="648" t="s">
        <v>54</v>
      </c>
      <c r="B1516" s="630"/>
      <c r="C1516" s="1088" t="s">
        <v>1077</v>
      </c>
      <c r="D1516" s="789" t="s">
        <v>4295</v>
      </c>
      <c r="E1516" s="697">
        <v>189710</v>
      </c>
      <c r="F1516" s="698">
        <v>0</v>
      </c>
      <c r="G1516" s="1002"/>
      <c r="H1516" s="705"/>
      <c r="I1516" s="705"/>
    </row>
    <row r="1517" spans="1:9" s="543" customFormat="1" ht="25.5">
      <c r="A1517" s="648" t="s">
        <v>55</v>
      </c>
      <c r="B1517" s="630"/>
      <c r="C1517" s="1088" t="s">
        <v>1077</v>
      </c>
      <c r="D1517" s="789" t="s">
        <v>4296</v>
      </c>
      <c r="E1517" s="697">
        <v>69000</v>
      </c>
      <c r="F1517" s="698">
        <v>0</v>
      </c>
      <c r="G1517" s="1002"/>
      <c r="H1517" s="705"/>
      <c r="I1517" s="705"/>
    </row>
    <row r="1518" spans="1:9" s="543" customFormat="1" ht="12.75">
      <c r="A1518" s="648" t="s">
        <v>56</v>
      </c>
      <c r="B1518" s="630"/>
      <c r="C1518" s="1088" t="s">
        <v>1077</v>
      </c>
      <c r="D1518" s="789" t="s">
        <v>4297</v>
      </c>
      <c r="E1518" s="697">
        <v>139090</v>
      </c>
      <c r="F1518" s="698">
        <v>0</v>
      </c>
      <c r="G1518" s="1002"/>
      <c r="H1518" s="705"/>
      <c r="I1518" s="705"/>
    </row>
    <row r="1519" spans="1:9" s="543" customFormat="1" ht="12.75">
      <c r="A1519" s="648" t="s">
        <v>57</v>
      </c>
      <c r="B1519" s="630"/>
      <c r="C1519" s="1088" t="s">
        <v>1077</v>
      </c>
      <c r="D1519" s="789" t="s">
        <v>4298</v>
      </c>
      <c r="E1519" s="697">
        <v>83526</v>
      </c>
      <c r="F1519" s="698">
        <v>0</v>
      </c>
      <c r="G1519" s="1002"/>
      <c r="H1519" s="705"/>
      <c r="I1519" s="705"/>
    </row>
    <row r="1520" spans="1:9" s="543" customFormat="1" ht="12.75">
      <c r="A1520" s="648" t="s">
        <v>58</v>
      </c>
      <c r="B1520" s="630"/>
      <c r="C1520" s="1088" t="s">
        <v>1077</v>
      </c>
      <c r="D1520" s="789" t="s">
        <v>4299</v>
      </c>
      <c r="E1520" s="697">
        <v>83526</v>
      </c>
      <c r="F1520" s="698">
        <v>0</v>
      </c>
      <c r="G1520" s="1002"/>
      <c r="H1520" s="705"/>
      <c r="I1520" s="705"/>
    </row>
    <row r="1521" spans="1:9" s="543" customFormat="1" ht="12.75">
      <c r="A1521" s="648" t="s">
        <v>59</v>
      </c>
      <c r="B1521" s="630"/>
      <c r="C1521" s="1088" t="s">
        <v>1077</v>
      </c>
      <c r="D1521" s="789" t="s">
        <v>4300</v>
      </c>
      <c r="E1521" s="697">
        <v>363732</v>
      </c>
      <c r="F1521" s="698">
        <v>0</v>
      </c>
      <c r="G1521" s="1002"/>
      <c r="H1521" s="705"/>
      <c r="I1521" s="705"/>
    </row>
    <row r="1522" spans="1:9" s="543" customFormat="1" ht="12.75">
      <c r="A1522" s="648" t="s">
        <v>60</v>
      </c>
      <c r="B1522" s="630"/>
      <c r="C1522" s="1088" t="s">
        <v>1077</v>
      </c>
      <c r="D1522" s="789" t="s">
        <v>4300</v>
      </c>
      <c r="E1522" s="697">
        <v>363732</v>
      </c>
      <c r="F1522" s="698">
        <v>0</v>
      </c>
      <c r="G1522" s="1002"/>
      <c r="H1522" s="705"/>
      <c r="I1522" s="705"/>
    </row>
    <row r="1523" spans="1:9" s="543" customFormat="1" ht="12.75">
      <c r="A1523" s="648" t="s">
        <v>61</v>
      </c>
      <c r="B1523" s="630"/>
      <c r="C1523" s="1088" t="s">
        <v>1077</v>
      </c>
      <c r="D1523" s="598" t="s">
        <v>4301</v>
      </c>
      <c r="E1523" s="697">
        <v>38000</v>
      </c>
      <c r="F1523" s="758">
        <v>0</v>
      </c>
      <c r="G1523" s="1002"/>
      <c r="H1523" s="705"/>
      <c r="I1523" s="705"/>
    </row>
    <row r="1524" spans="1:9" s="543" customFormat="1" ht="12.75">
      <c r="A1524" s="648" t="s">
        <v>62</v>
      </c>
      <c r="B1524" s="630"/>
      <c r="C1524" s="1088" t="s">
        <v>1077</v>
      </c>
      <c r="D1524" s="598" t="s">
        <v>4301</v>
      </c>
      <c r="E1524" s="697">
        <v>38000</v>
      </c>
      <c r="F1524" s="758">
        <v>0</v>
      </c>
      <c r="G1524" s="1002"/>
      <c r="H1524" s="705"/>
      <c r="I1524" s="705"/>
    </row>
    <row r="1525" spans="1:9" s="543" customFormat="1" ht="26.25" thickBot="1">
      <c r="A1525" s="648" t="s">
        <v>63</v>
      </c>
      <c r="B1525" s="630"/>
      <c r="C1525" s="1088" t="s">
        <v>1077</v>
      </c>
      <c r="D1525" s="598" t="s">
        <v>4302</v>
      </c>
      <c r="E1525" s="697">
        <v>38000</v>
      </c>
      <c r="F1525" s="758">
        <v>0</v>
      </c>
      <c r="G1525" s="1002"/>
      <c r="H1525" s="705"/>
      <c r="I1525" s="705"/>
    </row>
    <row r="1526" spans="1:9" s="543" customFormat="1" ht="48.75" thickBot="1">
      <c r="A1526" s="605" t="s">
        <v>4597</v>
      </c>
      <c r="B1526" s="606" t="s">
        <v>4601</v>
      </c>
      <c r="C1526" s="1008" t="s">
        <v>4602</v>
      </c>
      <c r="D1526" s="606" t="s">
        <v>4603</v>
      </c>
      <c r="E1526" s="738" t="s">
        <v>4604</v>
      </c>
      <c r="F1526" s="739" t="s">
        <v>4605</v>
      </c>
      <c r="G1526" s="1002"/>
      <c r="H1526" s="705"/>
      <c r="I1526" s="705"/>
    </row>
    <row r="1527" spans="1:9" s="543" customFormat="1" ht="25.5">
      <c r="A1527" s="648" t="s">
        <v>64</v>
      </c>
      <c r="B1527" s="630"/>
      <c r="C1527" s="1088" t="s">
        <v>1077</v>
      </c>
      <c r="D1527" s="598" t="s">
        <v>4303</v>
      </c>
      <c r="E1527" s="697">
        <v>38000</v>
      </c>
      <c r="F1527" s="758">
        <v>0</v>
      </c>
      <c r="G1527" s="1002"/>
      <c r="H1527" s="705"/>
      <c r="I1527" s="705"/>
    </row>
    <row r="1528" spans="1:9" s="543" customFormat="1" ht="25.5">
      <c r="A1528" s="648" t="s">
        <v>65</v>
      </c>
      <c r="B1528" s="630"/>
      <c r="C1528" s="1088" t="s">
        <v>1077</v>
      </c>
      <c r="D1528" s="598" t="s">
        <v>4303</v>
      </c>
      <c r="E1528" s="697">
        <v>38000</v>
      </c>
      <c r="F1528" s="758">
        <v>0</v>
      </c>
      <c r="G1528" s="1002"/>
      <c r="H1528" s="705"/>
      <c r="I1528" s="705"/>
    </row>
    <row r="1529" spans="1:9" s="543" customFormat="1" ht="25.5">
      <c r="A1529" s="648" t="s">
        <v>66</v>
      </c>
      <c r="B1529" s="630"/>
      <c r="C1529" s="1088" t="s">
        <v>1077</v>
      </c>
      <c r="D1529" s="598" t="s">
        <v>4303</v>
      </c>
      <c r="E1529" s="697">
        <v>38000</v>
      </c>
      <c r="F1529" s="758">
        <v>0</v>
      </c>
      <c r="G1529" s="1002"/>
      <c r="H1529" s="705"/>
      <c r="I1529" s="705"/>
    </row>
    <row r="1530" spans="1:9" s="543" customFormat="1" ht="25.5">
      <c r="A1530" s="648" t="s">
        <v>67</v>
      </c>
      <c r="B1530" s="630"/>
      <c r="C1530" s="1088" t="s">
        <v>1077</v>
      </c>
      <c r="D1530" s="598" t="s">
        <v>4303</v>
      </c>
      <c r="E1530" s="697">
        <v>38000</v>
      </c>
      <c r="F1530" s="758">
        <v>0</v>
      </c>
      <c r="G1530" s="1002"/>
      <c r="H1530" s="705"/>
      <c r="I1530" s="705"/>
    </row>
    <row r="1531" spans="1:9" s="543" customFormat="1" ht="25.5">
      <c r="A1531" s="648" t="s">
        <v>68</v>
      </c>
      <c r="B1531" s="630"/>
      <c r="C1531" s="1088" t="s">
        <v>1077</v>
      </c>
      <c r="D1531" s="598" t="s">
        <v>4304</v>
      </c>
      <c r="E1531" s="697">
        <v>38000</v>
      </c>
      <c r="F1531" s="758">
        <v>0</v>
      </c>
      <c r="G1531" s="1002"/>
      <c r="H1531" s="705"/>
      <c r="I1531" s="705"/>
    </row>
    <row r="1532" spans="1:9" s="543" customFormat="1" ht="25.5">
      <c r="A1532" s="648" t="s">
        <v>69</v>
      </c>
      <c r="B1532" s="630"/>
      <c r="C1532" s="1088" t="s">
        <v>1077</v>
      </c>
      <c r="D1532" s="598" t="s">
        <v>4302</v>
      </c>
      <c r="E1532" s="697">
        <v>38000</v>
      </c>
      <c r="F1532" s="758">
        <v>0</v>
      </c>
      <c r="G1532" s="1002"/>
      <c r="H1532" s="705"/>
      <c r="I1532" s="705"/>
    </row>
    <row r="1533" spans="1:9" s="543" customFormat="1" ht="25.5">
      <c r="A1533" s="648" t="s">
        <v>70</v>
      </c>
      <c r="B1533" s="630"/>
      <c r="C1533" s="1088" t="s">
        <v>1077</v>
      </c>
      <c r="D1533" s="598" t="s">
        <v>4305</v>
      </c>
      <c r="E1533" s="697">
        <v>38000</v>
      </c>
      <c r="F1533" s="758">
        <v>0</v>
      </c>
      <c r="G1533" s="1002"/>
      <c r="H1533" s="705"/>
      <c r="I1533" s="705"/>
    </row>
    <row r="1534" spans="1:9" s="543" customFormat="1" ht="12.75">
      <c r="A1534" s="648" t="s">
        <v>71</v>
      </c>
      <c r="B1534" s="630"/>
      <c r="C1534" s="1088" t="s">
        <v>1077</v>
      </c>
      <c r="D1534" s="598" t="s">
        <v>4306</v>
      </c>
      <c r="E1534" s="697">
        <v>38000</v>
      </c>
      <c r="F1534" s="758">
        <v>0</v>
      </c>
      <c r="G1534" s="1002"/>
      <c r="H1534" s="705"/>
      <c r="I1534" s="705"/>
    </row>
    <row r="1535" spans="1:9" s="543" customFormat="1" ht="12.75">
      <c r="A1535" s="648" t="s">
        <v>72</v>
      </c>
      <c r="B1535" s="630"/>
      <c r="C1535" s="1088" t="s">
        <v>1077</v>
      </c>
      <c r="D1535" s="598" t="s">
        <v>4307</v>
      </c>
      <c r="E1535" s="697">
        <v>38000</v>
      </c>
      <c r="F1535" s="758">
        <v>0</v>
      </c>
      <c r="G1535" s="1002"/>
      <c r="H1535" s="705"/>
      <c r="I1535" s="705"/>
    </row>
    <row r="1536" spans="1:9" s="543" customFormat="1" ht="25.5">
      <c r="A1536" s="648" t="s">
        <v>73</v>
      </c>
      <c r="B1536" s="630"/>
      <c r="C1536" s="1088" t="s">
        <v>1077</v>
      </c>
      <c r="D1536" s="598" t="s">
        <v>4308</v>
      </c>
      <c r="E1536" s="697">
        <v>38000</v>
      </c>
      <c r="F1536" s="758">
        <v>0</v>
      </c>
      <c r="G1536" s="1002"/>
      <c r="H1536" s="705"/>
      <c r="I1536" s="705"/>
    </row>
    <row r="1537" spans="1:10" ht="12.75">
      <c r="A1537" s="648" t="s">
        <v>74</v>
      </c>
      <c r="B1537" s="630"/>
      <c r="C1537" s="1088" t="s">
        <v>1077</v>
      </c>
      <c r="D1537" s="598" t="s">
        <v>4309</v>
      </c>
      <c r="E1537" s="697">
        <v>38000</v>
      </c>
      <c r="F1537" s="758">
        <v>0</v>
      </c>
      <c r="J1537" s="543"/>
    </row>
    <row r="1538" spans="1:10" ht="12.75">
      <c r="A1538" s="648" t="s">
        <v>75</v>
      </c>
      <c r="B1538" s="630"/>
      <c r="C1538" s="1088" t="s">
        <v>1077</v>
      </c>
      <c r="D1538" s="598" t="s">
        <v>4309</v>
      </c>
      <c r="E1538" s="697">
        <v>38000</v>
      </c>
      <c r="F1538" s="758">
        <v>0</v>
      </c>
      <c r="J1538" s="543"/>
    </row>
    <row r="1539" spans="1:10" ht="38.25" customHeight="1">
      <c r="A1539" s="648" t="s">
        <v>76</v>
      </c>
      <c r="B1539" s="630"/>
      <c r="C1539" s="1088" t="s">
        <v>1077</v>
      </c>
      <c r="D1539" s="598" t="s">
        <v>4310</v>
      </c>
      <c r="E1539" s="697">
        <v>38000</v>
      </c>
      <c r="F1539" s="758">
        <v>0</v>
      </c>
      <c r="J1539" s="543"/>
    </row>
    <row r="1540" spans="1:10" ht="33" customHeight="1">
      <c r="A1540" s="648" t="s">
        <v>77</v>
      </c>
      <c r="B1540" s="630"/>
      <c r="C1540" s="1088" t="s">
        <v>1077</v>
      </c>
      <c r="D1540" s="598" t="s">
        <v>4311</v>
      </c>
      <c r="E1540" s="697">
        <v>38000</v>
      </c>
      <c r="F1540" s="758">
        <v>0</v>
      </c>
      <c r="J1540" s="543"/>
    </row>
    <row r="1541" spans="1:10" ht="25.5">
      <c r="A1541" s="648" t="s">
        <v>78</v>
      </c>
      <c r="B1541" s="630"/>
      <c r="C1541" s="1088" t="s">
        <v>1077</v>
      </c>
      <c r="D1541" s="598" t="s">
        <v>4312</v>
      </c>
      <c r="E1541" s="697">
        <v>38000</v>
      </c>
      <c r="F1541" s="758">
        <v>0</v>
      </c>
      <c r="J1541" s="543"/>
    </row>
    <row r="1542" spans="1:10" ht="25.5">
      <c r="A1542" s="648" t="s">
        <v>79</v>
      </c>
      <c r="B1542" s="630"/>
      <c r="C1542" s="1088" t="s">
        <v>1077</v>
      </c>
      <c r="D1542" s="598" t="s">
        <v>4312</v>
      </c>
      <c r="E1542" s="697">
        <v>38008</v>
      </c>
      <c r="F1542" s="758">
        <v>0</v>
      </c>
      <c r="J1542" s="543"/>
    </row>
    <row r="1543" spans="1:10" ht="25.5">
      <c r="A1543" s="648" t="s">
        <v>80</v>
      </c>
      <c r="B1543" s="630"/>
      <c r="C1543" s="1088" t="s">
        <v>1077</v>
      </c>
      <c r="D1543" s="598" t="s">
        <v>4313</v>
      </c>
      <c r="E1543" s="697">
        <v>21900</v>
      </c>
      <c r="F1543" s="758">
        <v>0</v>
      </c>
      <c r="J1543" s="543"/>
    </row>
    <row r="1544" spans="1:10" ht="25.5">
      <c r="A1544" s="648" t="s">
        <v>81</v>
      </c>
      <c r="B1544" s="722"/>
      <c r="C1544" s="1088" t="s">
        <v>1077</v>
      </c>
      <c r="D1544" s="598" t="s">
        <v>4314</v>
      </c>
      <c r="E1544" s="697">
        <v>182000</v>
      </c>
      <c r="F1544" s="758">
        <v>0</v>
      </c>
      <c r="J1544" s="543"/>
    </row>
    <row r="1545" spans="1:10" ht="16.5" customHeight="1">
      <c r="A1545" s="648" t="s">
        <v>82</v>
      </c>
      <c r="B1545" s="630"/>
      <c r="C1545" s="1088" t="s">
        <v>1077</v>
      </c>
      <c r="D1545" s="789" t="s">
        <v>4315</v>
      </c>
      <c r="E1545" s="697">
        <v>294000</v>
      </c>
      <c r="F1545" s="698">
        <v>0</v>
      </c>
      <c r="J1545" s="543"/>
    </row>
    <row r="1546" spans="1:10" ht="12.75">
      <c r="A1546" s="648" t="s">
        <v>83</v>
      </c>
      <c r="B1546" s="630"/>
      <c r="C1546" s="1088" t="s">
        <v>1077</v>
      </c>
      <c r="D1546" s="789" t="s">
        <v>4316</v>
      </c>
      <c r="E1546" s="697">
        <v>96000</v>
      </c>
      <c r="F1546" s="698">
        <v>0</v>
      </c>
      <c r="J1546" s="543"/>
    </row>
    <row r="1547" spans="1:10" ht="25.5">
      <c r="A1547" s="648" t="s">
        <v>84</v>
      </c>
      <c r="B1547" s="631"/>
      <c r="C1547" s="1129" t="s">
        <v>1077</v>
      </c>
      <c r="D1547" s="1257" t="s">
        <v>4317</v>
      </c>
      <c r="E1547" s="770">
        <v>56887</v>
      </c>
      <c r="F1547" s="771">
        <v>0</v>
      </c>
      <c r="J1547" s="543"/>
    </row>
    <row r="1548" spans="1:10" s="826" customFormat="1" ht="12.75">
      <c r="A1548" s="648" t="s">
        <v>85</v>
      </c>
      <c r="B1548" s="630">
        <v>13119138</v>
      </c>
      <c r="C1548" s="1032" t="s">
        <v>1517</v>
      </c>
      <c r="D1548" s="598" t="s">
        <v>4361</v>
      </c>
      <c r="E1548" s="697">
        <v>364775</v>
      </c>
      <c r="F1548" s="698">
        <v>0</v>
      </c>
      <c r="G1548" s="1258"/>
      <c r="H1548" s="1259"/>
      <c r="I1548" s="1259"/>
      <c r="J1548" s="718"/>
    </row>
    <row r="1549" spans="1:10" s="400" customFormat="1" ht="12.75">
      <c r="A1549" s="648" t="s">
        <v>86</v>
      </c>
      <c r="B1549" s="630">
        <v>1311913</v>
      </c>
      <c r="C1549" s="1032" t="s">
        <v>1029</v>
      </c>
      <c r="D1549" s="598" t="s">
        <v>87</v>
      </c>
      <c r="E1549" s="697">
        <v>112500</v>
      </c>
      <c r="F1549" s="698">
        <v>0</v>
      </c>
      <c r="G1549" s="1002"/>
      <c r="H1549" s="705"/>
      <c r="I1549" s="705"/>
      <c r="J1549" s="543"/>
    </row>
    <row r="1550" spans="1:10" s="400" customFormat="1" ht="12.75">
      <c r="A1550" s="648" t="s">
        <v>88</v>
      </c>
      <c r="B1550" s="630"/>
      <c r="C1550" s="1032" t="s">
        <v>1029</v>
      </c>
      <c r="D1550" s="598" t="s">
        <v>4361</v>
      </c>
      <c r="E1550" s="697">
        <v>153836</v>
      </c>
      <c r="F1550" s="698">
        <v>0</v>
      </c>
      <c r="G1550" s="1002"/>
      <c r="H1550" s="705"/>
      <c r="I1550" s="705"/>
      <c r="J1550" s="543"/>
    </row>
    <row r="1551" spans="1:10" s="400" customFormat="1" ht="12.75">
      <c r="A1551" s="648" t="s">
        <v>89</v>
      </c>
      <c r="B1551" s="630"/>
      <c r="C1551" s="1032" t="s">
        <v>1029</v>
      </c>
      <c r="D1551" s="598" t="s">
        <v>90</v>
      </c>
      <c r="E1551" s="697">
        <v>82699</v>
      </c>
      <c r="F1551" s="698">
        <v>0</v>
      </c>
      <c r="G1551" s="1002"/>
      <c r="H1551" s="705"/>
      <c r="I1551" s="705"/>
      <c r="J1551" s="543"/>
    </row>
    <row r="1552" spans="1:10" s="400" customFormat="1" ht="12.75">
      <c r="A1552" s="648" t="s">
        <v>91</v>
      </c>
      <c r="B1552" s="631"/>
      <c r="C1552" s="1073" t="s">
        <v>1029</v>
      </c>
      <c r="D1552" s="600" t="s">
        <v>90</v>
      </c>
      <c r="E1552" s="770">
        <v>82699</v>
      </c>
      <c r="F1552" s="771">
        <v>0</v>
      </c>
      <c r="G1552" s="1002"/>
      <c r="H1552" s="705"/>
      <c r="I1552" s="705"/>
      <c r="J1552" s="543"/>
    </row>
    <row r="1553" spans="1:10" s="400" customFormat="1" ht="12.75">
      <c r="A1553" s="648" t="s">
        <v>92</v>
      </c>
      <c r="B1553" s="726" t="s">
        <v>394</v>
      </c>
      <c r="C1553" s="1073" t="s">
        <v>1029</v>
      </c>
      <c r="D1553" s="598" t="s">
        <v>93</v>
      </c>
      <c r="E1553" s="697">
        <v>100090</v>
      </c>
      <c r="F1553" s="698">
        <v>0</v>
      </c>
      <c r="G1553" s="1002"/>
      <c r="H1553" s="705"/>
      <c r="I1553" s="705"/>
      <c r="J1553" s="543"/>
    </row>
    <row r="1554" spans="1:10" s="400" customFormat="1" ht="12.75">
      <c r="A1554" s="648" t="s">
        <v>94</v>
      </c>
      <c r="B1554" s="630"/>
      <c r="C1554" s="1032" t="s">
        <v>1029</v>
      </c>
      <c r="D1554" s="598" t="s">
        <v>95</v>
      </c>
      <c r="E1554" s="697">
        <v>52000</v>
      </c>
      <c r="F1554" s="698">
        <v>0</v>
      </c>
      <c r="G1554" s="1002"/>
      <c r="H1554" s="705"/>
      <c r="I1554" s="705"/>
      <c r="J1554" s="543"/>
    </row>
    <row r="1555" spans="1:10" s="400" customFormat="1" ht="12.75">
      <c r="A1555" s="648" t="s">
        <v>96</v>
      </c>
      <c r="B1555" s="630"/>
      <c r="C1555" s="1032" t="s">
        <v>1029</v>
      </c>
      <c r="D1555" s="598" t="s">
        <v>4299</v>
      </c>
      <c r="E1555" s="697">
        <v>228750</v>
      </c>
      <c r="F1555" s="788">
        <v>0</v>
      </c>
      <c r="G1555" s="1002"/>
      <c r="H1555" s="705"/>
      <c r="I1555" s="705"/>
      <c r="J1555" s="543"/>
    </row>
    <row r="1556" spans="1:10" s="400" customFormat="1" ht="12.75">
      <c r="A1556" s="648" t="s">
        <v>97</v>
      </c>
      <c r="B1556" s="630"/>
      <c r="C1556" s="1032" t="s">
        <v>1029</v>
      </c>
      <c r="D1556" s="598" t="s">
        <v>4299</v>
      </c>
      <c r="E1556" s="697">
        <v>269333</v>
      </c>
      <c r="F1556" s="788">
        <v>0</v>
      </c>
      <c r="G1556" s="1002"/>
      <c r="H1556" s="705"/>
      <c r="I1556" s="705"/>
      <c r="J1556" s="543"/>
    </row>
    <row r="1557" spans="1:10" s="400" customFormat="1" ht="12.75">
      <c r="A1557" s="648" t="s">
        <v>98</v>
      </c>
      <c r="B1557" s="630"/>
      <c r="C1557" s="1032" t="s">
        <v>1029</v>
      </c>
      <c r="D1557" s="598" t="s">
        <v>4299</v>
      </c>
      <c r="E1557" s="697">
        <v>269333</v>
      </c>
      <c r="F1557" s="788">
        <v>0</v>
      </c>
      <c r="G1557" s="1002"/>
      <c r="H1557" s="705"/>
      <c r="I1557" s="705"/>
      <c r="J1557" s="543"/>
    </row>
    <row r="1558" spans="1:10" s="400" customFormat="1" ht="12.75">
      <c r="A1558" s="648" t="s">
        <v>99</v>
      </c>
      <c r="B1558" s="630"/>
      <c r="C1558" s="1032" t="s">
        <v>1029</v>
      </c>
      <c r="D1558" s="598" t="s">
        <v>4299</v>
      </c>
      <c r="E1558" s="697">
        <v>269333</v>
      </c>
      <c r="F1558" s="788">
        <v>0</v>
      </c>
      <c r="G1558" s="1002"/>
      <c r="H1558" s="705"/>
      <c r="I1558" s="705"/>
      <c r="J1558" s="543"/>
    </row>
    <row r="1559" spans="1:10" s="400" customFormat="1" ht="12.75">
      <c r="A1559" s="648" t="s">
        <v>100</v>
      </c>
      <c r="B1559" s="630"/>
      <c r="C1559" s="1032" t="s">
        <v>1029</v>
      </c>
      <c r="D1559" s="598" t="s">
        <v>4299</v>
      </c>
      <c r="E1559" s="697">
        <v>269333</v>
      </c>
      <c r="F1559" s="788">
        <v>0</v>
      </c>
      <c r="G1559" s="1002"/>
      <c r="H1559" s="705"/>
      <c r="I1559" s="705"/>
      <c r="J1559" s="543"/>
    </row>
    <row r="1560" spans="1:10" s="400" customFormat="1" ht="12.75">
      <c r="A1560" s="648" t="s">
        <v>101</v>
      </c>
      <c r="B1560" s="630"/>
      <c r="C1560" s="1032" t="s">
        <v>1029</v>
      </c>
      <c r="D1560" s="598" t="s">
        <v>4299</v>
      </c>
      <c r="E1560" s="697">
        <v>269334</v>
      </c>
      <c r="F1560" s="788">
        <v>0</v>
      </c>
      <c r="G1560" s="1002"/>
      <c r="H1560" s="705"/>
      <c r="I1560" s="705"/>
      <c r="J1560" s="543"/>
    </row>
    <row r="1561" spans="1:10" s="400" customFormat="1" ht="12.75">
      <c r="A1561" s="648" t="s">
        <v>102</v>
      </c>
      <c r="B1561" s="630"/>
      <c r="C1561" s="1032" t="s">
        <v>1029</v>
      </c>
      <c r="D1561" s="598" t="s">
        <v>4299</v>
      </c>
      <c r="E1561" s="697">
        <v>269334</v>
      </c>
      <c r="F1561" s="788">
        <v>0</v>
      </c>
      <c r="G1561" s="1002"/>
      <c r="H1561" s="705"/>
      <c r="I1561" s="705"/>
      <c r="J1561" s="543"/>
    </row>
    <row r="1562" spans="1:10" s="400" customFormat="1" ht="12.75">
      <c r="A1562" s="648" t="s">
        <v>103</v>
      </c>
      <c r="B1562" s="630"/>
      <c r="C1562" s="1032" t="s">
        <v>1029</v>
      </c>
      <c r="D1562" s="598" t="s">
        <v>4320</v>
      </c>
      <c r="E1562" s="697">
        <v>114000</v>
      </c>
      <c r="F1562" s="788">
        <v>0</v>
      </c>
      <c r="G1562" s="1002"/>
      <c r="H1562" s="705"/>
      <c r="I1562" s="705"/>
      <c r="J1562" s="543"/>
    </row>
    <row r="1563" spans="1:10" s="400" customFormat="1" ht="12.75">
      <c r="A1563" s="648" t="s">
        <v>104</v>
      </c>
      <c r="B1563" s="630"/>
      <c r="C1563" s="1032" t="s">
        <v>1029</v>
      </c>
      <c r="D1563" s="598" t="s">
        <v>4361</v>
      </c>
      <c r="E1563" s="697">
        <v>336000</v>
      </c>
      <c r="F1563" s="788">
        <v>0</v>
      </c>
      <c r="G1563" s="1002"/>
      <c r="H1563" s="705"/>
      <c r="I1563" s="705"/>
      <c r="J1563" s="543"/>
    </row>
    <row r="1564" spans="1:10" s="400" customFormat="1" ht="12.75">
      <c r="A1564" s="648" t="s">
        <v>105</v>
      </c>
      <c r="B1564" s="630"/>
      <c r="C1564" s="1032" t="s">
        <v>1029</v>
      </c>
      <c r="D1564" s="598" t="s">
        <v>4361</v>
      </c>
      <c r="E1564" s="697">
        <v>281400</v>
      </c>
      <c r="F1564" s="788">
        <v>0</v>
      </c>
      <c r="G1564" s="1002"/>
      <c r="H1564" s="705"/>
      <c r="I1564" s="705"/>
      <c r="J1564" s="543"/>
    </row>
    <row r="1565" spans="1:10" s="400" customFormat="1" ht="12.75">
      <c r="A1565" s="648" t="s">
        <v>106</v>
      </c>
      <c r="B1565" s="630"/>
      <c r="C1565" s="1032" t="s">
        <v>1029</v>
      </c>
      <c r="D1565" s="598" t="s">
        <v>107</v>
      </c>
      <c r="E1565" s="697">
        <v>82600</v>
      </c>
      <c r="F1565" s="788">
        <v>0</v>
      </c>
      <c r="G1565" s="1002"/>
      <c r="H1565" s="705"/>
      <c r="I1565" s="705"/>
      <c r="J1565" s="543"/>
    </row>
    <row r="1566" spans="1:10" s="400" customFormat="1" ht="12.75">
      <c r="A1566" s="648" t="s">
        <v>108</v>
      </c>
      <c r="B1566" s="631"/>
      <c r="C1566" s="1073" t="s">
        <v>1029</v>
      </c>
      <c r="D1566" s="600" t="s">
        <v>109</v>
      </c>
      <c r="E1566" s="770">
        <v>83475</v>
      </c>
      <c r="F1566" s="1030">
        <v>0</v>
      </c>
      <c r="G1566" s="1002"/>
      <c r="H1566" s="705"/>
      <c r="I1566" s="705"/>
      <c r="J1566" s="543"/>
    </row>
    <row r="1567" spans="1:10" s="400" customFormat="1" ht="12.75">
      <c r="A1567" s="648" t="s">
        <v>110</v>
      </c>
      <c r="B1567" s="630">
        <v>1311913</v>
      </c>
      <c r="C1567" s="607" t="s">
        <v>1026</v>
      </c>
      <c r="D1567" s="789" t="s">
        <v>4299</v>
      </c>
      <c r="E1567" s="697">
        <v>188702</v>
      </c>
      <c r="F1567" s="698">
        <v>0</v>
      </c>
      <c r="G1567" s="1002"/>
      <c r="H1567" s="705"/>
      <c r="I1567" s="705"/>
      <c r="J1567" s="543"/>
    </row>
    <row r="1568" spans="1:10" s="400" customFormat="1" ht="13.5" thickBot="1">
      <c r="A1568" s="648" t="s">
        <v>111</v>
      </c>
      <c r="B1568" s="630"/>
      <c r="C1568" s="1032" t="s">
        <v>1026</v>
      </c>
      <c r="D1568" s="598" t="s">
        <v>4361</v>
      </c>
      <c r="E1568" s="697">
        <v>92828</v>
      </c>
      <c r="F1568" s="698">
        <v>0</v>
      </c>
      <c r="G1568" s="1002"/>
      <c r="H1568" s="705"/>
      <c r="I1568" s="705"/>
      <c r="J1568" s="543"/>
    </row>
    <row r="1569" spans="1:10" ht="48.75" thickBot="1">
      <c r="A1569" s="605" t="s">
        <v>4597</v>
      </c>
      <c r="B1569" s="606" t="s">
        <v>4601</v>
      </c>
      <c r="C1569" s="1008" t="s">
        <v>4602</v>
      </c>
      <c r="D1569" s="606" t="s">
        <v>4603</v>
      </c>
      <c r="E1569" s="738" t="s">
        <v>4604</v>
      </c>
      <c r="F1569" s="739" t="s">
        <v>4605</v>
      </c>
      <c r="J1569" s="543"/>
    </row>
    <row r="1570" spans="1:10" s="400" customFormat="1" ht="12.75">
      <c r="A1570" s="648" t="s">
        <v>112</v>
      </c>
      <c r="B1570" s="630"/>
      <c r="C1570" s="607" t="s">
        <v>1026</v>
      </c>
      <c r="D1570" s="789" t="s">
        <v>4299</v>
      </c>
      <c r="E1570" s="697">
        <v>380776</v>
      </c>
      <c r="F1570" s="698">
        <v>0</v>
      </c>
      <c r="G1570" s="1002"/>
      <c r="H1570" s="705"/>
      <c r="I1570" s="705"/>
      <c r="J1570" s="543"/>
    </row>
    <row r="1571" spans="1:10" s="400" customFormat="1" ht="12.75">
      <c r="A1571" s="648" t="s">
        <v>113</v>
      </c>
      <c r="B1571" s="630"/>
      <c r="C1571" s="607" t="s">
        <v>1026</v>
      </c>
      <c r="D1571" s="789" t="s">
        <v>4320</v>
      </c>
      <c r="E1571" s="697">
        <v>39120</v>
      </c>
      <c r="F1571" s="698">
        <v>0</v>
      </c>
      <c r="G1571" s="1002"/>
      <c r="H1571" s="705"/>
      <c r="I1571" s="705"/>
      <c r="J1571" s="543"/>
    </row>
    <row r="1572" spans="1:10" s="400" customFormat="1" ht="12.75">
      <c r="A1572" s="648" t="s">
        <v>114</v>
      </c>
      <c r="B1572" s="630"/>
      <c r="C1572" s="607" t="s">
        <v>1026</v>
      </c>
      <c r="D1572" s="789" t="s">
        <v>4320</v>
      </c>
      <c r="E1572" s="697">
        <v>145500</v>
      </c>
      <c r="F1572" s="698">
        <v>0</v>
      </c>
      <c r="G1572" s="1002"/>
      <c r="H1572" s="705"/>
      <c r="I1572" s="705"/>
      <c r="J1572" s="543"/>
    </row>
    <row r="1573" spans="1:10" s="400" customFormat="1" ht="12.75">
      <c r="A1573" s="648" t="s">
        <v>115</v>
      </c>
      <c r="B1573" s="631"/>
      <c r="C1573" s="704" t="s">
        <v>1026</v>
      </c>
      <c r="D1573" s="1257" t="s">
        <v>4299</v>
      </c>
      <c r="E1573" s="770">
        <v>145250</v>
      </c>
      <c r="F1573" s="771">
        <v>0</v>
      </c>
      <c r="G1573" s="1002"/>
      <c r="H1573" s="705"/>
      <c r="I1573" s="705"/>
      <c r="J1573" s="543"/>
    </row>
    <row r="1574" spans="1:10" s="400" customFormat="1" ht="12.75">
      <c r="A1574" s="648" t="s">
        <v>116</v>
      </c>
      <c r="B1574" s="630">
        <v>1311913</v>
      </c>
      <c r="C1574" s="1032" t="s">
        <v>4592</v>
      </c>
      <c r="D1574" s="598" t="s">
        <v>117</v>
      </c>
      <c r="E1574" s="1022">
        <v>21440</v>
      </c>
      <c r="F1574" s="788">
        <v>0</v>
      </c>
      <c r="G1574" s="1002"/>
      <c r="H1574" s="705"/>
      <c r="I1574" s="705"/>
      <c r="J1574" s="543"/>
    </row>
    <row r="1575" spans="1:10" s="400" customFormat="1" ht="12.75">
      <c r="A1575" s="648" t="s">
        <v>118</v>
      </c>
      <c r="B1575" s="630"/>
      <c r="C1575" s="1032" t="s">
        <v>4592</v>
      </c>
      <c r="D1575" s="598" t="s">
        <v>119</v>
      </c>
      <c r="E1575" s="1022">
        <v>31150</v>
      </c>
      <c r="F1575" s="788">
        <v>0</v>
      </c>
      <c r="G1575" s="1002"/>
      <c r="H1575" s="705"/>
      <c r="I1575" s="705"/>
      <c r="J1575" s="543"/>
    </row>
    <row r="1576" spans="1:10" s="400" customFormat="1" ht="12.75">
      <c r="A1576" s="648" t="s">
        <v>120</v>
      </c>
      <c r="B1576" s="631"/>
      <c r="C1576" s="1073" t="s">
        <v>4592</v>
      </c>
      <c r="D1576" s="600" t="s">
        <v>4320</v>
      </c>
      <c r="E1576" s="1029">
        <v>40800</v>
      </c>
      <c r="F1576" s="1030">
        <v>0</v>
      </c>
      <c r="G1576" s="1002"/>
      <c r="H1576" s="705"/>
      <c r="I1576" s="705"/>
      <c r="J1576" s="543"/>
    </row>
    <row r="1577" spans="1:10" s="400" customFormat="1" ht="12.75">
      <c r="A1577" s="648" t="s">
        <v>121</v>
      </c>
      <c r="B1577" s="631"/>
      <c r="C1577" s="1032" t="s">
        <v>4592</v>
      </c>
      <c r="D1577" s="600" t="s">
        <v>122</v>
      </c>
      <c r="E1577" s="1029">
        <v>42000</v>
      </c>
      <c r="F1577" s="1030">
        <v>0</v>
      </c>
      <c r="G1577" s="1002"/>
      <c r="H1577" s="705"/>
      <c r="I1577" s="705"/>
      <c r="J1577" s="543"/>
    </row>
    <row r="1578" spans="1:10" s="400" customFormat="1" ht="12.75">
      <c r="A1578" s="648" t="s">
        <v>123</v>
      </c>
      <c r="B1578" s="631"/>
      <c r="C1578" s="1073" t="s">
        <v>4592</v>
      </c>
      <c r="D1578" s="600" t="s">
        <v>124</v>
      </c>
      <c r="E1578" s="1029">
        <v>28250</v>
      </c>
      <c r="F1578" s="1030">
        <v>0</v>
      </c>
      <c r="G1578" s="1002"/>
      <c r="H1578" s="705"/>
      <c r="I1578" s="705"/>
      <c r="J1578" s="543"/>
    </row>
    <row r="1579" spans="1:10" s="400" customFormat="1" ht="25.5">
      <c r="A1579" s="648" t="s">
        <v>125</v>
      </c>
      <c r="B1579" s="631"/>
      <c r="C1579" s="1032" t="s">
        <v>4592</v>
      </c>
      <c r="D1579" s="600" t="s">
        <v>126</v>
      </c>
      <c r="E1579" s="1029">
        <v>110000</v>
      </c>
      <c r="F1579" s="1030">
        <v>0</v>
      </c>
      <c r="G1579" s="1002"/>
      <c r="H1579" s="705"/>
      <c r="I1579" s="705"/>
      <c r="J1579" s="543"/>
    </row>
    <row r="1580" spans="1:10" s="400" customFormat="1" ht="12.75">
      <c r="A1580" s="648" t="s">
        <v>127</v>
      </c>
      <c r="B1580" s="630"/>
      <c r="C1580" s="1073" t="s">
        <v>4592</v>
      </c>
      <c r="D1580" s="598" t="s">
        <v>128</v>
      </c>
      <c r="E1580" s="1022">
        <v>154990</v>
      </c>
      <c r="F1580" s="788">
        <v>0</v>
      </c>
      <c r="G1580" s="1002"/>
      <c r="H1580" s="705"/>
      <c r="I1580" s="705"/>
      <c r="J1580" s="543"/>
    </row>
    <row r="1581" spans="1:10" s="400" customFormat="1" ht="12.75">
      <c r="A1581" s="648" t="s">
        <v>129</v>
      </c>
      <c r="B1581" s="630"/>
      <c r="C1581" s="1032" t="s">
        <v>4592</v>
      </c>
      <c r="D1581" s="598" t="s">
        <v>4320</v>
      </c>
      <c r="E1581" s="1022">
        <v>120250</v>
      </c>
      <c r="F1581" s="788">
        <v>0</v>
      </c>
      <c r="G1581" s="1002"/>
      <c r="H1581" s="705"/>
      <c r="I1581" s="705"/>
      <c r="J1581" s="543"/>
    </row>
    <row r="1582" spans="1:10" s="400" customFormat="1" ht="12.75">
      <c r="A1582" s="648" t="s">
        <v>130</v>
      </c>
      <c r="B1582" s="630"/>
      <c r="C1582" s="1073" t="s">
        <v>4592</v>
      </c>
      <c r="D1582" s="598" t="s">
        <v>4355</v>
      </c>
      <c r="E1582" s="1022">
        <v>119764</v>
      </c>
      <c r="F1582" s="788">
        <v>0</v>
      </c>
      <c r="G1582" s="1002"/>
      <c r="H1582" s="705"/>
      <c r="I1582" s="705"/>
      <c r="J1582" s="543"/>
    </row>
    <row r="1583" spans="1:10" s="400" customFormat="1" ht="12.75">
      <c r="A1583" s="648" t="s">
        <v>131</v>
      </c>
      <c r="B1583" s="630"/>
      <c r="C1583" s="1032" t="s">
        <v>4592</v>
      </c>
      <c r="D1583" s="598" t="s">
        <v>4299</v>
      </c>
      <c r="E1583" s="1022">
        <v>123314</v>
      </c>
      <c r="F1583" s="788">
        <v>0</v>
      </c>
      <c r="G1583" s="1002"/>
      <c r="H1583" s="705"/>
      <c r="I1583" s="705"/>
      <c r="J1583" s="543"/>
    </row>
    <row r="1584" spans="1:10" s="400" customFormat="1" ht="12.75">
      <c r="A1584" s="648" t="s">
        <v>132</v>
      </c>
      <c r="B1584" s="630"/>
      <c r="C1584" s="1032" t="s">
        <v>4592</v>
      </c>
      <c r="D1584" s="598" t="s">
        <v>4355</v>
      </c>
      <c r="E1584" s="1022">
        <v>101768</v>
      </c>
      <c r="F1584" s="788">
        <v>0</v>
      </c>
      <c r="G1584" s="1002"/>
      <c r="H1584" s="705"/>
      <c r="I1584" s="705"/>
      <c r="J1584" s="543"/>
    </row>
    <row r="1585" spans="1:10" s="400" customFormat="1" ht="12.75">
      <c r="A1585" s="648" t="s">
        <v>133</v>
      </c>
      <c r="B1585" s="630"/>
      <c r="C1585" s="1073" t="s">
        <v>4592</v>
      </c>
      <c r="D1585" s="598" t="s">
        <v>134</v>
      </c>
      <c r="E1585" s="1022">
        <v>59500</v>
      </c>
      <c r="F1585" s="788">
        <v>0</v>
      </c>
      <c r="G1585" s="1002"/>
      <c r="H1585" s="705"/>
      <c r="I1585" s="705"/>
      <c r="J1585" s="543"/>
    </row>
    <row r="1586" spans="1:10" s="400" customFormat="1" ht="12.75">
      <c r="A1586" s="648" t="s">
        <v>135</v>
      </c>
      <c r="B1586" s="1186"/>
      <c r="C1586" s="1260" t="s">
        <v>4592</v>
      </c>
      <c r="D1586" s="1227" t="s">
        <v>136</v>
      </c>
      <c r="E1586" s="1136">
        <v>140750</v>
      </c>
      <c r="F1586" s="788">
        <v>0</v>
      </c>
      <c r="G1586" s="1002"/>
      <c r="H1586" s="705"/>
      <c r="I1586" s="705"/>
      <c r="J1586" s="543"/>
    </row>
    <row r="1587" spans="1:10" s="400" customFormat="1" ht="12.75">
      <c r="A1587" s="648" t="s">
        <v>137</v>
      </c>
      <c r="B1587" s="1059"/>
      <c r="C1587" s="1073" t="s">
        <v>4592</v>
      </c>
      <c r="D1587" s="600" t="s">
        <v>138</v>
      </c>
      <c r="E1587" s="1029">
        <v>79840</v>
      </c>
      <c r="F1587" s="1030">
        <v>0</v>
      </c>
      <c r="G1587" s="1002"/>
      <c r="H1587" s="705"/>
      <c r="I1587" s="705"/>
      <c r="J1587" s="543"/>
    </row>
    <row r="1588" spans="1:10" s="400" customFormat="1" ht="13.5" thickBot="1">
      <c r="A1588" s="648" t="s">
        <v>139</v>
      </c>
      <c r="B1588" s="630"/>
      <c r="C1588" s="1032" t="s">
        <v>4592</v>
      </c>
      <c r="D1588" s="598" t="s">
        <v>140</v>
      </c>
      <c r="E1588" s="1022">
        <v>81011</v>
      </c>
      <c r="F1588" s="788">
        <v>0</v>
      </c>
      <c r="G1588" s="1002"/>
      <c r="H1588" s="705"/>
      <c r="I1588" s="705"/>
      <c r="J1588" s="543"/>
    </row>
    <row r="1589" spans="1:10" ht="13.5" thickBot="1">
      <c r="A1589" s="791"/>
      <c r="B1589" s="1124">
        <v>1311913</v>
      </c>
      <c r="C1589" s="664" t="s">
        <v>757</v>
      </c>
      <c r="D1589" s="792" t="s">
        <v>1499</v>
      </c>
      <c r="E1589" s="773">
        <f>SUM(E1460:E1588)</f>
        <v>19796105</v>
      </c>
      <c r="F1589" s="774">
        <f>SUM(F1460:F1588)</f>
        <v>0</v>
      </c>
      <c r="J1589" s="543"/>
    </row>
    <row r="1590" spans="1:10" ht="13.5" thickBot="1">
      <c r="A1590" s="1261"/>
      <c r="B1590" s="615"/>
      <c r="C1590" s="793"/>
      <c r="D1590" s="794"/>
      <c r="E1590" s="780"/>
      <c r="F1590" s="1256"/>
      <c r="J1590" s="543"/>
    </row>
    <row r="1591" spans="1:10" ht="13.5" thickBot="1">
      <c r="A1591" s="2220" t="s">
        <v>4318</v>
      </c>
      <c r="B1591" s="2220"/>
      <c r="C1591" s="2220"/>
      <c r="D1591" s="2220"/>
      <c r="E1591" s="2220"/>
      <c r="F1591" s="2220"/>
      <c r="J1591" s="543"/>
    </row>
    <row r="1592" spans="1:10" ht="12.75">
      <c r="A1592" s="795" t="s">
        <v>141</v>
      </c>
      <c r="B1592" s="726">
        <v>13119135</v>
      </c>
      <c r="C1592" s="695" t="s">
        <v>142</v>
      </c>
      <c r="D1592" s="796" t="s">
        <v>4319</v>
      </c>
      <c r="E1592" s="697">
        <v>392054</v>
      </c>
      <c r="F1592" s="698">
        <v>0</v>
      </c>
      <c r="J1592" s="543"/>
    </row>
    <row r="1593" spans="1:10" ht="12.75">
      <c r="A1593" s="795" t="s">
        <v>143</v>
      </c>
      <c r="B1593" s="726"/>
      <c r="C1593" s="695" t="s">
        <v>142</v>
      </c>
      <c r="D1593" s="796" t="s">
        <v>4320</v>
      </c>
      <c r="E1593" s="697">
        <v>53350</v>
      </c>
      <c r="F1593" s="698">
        <v>0</v>
      </c>
      <c r="J1593" s="543"/>
    </row>
    <row r="1594" spans="1:10" ht="12.75">
      <c r="A1594" s="795" t="s">
        <v>144</v>
      </c>
      <c r="B1594" s="726"/>
      <c r="C1594" s="695" t="s">
        <v>142</v>
      </c>
      <c r="D1594" s="796" t="s">
        <v>4321</v>
      </c>
      <c r="E1594" s="697">
        <v>174372</v>
      </c>
      <c r="F1594" s="698">
        <v>0</v>
      </c>
      <c r="J1594" s="543"/>
    </row>
    <row r="1595" spans="1:10" ht="12.75">
      <c r="A1595" s="795" t="s">
        <v>145</v>
      </c>
      <c r="B1595" s="726"/>
      <c r="C1595" s="695" t="s">
        <v>142</v>
      </c>
      <c r="D1595" s="796" t="s">
        <v>4321</v>
      </c>
      <c r="E1595" s="697">
        <v>174373</v>
      </c>
      <c r="F1595" s="698">
        <v>0</v>
      </c>
      <c r="J1595" s="543"/>
    </row>
    <row r="1596" spans="1:10" ht="12.75">
      <c r="A1596" s="795" t="s">
        <v>146</v>
      </c>
      <c r="B1596" s="726"/>
      <c r="C1596" s="695" t="s">
        <v>142</v>
      </c>
      <c r="D1596" s="796" t="s">
        <v>4322</v>
      </c>
      <c r="E1596" s="697">
        <v>266220</v>
      </c>
      <c r="F1596" s="698">
        <v>0</v>
      </c>
      <c r="J1596" s="543"/>
    </row>
    <row r="1597" spans="1:10" ht="12.75">
      <c r="A1597" s="795" t="s">
        <v>147</v>
      </c>
      <c r="B1597" s="726"/>
      <c r="C1597" s="695" t="s">
        <v>142</v>
      </c>
      <c r="D1597" s="796" t="s">
        <v>4323</v>
      </c>
      <c r="E1597" s="697">
        <v>157850</v>
      </c>
      <c r="F1597" s="698">
        <v>0</v>
      </c>
      <c r="J1597" s="543"/>
    </row>
    <row r="1598" spans="1:10" ht="12.75">
      <c r="A1598" s="795" t="s">
        <v>148</v>
      </c>
      <c r="B1598" s="726"/>
      <c r="C1598" s="695" t="s">
        <v>142</v>
      </c>
      <c r="D1598" s="796" t="s">
        <v>4324</v>
      </c>
      <c r="E1598" s="697">
        <v>67488</v>
      </c>
      <c r="F1598" s="698">
        <v>0</v>
      </c>
      <c r="J1598" s="543"/>
    </row>
    <row r="1599" spans="1:10" ht="12.75">
      <c r="A1599" s="795" t="s">
        <v>149</v>
      </c>
      <c r="B1599" s="726"/>
      <c r="C1599" s="695" t="s">
        <v>142</v>
      </c>
      <c r="D1599" s="796" t="s">
        <v>4299</v>
      </c>
      <c r="E1599" s="697">
        <v>330000</v>
      </c>
      <c r="F1599" s="698">
        <v>0</v>
      </c>
      <c r="J1599" s="543"/>
    </row>
    <row r="1600" spans="1:9" s="686" customFormat="1" ht="13.5" thickBot="1">
      <c r="A1600" s="1262"/>
      <c r="B1600" s="1076"/>
      <c r="C1600" s="618"/>
      <c r="D1600" s="798" t="s">
        <v>1499</v>
      </c>
      <c r="E1600" s="799">
        <f>SUM(E1592:E1599)</f>
        <v>1615707</v>
      </c>
      <c r="F1600" s="800">
        <f>SUM(F1592:F1599)</f>
        <v>0</v>
      </c>
      <c r="G1600" s="1001"/>
      <c r="H1600" s="817"/>
      <c r="I1600" s="817"/>
    </row>
    <row r="1601" spans="1:9" s="543" customFormat="1" ht="13.5" thickBot="1">
      <c r="A1601" s="1261"/>
      <c r="B1601" s="615"/>
      <c r="C1601" s="793"/>
      <c r="D1601" s="794"/>
      <c r="E1601" s="780"/>
      <c r="F1601" s="1256"/>
      <c r="G1601" s="1002"/>
      <c r="H1601" s="705"/>
      <c r="I1601" s="705"/>
    </row>
    <row r="1602" spans="1:9" s="543" customFormat="1" ht="13.5" thickBot="1">
      <c r="A1602" s="2220" t="s">
        <v>4325</v>
      </c>
      <c r="B1602" s="2220"/>
      <c r="C1602" s="2220"/>
      <c r="D1602" s="2220"/>
      <c r="E1602" s="2220"/>
      <c r="F1602" s="2220"/>
      <c r="G1602" s="1002"/>
      <c r="H1602" s="705"/>
      <c r="I1602" s="705"/>
    </row>
    <row r="1603" spans="1:9" s="543" customFormat="1" ht="25.5">
      <c r="A1603" s="1263" t="s">
        <v>150</v>
      </c>
      <c r="B1603" s="645">
        <v>13119136</v>
      </c>
      <c r="C1603" s="1071" t="s">
        <v>4326</v>
      </c>
      <c r="D1603" s="596" t="s">
        <v>4327</v>
      </c>
      <c r="E1603" s="1058">
        <v>12207</v>
      </c>
      <c r="F1603" s="1075">
        <v>0</v>
      </c>
      <c r="G1603" s="1002"/>
      <c r="H1603" s="705"/>
      <c r="I1603" s="705"/>
    </row>
    <row r="1604" spans="1:9" s="543" customFormat="1" ht="25.5">
      <c r="A1604" s="1263" t="s">
        <v>151</v>
      </c>
      <c r="B1604" s="1264"/>
      <c r="C1604" s="1032" t="s">
        <v>4326</v>
      </c>
      <c r="D1604" s="598" t="s">
        <v>4327</v>
      </c>
      <c r="E1604" s="697">
        <v>12190</v>
      </c>
      <c r="F1604" s="698">
        <v>0</v>
      </c>
      <c r="G1604" s="1002"/>
      <c r="H1604" s="705"/>
      <c r="I1604" s="705"/>
    </row>
    <row r="1605" spans="1:9" s="543" customFormat="1" ht="25.5">
      <c r="A1605" s="1263" t="s">
        <v>152</v>
      </c>
      <c r="B1605" s="1264"/>
      <c r="C1605" s="1032" t="s">
        <v>4326</v>
      </c>
      <c r="D1605" s="598" t="s">
        <v>4328</v>
      </c>
      <c r="E1605" s="697">
        <v>13764</v>
      </c>
      <c r="F1605" s="698">
        <v>0</v>
      </c>
      <c r="G1605" s="1002"/>
      <c r="H1605" s="705"/>
      <c r="I1605" s="705"/>
    </row>
    <row r="1606" spans="1:9" s="543" customFormat="1" ht="25.5">
      <c r="A1606" s="1263" t="s">
        <v>153</v>
      </c>
      <c r="B1606" s="1264"/>
      <c r="C1606" s="1032" t="s">
        <v>4326</v>
      </c>
      <c r="D1606" s="598" t="s">
        <v>4328</v>
      </c>
      <c r="E1606" s="697">
        <v>13764</v>
      </c>
      <c r="F1606" s="698">
        <v>0</v>
      </c>
      <c r="G1606" s="1002"/>
      <c r="H1606" s="705"/>
      <c r="I1606" s="705"/>
    </row>
    <row r="1607" spans="1:9" s="543" customFormat="1" ht="25.5">
      <c r="A1607" s="1263" t="s">
        <v>154</v>
      </c>
      <c r="B1607" s="1264"/>
      <c r="C1607" s="1032" t="s">
        <v>4326</v>
      </c>
      <c r="D1607" s="598" t="s">
        <v>4328</v>
      </c>
      <c r="E1607" s="697">
        <v>13764</v>
      </c>
      <c r="F1607" s="698">
        <v>0</v>
      </c>
      <c r="G1607" s="1002"/>
      <c r="H1607" s="705"/>
      <c r="I1607" s="705"/>
    </row>
    <row r="1608" spans="1:9" s="543" customFormat="1" ht="25.5">
      <c r="A1608" s="1263" t="s">
        <v>155</v>
      </c>
      <c r="B1608" s="1264"/>
      <c r="C1608" s="1032" t="s">
        <v>4326</v>
      </c>
      <c r="D1608" s="598" t="s">
        <v>4328</v>
      </c>
      <c r="E1608" s="697">
        <v>13764</v>
      </c>
      <c r="F1608" s="698">
        <v>0</v>
      </c>
      <c r="G1608" s="1002"/>
      <c r="H1608" s="705"/>
      <c r="I1608" s="705"/>
    </row>
    <row r="1609" spans="1:9" s="543" customFormat="1" ht="25.5">
      <c r="A1609" s="1263" t="s">
        <v>156</v>
      </c>
      <c r="B1609" s="1264"/>
      <c r="C1609" s="1032" t="s">
        <v>4326</v>
      </c>
      <c r="D1609" s="598" t="s">
        <v>4328</v>
      </c>
      <c r="E1609" s="697">
        <v>13764</v>
      </c>
      <c r="F1609" s="698">
        <v>0</v>
      </c>
      <c r="G1609" s="1002"/>
      <c r="H1609" s="705"/>
      <c r="I1609" s="705"/>
    </row>
    <row r="1610" spans="1:9" s="543" customFormat="1" ht="25.5">
      <c r="A1610" s="1263" t="s">
        <v>157</v>
      </c>
      <c r="B1610" s="1264"/>
      <c r="C1610" s="1032" t="s">
        <v>4326</v>
      </c>
      <c r="D1610" s="598" t="s">
        <v>4328</v>
      </c>
      <c r="E1610" s="697">
        <v>13764</v>
      </c>
      <c r="F1610" s="698">
        <v>0</v>
      </c>
      <c r="G1610" s="1002"/>
      <c r="H1610" s="705"/>
      <c r="I1610" s="705"/>
    </row>
    <row r="1611" spans="1:9" s="543" customFormat="1" ht="25.5">
      <c r="A1611" s="1263" t="s">
        <v>158</v>
      </c>
      <c r="B1611" s="1264"/>
      <c r="C1611" s="1032" t="s">
        <v>4326</v>
      </c>
      <c r="D1611" s="598" t="s">
        <v>4328</v>
      </c>
      <c r="E1611" s="697">
        <v>13764</v>
      </c>
      <c r="F1611" s="698">
        <v>0</v>
      </c>
      <c r="G1611" s="1002"/>
      <c r="H1611" s="705"/>
      <c r="I1611" s="705"/>
    </row>
    <row r="1612" spans="1:9" s="543" customFormat="1" ht="12.75">
      <c r="A1612" s="1263" t="s">
        <v>159</v>
      </c>
      <c r="B1612" s="1264"/>
      <c r="C1612" s="1032" t="s">
        <v>4326</v>
      </c>
      <c r="D1612" s="598" t="s">
        <v>4329</v>
      </c>
      <c r="E1612" s="697">
        <v>3607</v>
      </c>
      <c r="F1612" s="698">
        <v>0</v>
      </c>
      <c r="G1612" s="1002"/>
      <c r="H1612" s="705"/>
      <c r="I1612" s="705"/>
    </row>
    <row r="1613" spans="1:9" s="543" customFormat="1" ht="12.75">
      <c r="A1613" s="1263" t="s">
        <v>160</v>
      </c>
      <c r="B1613" s="1264"/>
      <c r="C1613" s="1032" t="s">
        <v>4326</v>
      </c>
      <c r="D1613" s="598" t="s">
        <v>4329</v>
      </c>
      <c r="E1613" s="697">
        <v>3607</v>
      </c>
      <c r="F1613" s="698">
        <v>0</v>
      </c>
      <c r="G1613" s="1002"/>
      <c r="H1613" s="705"/>
      <c r="I1613" s="705"/>
    </row>
    <row r="1614" spans="1:9" s="543" customFormat="1" ht="12.75">
      <c r="A1614" s="1263" t="s">
        <v>161</v>
      </c>
      <c r="B1614" s="1264"/>
      <c r="C1614" s="1032" t="s">
        <v>4326</v>
      </c>
      <c r="D1614" s="598" t="s">
        <v>4329</v>
      </c>
      <c r="E1614" s="697">
        <v>3607</v>
      </c>
      <c r="F1614" s="698">
        <v>0</v>
      </c>
      <c r="G1614" s="1002"/>
      <c r="H1614" s="705"/>
      <c r="I1614" s="705"/>
    </row>
    <row r="1615" spans="1:9" s="543" customFormat="1" ht="12.75">
      <c r="A1615" s="1263" t="s">
        <v>162</v>
      </c>
      <c r="B1615" s="1264"/>
      <c r="C1615" s="1032" t="s">
        <v>4326</v>
      </c>
      <c r="D1615" s="598" t="s">
        <v>4329</v>
      </c>
      <c r="E1615" s="697">
        <v>3607</v>
      </c>
      <c r="F1615" s="698">
        <v>0</v>
      </c>
      <c r="G1615" s="1002"/>
      <c r="H1615" s="705"/>
      <c r="I1615" s="705"/>
    </row>
    <row r="1616" spans="1:9" s="543" customFormat="1" ht="12.75">
      <c r="A1616" s="1263" t="s">
        <v>163</v>
      </c>
      <c r="B1616" s="1264"/>
      <c r="C1616" s="1032" t="s">
        <v>4326</v>
      </c>
      <c r="D1616" s="598" t="s">
        <v>4329</v>
      </c>
      <c r="E1616" s="697">
        <v>3607</v>
      </c>
      <c r="F1616" s="698">
        <v>0</v>
      </c>
      <c r="G1616" s="1002"/>
      <c r="H1616" s="705"/>
      <c r="I1616" s="705"/>
    </row>
    <row r="1617" spans="1:9" s="543" customFormat="1" ht="13.5" thickBot="1">
      <c r="A1617" s="1263" t="s">
        <v>164</v>
      </c>
      <c r="B1617" s="1264"/>
      <c r="C1617" s="1032" t="s">
        <v>4326</v>
      </c>
      <c r="D1617" s="598" t="s">
        <v>4329</v>
      </c>
      <c r="E1617" s="697">
        <v>3607</v>
      </c>
      <c r="F1617" s="698">
        <v>0</v>
      </c>
      <c r="G1617" s="1002"/>
      <c r="H1617" s="705"/>
      <c r="I1617" s="705"/>
    </row>
    <row r="1618" spans="1:9" s="543" customFormat="1" ht="48.75" thickBot="1">
      <c r="A1618" s="605" t="s">
        <v>4597</v>
      </c>
      <c r="B1618" s="606" t="s">
        <v>4601</v>
      </c>
      <c r="C1618" s="1008" t="s">
        <v>4602</v>
      </c>
      <c r="D1618" s="606" t="s">
        <v>4603</v>
      </c>
      <c r="E1618" s="738" t="s">
        <v>4604</v>
      </c>
      <c r="F1618" s="739" t="s">
        <v>4605</v>
      </c>
      <c r="G1618" s="1002"/>
      <c r="H1618" s="705"/>
      <c r="I1618" s="705"/>
    </row>
    <row r="1619" spans="1:9" s="543" customFormat="1" ht="12.75">
      <c r="A1619" s="1263" t="s">
        <v>165</v>
      </c>
      <c r="B1619" s="1264"/>
      <c r="C1619" s="1032" t="s">
        <v>4326</v>
      </c>
      <c r="D1619" s="598" t="s">
        <v>4329</v>
      </c>
      <c r="E1619" s="697">
        <v>3607</v>
      </c>
      <c r="F1619" s="698">
        <v>0</v>
      </c>
      <c r="G1619" s="1002"/>
      <c r="H1619" s="705"/>
      <c r="I1619" s="705"/>
    </row>
    <row r="1620" spans="1:9" s="543" customFormat="1" ht="12.75">
      <c r="A1620" s="1263" t="s">
        <v>166</v>
      </c>
      <c r="B1620" s="1264"/>
      <c r="C1620" s="1032" t="s">
        <v>4326</v>
      </c>
      <c r="D1620" s="598" t="s">
        <v>4329</v>
      </c>
      <c r="E1620" s="697">
        <v>3607</v>
      </c>
      <c r="F1620" s="698">
        <v>0</v>
      </c>
      <c r="G1620" s="1002"/>
      <c r="H1620" s="705"/>
      <c r="I1620" s="705"/>
    </row>
    <row r="1621" spans="1:9" s="543" customFormat="1" ht="12.75">
      <c r="A1621" s="1263" t="s">
        <v>167</v>
      </c>
      <c r="B1621" s="1264"/>
      <c r="C1621" s="1032" t="s">
        <v>4326</v>
      </c>
      <c r="D1621" s="598" t="s">
        <v>4329</v>
      </c>
      <c r="E1621" s="697">
        <v>3607</v>
      </c>
      <c r="F1621" s="698">
        <v>0</v>
      </c>
      <c r="G1621" s="1002"/>
      <c r="H1621" s="705"/>
      <c r="I1621" s="705"/>
    </row>
    <row r="1622" spans="1:9" s="543" customFormat="1" ht="12.75">
      <c r="A1622" s="1263" t="s">
        <v>168</v>
      </c>
      <c r="B1622" s="1264"/>
      <c r="C1622" s="1032" t="s">
        <v>4330</v>
      </c>
      <c r="D1622" s="598" t="s">
        <v>4331</v>
      </c>
      <c r="E1622" s="697">
        <v>120000</v>
      </c>
      <c r="F1622" s="698">
        <v>0</v>
      </c>
      <c r="G1622" s="1002"/>
      <c r="H1622" s="705"/>
      <c r="I1622" s="705"/>
    </row>
    <row r="1623" spans="1:9" s="543" customFormat="1" ht="12.75">
      <c r="A1623" s="1263" t="s">
        <v>169</v>
      </c>
      <c r="B1623" s="1264"/>
      <c r="C1623" s="1032" t="s">
        <v>4330</v>
      </c>
      <c r="D1623" s="598" t="s">
        <v>4331</v>
      </c>
      <c r="E1623" s="697">
        <v>120000</v>
      </c>
      <c r="F1623" s="698">
        <v>0</v>
      </c>
      <c r="G1623" s="1002"/>
      <c r="H1623" s="705"/>
      <c r="I1623" s="705"/>
    </row>
    <row r="1624" spans="1:9" s="543" customFormat="1" ht="12.75">
      <c r="A1624" s="1263" t="s">
        <v>170</v>
      </c>
      <c r="B1624" s="1264"/>
      <c r="C1624" s="1032" t="s">
        <v>4330</v>
      </c>
      <c r="D1624" s="598" t="s">
        <v>4331</v>
      </c>
      <c r="E1624" s="697">
        <v>120000</v>
      </c>
      <c r="F1624" s="698">
        <v>0</v>
      </c>
      <c r="G1624" s="1002"/>
      <c r="H1624" s="705"/>
      <c r="I1624" s="705"/>
    </row>
    <row r="1625" spans="1:9" s="543" customFormat="1" ht="12.75">
      <c r="A1625" s="1263" t="s">
        <v>171</v>
      </c>
      <c r="B1625" s="1264"/>
      <c r="C1625" s="1032" t="s">
        <v>4330</v>
      </c>
      <c r="D1625" s="598" t="s">
        <v>4331</v>
      </c>
      <c r="E1625" s="697">
        <v>120000</v>
      </c>
      <c r="F1625" s="698">
        <v>0</v>
      </c>
      <c r="G1625" s="1002"/>
      <c r="H1625" s="705"/>
      <c r="I1625" s="705"/>
    </row>
    <row r="1626" spans="1:9" s="543" customFormat="1" ht="12.75">
      <c r="A1626" s="1263" t="s">
        <v>172</v>
      </c>
      <c r="B1626" s="1264"/>
      <c r="C1626" s="1032" t="s">
        <v>4330</v>
      </c>
      <c r="D1626" s="598" t="s">
        <v>4331</v>
      </c>
      <c r="E1626" s="697">
        <v>120000</v>
      </c>
      <c r="F1626" s="698">
        <v>0</v>
      </c>
      <c r="G1626" s="1002"/>
      <c r="H1626" s="705"/>
      <c r="I1626" s="705"/>
    </row>
    <row r="1627" spans="1:9" s="543" customFormat="1" ht="12.75">
      <c r="A1627" s="1263" t="s">
        <v>173</v>
      </c>
      <c r="B1627" s="1264"/>
      <c r="C1627" s="1032" t="s">
        <v>4330</v>
      </c>
      <c r="D1627" s="598" t="s">
        <v>4331</v>
      </c>
      <c r="E1627" s="697">
        <v>120000</v>
      </c>
      <c r="F1627" s="698">
        <v>0</v>
      </c>
      <c r="G1627" s="1002"/>
      <c r="H1627" s="705"/>
      <c r="I1627" s="705"/>
    </row>
    <row r="1628" spans="1:9" s="543" customFormat="1" ht="12.75">
      <c r="A1628" s="1263" t="s">
        <v>174</v>
      </c>
      <c r="B1628" s="1264"/>
      <c r="C1628" s="1032" t="s">
        <v>4330</v>
      </c>
      <c r="D1628" s="598" t="s">
        <v>4331</v>
      </c>
      <c r="E1628" s="697">
        <v>120000</v>
      </c>
      <c r="F1628" s="698">
        <v>0</v>
      </c>
      <c r="G1628" s="1002"/>
      <c r="H1628" s="705"/>
      <c r="I1628" s="705"/>
    </row>
    <row r="1629" spans="1:9" s="543" customFormat="1" ht="12.75">
      <c r="A1629" s="1263" t="s">
        <v>175</v>
      </c>
      <c r="B1629" s="1264"/>
      <c r="C1629" s="1032" t="s">
        <v>4330</v>
      </c>
      <c r="D1629" s="598" t="s">
        <v>4331</v>
      </c>
      <c r="E1629" s="697">
        <v>120000</v>
      </c>
      <c r="F1629" s="698">
        <v>0</v>
      </c>
      <c r="G1629" s="1002"/>
      <c r="H1629" s="705"/>
      <c r="I1629" s="705"/>
    </row>
    <row r="1630" spans="1:9" s="543" customFormat="1" ht="12.75">
      <c r="A1630" s="1263" t="s">
        <v>176</v>
      </c>
      <c r="B1630" s="1264"/>
      <c r="C1630" s="1032" t="s">
        <v>4330</v>
      </c>
      <c r="D1630" s="598" t="s">
        <v>4331</v>
      </c>
      <c r="E1630" s="697">
        <v>120000</v>
      </c>
      <c r="F1630" s="698">
        <v>0</v>
      </c>
      <c r="G1630" s="1002"/>
      <c r="H1630" s="705"/>
      <c r="I1630" s="705"/>
    </row>
    <row r="1631" spans="1:9" s="543" customFormat="1" ht="12.75">
      <c r="A1631" s="1263" t="s">
        <v>177</v>
      </c>
      <c r="B1631" s="1264"/>
      <c r="C1631" s="1032" t="s">
        <v>4330</v>
      </c>
      <c r="D1631" s="598" t="s">
        <v>4331</v>
      </c>
      <c r="E1631" s="697">
        <v>120000</v>
      </c>
      <c r="F1631" s="698">
        <v>0</v>
      </c>
      <c r="G1631" s="1002"/>
      <c r="H1631" s="705"/>
      <c r="I1631" s="705"/>
    </row>
    <row r="1632" spans="1:9" s="543" customFormat="1" ht="12.75">
      <c r="A1632" s="1263" t="s">
        <v>178</v>
      </c>
      <c r="B1632" s="1264"/>
      <c r="C1632" s="1032" t="s">
        <v>4330</v>
      </c>
      <c r="D1632" s="598" t="s">
        <v>4331</v>
      </c>
      <c r="E1632" s="697">
        <v>120000</v>
      </c>
      <c r="F1632" s="698">
        <v>0</v>
      </c>
      <c r="G1632" s="1002"/>
      <c r="H1632" s="705"/>
      <c r="I1632" s="705"/>
    </row>
    <row r="1633" spans="1:9" s="543" customFormat="1" ht="12.75">
      <c r="A1633" s="1263" t="s">
        <v>179</v>
      </c>
      <c r="B1633" s="1264"/>
      <c r="C1633" s="1032" t="s">
        <v>4330</v>
      </c>
      <c r="D1633" s="598" t="s">
        <v>4331</v>
      </c>
      <c r="E1633" s="697">
        <v>120000</v>
      </c>
      <c r="F1633" s="698">
        <v>0</v>
      </c>
      <c r="G1633" s="1002"/>
      <c r="H1633" s="705"/>
      <c r="I1633" s="705"/>
    </row>
    <row r="1634" spans="1:9" s="543" customFormat="1" ht="12.75">
      <c r="A1634" s="1263" t="s">
        <v>180</v>
      </c>
      <c r="B1634" s="1264"/>
      <c r="C1634" s="1032" t="s">
        <v>4330</v>
      </c>
      <c r="D1634" s="598" t="s">
        <v>4331</v>
      </c>
      <c r="E1634" s="697">
        <v>120000</v>
      </c>
      <c r="F1634" s="698">
        <v>0</v>
      </c>
      <c r="G1634" s="1002"/>
      <c r="H1634" s="705"/>
      <c r="I1634" s="705"/>
    </row>
    <row r="1635" spans="1:9" s="543" customFormat="1" ht="12.75">
      <c r="A1635" s="1263" t="s">
        <v>181</v>
      </c>
      <c r="B1635" s="1264"/>
      <c r="C1635" s="1032" t="s">
        <v>4330</v>
      </c>
      <c r="D1635" s="598" t="s">
        <v>4331</v>
      </c>
      <c r="E1635" s="697">
        <v>120000</v>
      </c>
      <c r="F1635" s="698">
        <v>0</v>
      </c>
      <c r="G1635" s="1002"/>
      <c r="H1635" s="705"/>
      <c r="I1635" s="705"/>
    </row>
    <row r="1636" spans="1:9" s="543" customFormat="1" ht="12.75">
      <c r="A1636" s="1263" t="s">
        <v>182</v>
      </c>
      <c r="B1636" s="1264"/>
      <c r="C1636" s="1032" t="s">
        <v>4330</v>
      </c>
      <c r="D1636" s="598" t="s">
        <v>4331</v>
      </c>
      <c r="E1636" s="697">
        <v>120000</v>
      </c>
      <c r="F1636" s="698">
        <v>0</v>
      </c>
      <c r="G1636" s="1002"/>
      <c r="H1636" s="705"/>
      <c r="I1636" s="705"/>
    </row>
    <row r="1637" spans="1:9" s="543" customFormat="1" ht="12.75">
      <c r="A1637" s="1263" t="s">
        <v>183</v>
      </c>
      <c r="B1637" s="1264"/>
      <c r="C1637" s="1032" t="s">
        <v>4330</v>
      </c>
      <c r="D1637" s="598" t="s">
        <v>4331</v>
      </c>
      <c r="E1637" s="697">
        <v>120000</v>
      </c>
      <c r="F1637" s="698">
        <v>0</v>
      </c>
      <c r="G1637" s="1002"/>
      <c r="H1637" s="705"/>
      <c r="I1637" s="705"/>
    </row>
    <row r="1638" spans="1:9" s="543" customFormat="1" ht="12.75">
      <c r="A1638" s="1263" t="s">
        <v>184</v>
      </c>
      <c r="B1638" s="1264"/>
      <c r="C1638" s="1032" t="s">
        <v>4330</v>
      </c>
      <c r="D1638" s="598" t="s">
        <v>4331</v>
      </c>
      <c r="E1638" s="697">
        <v>120000</v>
      </c>
      <c r="F1638" s="698">
        <v>0</v>
      </c>
      <c r="G1638" s="1002"/>
      <c r="H1638" s="705"/>
      <c r="I1638" s="705"/>
    </row>
    <row r="1639" spans="1:9" s="543" customFormat="1" ht="12.75">
      <c r="A1639" s="1263" t="s">
        <v>185</v>
      </c>
      <c r="B1639" s="1264"/>
      <c r="C1639" s="1032" t="s">
        <v>4330</v>
      </c>
      <c r="D1639" s="598" t="s">
        <v>4331</v>
      </c>
      <c r="E1639" s="697">
        <v>120000</v>
      </c>
      <c r="F1639" s="698">
        <v>0</v>
      </c>
      <c r="G1639" s="1002"/>
      <c r="H1639" s="705"/>
      <c r="I1639" s="705"/>
    </row>
    <row r="1640" spans="1:9" s="543" customFormat="1" ht="12.75">
      <c r="A1640" s="1263" t="s">
        <v>186</v>
      </c>
      <c r="B1640" s="1264"/>
      <c r="C1640" s="1032" t="s">
        <v>4330</v>
      </c>
      <c r="D1640" s="598" t="s">
        <v>4331</v>
      </c>
      <c r="E1640" s="697">
        <v>120000</v>
      </c>
      <c r="F1640" s="698">
        <v>0</v>
      </c>
      <c r="G1640" s="1002"/>
      <c r="H1640" s="705"/>
      <c r="I1640" s="705"/>
    </row>
    <row r="1641" spans="1:9" s="543" customFormat="1" ht="12.75">
      <c r="A1641" s="1263" t="s">
        <v>187</v>
      </c>
      <c r="B1641" s="1264"/>
      <c r="C1641" s="1032" t="s">
        <v>4330</v>
      </c>
      <c r="D1641" s="598" t="s">
        <v>4331</v>
      </c>
      <c r="E1641" s="697">
        <v>120000</v>
      </c>
      <c r="F1641" s="698">
        <v>0</v>
      </c>
      <c r="G1641" s="1002"/>
      <c r="H1641" s="705"/>
      <c r="I1641" s="705"/>
    </row>
    <row r="1642" spans="1:9" s="543" customFormat="1" ht="12.75">
      <c r="A1642" s="1263" t="s">
        <v>188</v>
      </c>
      <c r="B1642" s="1264"/>
      <c r="C1642" s="1032" t="s">
        <v>4330</v>
      </c>
      <c r="D1642" s="598" t="s">
        <v>4331</v>
      </c>
      <c r="E1642" s="697">
        <v>120000</v>
      </c>
      <c r="F1642" s="698">
        <v>0</v>
      </c>
      <c r="G1642" s="1002"/>
      <c r="H1642" s="705"/>
      <c r="I1642" s="705"/>
    </row>
    <row r="1643" spans="1:9" s="543" customFormat="1" ht="12.75">
      <c r="A1643" s="1263" t="s">
        <v>189</v>
      </c>
      <c r="B1643" s="1264"/>
      <c r="C1643" s="1032" t="s">
        <v>4330</v>
      </c>
      <c r="D1643" s="598" t="s">
        <v>4332</v>
      </c>
      <c r="E1643" s="697">
        <v>200000</v>
      </c>
      <c r="F1643" s="698">
        <v>0</v>
      </c>
      <c r="G1643" s="1002"/>
      <c r="H1643" s="705"/>
      <c r="I1643" s="705"/>
    </row>
    <row r="1644" spans="1:9" s="543" customFormat="1" ht="12.75">
      <c r="A1644" s="1263" t="s">
        <v>190</v>
      </c>
      <c r="B1644" s="1264"/>
      <c r="C1644" s="1032" t="s">
        <v>4330</v>
      </c>
      <c r="D1644" s="598" t="s">
        <v>4333</v>
      </c>
      <c r="E1644" s="697">
        <v>200000</v>
      </c>
      <c r="F1644" s="698">
        <v>0</v>
      </c>
      <c r="G1644" s="1002"/>
      <c r="H1644" s="705"/>
      <c r="I1644" s="705"/>
    </row>
    <row r="1645" spans="1:9" s="543" customFormat="1" ht="12.75">
      <c r="A1645" s="1263" t="s">
        <v>191</v>
      </c>
      <c r="B1645" s="1264"/>
      <c r="C1645" s="1032" t="s">
        <v>4330</v>
      </c>
      <c r="D1645" s="598" t="s">
        <v>4332</v>
      </c>
      <c r="E1645" s="697">
        <v>200000</v>
      </c>
      <c r="F1645" s="698">
        <v>0</v>
      </c>
      <c r="G1645" s="1002"/>
      <c r="H1645" s="705"/>
      <c r="I1645" s="705"/>
    </row>
    <row r="1646" spans="1:9" s="543" customFormat="1" ht="12.75">
      <c r="A1646" s="1263" t="s">
        <v>192</v>
      </c>
      <c r="B1646" s="1264"/>
      <c r="C1646" s="1032" t="s">
        <v>4334</v>
      </c>
      <c r="D1646" s="598" t="s">
        <v>4335</v>
      </c>
      <c r="E1646" s="697">
        <v>165000</v>
      </c>
      <c r="F1646" s="698">
        <v>0</v>
      </c>
      <c r="G1646" s="1002"/>
      <c r="H1646" s="705"/>
      <c r="I1646" s="705"/>
    </row>
    <row r="1647" spans="1:9" s="543" customFormat="1" ht="12.75">
      <c r="A1647" s="1263" t="s">
        <v>193</v>
      </c>
      <c r="B1647" s="1265"/>
      <c r="C1647" s="1073" t="s">
        <v>4334</v>
      </c>
      <c r="D1647" s="600" t="s">
        <v>4336</v>
      </c>
      <c r="E1647" s="770">
        <v>165000</v>
      </c>
      <c r="F1647" s="771">
        <v>0</v>
      </c>
      <c r="G1647" s="1002"/>
      <c r="H1647" s="705"/>
      <c r="I1647" s="705"/>
    </row>
    <row r="1648" spans="1:9" s="543" customFormat="1" ht="16.5" customHeight="1">
      <c r="A1648" s="1263" t="s">
        <v>194</v>
      </c>
      <c r="B1648" s="630"/>
      <c r="C1648" s="1032" t="s">
        <v>4337</v>
      </c>
      <c r="D1648" s="598" t="s">
        <v>4338</v>
      </c>
      <c r="E1648" s="697">
        <v>150000</v>
      </c>
      <c r="F1648" s="698">
        <v>0</v>
      </c>
      <c r="G1648" s="1002"/>
      <c r="H1648" s="705"/>
      <c r="I1648" s="705"/>
    </row>
    <row r="1649" spans="1:9" s="543" customFormat="1" ht="25.5">
      <c r="A1649" s="1263" t="s">
        <v>195</v>
      </c>
      <c r="B1649" s="722"/>
      <c r="C1649" s="1032" t="s">
        <v>4339</v>
      </c>
      <c r="D1649" s="598" t="s">
        <v>4340</v>
      </c>
      <c r="E1649" s="697">
        <v>200640</v>
      </c>
      <c r="F1649" s="698">
        <v>0</v>
      </c>
      <c r="G1649" s="1002"/>
      <c r="H1649" s="705"/>
      <c r="I1649" s="705"/>
    </row>
    <row r="1650" spans="1:9" s="543" customFormat="1" ht="12.75">
      <c r="A1650" s="1263" t="s">
        <v>196</v>
      </c>
      <c r="B1650" s="1266"/>
      <c r="C1650" s="1091" t="s">
        <v>4334</v>
      </c>
      <c r="D1650" s="596" t="s">
        <v>4341</v>
      </c>
      <c r="E1650" s="1058">
        <v>150000</v>
      </c>
      <c r="F1650" s="1075">
        <v>0</v>
      </c>
      <c r="G1650" s="1002"/>
      <c r="H1650" s="705"/>
      <c r="I1650" s="705"/>
    </row>
    <row r="1651" spans="1:9" s="543" customFormat="1" ht="12.75">
      <c r="A1651" s="1263" t="s">
        <v>197</v>
      </c>
      <c r="B1651" s="1266"/>
      <c r="C1651" s="1091" t="s">
        <v>4334</v>
      </c>
      <c r="D1651" s="596" t="s">
        <v>4342</v>
      </c>
      <c r="E1651" s="1058">
        <v>2862</v>
      </c>
      <c r="F1651" s="1075">
        <v>0</v>
      </c>
      <c r="G1651" s="1002"/>
      <c r="H1651" s="705"/>
      <c r="I1651" s="705"/>
    </row>
    <row r="1652" spans="1:9" s="543" customFormat="1" ht="12.75">
      <c r="A1652" s="1263" t="s">
        <v>198</v>
      </c>
      <c r="B1652" s="1266"/>
      <c r="C1652" s="1091" t="s">
        <v>4334</v>
      </c>
      <c r="D1652" s="596" t="s">
        <v>4342</v>
      </c>
      <c r="E1652" s="1058">
        <v>2862</v>
      </c>
      <c r="F1652" s="1075">
        <v>0</v>
      </c>
      <c r="G1652" s="1002"/>
      <c r="H1652" s="705"/>
      <c r="I1652" s="705"/>
    </row>
    <row r="1653" spans="1:9" s="543" customFormat="1" ht="25.5">
      <c r="A1653" s="1263" t="s">
        <v>199</v>
      </c>
      <c r="B1653" s="630"/>
      <c r="C1653" s="1032" t="s">
        <v>4339</v>
      </c>
      <c r="D1653" s="598" t="s">
        <v>4340</v>
      </c>
      <c r="E1653" s="697">
        <v>200640</v>
      </c>
      <c r="F1653" s="698">
        <v>0</v>
      </c>
      <c r="G1653" s="1002"/>
      <c r="H1653" s="705"/>
      <c r="I1653" s="705"/>
    </row>
    <row r="1654" spans="1:9" s="543" customFormat="1" ht="12.75">
      <c r="A1654" s="1263" t="s">
        <v>200</v>
      </c>
      <c r="B1654" s="630"/>
      <c r="C1654" s="1032" t="s">
        <v>4339</v>
      </c>
      <c r="D1654" s="598" t="s">
        <v>4343</v>
      </c>
      <c r="E1654" s="697">
        <v>191400</v>
      </c>
      <c r="F1654" s="698">
        <v>0</v>
      </c>
      <c r="G1654" s="1002"/>
      <c r="H1654" s="705"/>
      <c r="I1654" s="705"/>
    </row>
    <row r="1655" spans="1:9" s="543" customFormat="1" ht="12.75">
      <c r="A1655" s="1263" t="s">
        <v>201</v>
      </c>
      <c r="B1655" s="822"/>
      <c r="C1655" s="1032" t="s">
        <v>4334</v>
      </c>
      <c r="D1655" s="598" t="s">
        <v>4344</v>
      </c>
      <c r="E1655" s="697">
        <v>199988</v>
      </c>
      <c r="F1655" s="698">
        <v>0</v>
      </c>
      <c r="G1655" s="1002"/>
      <c r="H1655" s="705"/>
      <c r="I1655" s="705"/>
    </row>
    <row r="1656" spans="1:9" s="543" customFormat="1" ht="12.75">
      <c r="A1656" s="1263" t="s">
        <v>202</v>
      </c>
      <c r="B1656" s="630"/>
      <c r="C1656" s="1032" t="s">
        <v>4339</v>
      </c>
      <c r="D1656" s="598" t="s">
        <v>4345</v>
      </c>
      <c r="E1656" s="697">
        <v>149231</v>
      </c>
      <c r="F1656" s="698">
        <v>0</v>
      </c>
      <c r="G1656" s="1002"/>
      <c r="H1656" s="705"/>
      <c r="I1656" s="705"/>
    </row>
    <row r="1657" spans="1:9" s="543" customFormat="1" ht="12.75">
      <c r="A1657" s="1263" t="s">
        <v>203</v>
      </c>
      <c r="B1657" s="630"/>
      <c r="C1657" s="1032" t="s">
        <v>4339</v>
      </c>
      <c r="D1657" s="598" t="s">
        <v>4346</v>
      </c>
      <c r="E1657" s="697">
        <v>191400</v>
      </c>
      <c r="F1657" s="698">
        <v>0</v>
      </c>
      <c r="G1657" s="1002"/>
      <c r="H1657" s="705"/>
      <c r="I1657" s="705"/>
    </row>
    <row r="1658" spans="1:9" s="543" customFormat="1" ht="12.75">
      <c r="A1658" s="1263" t="s">
        <v>204</v>
      </c>
      <c r="B1658" s="630"/>
      <c r="C1658" s="1032" t="s">
        <v>4339</v>
      </c>
      <c r="D1658" s="598" t="s">
        <v>4345</v>
      </c>
      <c r="E1658" s="697">
        <v>149231</v>
      </c>
      <c r="F1658" s="698">
        <v>0</v>
      </c>
      <c r="G1658" s="1002"/>
      <c r="H1658" s="705"/>
      <c r="I1658" s="705"/>
    </row>
    <row r="1659" spans="1:9" s="543" customFormat="1" ht="12.75">
      <c r="A1659" s="1263" t="s">
        <v>205</v>
      </c>
      <c r="B1659" s="631"/>
      <c r="C1659" s="1073" t="s">
        <v>4339</v>
      </c>
      <c r="D1659" s="600" t="s">
        <v>4346</v>
      </c>
      <c r="E1659" s="770">
        <v>191400</v>
      </c>
      <c r="F1659" s="771">
        <v>0</v>
      </c>
      <c r="G1659" s="1002"/>
      <c r="H1659" s="705"/>
      <c r="I1659" s="705"/>
    </row>
    <row r="1660" spans="1:9" s="543" customFormat="1" ht="25.5">
      <c r="A1660" s="1263" t="s">
        <v>206</v>
      </c>
      <c r="B1660" s="630"/>
      <c r="C1660" s="1032" t="s">
        <v>4339</v>
      </c>
      <c r="D1660" s="598" t="s">
        <v>4347</v>
      </c>
      <c r="E1660" s="697">
        <v>199000</v>
      </c>
      <c r="F1660" s="698">
        <v>0</v>
      </c>
      <c r="G1660" s="1002"/>
      <c r="H1660" s="705"/>
      <c r="I1660" s="705"/>
    </row>
    <row r="1661" spans="1:9" s="543" customFormat="1" ht="25.5">
      <c r="A1661" s="1263" t="s">
        <v>207</v>
      </c>
      <c r="B1661" s="631"/>
      <c r="C1661" s="1032" t="s">
        <v>4339</v>
      </c>
      <c r="D1661" s="600" t="s">
        <v>4347</v>
      </c>
      <c r="E1661" s="770">
        <v>199000</v>
      </c>
      <c r="F1661" s="771">
        <v>0</v>
      </c>
      <c r="G1661" s="1002"/>
      <c r="H1661" s="705"/>
      <c r="I1661" s="705"/>
    </row>
    <row r="1662" spans="1:9" s="543" customFormat="1" ht="25.5">
      <c r="A1662" s="1263" t="s">
        <v>208</v>
      </c>
      <c r="B1662" s="631"/>
      <c r="C1662" s="1032" t="s">
        <v>4339</v>
      </c>
      <c r="D1662" s="600" t="s">
        <v>4347</v>
      </c>
      <c r="E1662" s="770">
        <v>199000</v>
      </c>
      <c r="F1662" s="771">
        <v>0</v>
      </c>
      <c r="G1662" s="1002"/>
      <c r="H1662" s="705"/>
      <c r="I1662" s="705"/>
    </row>
    <row r="1663" spans="1:9" s="543" customFormat="1" ht="25.5">
      <c r="A1663" s="1263" t="s">
        <v>209</v>
      </c>
      <c r="B1663" s="631"/>
      <c r="C1663" s="1073" t="s">
        <v>4339</v>
      </c>
      <c r="D1663" s="600" t="s">
        <v>4347</v>
      </c>
      <c r="E1663" s="770">
        <v>199000</v>
      </c>
      <c r="F1663" s="771">
        <v>0</v>
      </c>
      <c r="G1663" s="1002"/>
      <c r="H1663" s="705"/>
      <c r="I1663" s="705"/>
    </row>
    <row r="1664" spans="1:9" s="543" customFormat="1" ht="25.5">
      <c r="A1664" s="1263" t="s">
        <v>210</v>
      </c>
      <c r="B1664" s="631"/>
      <c r="C1664" s="1032" t="s">
        <v>4339</v>
      </c>
      <c r="D1664" s="600" t="s">
        <v>4347</v>
      </c>
      <c r="E1664" s="770">
        <v>199000</v>
      </c>
      <c r="F1664" s="771">
        <v>0</v>
      </c>
      <c r="G1664" s="1002"/>
      <c r="H1664" s="705"/>
      <c r="I1664" s="705"/>
    </row>
    <row r="1665" spans="1:9" s="686" customFormat="1" ht="25.5">
      <c r="A1665" s="1263" t="s">
        <v>211</v>
      </c>
      <c r="B1665" s="631"/>
      <c r="C1665" s="1032" t="s">
        <v>4339</v>
      </c>
      <c r="D1665" s="600" t="s">
        <v>4347</v>
      </c>
      <c r="E1665" s="770">
        <v>199000</v>
      </c>
      <c r="F1665" s="771">
        <v>0</v>
      </c>
      <c r="G1665" s="1001"/>
      <c r="H1665" s="817"/>
      <c r="I1665" s="817"/>
    </row>
    <row r="1666" spans="1:9" s="543" customFormat="1" ht="12.75">
      <c r="A1666" s="1263" t="s">
        <v>212</v>
      </c>
      <c r="B1666" s="631"/>
      <c r="C1666" s="1032" t="s">
        <v>4339</v>
      </c>
      <c r="D1666" s="600" t="s">
        <v>4348</v>
      </c>
      <c r="E1666" s="770">
        <v>540000</v>
      </c>
      <c r="F1666" s="771">
        <v>0</v>
      </c>
      <c r="G1666" s="1002"/>
      <c r="H1666" s="705"/>
      <c r="I1666" s="705"/>
    </row>
    <row r="1667" spans="1:9" s="543" customFormat="1" ht="12.75">
      <c r="A1667" s="1263" t="s">
        <v>213</v>
      </c>
      <c r="B1667" s="631"/>
      <c r="C1667" s="1073" t="s">
        <v>4339</v>
      </c>
      <c r="D1667" s="600" t="s">
        <v>4349</v>
      </c>
      <c r="E1667" s="770">
        <v>230000</v>
      </c>
      <c r="F1667" s="771">
        <v>0</v>
      </c>
      <c r="G1667" s="1002"/>
      <c r="H1667" s="705"/>
      <c r="I1667" s="705"/>
    </row>
    <row r="1668" spans="1:9" s="543" customFormat="1" ht="13.5" thickBot="1">
      <c r="A1668" s="1263" t="s">
        <v>214</v>
      </c>
      <c r="B1668" s="631"/>
      <c r="C1668" s="1032" t="s">
        <v>4339</v>
      </c>
      <c r="D1668" s="600" t="s">
        <v>4350</v>
      </c>
      <c r="E1668" s="770">
        <v>230000</v>
      </c>
      <c r="F1668" s="771">
        <v>0</v>
      </c>
      <c r="G1668" s="1002"/>
      <c r="H1668" s="705"/>
      <c r="I1668" s="705"/>
    </row>
    <row r="1669" spans="1:9" s="543" customFormat="1" ht="48.75" thickBot="1">
      <c r="A1669" s="605" t="s">
        <v>4597</v>
      </c>
      <c r="B1669" s="606" t="s">
        <v>4601</v>
      </c>
      <c r="C1669" s="1008" t="s">
        <v>4602</v>
      </c>
      <c r="D1669" s="606" t="s">
        <v>4603</v>
      </c>
      <c r="E1669" s="738" t="s">
        <v>4604</v>
      </c>
      <c r="F1669" s="739" t="s">
        <v>4605</v>
      </c>
      <c r="G1669" s="1002"/>
      <c r="H1669" s="705"/>
      <c r="I1669" s="705"/>
    </row>
    <row r="1670" spans="1:9" s="627" customFormat="1" ht="22.5" customHeight="1">
      <c r="A1670" s="1263" t="s">
        <v>215</v>
      </c>
      <c r="B1670" s="1014"/>
      <c r="C1670" s="1032" t="s">
        <v>4334</v>
      </c>
      <c r="D1670" s="596" t="s">
        <v>4351</v>
      </c>
      <c r="E1670" s="1058">
        <v>168000</v>
      </c>
      <c r="F1670" s="1075">
        <v>0</v>
      </c>
      <c r="G1670" s="1099"/>
      <c r="H1670" s="818"/>
      <c r="I1670" s="818"/>
    </row>
    <row r="1671" spans="1:9" s="543" customFormat="1" ht="29.25" customHeight="1">
      <c r="A1671" s="1263" t="s">
        <v>216</v>
      </c>
      <c r="B1671" s="1264"/>
      <c r="C1671" s="1032" t="s">
        <v>4337</v>
      </c>
      <c r="D1671" s="598" t="s">
        <v>4338</v>
      </c>
      <c r="E1671" s="697">
        <v>150000</v>
      </c>
      <c r="F1671" s="698">
        <v>0</v>
      </c>
      <c r="G1671" s="1002"/>
      <c r="H1671" s="705"/>
      <c r="I1671" s="705"/>
    </row>
    <row r="1672" spans="1:9" s="543" customFormat="1" ht="30" customHeight="1">
      <c r="A1672" s="1263" t="s">
        <v>217</v>
      </c>
      <c r="B1672" s="1265"/>
      <c r="C1672" s="1073" t="s">
        <v>4337</v>
      </c>
      <c r="D1672" s="600" t="s">
        <v>4338</v>
      </c>
      <c r="E1672" s="770">
        <v>150000</v>
      </c>
      <c r="F1672" s="771">
        <v>0</v>
      </c>
      <c r="G1672" s="1002"/>
      <c r="H1672" s="705"/>
      <c r="I1672" s="705"/>
    </row>
    <row r="1673" spans="1:9" s="801" customFormat="1" ht="18" customHeight="1">
      <c r="A1673" s="1263" t="s">
        <v>218</v>
      </c>
      <c r="B1673" s="630"/>
      <c r="C1673" s="1032" t="s">
        <v>4334</v>
      </c>
      <c r="D1673" s="598" t="s">
        <v>4352</v>
      </c>
      <c r="E1673" s="697">
        <v>300000</v>
      </c>
      <c r="F1673" s="698">
        <v>0</v>
      </c>
      <c r="G1673" s="1267"/>
      <c r="H1673" s="1268"/>
      <c r="I1673" s="1268"/>
    </row>
    <row r="1674" spans="1:9" s="801" customFormat="1" ht="12.75">
      <c r="A1674" s="1263" t="s">
        <v>219</v>
      </c>
      <c r="B1674" s="630"/>
      <c r="C1674" s="1032" t="s">
        <v>4334</v>
      </c>
      <c r="D1674" s="598" t="s">
        <v>4353</v>
      </c>
      <c r="E1674" s="697">
        <v>34400</v>
      </c>
      <c r="F1674" s="698">
        <v>0</v>
      </c>
      <c r="G1674" s="1267"/>
      <c r="H1674" s="1268"/>
      <c r="I1674" s="1268"/>
    </row>
    <row r="1675" spans="1:9" s="801" customFormat="1" ht="12.75">
      <c r="A1675" s="1263" t="s">
        <v>220</v>
      </c>
      <c r="B1675" s="822"/>
      <c r="C1675" s="1032" t="s">
        <v>4334</v>
      </c>
      <c r="D1675" s="598" t="s">
        <v>4353</v>
      </c>
      <c r="E1675" s="697">
        <v>89900</v>
      </c>
      <c r="F1675" s="1075">
        <v>0</v>
      </c>
      <c r="G1675" s="1267"/>
      <c r="H1675" s="1268"/>
      <c r="I1675" s="1268"/>
    </row>
    <row r="1676" spans="1:9" s="801" customFormat="1" ht="12.75">
      <c r="A1676" s="1263" t="s">
        <v>221</v>
      </c>
      <c r="B1676" s="630"/>
      <c r="C1676" s="1032" t="s">
        <v>4334</v>
      </c>
      <c r="D1676" s="598" t="s">
        <v>4320</v>
      </c>
      <c r="E1676" s="697">
        <v>37550</v>
      </c>
      <c r="F1676" s="698">
        <v>0</v>
      </c>
      <c r="G1676" s="1267"/>
      <c r="H1676" s="1268"/>
      <c r="I1676" s="1268"/>
    </row>
    <row r="1677" spans="1:9" s="543" customFormat="1" ht="12.75">
      <c r="A1677" s="1263" t="s">
        <v>222</v>
      </c>
      <c r="B1677" s="630"/>
      <c r="C1677" s="1032" t="s">
        <v>4334</v>
      </c>
      <c r="D1677" s="598" t="s">
        <v>4320</v>
      </c>
      <c r="E1677" s="697">
        <v>83685</v>
      </c>
      <c r="F1677" s="1075">
        <v>0</v>
      </c>
      <c r="G1677" s="1002"/>
      <c r="H1677" s="705"/>
      <c r="I1677" s="705"/>
    </row>
    <row r="1678" spans="1:9" s="801" customFormat="1" ht="12.75">
      <c r="A1678" s="1263" t="s">
        <v>223</v>
      </c>
      <c r="B1678" s="630"/>
      <c r="C1678" s="1032"/>
      <c r="D1678" s="598"/>
      <c r="E1678" s="697"/>
      <c r="F1678" s="1075"/>
      <c r="G1678" s="1267"/>
      <c r="H1678" s="1268"/>
      <c r="I1678" s="1268"/>
    </row>
    <row r="1679" spans="1:9" s="759" customFormat="1" ht="12.75">
      <c r="A1679" s="1263" t="s">
        <v>224</v>
      </c>
      <c r="B1679" s="822"/>
      <c r="C1679" s="1032" t="s">
        <v>4334</v>
      </c>
      <c r="D1679" s="598" t="s">
        <v>4354</v>
      </c>
      <c r="E1679" s="697">
        <v>174975</v>
      </c>
      <c r="F1679" s="1075">
        <v>0</v>
      </c>
      <c r="G1679" s="1206"/>
      <c r="H1679" s="849"/>
      <c r="I1679" s="849"/>
    </row>
    <row r="1680" spans="1:9" s="759" customFormat="1" ht="12.75">
      <c r="A1680" s="1263" t="s">
        <v>225</v>
      </c>
      <c r="B1680" s="822"/>
      <c r="C1680" s="1032" t="s">
        <v>4334</v>
      </c>
      <c r="D1680" s="598" t="s">
        <v>4355</v>
      </c>
      <c r="E1680" s="697">
        <v>139988</v>
      </c>
      <c r="F1680" s="698">
        <v>0</v>
      </c>
      <c r="G1680" s="1206"/>
      <c r="H1680" s="849"/>
      <c r="I1680" s="849"/>
    </row>
    <row r="1681" spans="1:9" s="759" customFormat="1" ht="12.75">
      <c r="A1681" s="1263" t="s">
        <v>226</v>
      </c>
      <c r="B1681" s="822"/>
      <c r="C1681" s="1032" t="s">
        <v>4334</v>
      </c>
      <c r="D1681" s="598" t="s">
        <v>4355</v>
      </c>
      <c r="E1681" s="697">
        <v>139988</v>
      </c>
      <c r="F1681" s="1075">
        <v>0</v>
      </c>
      <c r="G1681" s="1206"/>
      <c r="H1681" s="849"/>
      <c r="I1681" s="849"/>
    </row>
    <row r="1682" spans="1:9" s="759" customFormat="1" ht="12.75">
      <c r="A1682" s="1263" t="s">
        <v>227</v>
      </c>
      <c r="B1682" s="822"/>
      <c r="C1682" s="1032" t="s">
        <v>4334</v>
      </c>
      <c r="D1682" s="598" t="s">
        <v>4356</v>
      </c>
      <c r="E1682" s="697">
        <v>87487</v>
      </c>
      <c r="F1682" s="698">
        <v>0</v>
      </c>
      <c r="G1682" s="1206"/>
      <c r="H1682" s="849"/>
      <c r="I1682" s="849"/>
    </row>
    <row r="1683" spans="1:9" s="759" customFormat="1" ht="12.75">
      <c r="A1683" s="1263" t="s">
        <v>228</v>
      </c>
      <c r="B1683" s="822"/>
      <c r="C1683" s="1032" t="s">
        <v>4334</v>
      </c>
      <c r="D1683" s="598" t="s">
        <v>4320</v>
      </c>
      <c r="E1683" s="697">
        <v>115000</v>
      </c>
      <c r="F1683" s="1075">
        <v>0</v>
      </c>
      <c r="G1683" s="1206"/>
      <c r="H1683" s="849"/>
      <c r="I1683" s="849"/>
    </row>
    <row r="1684" spans="1:9" s="759" customFormat="1" ht="12.75">
      <c r="A1684" s="1263" t="s">
        <v>229</v>
      </c>
      <c r="B1684" s="822"/>
      <c r="C1684" s="1032" t="s">
        <v>4334</v>
      </c>
      <c r="D1684" s="598" t="s">
        <v>4357</v>
      </c>
      <c r="E1684" s="697">
        <v>113480</v>
      </c>
      <c r="F1684" s="1075">
        <v>0</v>
      </c>
      <c r="G1684" s="1206"/>
      <c r="H1684" s="849"/>
      <c r="I1684" s="849"/>
    </row>
    <row r="1685" spans="1:9" s="759" customFormat="1" ht="12.75">
      <c r="A1685" s="1263" t="s">
        <v>230</v>
      </c>
      <c r="B1685" s="822"/>
      <c r="C1685" s="1032" t="s">
        <v>4334</v>
      </c>
      <c r="D1685" s="598" t="s">
        <v>4358</v>
      </c>
      <c r="E1685" s="697">
        <v>113480</v>
      </c>
      <c r="F1685" s="698">
        <v>0</v>
      </c>
      <c r="G1685" s="1206"/>
      <c r="H1685" s="849"/>
      <c r="I1685" s="849"/>
    </row>
    <row r="1686" spans="1:9" s="759" customFormat="1" ht="12.75">
      <c r="A1686" s="1263" t="s">
        <v>231</v>
      </c>
      <c r="B1686" s="822"/>
      <c r="C1686" s="1032" t="s">
        <v>4334</v>
      </c>
      <c r="D1686" s="598" t="s">
        <v>4352</v>
      </c>
      <c r="E1686" s="697">
        <v>293750</v>
      </c>
      <c r="F1686" s="1075">
        <v>0</v>
      </c>
      <c r="G1686" s="1206"/>
      <c r="H1686" s="849"/>
      <c r="I1686" s="849"/>
    </row>
    <row r="1687" spans="1:9" s="759" customFormat="1" ht="12.75">
      <c r="A1687" s="1263" t="s">
        <v>232</v>
      </c>
      <c r="B1687" s="1059"/>
      <c r="C1687" s="1073" t="s">
        <v>4334</v>
      </c>
      <c r="D1687" s="600" t="s">
        <v>4359</v>
      </c>
      <c r="E1687" s="770">
        <v>59990</v>
      </c>
      <c r="F1687" s="771">
        <v>0</v>
      </c>
      <c r="G1687" s="1206"/>
      <c r="H1687" s="849"/>
      <c r="I1687" s="849"/>
    </row>
    <row r="1688" spans="1:10" ht="12.75">
      <c r="A1688" s="1263" t="s">
        <v>233</v>
      </c>
      <c r="B1688" s="822"/>
      <c r="C1688" s="1073" t="s">
        <v>4334</v>
      </c>
      <c r="D1688" s="598" t="s">
        <v>4360</v>
      </c>
      <c r="E1688" s="1269">
        <v>120000</v>
      </c>
      <c r="F1688" s="1270">
        <v>0</v>
      </c>
      <c r="J1688" s="543"/>
    </row>
    <row r="1689" spans="1:10" s="801" customFormat="1" ht="13.5" thickBot="1">
      <c r="A1689" s="1263" t="s">
        <v>234</v>
      </c>
      <c r="B1689" s="1076"/>
      <c r="C1689" s="1077" t="s">
        <v>4334</v>
      </c>
      <c r="D1689" s="604" t="s">
        <v>4361</v>
      </c>
      <c r="E1689" s="1079">
        <v>131391</v>
      </c>
      <c r="F1689" s="1075">
        <v>0</v>
      </c>
      <c r="G1689" s="1271"/>
      <c r="H1689" s="1272"/>
      <c r="I1689" s="1268"/>
      <c r="J1689" s="1273"/>
    </row>
    <row r="1690" spans="1:10" s="801" customFormat="1" ht="13.5" thickBot="1">
      <c r="A1690" s="947"/>
      <c r="B1690" s="645">
        <v>13119136</v>
      </c>
      <c r="C1690" s="793" t="s">
        <v>1077</v>
      </c>
      <c r="D1690" s="803" t="s">
        <v>1499</v>
      </c>
      <c r="E1690" s="804">
        <f>SUM(E1603:E1689)</f>
        <v>10079926</v>
      </c>
      <c r="F1690" s="774">
        <f>SUM(F1603:F1689)</f>
        <v>0</v>
      </c>
      <c r="G1690" s="1267"/>
      <c r="H1690" s="1268"/>
      <c r="I1690" s="1272"/>
      <c r="J1690" s="1267"/>
    </row>
    <row r="1691" spans="1:10" ht="13.5" thickBot="1">
      <c r="A1691" s="2220" t="s">
        <v>4362</v>
      </c>
      <c r="B1691" s="2220"/>
      <c r="C1691" s="2220"/>
      <c r="D1691" s="2220"/>
      <c r="E1691" s="2224"/>
      <c r="F1691" s="2224"/>
      <c r="J1691" s="543"/>
    </row>
    <row r="1692" spans="1:10" ht="13.5" thickBot="1">
      <c r="A1692" s="1274" t="s">
        <v>235</v>
      </c>
      <c r="B1692" s="1124">
        <v>1311922</v>
      </c>
      <c r="C1692" s="1275" t="s">
        <v>1077</v>
      </c>
      <c r="D1692" s="805" t="s">
        <v>4363</v>
      </c>
      <c r="E1692" s="778">
        <v>86563</v>
      </c>
      <c r="F1692" s="779">
        <v>0</v>
      </c>
      <c r="J1692" s="543"/>
    </row>
    <row r="1693" spans="1:10" ht="13.5" thickBot="1">
      <c r="A1693" s="613"/>
      <c r="B1693" s="1124">
        <f>B1692</f>
        <v>1311922</v>
      </c>
      <c r="C1693" s="757"/>
      <c r="D1693" s="706" t="s">
        <v>1499</v>
      </c>
      <c r="E1693" s="773">
        <f>SUM(E1692)</f>
        <v>86563</v>
      </c>
      <c r="F1693" s="774">
        <f>SUM(F1692)</f>
        <v>0</v>
      </c>
      <c r="J1693" s="543"/>
    </row>
    <row r="1694" spans="1:9" s="686" customFormat="1" ht="13.5" thickBot="1">
      <c r="A1694" s="2220" t="s">
        <v>4364</v>
      </c>
      <c r="B1694" s="2220"/>
      <c r="C1694" s="2220"/>
      <c r="D1694" s="2220"/>
      <c r="E1694" s="2220"/>
      <c r="F1694" s="2220"/>
      <c r="G1694" s="1001"/>
      <c r="H1694" s="817"/>
      <c r="I1694" s="817"/>
    </row>
    <row r="1695" spans="1:10" ht="12.75">
      <c r="A1695" s="680" t="s">
        <v>236</v>
      </c>
      <c r="B1695" s="819">
        <v>1311923</v>
      </c>
      <c r="C1695" s="1087" t="s">
        <v>1077</v>
      </c>
      <c r="D1695" s="616" t="s">
        <v>4365</v>
      </c>
      <c r="E1695" s="692">
        <v>575000</v>
      </c>
      <c r="F1695" s="693">
        <v>0</v>
      </c>
      <c r="J1695" s="543"/>
    </row>
    <row r="1696" spans="1:10" ht="12.75">
      <c r="A1696" s="648" t="s">
        <v>237</v>
      </c>
      <c r="B1696" s="630"/>
      <c r="C1696" s="1088" t="s">
        <v>1077</v>
      </c>
      <c r="D1696" s="598" t="s">
        <v>4366</v>
      </c>
      <c r="E1696" s="697">
        <v>46930</v>
      </c>
      <c r="F1696" s="698">
        <v>0</v>
      </c>
      <c r="J1696" s="543"/>
    </row>
    <row r="1697" spans="1:9" s="543" customFormat="1" ht="12.75">
      <c r="A1697" s="648" t="s">
        <v>238</v>
      </c>
      <c r="B1697" s="630"/>
      <c r="C1697" s="1088" t="s">
        <v>1077</v>
      </c>
      <c r="D1697" s="598" t="s">
        <v>4367</v>
      </c>
      <c r="E1697" s="697">
        <v>199612</v>
      </c>
      <c r="F1697" s="698">
        <v>0</v>
      </c>
      <c r="G1697" s="1002"/>
      <c r="H1697" s="705"/>
      <c r="I1697" s="705"/>
    </row>
    <row r="1698" spans="1:9" s="543" customFormat="1" ht="12.75">
      <c r="A1698" s="648" t="s">
        <v>239</v>
      </c>
      <c r="B1698" s="630"/>
      <c r="C1698" s="1088" t="s">
        <v>1077</v>
      </c>
      <c r="D1698" s="598" t="s">
        <v>4368</v>
      </c>
      <c r="E1698" s="697">
        <v>36888</v>
      </c>
      <c r="F1698" s="698">
        <v>0</v>
      </c>
      <c r="G1698" s="1002"/>
      <c r="H1698" s="705"/>
      <c r="I1698" s="705"/>
    </row>
    <row r="1699" spans="1:9" s="543" customFormat="1" ht="12.75">
      <c r="A1699" s="648" t="s">
        <v>240</v>
      </c>
      <c r="B1699" s="630"/>
      <c r="C1699" s="1088" t="s">
        <v>1077</v>
      </c>
      <c r="D1699" s="598" t="s">
        <v>4369</v>
      </c>
      <c r="E1699" s="697">
        <v>146000</v>
      </c>
      <c r="F1699" s="698">
        <v>0</v>
      </c>
      <c r="G1699" s="1002"/>
      <c r="H1699" s="705"/>
      <c r="I1699" s="705"/>
    </row>
    <row r="1700" spans="1:9" s="543" customFormat="1" ht="12.75">
      <c r="A1700" s="648" t="s">
        <v>241</v>
      </c>
      <c r="B1700" s="630"/>
      <c r="C1700" s="1088" t="s">
        <v>1077</v>
      </c>
      <c r="D1700" s="598" t="s">
        <v>4370</v>
      </c>
      <c r="E1700" s="697">
        <v>340400</v>
      </c>
      <c r="F1700" s="698">
        <v>0</v>
      </c>
      <c r="G1700" s="1002"/>
      <c r="H1700" s="705"/>
      <c r="I1700" s="705"/>
    </row>
    <row r="1701" spans="1:9" s="543" customFormat="1" ht="12.75">
      <c r="A1701" s="648" t="s">
        <v>242</v>
      </c>
      <c r="B1701" s="630"/>
      <c r="C1701" s="1088" t="s">
        <v>1077</v>
      </c>
      <c r="D1701" s="598" t="s">
        <v>4371</v>
      </c>
      <c r="E1701" s="697">
        <v>267410</v>
      </c>
      <c r="F1701" s="698">
        <v>0</v>
      </c>
      <c r="G1701" s="1002"/>
      <c r="H1701" s="705"/>
      <c r="I1701" s="705"/>
    </row>
    <row r="1702" spans="1:9" s="543" customFormat="1" ht="12.75">
      <c r="A1702" s="648" t="s">
        <v>243</v>
      </c>
      <c r="B1702" s="630"/>
      <c r="C1702" s="1088" t="s">
        <v>1077</v>
      </c>
      <c r="D1702" s="598" t="s">
        <v>4372</v>
      </c>
      <c r="E1702" s="697">
        <v>325085</v>
      </c>
      <c r="F1702" s="698">
        <v>0</v>
      </c>
      <c r="G1702" s="1002"/>
      <c r="H1702" s="705"/>
      <c r="I1702" s="705"/>
    </row>
    <row r="1703" spans="1:9" s="543" customFormat="1" ht="12.75">
      <c r="A1703" s="648" t="s">
        <v>244</v>
      </c>
      <c r="B1703" s="630"/>
      <c r="C1703" s="1088" t="s">
        <v>1077</v>
      </c>
      <c r="D1703" s="598" t="s">
        <v>4373</v>
      </c>
      <c r="E1703" s="697">
        <v>192713</v>
      </c>
      <c r="F1703" s="698">
        <v>0</v>
      </c>
      <c r="G1703" s="1002"/>
      <c r="H1703" s="705"/>
      <c r="I1703" s="705"/>
    </row>
    <row r="1704" spans="1:9" s="543" customFormat="1" ht="12.75">
      <c r="A1704" s="648" t="s">
        <v>245</v>
      </c>
      <c r="B1704" s="630"/>
      <c r="C1704" s="1088" t="s">
        <v>1077</v>
      </c>
      <c r="D1704" s="598" t="s">
        <v>4374</v>
      </c>
      <c r="E1704" s="697">
        <v>63998</v>
      </c>
      <c r="F1704" s="698">
        <v>0</v>
      </c>
      <c r="G1704" s="1002"/>
      <c r="H1704" s="705"/>
      <c r="I1704" s="705"/>
    </row>
    <row r="1705" spans="1:9" s="543" customFormat="1" ht="12.75">
      <c r="A1705" s="648" t="s">
        <v>246</v>
      </c>
      <c r="B1705" s="630"/>
      <c r="C1705" s="1088" t="s">
        <v>1077</v>
      </c>
      <c r="D1705" s="598" t="s">
        <v>4375</v>
      </c>
      <c r="E1705" s="697">
        <v>84000</v>
      </c>
      <c r="F1705" s="698">
        <v>0</v>
      </c>
      <c r="G1705" s="1002"/>
      <c r="H1705" s="705"/>
      <c r="I1705" s="705"/>
    </row>
    <row r="1706" spans="1:9" s="543" customFormat="1" ht="12.75" customHeight="1">
      <c r="A1706" s="648" t="s">
        <v>247</v>
      </c>
      <c r="B1706" s="630"/>
      <c r="C1706" s="1088" t="s">
        <v>1077</v>
      </c>
      <c r="D1706" s="598" t="s">
        <v>4376</v>
      </c>
      <c r="E1706" s="697">
        <v>196250</v>
      </c>
      <c r="F1706" s="698">
        <v>0</v>
      </c>
      <c r="G1706" s="1002"/>
      <c r="H1706" s="705"/>
      <c r="I1706" s="705"/>
    </row>
    <row r="1707" spans="1:9" s="543" customFormat="1" ht="12.75">
      <c r="A1707" s="648" t="s">
        <v>248</v>
      </c>
      <c r="B1707" s="630"/>
      <c r="C1707" s="1088" t="s">
        <v>1077</v>
      </c>
      <c r="D1707" s="598" t="s">
        <v>4377</v>
      </c>
      <c r="E1707" s="697">
        <v>613952</v>
      </c>
      <c r="F1707" s="698">
        <v>0</v>
      </c>
      <c r="G1707" s="1002"/>
      <c r="H1707" s="705"/>
      <c r="I1707" s="705"/>
    </row>
    <row r="1708" spans="1:9" s="543" customFormat="1" ht="12.75">
      <c r="A1708" s="648" t="s">
        <v>249</v>
      </c>
      <c r="B1708" s="630"/>
      <c r="C1708" s="1088" t="s">
        <v>1077</v>
      </c>
      <c r="D1708" s="598" t="s">
        <v>4378</v>
      </c>
      <c r="E1708" s="697">
        <v>439539</v>
      </c>
      <c r="F1708" s="698">
        <v>0</v>
      </c>
      <c r="G1708" s="1002"/>
      <c r="H1708" s="705"/>
      <c r="I1708" s="705"/>
    </row>
    <row r="1709" spans="1:9" s="543" customFormat="1" ht="12.75">
      <c r="A1709" s="648" t="s">
        <v>250</v>
      </c>
      <c r="B1709" s="630"/>
      <c r="C1709" s="1088" t="s">
        <v>1077</v>
      </c>
      <c r="D1709" s="598" t="s">
        <v>4378</v>
      </c>
      <c r="E1709" s="697">
        <v>410513</v>
      </c>
      <c r="F1709" s="698">
        <v>0</v>
      </c>
      <c r="G1709" s="1002"/>
      <c r="H1709" s="705"/>
      <c r="I1709" s="705"/>
    </row>
    <row r="1710" spans="1:9" s="543" customFormat="1" ht="12.75" customHeight="1">
      <c r="A1710" s="648" t="s">
        <v>251</v>
      </c>
      <c r="B1710" s="630"/>
      <c r="C1710" s="1088" t="s">
        <v>1077</v>
      </c>
      <c r="D1710" s="598" t="s">
        <v>4379</v>
      </c>
      <c r="E1710" s="697">
        <v>96000</v>
      </c>
      <c r="F1710" s="698">
        <v>0</v>
      </c>
      <c r="G1710" s="1002"/>
      <c r="H1710" s="705"/>
      <c r="I1710" s="705"/>
    </row>
    <row r="1711" spans="1:9" s="543" customFormat="1" ht="12.75">
      <c r="A1711" s="648" t="s">
        <v>252</v>
      </c>
      <c r="B1711" s="630"/>
      <c r="C1711" s="1088" t="s">
        <v>1077</v>
      </c>
      <c r="D1711" s="598" t="s">
        <v>4379</v>
      </c>
      <c r="E1711" s="697">
        <v>96000</v>
      </c>
      <c r="F1711" s="698">
        <v>0</v>
      </c>
      <c r="G1711" s="1002"/>
      <c r="H1711" s="705"/>
      <c r="I1711" s="705"/>
    </row>
    <row r="1712" spans="1:9" s="543" customFormat="1" ht="12.75">
      <c r="A1712" s="648" t="s">
        <v>253</v>
      </c>
      <c r="B1712" s="630"/>
      <c r="C1712" s="1088" t="s">
        <v>1077</v>
      </c>
      <c r="D1712" s="598" t="s">
        <v>4380</v>
      </c>
      <c r="E1712" s="697">
        <v>68365</v>
      </c>
      <c r="F1712" s="698">
        <v>0</v>
      </c>
      <c r="G1712" s="1002"/>
      <c r="H1712" s="705"/>
      <c r="I1712" s="705"/>
    </row>
    <row r="1713" spans="1:9" s="543" customFormat="1" ht="12.75">
      <c r="A1713" s="648" t="s">
        <v>254</v>
      </c>
      <c r="B1713" s="630"/>
      <c r="C1713" s="1088" t="s">
        <v>1077</v>
      </c>
      <c r="D1713" s="598" t="s">
        <v>4381</v>
      </c>
      <c r="E1713" s="697">
        <v>483375</v>
      </c>
      <c r="F1713" s="698">
        <v>0</v>
      </c>
      <c r="G1713" s="1002"/>
      <c r="H1713" s="705"/>
      <c r="I1713" s="705"/>
    </row>
    <row r="1714" spans="1:9" s="543" customFormat="1" ht="12.75">
      <c r="A1714" s="648" t="s">
        <v>255</v>
      </c>
      <c r="B1714" s="630"/>
      <c r="C1714" s="1088" t="s">
        <v>1077</v>
      </c>
      <c r="D1714" s="598" t="s">
        <v>4382</v>
      </c>
      <c r="E1714" s="697">
        <v>544446</v>
      </c>
      <c r="F1714" s="698">
        <v>0</v>
      </c>
      <c r="G1714" s="1002"/>
      <c r="H1714" s="705"/>
      <c r="I1714" s="705"/>
    </row>
    <row r="1715" spans="1:9" s="543" customFormat="1" ht="12.75">
      <c r="A1715" s="648" t="s">
        <v>256</v>
      </c>
      <c r="B1715" s="630"/>
      <c r="C1715" s="1088" t="s">
        <v>1077</v>
      </c>
      <c r="D1715" s="598" t="s">
        <v>4383</v>
      </c>
      <c r="E1715" s="697">
        <v>186000</v>
      </c>
      <c r="F1715" s="698">
        <v>0</v>
      </c>
      <c r="G1715" s="1002"/>
      <c r="H1715" s="705"/>
      <c r="I1715" s="705"/>
    </row>
    <row r="1716" spans="1:9" s="543" customFormat="1" ht="12.75">
      <c r="A1716" s="648" t="s">
        <v>257</v>
      </c>
      <c r="B1716" s="630"/>
      <c r="C1716" s="1088" t="s">
        <v>1077</v>
      </c>
      <c r="D1716" s="598" t="s">
        <v>4384</v>
      </c>
      <c r="E1716" s="697">
        <v>818750</v>
      </c>
      <c r="F1716" s="698">
        <v>0</v>
      </c>
      <c r="G1716" s="1002"/>
      <c r="H1716" s="705"/>
      <c r="I1716" s="705"/>
    </row>
    <row r="1717" spans="1:9" s="543" customFormat="1" ht="12.75">
      <c r="A1717" s="648" t="s">
        <v>258</v>
      </c>
      <c r="B1717" s="630"/>
      <c r="C1717" s="1088" t="s">
        <v>1077</v>
      </c>
      <c r="D1717" s="598" t="s">
        <v>4385</v>
      </c>
      <c r="E1717" s="697">
        <v>62500</v>
      </c>
      <c r="F1717" s="698">
        <v>0</v>
      </c>
      <c r="G1717" s="1002"/>
      <c r="H1717" s="705"/>
      <c r="I1717" s="705"/>
    </row>
    <row r="1718" spans="1:9" s="543" customFormat="1" ht="12.75">
      <c r="A1718" s="648" t="s">
        <v>259</v>
      </c>
      <c r="B1718" s="630"/>
      <c r="C1718" s="1088" t="s">
        <v>1077</v>
      </c>
      <c r="D1718" s="598" t="s">
        <v>4386</v>
      </c>
      <c r="E1718" s="697">
        <v>725000</v>
      </c>
      <c r="F1718" s="698">
        <v>0</v>
      </c>
      <c r="G1718" s="1002"/>
      <c r="H1718" s="705"/>
      <c r="I1718" s="705"/>
    </row>
    <row r="1719" spans="1:9" s="543" customFormat="1" ht="12.75">
      <c r="A1719" s="648" t="s">
        <v>260</v>
      </c>
      <c r="B1719" s="630"/>
      <c r="C1719" s="1088" t="s">
        <v>1077</v>
      </c>
      <c r="D1719" s="598" t="s">
        <v>4387</v>
      </c>
      <c r="E1719" s="697">
        <v>79990</v>
      </c>
      <c r="F1719" s="698">
        <v>0</v>
      </c>
      <c r="G1719" s="1002"/>
      <c r="H1719" s="705"/>
      <c r="I1719" s="705"/>
    </row>
    <row r="1720" spans="1:9" s="543" customFormat="1" ht="12.75">
      <c r="A1720" s="648" t="s">
        <v>261</v>
      </c>
      <c r="B1720" s="630"/>
      <c r="C1720" s="1088" t="s">
        <v>1077</v>
      </c>
      <c r="D1720" s="598" t="s">
        <v>4388</v>
      </c>
      <c r="E1720" s="697">
        <v>56250</v>
      </c>
      <c r="F1720" s="698">
        <v>0</v>
      </c>
      <c r="G1720" s="1002"/>
      <c r="H1720" s="705"/>
      <c r="I1720" s="705"/>
    </row>
    <row r="1721" spans="1:9" s="543" customFormat="1" ht="12.75">
      <c r="A1721" s="648" t="s">
        <v>262</v>
      </c>
      <c r="B1721" s="630"/>
      <c r="C1721" s="1088" t="s">
        <v>1077</v>
      </c>
      <c r="D1721" s="598" t="s">
        <v>4389</v>
      </c>
      <c r="E1721" s="697">
        <v>96000</v>
      </c>
      <c r="F1721" s="698">
        <v>0</v>
      </c>
      <c r="G1721" s="1002"/>
      <c r="H1721" s="705"/>
      <c r="I1721" s="705"/>
    </row>
    <row r="1722" spans="1:9" s="543" customFormat="1" ht="12.75">
      <c r="A1722" s="648" t="s">
        <v>263</v>
      </c>
      <c r="B1722" s="630"/>
      <c r="C1722" s="1088" t="s">
        <v>1077</v>
      </c>
      <c r="D1722" s="598" t="s">
        <v>4390</v>
      </c>
      <c r="E1722" s="697">
        <v>565670</v>
      </c>
      <c r="F1722" s="698">
        <v>0</v>
      </c>
      <c r="G1722" s="1002"/>
      <c r="H1722" s="705"/>
      <c r="I1722" s="705"/>
    </row>
    <row r="1723" spans="1:9" s="543" customFormat="1" ht="13.5" thickBot="1">
      <c r="A1723" s="648" t="s">
        <v>264</v>
      </c>
      <c r="B1723" s="630"/>
      <c r="C1723" s="1088" t="s">
        <v>1077</v>
      </c>
      <c r="D1723" s="598" t="s">
        <v>4391</v>
      </c>
      <c r="E1723" s="697">
        <v>48000</v>
      </c>
      <c r="F1723" s="698">
        <v>0</v>
      </c>
      <c r="G1723" s="1002"/>
      <c r="H1723" s="705"/>
      <c r="I1723" s="705"/>
    </row>
    <row r="1724" spans="1:9" s="543" customFormat="1" ht="48.75" thickBot="1">
      <c r="A1724" s="605" t="s">
        <v>4597</v>
      </c>
      <c r="B1724" s="606" t="s">
        <v>4601</v>
      </c>
      <c r="C1724" s="1008" t="s">
        <v>4602</v>
      </c>
      <c r="D1724" s="606" t="s">
        <v>4603</v>
      </c>
      <c r="E1724" s="738" t="s">
        <v>4604</v>
      </c>
      <c r="F1724" s="739" t="s">
        <v>4605</v>
      </c>
      <c r="G1724" s="1002"/>
      <c r="H1724" s="705"/>
      <c r="I1724" s="705"/>
    </row>
    <row r="1725" spans="1:9" s="543" customFormat="1" ht="12.75">
      <c r="A1725" s="648" t="s">
        <v>265</v>
      </c>
      <c r="B1725" s="630"/>
      <c r="C1725" s="1088" t="s">
        <v>1077</v>
      </c>
      <c r="D1725" s="598" t="s">
        <v>4392</v>
      </c>
      <c r="E1725" s="697">
        <v>943200</v>
      </c>
      <c r="F1725" s="698">
        <v>0</v>
      </c>
      <c r="G1725" s="1002"/>
      <c r="H1725" s="705"/>
      <c r="I1725" s="705"/>
    </row>
    <row r="1726" spans="1:9" s="543" customFormat="1" ht="12.75">
      <c r="A1726" s="648" t="s">
        <v>266</v>
      </c>
      <c r="B1726" s="630"/>
      <c r="C1726" s="1088" t="s">
        <v>1077</v>
      </c>
      <c r="D1726" s="598" t="s">
        <v>4393</v>
      </c>
      <c r="E1726" s="697">
        <v>337000</v>
      </c>
      <c r="F1726" s="698">
        <v>0</v>
      </c>
      <c r="G1726" s="1002"/>
      <c r="H1726" s="705"/>
      <c r="I1726" s="705"/>
    </row>
    <row r="1727" spans="1:9" s="543" customFormat="1" ht="12.75">
      <c r="A1727" s="648" t="s">
        <v>267</v>
      </c>
      <c r="B1727" s="822"/>
      <c r="C1727" s="1088" t="s">
        <v>1077</v>
      </c>
      <c r="D1727" s="598" t="s">
        <v>4394</v>
      </c>
      <c r="E1727" s="697">
        <v>26960</v>
      </c>
      <c r="F1727" s="698">
        <v>0</v>
      </c>
      <c r="G1727" s="1002"/>
      <c r="H1727" s="705"/>
      <c r="I1727" s="705"/>
    </row>
    <row r="1728" spans="1:9" s="543" customFormat="1" ht="12.75">
      <c r="A1728" s="648" t="s">
        <v>268</v>
      </c>
      <c r="B1728" s="822"/>
      <c r="C1728" s="1032" t="s">
        <v>4395</v>
      </c>
      <c r="D1728" s="598" t="s">
        <v>4396</v>
      </c>
      <c r="E1728" s="697">
        <v>53800</v>
      </c>
      <c r="F1728" s="698">
        <v>0</v>
      </c>
      <c r="G1728" s="1002"/>
      <c r="H1728" s="705"/>
      <c r="I1728" s="705"/>
    </row>
    <row r="1729" spans="1:9" s="543" customFormat="1" ht="12.75">
      <c r="A1729" s="648" t="s">
        <v>269</v>
      </c>
      <c r="B1729" s="822"/>
      <c r="C1729" s="1032" t="s">
        <v>4395</v>
      </c>
      <c r="D1729" s="598" t="s">
        <v>4397</v>
      </c>
      <c r="E1729" s="697">
        <v>25000</v>
      </c>
      <c r="F1729" s="698">
        <v>0</v>
      </c>
      <c r="G1729" s="1002"/>
      <c r="H1729" s="705"/>
      <c r="I1729" s="705"/>
    </row>
    <row r="1730" spans="1:9" s="543" customFormat="1" ht="12.75">
      <c r="A1730" s="648" t="s">
        <v>270</v>
      </c>
      <c r="B1730" s="822"/>
      <c r="C1730" s="1032" t="s">
        <v>4395</v>
      </c>
      <c r="D1730" s="598" t="s">
        <v>4398</v>
      </c>
      <c r="E1730" s="697">
        <v>21300</v>
      </c>
      <c r="F1730" s="698">
        <v>0</v>
      </c>
      <c r="G1730" s="1002"/>
      <c r="H1730" s="705"/>
      <c r="I1730" s="705"/>
    </row>
    <row r="1731" spans="1:9" s="543" customFormat="1" ht="12.75">
      <c r="A1731" s="648" t="s">
        <v>271</v>
      </c>
      <c r="B1731" s="822"/>
      <c r="C1731" s="1032" t="s">
        <v>4395</v>
      </c>
      <c r="D1731" s="598" t="s">
        <v>4399</v>
      </c>
      <c r="E1731" s="697">
        <v>26500</v>
      </c>
      <c r="F1731" s="698">
        <v>0</v>
      </c>
      <c r="G1731" s="1002"/>
      <c r="H1731" s="705"/>
      <c r="I1731" s="705"/>
    </row>
    <row r="1732" spans="1:9" s="543" customFormat="1" ht="12.75">
      <c r="A1732" s="648" t="s">
        <v>272</v>
      </c>
      <c r="B1732" s="822"/>
      <c r="C1732" s="1032" t="s">
        <v>4395</v>
      </c>
      <c r="D1732" s="598" t="s">
        <v>4400</v>
      </c>
      <c r="E1732" s="697">
        <v>20500</v>
      </c>
      <c r="F1732" s="698">
        <v>0</v>
      </c>
      <c r="G1732" s="1002"/>
      <c r="H1732" s="705"/>
      <c r="I1732" s="705"/>
    </row>
    <row r="1733" spans="1:9" s="543" customFormat="1" ht="12.75">
      <c r="A1733" s="648" t="s">
        <v>273</v>
      </c>
      <c r="B1733" s="822"/>
      <c r="C1733" s="1032" t="s">
        <v>4395</v>
      </c>
      <c r="D1733" s="598" t="s">
        <v>4401</v>
      </c>
      <c r="E1733" s="697">
        <v>28000</v>
      </c>
      <c r="F1733" s="698">
        <v>0</v>
      </c>
      <c r="G1733" s="1002"/>
      <c r="H1733" s="705"/>
      <c r="I1733" s="705"/>
    </row>
    <row r="1734" spans="1:9" s="543" customFormat="1" ht="12.75">
      <c r="A1734" s="648" t="s">
        <v>274</v>
      </c>
      <c r="B1734" s="822"/>
      <c r="C1734" s="1032" t="s">
        <v>4395</v>
      </c>
      <c r="D1734" s="598" t="s">
        <v>4402</v>
      </c>
      <c r="E1734" s="697">
        <v>50000</v>
      </c>
      <c r="F1734" s="698">
        <v>0</v>
      </c>
      <c r="G1734" s="1002"/>
      <c r="H1734" s="705"/>
      <c r="I1734" s="705"/>
    </row>
    <row r="1735" spans="1:9" s="543" customFormat="1" ht="12.75">
      <c r="A1735" s="648" t="s">
        <v>275</v>
      </c>
      <c r="B1735" s="822"/>
      <c r="C1735" s="1032" t="s">
        <v>4395</v>
      </c>
      <c r="D1735" s="598" t="s">
        <v>4403</v>
      </c>
      <c r="E1735" s="697">
        <v>92000</v>
      </c>
      <c r="F1735" s="698">
        <v>0</v>
      </c>
      <c r="G1735" s="1002"/>
      <c r="H1735" s="705"/>
      <c r="I1735" s="705"/>
    </row>
    <row r="1736" spans="1:9" s="543" customFormat="1" ht="12.75">
      <c r="A1736" s="648" t="s">
        <v>276</v>
      </c>
      <c r="B1736" s="1059"/>
      <c r="C1736" s="1073" t="s">
        <v>4395</v>
      </c>
      <c r="D1736" s="600" t="s">
        <v>4404</v>
      </c>
      <c r="E1736" s="770">
        <v>30800</v>
      </c>
      <c r="F1736" s="771">
        <v>0</v>
      </c>
      <c r="G1736" s="1002"/>
      <c r="H1736" s="705"/>
      <c r="I1736" s="705"/>
    </row>
    <row r="1737" spans="1:9" s="543" customFormat="1" ht="12.75">
      <c r="A1737" s="648" t="s">
        <v>277</v>
      </c>
      <c r="B1737" s="726">
        <v>131123</v>
      </c>
      <c r="C1737" s="1032" t="s">
        <v>4592</v>
      </c>
      <c r="D1737" s="598" t="s">
        <v>278</v>
      </c>
      <c r="E1737" s="1022">
        <v>118800</v>
      </c>
      <c r="F1737" s="788">
        <v>0</v>
      </c>
      <c r="G1737" s="1002"/>
      <c r="H1737" s="705"/>
      <c r="I1737" s="705"/>
    </row>
    <row r="1738" spans="1:9" s="543" customFormat="1" ht="12.75">
      <c r="A1738" s="648" t="s">
        <v>279</v>
      </c>
      <c r="B1738" s="822"/>
      <c r="C1738" s="1032" t="s">
        <v>4592</v>
      </c>
      <c r="D1738" s="598" t="s">
        <v>280</v>
      </c>
      <c r="E1738" s="1022">
        <v>136504</v>
      </c>
      <c r="F1738" s="788">
        <v>0</v>
      </c>
      <c r="G1738" s="1002"/>
      <c r="H1738" s="705"/>
      <c r="I1738" s="705"/>
    </row>
    <row r="1739" spans="1:9" s="543" customFormat="1" ht="12.75">
      <c r="A1739" s="648" t="s">
        <v>281</v>
      </c>
      <c r="B1739" s="822"/>
      <c r="C1739" s="1032" t="s">
        <v>4592</v>
      </c>
      <c r="D1739" s="598" t="s">
        <v>282</v>
      </c>
      <c r="E1739" s="1022">
        <v>173321</v>
      </c>
      <c r="F1739" s="788">
        <v>0</v>
      </c>
      <c r="G1739" s="1002"/>
      <c r="H1739" s="705"/>
      <c r="I1739" s="705"/>
    </row>
    <row r="1740" spans="1:9" s="543" customFormat="1" ht="12.75">
      <c r="A1740" s="648" t="s">
        <v>283</v>
      </c>
      <c r="B1740" s="822"/>
      <c r="C1740" s="1032" t="s">
        <v>4592</v>
      </c>
      <c r="D1740" s="598" t="s">
        <v>284</v>
      </c>
      <c r="E1740" s="1022">
        <v>186906</v>
      </c>
      <c r="F1740" s="788">
        <v>0</v>
      </c>
      <c r="G1740" s="1002"/>
      <c r="H1740" s="705"/>
      <c r="I1740" s="705"/>
    </row>
    <row r="1741" spans="1:9" s="543" customFormat="1" ht="12.75">
      <c r="A1741" s="648" t="s">
        <v>285</v>
      </c>
      <c r="B1741" s="726">
        <v>1311923</v>
      </c>
      <c r="C1741" s="1032" t="s">
        <v>4592</v>
      </c>
      <c r="D1741" s="598" t="s">
        <v>286</v>
      </c>
      <c r="E1741" s="1022">
        <v>21200</v>
      </c>
      <c r="F1741" s="788">
        <v>0</v>
      </c>
      <c r="G1741" s="1002"/>
      <c r="H1741" s="705"/>
      <c r="I1741" s="705"/>
    </row>
    <row r="1742" spans="1:9" s="543" customFormat="1" ht="12.75">
      <c r="A1742" s="648" t="s">
        <v>287</v>
      </c>
      <c r="B1742" s="822"/>
      <c r="C1742" s="1032" t="s">
        <v>4592</v>
      </c>
      <c r="D1742" s="598" t="s">
        <v>288</v>
      </c>
      <c r="E1742" s="1022">
        <v>103300</v>
      </c>
      <c r="F1742" s="788">
        <v>0</v>
      </c>
      <c r="G1742" s="1002"/>
      <c r="H1742" s="705"/>
      <c r="I1742" s="705"/>
    </row>
    <row r="1743" spans="1:9" s="543" customFormat="1" ht="12.75">
      <c r="A1743" s="648" t="s">
        <v>289</v>
      </c>
      <c r="B1743" s="822"/>
      <c r="C1743" s="1032" t="s">
        <v>4592</v>
      </c>
      <c r="D1743" s="598" t="s">
        <v>290</v>
      </c>
      <c r="E1743" s="1022">
        <v>105264</v>
      </c>
      <c r="F1743" s="788">
        <v>0</v>
      </c>
      <c r="G1743" s="1002"/>
      <c r="H1743" s="705"/>
      <c r="I1743" s="705"/>
    </row>
    <row r="1744" spans="1:9" s="543" customFormat="1" ht="12.75">
      <c r="A1744" s="648" t="s">
        <v>291</v>
      </c>
      <c r="B1744" s="822"/>
      <c r="C1744" s="1032" t="s">
        <v>4592</v>
      </c>
      <c r="D1744" s="598" t="s">
        <v>292</v>
      </c>
      <c r="E1744" s="1022">
        <v>25650</v>
      </c>
      <c r="F1744" s="788">
        <v>0</v>
      </c>
      <c r="G1744" s="1002"/>
      <c r="H1744" s="705"/>
      <c r="I1744" s="705"/>
    </row>
    <row r="1745" spans="1:9" s="543" customFormat="1" ht="12.75">
      <c r="A1745" s="648" t="s">
        <v>293</v>
      </c>
      <c r="B1745" s="822"/>
      <c r="C1745" s="1032" t="s">
        <v>4592</v>
      </c>
      <c r="D1745" s="598" t="s">
        <v>4394</v>
      </c>
      <c r="E1745" s="1022">
        <v>36640</v>
      </c>
      <c r="F1745" s="788">
        <v>0</v>
      </c>
      <c r="G1745" s="1002"/>
      <c r="H1745" s="705"/>
      <c r="I1745" s="705"/>
    </row>
    <row r="1746" spans="1:9" s="543" customFormat="1" ht="12.75">
      <c r="A1746" s="648" t="s">
        <v>294</v>
      </c>
      <c r="B1746" s="822"/>
      <c r="C1746" s="1032" t="s">
        <v>4592</v>
      </c>
      <c r="D1746" s="598" t="s">
        <v>295</v>
      </c>
      <c r="E1746" s="1022">
        <v>23900</v>
      </c>
      <c r="F1746" s="788">
        <v>0</v>
      </c>
      <c r="G1746" s="1002"/>
      <c r="H1746" s="705"/>
      <c r="I1746" s="705"/>
    </row>
    <row r="1747" spans="1:9" s="543" customFormat="1" ht="12.75">
      <c r="A1747" s="648" t="s">
        <v>296</v>
      </c>
      <c r="B1747" s="822"/>
      <c r="C1747" s="1032" t="s">
        <v>4592</v>
      </c>
      <c r="D1747" s="598" t="s">
        <v>295</v>
      </c>
      <c r="E1747" s="1022">
        <v>23900</v>
      </c>
      <c r="F1747" s="788">
        <v>0</v>
      </c>
      <c r="G1747" s="1002"/>
      <c r="H1747" s="705"/>
      <c r="I1747" s="705"/>
    </row>
    <row r="1748" spans="1:9" s="543" customFormat="1" ht="12.75">
      <c r="A1748" s="648" t="s">
        <v>297</v>
      </c>
      <c r="B1748" s="822"/>
      <c r="C1748" s="1032" t="s">
        <v>4592</v>
      </c>
      <c r="D1748" s="598" t="s">
        <v>298</v>
      </c>
      <c r="E1748" s="1022">
        <v>28200</v>
      </c>
      <c r="F1748" s="788">
        <v>0</v>
      </c>
      <c r="G1748" s="1002"/>
      <c r="H1748" s="705"/>
      <c r="I1748" s="705"/>
    </row>
    <row r="1749" spans="1:9" s="543" customFormat="1" ht="12.75">
      <c r="A1749" s="648" t="s">
        <v>299</v>
      </c>
      <c r="B1749" s="822"/>
      <c r="C1749" s="1032" t="s">
        <v>4592</v>
      </c>
      <c r="D1749" s="598" t="s">
        <v>300</v>
      </c>
      <c r="E1749" s="1022">
        <v>301680</v>
      </c>
      <c r="F1749" s="788">
        <v>0</v>
      </c>
      <c r="G1749" s="1002"/>
      <c r="H1749" s="705"/>
      <c r="I1749" s="705"/>
    </row>
    <row r="1750" spans="1:9" s="543" customFormat="1" ht="12.75">
      <c r="A1750" s="648" t="s">
        <v>301</v>
      </c>
      <c r="B1750" s="822"/>
      <c r="C1750" s="1032" t="s">
        <v>4592</v>
      </c>
      <c r="D1750" s="598" t="s">
        <v>302</v>
      </c>
      <c r="E1750" s="1022">
        <v>21960</v>
      </c>
      <c r="F1750" s="788">
        <v>0</v>
      </c>
      <c r="G1750" s="1002"/>
      <c r="H1750" s="705"/>
      <c r="I1750" s="705"/>
    </row>
    <row r="1751" spans="1:9" s="543" customFormat="1" ht="12.75">
      <c r="A1751" s="648" t="s">
        <v>303</v>
      </c>
      <c r="B1751" s="822"/>
      <c r="C1751" s="1032" t="s">
        <v>4592</v>
      </c>
      <c r="D1751" s="598" t="s">
        <v>4394</v>
      </c>
      <c r="E1751" s="1022">
        <v>30720</v>
      </c>
      <c r="F1751" s="788">
        <v>0</v>
      </c>
      <c r="G1751" s="1002"/>
      <c r="H1751" s="705"/>
      <c r="I1751" s="705"/>
    </row>
    <row r="1752" spans="1:9" s="543" customFormat="1" ht="12.75">
      <c r="A1752" s="648" t="s">
        <v>304</v>
      </c>
      <c r="B1752" s="822"/>
      <c r="C1752" s="1032" t="s">
        <v>4592</v>
      </c>
      <c r="D1752" s="598" t="s">
        <v>305</v>
      </c>
      <c r="E1752" s="1022">
        <v>20670</v>
      </c>
      <c r="F1752" s="788">
        <v>0</v>
      </c>
      <c r="G1752" s="1002"/>
      <c r="H1752" s="705"/>
      <c r="I1752" s="705"/>
    </row>
    <row r="1753" spans="1:9" s="543" customFormat="1" ht="12.75">
      <c r="A1753" s="648" t="s">
        <v>306</v>
      </c>
      <c r="B1753" s="822"/>
      <c r="C1753" s="1032" t="s">
        <v>4592</v>
      </c>
      <c r="D1753" s="598" t="s">
        <v>307</v>
      </c>
      <c r="E1753" s="1022">
        <v>149000</v>
      </c>
      <c r="F1753" s="788">
        <v>0</v>
      </c>
      <c r="G1753" s="1002"/>
      <c r="H1753" s="705"/>
      <c r="I1753" s="705"/>
    </row>
    <row r="1754" spans="1:9" s="543" customFormat="1" ht="12.75">
      <c r="A1754" s="648" t="s">
        <v>308</v>
      </c>
      <c r="B1754" s="822"/>
      <c r="C1754" s="1032" t="s">
        <v>4592</v>
      </c>
      <c r="D1754" s="598" t="s">
        <v>309</v>
      </c>
      <c r="E1754" s="1022">
        <v>26200</v>
      </c>
      <c r="F1754" s="788">
        <v>0</v>
      </c>
      <c r="G1754" s="1002"/>
      <c r="H1754" s="705"/>
      <c r="I1754" s="705"/>
    </row>
    <row r="1755" spans="1:9" s="543" customFormat="1" ht="12.75">
      <c r="A1755" s="648" t="s">
        <v>310</v>
      </c>
      <c r="B1755" s="822"/>
      <c r="C1755" s="1032" t="s">
        <v>4592</v>
      </c>
      <c r="D1755" s="598" t="s">
        <v>1933</v>
      </c>
      <c r="E1755" s="1022">
        <v>75000</v>
      </c>
      <c r="F1755" s="788">
        <v>0</v>
      </c>
      <c r="G1755" s="1002"/>
      <c r="H1755" s="705"/>
      <c r="I1755" s="705"/>
    </row>
    <row r="1756" spans="1:9" s="543" customFormat="1" ht="12.75">
      <c r="A1756" s="648" t="s">
        <v>311</v>
      </c>
      <c r="B1756" s="822"/>
      <c r="C1756" s="1032" t="s">
        <v>4592</v>
      </c>
      <c r="D1756" s="598" t="s">
        <v>4408</v>
      </c>
      <c r="E1756" s="1022">
        <v>62500</v>
      </c>
      <c r="F1756" s="788">
        <v>0</v>
      </c>
      <c r="G1756" s="1002"/>
      <c r="H1756" s="705"/>
      <c r="I1756" s="705"/>
    </row>
    <row r="1757" spans="1:9" s="543" customFormat="1" ht="12.75">
      <c r="A1757" s="648" t="s">
        <v>312</v>
      </c>
      <c r="B1757" s="822"/>
      <c r="C1757" s="1032" t="s">
        <v>4592</v>
      </c>
      <c r="D1757" s="598" t="s">
        <v>4408</v>
      </c>
      <c r="E1757" s="1022">
        <v>62500</v>
      </c>
      <c r="F1757" s="788">
        <v>0</v>
      </c>
      <c r="G1757" s="1002"/>
      <c r="H1757" s="705"/>
      <c r="I1757" s="705"/>
    </row>
    <row r="1758" spans="1:9" s="543" customFormat="1" ht="12.75">
      <c r="A1758" s="648" t="s">
        <v>313</v>
      </c>
      <c r="B1758" s="1059"/>
      <c r="C1758" s="1073" t="s">
        <v>4592</v>
      </c>
      <c r="D1758" s="600" t="s">
        <v>314</v>
      </c>
      <c r="E1758" s="1029">
        <v>697000</v>
      </c>
      <c r="F1758" s="1030">
        <v>0</v>
      </c>
      <c r="G1758" s="1002"/>
      <c r="H1758" s="705"/>
      <c r="I1758" s="705"/>
    </row>
    <row r="1759" spans="1:9" s="543" customFormat="1" ht="12.75">
      <c r="A1759" s="648" t="s">
        <v>315</v>
      </c>
      <c r="B1759" s="822"/>
      <c r="C1759" s="1032" t="s">
        <v>4592</v>
      </c>
      <c r="D1759" s="598" t="s">
        <v>316</v>
      </c>
      <c r="E1759" s="1022">
        <v>135125</v>
      </c>
      <c r="F1759" s="788">
        <v>0</v>
      </c>
      <c r="G1759" s="1002"/>
      <c r="H1759" s="705"/>
      <c r="I1759" s="705"/>
    </row>
    <row r="1760" spans="1:9" s="543" customFormat="1" ht="12.75">
      <c r="A1760" s="648" t="s">
        <v>317</v>
      </c>
      <c r="B1760" s="822"/>
      <c r="C1760" s="1032" t="s">
        <v>4592</v>
      </c>
      <c r="D1760" s="598" t="s">
        <v>318</v>
      </c>
      <c r="E1760" s="1022">
        <v>37000</v>
      </c>
      <c r="F1760" s="788">
        <v>0</v>
      </c>
      <c r="G1760" s="1002"/>
      <c r="H1760" s="705"/>
      <c r="I1760" s="705"/>
    </row>
    <row r="1761" spans="1:9" s="543" customFormat="1" ht="12.75">
      <c r="A1761" s="648" t="s">
        <v>319</v>
      </c>
      <c r="B1761" s="822"/>
      <c r="C1761" s="1032" t="s">
        <v>4592</v>
      </c>
      <c r="D1761" s="598" t="s">
        <v>318</v>
      </c>
      <c r="E1761" s="1022">
        <v>37000</v>
      </c>
      <c r="F1761" s="788">
        <v>0</v>
      </c>
      <c r="G1761" s="1002"/>
      <c r="H1761" s="705"/>
      <c r="I1761" s="705"/>
    </row>
    <row r="1762" spans="1:9" s="543" customFormat="1" ht="12.75">
      <c r="A1762" s="648" t="s">
        <v>320</v>
      </c>
      <c r="B1762" s="822"/>
      <c r="C1762" s="1032" t="s">
        <v>4592</v>
      </c>
      <c r="D1762" s="598" t="s">
        <v>318</v>
      </c>
      <c r="E1762" s="1022">
        <v>37000</v>
      </c>
      <c r="F1762" s="788">
        <v>0</v>
      </c>
      <c r="G1762" s="1002"/>
      <c r="H1762" s="705"/>
      <c r="I1762" s="705"/>
    </row>
    <row r="1763" spans="1:9" s="543" customFormat="1" ht="12.75">
      <c r="A1763" s="648" t="s">
        <v>321</v>
      </c>
      <c r="B1763" s="822"/>
      <c r="C1763" s="1032" t="s">
        <v>4592</v>
      </c>
      <c r="D1763" s="598" t="s">
        <v>322</v>
      </c>
      <c r="E1763" s="1022">
        <v>35999</v>
      </c>
      <c r="F1763" s="788">
        <v>0</v>
      </c>
      <c r="G1763" s="1002"/>
      <c r="H1763" s="705"/>
      <c r="I1763" s="705"/>
    </row>
    <row r="1764" spans="1:9" s="543" customFormat="1" ht="12.75">
      <c r="A1764" s="648" t="s">
        <v>323</v>
      </c>
      <c r="B1764" s="822"/>
      <c r="C1764" s="1032" t="s">
        <v>4592</v>
      </c>
      <c r="D1764" s="598" t="s">
        <v>300</v>
      </c>
      <c r="E1764" s="1022">
        <v>535397</v>
      </c>
      <c r="F1764" s="788">
        <v>0</v>
      </c>
      <c r="G1764" s="1002"/>
      <c r="H1764" s="705"/>
      <c r="I1764" s="705"/>
    </row>
    <row r="1765" spans="1:9" s="543" customFormat="1" ht="12.75">
      <c r="A1765" s="648" t="s">
        <v>324</v>
      </c>
      <c r="B1765" s="822"/>
      <c r="C1765" s="1032" t="s">
        <v>4592</v>
      </c>
      <c r="D1765" s="598" t="s">
        <v>325</v>
      </c>
      <c r="E1765" s="1022">
        <v>287500</v>
      </c>
      <c r="F1765" s="788">
        <v>0</v>
      </c>
      <c r="G1765" s="1002"/>
      <c r="H1765" s="705"/>
      <c r="I1765" s="705"/>
    </row>
    <row r="1766" spans="1:9" s="543" customFormat="1" ht="12.75">
      <c r="A1766" s="648" t="s">
        <v>326</v>
      </c>
      <c r="B1766" s="822"/>
      <c r="C1766" s="1032" t="s">
        <v>4592</v>
      </c>
      <c r="D1766" s="598" t="s">
        <v>327</v>
      </c>
      <c r="E1766" s="1022">
        <v>55000</v>
      </c>
      <c r="F1766" s="788">
        <v>0</v>
      </c>
      <c r="G1766" s="1002"/>
      <c r="H1766" s="705"/>
      <c r="I1766" s="705"/>
    </row>
    <row r="1767" spans="1:9" s="543" customFormat="1" ht="12.75">
      <c r="A1767" s="648" t="s">
        <v>328</v>
      </c>
      <c r="B1767" s="822"/>
      <c r="C1767" s="1032" t="s">
        <v>4592</v>
      </c>
      <c r="D1767" s="598" t="s">
        <v>329</v>
      </c>
      <c r="E1767" s="1022">
        <v>97800</v>
      </c>
      <c r="F1767" s="788">
        <v>0</v>
      </c>
      <c r="G1767" s="1002"/>
      <c r="H1767" s="705"/>
      <c r="I1767" s="705"/>
    </row>
    <row r="1768" spans="1:9" s="543" customFormat="1" ht="12.75">
      <c r="A1768" s="648" t="s">
        <v>330</v>
      </c>
      <c r="B1768" s="822"/>
      <c r="C1768" s="1032" t="s">
        <v>4592</v>
      </c>
      <c r="D1768" s="598" t="s">
        <v>331</v>
      </c>
      <c r="E1768" s="1022">
        <v>149037</v>
      </c>
      <c r="F1768" s="788">
        <v>0</v>
      </c>
      <c r="G1768" s="1002"/>
      <c r="H1768" s="705"/>
      <c r="I1768" s="705"/>
    </row>
    <row r="1769" spans="1:9" s="543" customFormat="1" ht="12.75">
      <c r="A1769" s="648" t="s">
        <v>332</v>
      </c>
      <c r="B1769" s="822"/>
      <c r="C1769" s="1032" t="s">
        <v>4592</v>
      </c>
      <c r="D1769" s="598" t="s">
        <v>333</v>
      </c>
      <c r="E1769" s="1022">
        <v>84375</v>
      </c>
      <c r="F1769" s="788">
        <v>0</v>
      </c>
      <c r="G1769" s="1002"/>
      <c r="H1769" s="705"/>
      <c r="I1769" s="705"/>
    </row>
    <row r="1770" spans="1:9" s="543" customFormat="1" ht="12.75">
      <c r="A1770" s="648" t="s">
        <v>334</v>
      </c>
      <c r="B1770" s="1108"/>
      <c r="C1770" s="1132" t="s">
        <v>4592</v>
      </c>
      <c r="D1770" s="1227" t="s">
        <v>335</v>
      </c>
      <c r="E1770" s="1136">
        <v>191515</v>
      </c>
      <c r="F1770" s="1030">
        <v>0</v>
      </c>
      <c r="G1770" s="1002"/>
      <c r="H1770" s="705"/>
      <c r="I1770" s="705"/>
    </row>
    <row r="1771" spans="1:13" ht="12.75">
      <c r="A1771" s="648" t="s">
        <v>336</v>
      </c>
      <c r="B1771" s="630">
        <v>13119238</v>
      </c>
      <c r="C1771" s="1032" t="s">
        <v>1517</v>
      </c>
      <c r="D1771" s="598" t="s">
        <v>337</v>
      </c>
      <c r="E1771" s="697">
        <v>72990</v>
      </c>
      <c r="F1771" s="698">
        <v>0</v>
      </c>
      <c r="J1771" s="543"/>
      <c r="K1771"/>
      <c r="L1771"/>
      <c r="M1771"/>
    </row>
    <row r="1772" spans="1:13" ht="12.75">
      <c r="A1772" s="648" t="s">
        <v>338</v>
      </c>
      <c r="B1772" s="630"/>
      <c r="C1772" s="1032" t="s">
        <v>1517</v>
      </c>
      <c r="D1772" s="598" t="s">
        <v>339</v>
      </c>
      <c r="E1772" s="697">
        <v>93750</v>
      </c>
      <c r="F1772" s="698">
        <v>0</v>
      </c>
      <c r="J1772" s="543"/>
      <c r="K1772"/>
      <c r="L1772"/>
      <c r="M1772"/>
    </row>
    <row r="1773" spans="1:13" ht="12.75">
      <c r="A1773" s="648" t="s">
        <v>340</v>
      </c>
      <c r="B1773" s="630"/>
      <c r="C1773" s="1032" t="s">
        <v>1517</v>
      </c>
      <c r="D1773" s="598" t="s">
        <v>341</v>
      </c>
      <c r="E1773" s="697">
        <v>205000</v>
      </c>
      <c r="F1773" s="698">
        <v>0</v>
      </c>
      <c r="J1773" s="543"/>
      <c r="K1773"/>
      <c r="L1773"/>
      <c r="M1773"/>
    </row>
    <row r="1774" spans="1:13" ht="12.75">
      <c r="A1774" s="648" t="s">
        <v>342</v>
      </c>
      <c r="B1774" s="822"/>
      <c r="C1774" s="1032" t="s">
        <v>1517</v>
      </c>
      <c r="D1774" s="598" t="s">
        <v>4634</v>
      </c>
      <c r="E1774" s="697">
        <v>20468</v>
      </c>
      <c r="F1774" s="698">
        <v>0</v>
      </c>
      <c r="J1774" s="543"/>
      <c r="K1774"/>
      <c r="L1774"/>
      <c r="M1774"/>
    </row>
    <row r="1775" spans="1:13" ht="12.75">
      <c r="A1775" s="648" t="s">
        <v>4635</v>
      </c>
      <c r="B1775" s="822"/>
      <c r="C1775" s="1032" t="s">
        <v>1517</v>
      </c>
      <c r="D1775" s="598" t="s">
        <v>4634</v>
      </c>
      <c r="E1775" s="697">
        <v>20468</v>
      </c>
      <c r="F1775" s="698">
        <v>0</v>
      </c>
      <c r="J1775" s="543"/>
      <c r="K1775"/>
      <c r="L1775"/>
      <c r="M1775"/>
    </row>
    <row r="1776" spans="1:13" ht="12.75">
      <c r="A1776" s="648" t="s">
        <v>4636</v>
      </c>
      <c r="B1776" s="822"/>
      <c r="C1776" s="1032" t="s">
        <v>1517</v>
      </c>
      <c r="D1776" s="598" t="s">
        <v>4634</v>
      </c>
      <c r="E1776" s="697">
        <v>20468</v>
      </c>
      <c r="F1776" s="698">
        <v>0</v>
      </c>
      <c r="J1776" s="543"/>
      <c r="K1776"/>
      <c r="L1776"/>
      <c r="M1776"/>
    </row>
    <row r="1777" spans="1:13" ht="12.75">
      <c r="A1777" s="648" t="s">
        <v>4637</v>
      </c>
      <c r="B1777" s="822"/>
      <c r="C1777" s="1032" t="s">
        <v>1517</v>
      </c>
      <c r="D1777" s="598" t="s">
        <v>4638</v>
      </c>
      <c r="E1777" s="697">
        <v>200000</v>
      </c>
      <c r="F1777" s="698">
        <v>0</v>
      </c>
      <c r="J1777" s="543"/>
      <c r="K1777"/>
      <c r="L1777"/>
      <c r="M1777"/>
    </row>
    <row r="1778" spans="1:13" ht="12.75">
      <c r="A1778" s="648" t="s">
        <v>4639</v>
      </c>
      <c r="B1778" s="822"/>
      <c r="C1778" s="1032" t="s">
        <v>1517</v>
      </c>
      <c r="D1778" s="598" t="s">
        <v>4640</v>
      </c>
      <c r="E1778" s="697">
        <v>115915</v>
      </c>
      <c r="F1778" s="698">
        <v>0</v>
      </c>
      <c r="J1778" s="543"/>
      <c r="K1778"/>
      <c r="L1778"/>
      <c r="M1778"/>
    </row>
    <row r="1779" spans="1:13" ht="25.5">
      <c r="A1779" s="648" t="s">
        <v>4641</v>
      </c>
      <c r="B1779" s="822"/>
      <c r="C1779" s="1032" t="s">
        <v>1517</v>
      </c>
      <c r="D1779" s="598" t="s">
        <v>4642</v>
      </c>
      <c r="E1779" s="697">
        <v>43165</v>
      </c>
      <c r="F1779" s="698">
        <v>0</v>
      </c>
      <c r="J1779" s="543"/>
      <c r="K1779"/>
      <c r="L1779"/>
      <c r="M1779"/>
    </row>
    <row r="1780" spans="1:13" ht="26.25" thickBot="1">
      <c r="A1780" s="648" t="s">
        <v>4643</v>
      </c>
      <c r="B1780" s="1059"/>
      <c r="C1780" s="1032" t="s">
        <v>1517</v>
      </c>
      <c r="D1780" s="598" t="s">
        <v>4644</v>
      </c>
      <c r="E1780" s="697">
        <v>69999</v>
      </c>
      <c r="F1780" s="771">
        <v>0</v>
      </c>
      <c r="J1780" s="543"/>
      <c r="K1780"/>
      <c r="L1780"/>
      <c r="M1780"/>
    </row>
    <row r="1781" spans="1:9" s="543" customFormat="1" ht="48.75" thickBot="1">
      <c r="A1781" s="605" t="s">
        <v>4597</v>
      </c>
      <c r="B1781" s="606" t="s">
        <v>4601</v>
      </c>
      <c r="C1781" s="1008" t="s">
        <v>4602</v>
      </c>
      <c r="D1781" s="606" t="s">
        <v>4603</v>
      </c>
      <c r="E1781" s="738" t="s">
        <v>4604</v>
      </c>
      <c r="F1781" s="739" t="s">
        <v>4605</v>
      </c>
      <c r="G1781" s="1002"/>
      <c r="H1781" s="705"/>
      <c r="I1781" s="705"/>
    </row>
    <row r="1782" spans="1:13" ht="15" customHeight="1">
      <c r="A1782" s="648" t="s">
        <v>4645</v>
      </c>
      <c r="B1782" s="1059"/>
      <c r="C1782" s="1073" t="s">
        <v>1517</v>
      </c>
      <c r="D1782" s="600" t="s">
        <v>4646</v>
      </c>
      <c r="E1782" s="770">
        <v>105730</v>
      </c>
      <c r="F1782" s="771">
        <v>0</v>
      </c>
      <c r="J1782" s="543"/>
      <c r="K1782"/>
      <c r="L1782"/>
      <c r="M1782"/>
    </row>
    <row r="1783" spans="1:10" s="400" customFormat="1" ht="12.75">
      <c r="A1783" s="648" t="s">
        <v>4647</v>
      </c>
      <c r="B1783" s="630">
        <v>1311923</v>
      </c>
      <c r="C1783" s="1032" t="s">
        <v>1029</v>
      </c>
      <c r="D1783" s="598" t="s">
        <v>4648</v>
      </c>
      <c r="E1783" s="697">
        <v>24000</v>
      </c>
      <c r="F1783" s="698">
        <v>0</v>
      </c>
      <c r="G1783" s="1002"/>
      <c r="H1783" s="705"/>
      <c r="I1783" s="705"/>
      <c r="J1783" s="543"/>
    </row>
    <row r="1784" spans="1:10" s="400" customFormat="1" ht="12.75">
      <c r="A1784" s="648" t="s">
        <v>4649</v>
      </c>
      <c r="B1784" s="822"/>
      <c r="C1784" s="1032" t="s">
        <v>1029</v>
      </c>
      <c r="D1784" s="598" t="s">
        <v>4650</v>
      </c>
      <c r="E1784" s="697">
        <v>59990</v>
      </c>
      <c r="F1784" s="698">
        <v>0</v>
      </c>
      <c r="G1784" s="1002"/>
      <c r="H1784" s="705"/>
      <c r="I1784" s="705"/>
      <c r="J1784" s="543"/>
    </row>
    <row r="1785" spans="1:10" s="400" customFormat="1" ht="12.75">
      <c r="A1785" s="648" t="s">
        <v>4651</v>
      </c>
      <c r="B1785" s="822"/>
      <c r="C1785" s="1032" t="s">
        <v>1029</v>
      </c>
      <c r="D1785" s="598" t="s">
        <v>4652</v>
      </c>
      <c r="E1785" s="697">
        <v>45500</v>
      </c>
      <c r="F1785" s="698">
        <v>0</v>
      </c>
      <c r="G1785" s="1002"/>
      <c r="H1785" s="705"/>
      <c r="I1785" s="705"/>
      <c r="J1785" s="543"/>
    </row>
    <row r="1786" spans="1:10" s="400" customFormat="1" ht="12.75">
      <c r="A1786" s="648" t="s">
        <v>4653</v>
      </c>
      <c r="B1786" s="822"/>
      <c r="C1786" s="1032" t="s">
        <v>1029</v>
      </c>
      <c r="D1786" s="598" t="s">
        <v>4435</v>
      </c>
      <c r="E1786" s="697">
        <v>88750</v>
      </c>
      <c r="F1786" s="698">
        <v>0</v>
      </c>
      <c r="G1786" s="1002"/>
      <c r="H1786" s="705"/>
      <c r="I1786" s="705"/>
      <c r="J1786" s="543"/>
    </row>
    <row r="1787" spans="1:10" s="400" customFormat="1" ht="12.75">
      <c r="A1787" s="648" t="s">
        <v>4654</v>
      </c>
      <c r="B1787" s="822"/>
      <c r="C1787" s="1032" t="s">
        <v>1029</v>
      </c>
      <c r="D1787" s="598" t="s">
        <v>4655</v>
      </c>
      <c r="E1787" s="697">
        <v>47000</v>
      </c>
      <c r="F1787" s="698">
        <v>0</v>
      </c>
      <c r="G1787" s="1002"/>
      <c r="H1787" s="705"/>
      <c r="I1787" s="705"/>
      <c r="J1787" s="543"/>
    </row>
    <row r="1788" spans="1:10" s="400" customFormat="1" ht="12.75">
      <c r="A1788" s="648" t="s">
        <v>4656</v>
      </c>
      <c r="B1788" s="822"/>
      <c r="C1788" s="1032" t="s">
        <v>1029</v>
      </c>
      <c r="D1788" s="598" t="s">
        <v>4657</v>
      </c>
      <c r="E1788" s="697">
        <v>54200</v>
      </c>
      <c r="F1788" s="698">
        <v>0</v>
      </c>
      <c r="G1788" s="1002"/>
      <c r="H1788" s="705"/>
      <c r="I1788" s="705"/>
      <c r="J1788" s="543"/>
    </row>
    <row r="1789" spans="1:10" s="400" customFormat="1" ht="12.75">
      <c r="A1789" s="648" t="s">
        <v>4658</v>
      </c>
      <c r="B1789" s="822"/>
      <c r="C1789" s="1032" t="s">
        <v>1029</v>
      </c>
      <c r="D1789" s="598" t="s">
        <v>4659</v>
      </c>
      <c r="E1789" s="697">
        <v>46500</v>
      </c>
      <c r="F1789" s="698">
        <v>0</v>
      </c>
      <c r="G1789" s="1002"/>
      <c r="H1789" s="705"/>
      <c r="I1789" s="705"/>
      <c r="J1789" s="543"/>
    </row>
    <row r="1790" spans="1:10" s="400" customFormat="1" ht="12.75">
      <c r="A1790" s="648" t="s">
        <v>4660</v>
      </c>
      <c r="B1790" s="822"/>
      <c r="C1790" s="1032" t="s">
        <v>1029</v>
      </c>
      <c r="D1790" s="598" t="s">
        <v>4661</v>
      </c>
      <c r="E1790" s="697">
        <v>35295</v>
      </c>
      <c r="F1790" s="698">
        <v>0</v>
      </c>
      <c r="G1790" s="1002"/>
      <c r="H1790" s="705"/>
      <c r="I1790" s="705"/>
      <c r="J1790" s="543"/>
    </row>
    <row r="1791" spans="1:10" s="400" customFormat="1" ht="12.75">
      <c r="A1791" s="648" t="s">
        <v>4662</v>
      </c>
      <c r="B1791" s="822"/>
      <c r="C1791" s="1032" t="s">
        <v>1029</v>
      </c>
      <c r="D1791" s="598" t="s">
        <v>4663</v>
      </c>
      <c r="E1791" s="697">
        <v>93759</v>
      </c>
      <c r="F1791" s="698">
        <v>0</v>
      </c>
      <c r="G1791" s="1002"/>
      <c r="H1791" s="705"/>
      <c r="I1791" s="705"/>
      <c r="J1791" s="543"/>
    </row>
    <row r="1792" spans="1:10" s="400" customFormat="1" ht="12.75">
      <c r="A1792" s="648" t="s">
        <v>4664</v>
      </c>
      <c r="B1792" s="822"/>
      <c r="C1792" s="1032" t="s">
        <v>1029</v>
      </c>
      <c r="D1792" s="598" t="s">
        <v>4665</v>
      </c>
      <c r="E1792" s="697">
        <v>58000</v>
      </c>
      <c r="F1792" s="698">
        <v>0</v>
      </c>
      <c r="G1792" s="1002"/>
      <c r="H1792" s="705"/>
      <c r="I1792" s="705"/>
      <c r="J1792" s="543"/>
    </row>
    <row r="1793" spans="1:10" s="400" customFormat="1" ht="12.75">
      <c r="A1793" s="648" t="s">
        <v>4666</v>
      </c>
      <c r="B1793" s="822"/>
      <c r="C1793" s="1032" t="s">
        <v>1029</v>
      </c>
      <c r="D1793" s="598" t="s">
        <v>4667</v>
      </c>
      <c r="E1793" s="697">
        <v>51656</v>
      </c>
      <c r="F1793" s="698">
        <v>0</v>
      </c>
      <c r="G1793" s="1002"/>
      <c r="H1793" s="705"/>
      <c r="I1793" s="705"/>
      <c r="J1793" s="543"/>
    </row>
    <row r="1794" spans="1:10" s="400" customFormat="1" ht="12.75">
      <c r="A1794" s="648" t="s">
        <v>4668</v>
      </c>
      <c r="B1794" s="822"/>
      <c r="C1794" s="1032" t="s">
        <v>1029</v>
      </c>
      <c r="D1794" s="598" t="s">
        <v>4669</v>
      </c>
      <c r="E1794" s="697">
        <v>69800</v>
      </c>
      <c r="F1794" s="698">
        <v>0</v>
      </c>
      <c r="G1794" s="1002"/>
      <c r="H1794" s="705"/>
      <c r="I1794" s="705"/>
      <c r="J1794" s="543"/>
    </row>
    <row r="1795" spans="1:10" s="400" customFormat="1" ht="12.75">
      <c r="A1795" s="648" t="s">
        <v>4670</v>
      </c>
      <c r="B1795" s="822"/>
      <c r="C1795" s="1032" t="s">
        <v>1029</v>
      </c>
      <c r="D1795" s="598" t="s">
        <v>4671</v>
      </c>
      <c r="E1795" s="697">
        <v>1250000</v>
      </c>
      <c r="F1795" s="698">
        <v>0</v>
      </c>
      <c r="G1795" s="1002"/>
      <c r="H1795" s="705"/>
      <c r="I1795" s="705"/>
      <c r="J1795" s="543"/>
    </row>
    <row r="1796" spans="1:10" s="400" customFormat="1" ht="12.75">
      <c r="A1796" s="648" t="s">
        <v>4672</v>
      </c>
      <c r="B1796" s="822"/>
      <c r="C1796" s="1032" t="s">
        <v>1029</v>
      </c>
      <c r="D1796" s="598" t="s">
        <v>4673</v>
      </c>
      <c r="E1796" s="697">
        <v>288072</v>
      </c>
      <c r="F1796" s="698">
        <v>0</v>
      </c>
      <c r="G1796" s="1002"/>
      <c r="H1796" s="705"/>
      <c r="I1796" s="705"/>
      <c r="J1796" s="543"/>
    </row>
    <row r="1797" spans="1:10" s="400" customFormat="1" ht="12.75">
      <c r="A1797" s="648" t="s">
        <v>4674</v>
      </c>
      <c r="B1797" s="822"/>
      <c r="C1797" s="1032" t="s">
        <v>1029</v>
      </c>
      <c r="D1797" s="598" t="s">
        <v>4675</v>
      </c>
      <c r="E1797" s="697">
        <v>101200</v>
      </c>
      <c r="F1797" s="698">
        <v>0</v>
      </c>
      <c r="G1797" s="1002"/>
      <c r="H1797" s="705"/>
      <c r="I1797" s="705"/>
      <c r="J1797" s="543"/>
    </row>
    <row r="1798" spans="1:10" s="400" customFormat="1" ht="12.75">
      <c r="A1798" s="648" t="s">
        <v>4676</v>
      </c>
      <c r="B1798" s="822"/>
      <c r="C1798" s="1032" t="s">
        <v>1029</v>
      </c>
      <c r="D1798" s="598" t="s">
        <v>4677</v>
      </c>
      <c r="E1798" s="697">
        <v>56800</v>
      </c>
      <c r="F1798" s="698">
        <v>0</v>
      </c>
      <c r="G1798" s="1002"/>
      <c r="H1798" s="705"/>
      <c r="I1798" s="705"/>
      <c r="J1798" s="543"/>
    </row>
    <row r="1799" spans="1:10" s="400" customFormat="1" ht="12.75">
      <c r="A1799" s="648" t="s">
        <v>4678</v>
      </c>
      <c r="B1799" s="822"/>
      <c r="C1799" s="1032" t="s">
        <v>1029</v>
      </c>
      <c r="D1799" s="598" t="s">
        <v>4679</v>
      </c>
      <c r="E1799" s="697">
        <v>56800</v>
      </c>
      <c r="F1799" s="698">
        <v>0</v>
      </c>
      <c r="G1799" s="1002"/>
      <c r="H1799" s="705"/>
      <c r="I1799" s="705"/>
      <c r="J1799" s="543"/>
    </row>
    <row r="1800" spans="1:10" s="400" customFormat="1" ht="12.75">
      <c r="A1800" s="648" t="s">
        <v>4680</v>
      </c>
      <c r="B1800" s="1059"/>
      <c r="C1800" s="1032" t="s">
        <v>1029</v>
      </c>
      <c r="D1800" s="600" t="s">
        <v>4387</v>
      </c>
      <c r="E1800" s="770">
        <v>63990</v>
      </c>
      <c r="F1800" s="771">
        <v>0</v>
      </c>
      <c r="G1800" s="1002"/>
      <c r="H1800" s="705"/>
      <c r="I1800" s="705"/>
      <c r="J1800" s="543"/>
    </row>
    <row r="1801" spans="1:10" s="400" customFormat="1" ht="12.75">
      <c r="A1801" s="648" t="s">
        <v>4681</v>
      </c>
      <c r="B1801" s="1059"/>
      <c r="C1801" s="1073" t="s">
        <v>1029</v>
      </c>
      <c r="D1801" s="600" t="s">
        <v>4682</v>
      </c>
      <c r="E1801" s="770">
        <v>63000</v>
      </c>
      <c r="F1801" s="771">
        <v>0</v>
      </c>
      <c r="G1801" s="1002"/>
      <c r="H1801" s="705"/>
      <c r="I1801" s="705"/>
      <c r="J1801" s="543"/>
    </row>
    <row r="1802" spans="1:10" s="400" customFormat="1" ht="12.75">
      <c r="A1802" s="648" t="s">
        <v>4683</v>
      </c>
      <c r="B1802" s="726">
        <v>1311923</v>
      </c>
      <c r="C1802" s="695" t="s">
        <v>1026</v>
      </c>
      <c r="D1802" s="669" t="s">
        <v>4684</v>
      </c>
      <c r="E1802" s="697">
        <v>55988</v>
      </c>
      <c r="F1802" s="698">
        <v>0</v>
      </c>
      <c r="G1802" s="1002"/>
      <c r="H1802" s="705"/>
      <c r="I1802" s="705"/>
      <c r="J1802" s="543"/>
    </row>
    <row r="1803" spans="1:10" s="400" customFormat="1" ht="25.5">
      <c r="A1803" s="648" t="s">
        <v>4685</v>
      </c>
      <c r="B1803" s="726"/>
      <c r="C1803" s="695" t="s">
        <v>1026</v>
      </c>
      <c r="D1803" s="669" t="s">
        <v>4686</v>
      </c>
      <c r="E1803" s="697">
        <v>77488</v>
      </c>
      <c r="F1803" s="698">
        <v>0</v>
      </c>
      <c r="G1803" s="1002"/>
      <c r="H1803" s="705"/>
      <c r="I1803" s="705"/>
      <c r="J1803" s="543"/>
    </row>
    <row r="1804" spans="1:10" s="400" customFormat="1" ht="12.75">
      <c r="A1804" s="648" t="s">
        <v>4687</v>
      </c>
      <c r="B1804" s="726"/>
      <c r="C1804" s="1060" t="s">
        <v>1026</v>
      </c>
      <c r="D1804" s="669" t="s">
        <v>4688</v>
      </c>
      <c r="E1804" s="697">
        <v>62487</v>
      </c>
      <c r="F1804" s="698">
        <v>0</v>
      </c>
      <c r="G1804" s="1002"/>
      <c r="H1804" s="705"/>
      <c r="I1804" s="705"/>
      <c r="J1804" s="543"/>
    </row>
    <row r="1805" spans="1:10" s="400" customFormat="1" ht="12.75">
      <c r="A1805" s="648" t="s">
        <v>4689</v>
      </c>
      <c r="B1805" s="726"/>
      <c r="C1805" s="1060" t="s">
        <v>1026</v>
      </c>
      <c r="D1805" s="669" t="s">
        <v>4690</v>
      </c>
      <c r="E1805" s="697">
        <v>62345</v>
      </c>
      <c r="F1805" s="1075">
        <v>0</v>
      </c>
      <c r="G1805" s="1002"/>
      <c r="H1805" s="705"/>
      <c r="I1805" s="705"/>
      <c r="J1805" s="543"/>
    </row>
    <row r="1806" spans="1:10" s="400" customFormat="1" ht="12.75">
      <c r="A1806" s="648" t="s">
        <v>4691</v>
      </c>
      <c r="B1806" s="726"/>
      <c r="C1806" s="1060" t="s">
        <v>1026</v>
      </c>
      <c r="D1806" s="669" t="s">
        <v>4690</v>
      </c>
      <c r="E1806" s="697">
        <v>63887</v>
      </c>
      <c r="F1806" s="698">
        <v>0</v>
      </c>
      <c r="G1806" s="1002"/>
      <c r="H1806" s="705"/>
      <c r="I1806" s="705"/>
      <c r="J1806" s="543"/>
    </row>
    <row r="1807" spans="1:10" s="400" customFormat="1" ht="12.75">
      <c r="A1807" s="648" t="s">
        <v>4692</v>
      </c>
      <c r="B1807" s="726"/>
      <c r="C1807" s="1060" t="s">
        <v>1026</v>
      </c>
      <c r="D1807" s="669" t="s">
        <v>4690</v>
      </c>
      <c r="E1807" s="697">
        <v>63887</v>
      </c>
      <c r="F1807" s="698">
        <v>0</v>
      </c>
      <c r="G1807" s="1002"/>
      <c r="H1807" s="705"/>
      <c r="I1807" s="705"/>
      <c r="J1807" s="543"/>
    </row>
    <row r="1808" spans="1:10" s="400" customFormat="1" ht="12.75">
      <c r="A1808" s="648" t="s">
        <v>4693</v>
      </c>
      <c r="B1808" s="726"/>
      <c r="C1808" s="1060" t="s">
        <v>1026</v>
      </c>
      <c r="D1808" s="669" t="s">
        <v>4690</v>
      </c>
      <c r="E1808" s="697">
        <v>63887</v>
      </c>
      <c r="F1808" s="698">
        <v>0</v>
      </c>
      <c r="G1808" s="1002"/>
      <c r="H1808" s="705"/>
      <c r="I1808" s="705"/>
      <c r="J1808" s="543"/>
    </row>
    <row r="1809" spans="1:10" s="400" customFormat="1" ht="12.75">
      <c r="A1809" s="648" t="s">
        <v>4694</v>
      </c>
      <c r="B1809" s="726"/>
      <c r="C1809" s="1060" t="s">
        <v>1026</v>
      </c>
      <c r="D1809" s="669" t="s">
        <v>4695</v>
      </c>
      <c r="E1809" s="697">
        <v>248188</v>
      </c>
      <c r="F1809" s="698">
        <v>0</v>
      </c>
      <c r="G1809" s="1002"/>
      <c r="H1809" s="705"/>
      <c r="I1809" s="705"/>
      <c r="J1809" s="543"/>
    </row>
    <row r="1810" spans="1:10" s="400" customFormat="1" ht="12.75">
      <c r="A1810" s="648" t="s">
        <v>4696</v>
      </c>
      <c r="B1810" s="822"/>
      <c r="C1810" s="1032" t="s">
        <v>1026</v>
      </c>
      <c r="D1810" s="598" t="s">
        <v>4697</v>
      </c>
      <c r="E1810" s="697">
        <v>76950</v>
      </c>
      <c r="F1810" s="698">
        <v>0</v>
      </c>
      <c r="G1810" s="1002"/>
      <c r="H1810" s="705"/>
      <c r="I1810" s="705"/>
      <c r="J1810" s="543"/>
    </row>
    <row r="1811" spans="1:10" s="400" customFormat="1" ht="12.75">
      <c r="A1811" s="648" t="s">
        <v>4698</v>
      </c>
      <c r="B1811" s="822"/>
      <c r="C1811" s="1032" t="s">
        <v>1026</v>
      </c>
      <c r="D1811" s="598" t="s">
        <v>4699</v>
      </c>
      <c r="E1811" s="697">
        <v>168150</v>
      </c>
      <c r="F1811" s="698">
        <v>0</v>
      </c>
      <c r="G1811" s="1002"/>
      <c r="H1811" s="705"/>
      <c r="I1811" s="705"/>
      <c r="J1811" s="543"/>
    </row>
    <row r="1812" spans="1:10" s="400" customFormat="1" ht="12.75">
      <c r="A1812" s="648" t="s">
        <v>4700</v>
      </c>
      <c r="B1812" s="1014"/>
      <c r="C1812" s="1071" t="s">
        <v>1026</v>
      </c>
      <c r="D1812" s="596" t="s">
        <v>4701</v>
      </c>
      <c r="E1812" s="1058">
        <v>37760</v>
      </c>
      <c r="F1812" s="1075">
        <v>0</v>
      </c>
      <c r="G1812" s="1002"/>
      <c r="H1812" s="705"/>
      <c r="I1812" s="705"/>
      <c r="J1812" s="543"/>
    </row>
    <row r="1813" spans="1:10" s="400" customFormat="1" ht="12.75">
      <c r="A1813" s="648" t="s">
        <v>4702</v>
      </c>
      <c r="B1813" s="822"/>
      <c r="C1813" s="1032" t="s">
        <v>1026</v>
      </c>
      <c r="D1813" s="598" t="s">
        <v>4394</v>
      </c>
      <c r="E1813" s="697">
        <v>40960</v>
      </c>
      <c r="F1813" s="698">
        <v>0</v>
      </c>
      <c r="G1813" s="1002"/>
      <c r="H1813" s="705"/>
      <c r="I1813" s="705"/>
      <c r="J1813" s="543"/>
    </row>
    <row r="1814" spans="1:10" s="400" customFormat="1" ht="12.75">
      <c r="A1814" s="648" t="s">
        <v>4703</v>
      </c>
      <c r="B1814" s="822"/>
      <c r="C1814" s="1032" t="s">
        <v>1026</v>
      </c>
      <c r="D1814" s="598" t="s">
        <v>4394</v>
      </c>
      <c r="E1814" s="697">
        <v>24400</v>
      </c>
      <c r="F1814" s="698">
        <v>0</v>
      </c>
      <c r="G1814" s="1002"/>
      <c r="H1814" s="705"/>
      <c r="I1814" s="705"/>
      <c r="J1814" s="543"/>
    </row>
    <row r="1815" spans="1:10" s="400" customFormat="1" ht="12.75">
      <c r="A1815" s="648" t="s">
        <v>4704</v>
      </c>
      <c r="B1815" s="822"/>
      <c r="C1815" s="1032" t="s">
        <v>1026</v>
      </c>
      <c r="D1815" s="598" t="s">
        <v>4705</v>
      </c>
      <c r="E1815" s="697">
        <v>49920</v>
      </c>
      <c r="F1815" s="698">
        <v>0</v>
      </c>
      <c r="G1815" s="1002"/>
      <c r="H1815" s="705"/>
      <c r="I1815" s="705"/>
      <c r="J1815" s="543"/>
    </row>
    <row r="1816" spans="1:10" s="400" customFormat="1" ht="12.75">
      <c r="A1816" s="648" t="s">
        <v>4706</v>
      </c>
      <c r="B1816" s="822"/>
      <c r="C1816" s="1032" t="s">
        <v>1026</v>
      </c>
      <c r="D1816" s="598" t="s">
        <v>4707</v>
      </c>
      <c r="E1816" s="697">
        <v>31920</v>
      </c>
      <c r="F1816" s="698">
        <v>0</v>
      </c>
      <c r="G1816" s="1002"/>
      <c r="H1816" s="705"/>
      <c r="I1816" s="705"/>
      <c r="J1816" s="543"/>
    </row>
    <row r="1817" spans="1:10" s="400" customFormat="1" ht="12.75">
      <c r="A1817" s="648" t="s">
        <v>4708</v>
      </c>
      <c r="B1817" s="822"/>
      <c r="C1817" s="1032" t="s">
        <v>1026</v>
      </c>
      <c r="D1817" s="598" t="s">
        <v>4709</v>
      </c>
      <c r="E1817" s="697">
        <v>48184</v>
      </c>
      <c r="F1817" s="698">
        <v>0</v>
      </c>
      <c r="G1817" s="1002"/>
      <c r="H1817" s="705"/>
      <c r="I1817" s="705"/>
      <c r="J1817" s="543"/>
    </row>
    <row r="1818" spans="1:10" s="400" customFormat="1" ht="12.75">
      <c r="A1818" s="648" t="s">
        <v>4710</v>
      </c>
      <c r="B1818" s="822"/>
      <c r="C1818" s="1032" t="s">
        <v>1026</v>
      </c>
      <c r="D1818" s="598" t="s">
        <v>4711</v>
      </c>
      <c r="E1818" s="697">
        <v>27600</v>
      </c>
      <c r="F1818" s="698">
        <v>0</v>
      </c>
      <c r="G1818" s="1002"/>
      <c r="H1818" s="705"/>
      <c r="I1818" s="705"/>
      <c r="J1818" s="543"/>
    </row>
    <row r="1819" spans="1:10" s="400" customFormat="1" ht="12.75">
      <c r="A1819" s="648" t="s">
        <v>4712</v>
      </c>
      <c r="B1819" s="822"/>
      <c r="C1819" s="1032" t="s">
        <v>1026</v>
      </c>
      <c r="D1819" s="598" t="s">
        <v>4713</v>
      </c>
      <c r="E1819" s="697">
        <v>225423</v>
      </c>
      <c r="F1819" s="698">
        <v>0</v>
      </c>
      <c r="G1819" s="1002"/>
      <c r="H1819" s="705"/>
      <c r="I1819" s="705"/>
      <c r="J1819" s="543"/>
    </row>
    <row r="1820" spans="1:10" s="400" customFormat="1" ht="12.75">
      <c r="A1820" s="648" t="s">
        <v>4714</v>
      </c>
      <c r="B1820" s="822"/>
      <c r="C1820" s="1032" t="s">
        <v>1026</v>
      </c>
      <c r="D1820" s="598" t="s">
        <v>337</v>
      </c>
      <c r="E1820" s="697">
        <v>114999</v>
      </c>
      <c r="F1820" s="698">
        <v>0</v>
      </c>
      <c r="G1820" s="1002"/>
      <c r="H1820" s="705"/>
      <c r="I1820" s="705"/>
      <c r="J1820" s="543"/>
    </row>
    <row r="1821" spans="1:10" s="400" customFormat="1" ht="12.75">
      <c r="A1821" s="648" t="s">
        <v>4715</v>
      </c>
      <c r="B1821" s="822"/>
      <c r="C1821" s="1032" t="s">
        <v>1026</v>
      </c>
      <c r="D1821" s="598" t="s">
        <v>4716</v>
      </c>
      <c r="E1821" s="697">
        <v>354748</v>
      </c>
      <c r="F1821" s="698">
        <v>0</v>
      </c>
      <c r="G1821" s="1002"/>
      <c r="H1821" s="705"/>
      <c r="I1821" s="705"/>
      <c r="J1821" s="543"/>
    </row>
    <row r="1822" spans="1:10" s="400" customFormat="1" ht="12.75">
      <c r="A1822" s="648" t="s">
        <v>4717</v>
      </c>
      <c r="B1822" s="822"/>
      <c r="C1822" s="1032" t="s">
        <v>1026</v>
      </c>
      <c r="D1822" s="598" t="s">
        <v>4408</v>
      </c>
      <c r="E1822" s="697">
        <v>62500</v>
      </c>
      <c r="F1822" s="698">
        <v>0</v>
      </c>
      <c r="G1822" s="1002"/>
      <c r="H1822" s="705"/>
      <c r="I1822" s="705"/>
      <c r="J1822" s="543"/>
    </row>
    <row r="1823" spans="1:10" s="400" customFormat="1" ht="12.75">
      <c r="A1823" s="648" t="s">
        <v>4718</v>
      </c>
      <c r="B1823" s="822"/>
      <c r="C1823" s="1032" t="s">
        <v>1026</v>
      </c>
      <c r="D1823" s="598" t="s">
        <v>4719</v>
      </c>
      <c r="E1823" s="697">
        <v>68700</v>
      </c>
      <c r="F1823" s="698">
        <v>0</v>
      </c>
      <c r="G1823" s="1002"/>
      <c r="H1823" s="705"/>
      <c r="I1823" s="705"/>
      <c r="J1823" s="543"/>
    </row>
    <row r="1824" spans="1:10" s="400" customFormat="1" ht="12.75">
      <c r="A1824" s="648" t="s">
        <v>4720</v>
      </c>
      <c r="B1824" s="822"/>
      <c r="C1824" s="1032" t="s">
        <v>1026</v>
      </c>
      <c r="D1824" s="598" t="s">
        <v>4705</v>
      </c>
      <c r="E1824" s="697">
        <v>64999</v>
      </c>
      <c r="F1824" s="698">
        <v>0</v>
      </c>
      <c r="G1824" s="1002"/>
      <c r="H1824" s="705"/>
      <c r="I1824" s="705"/>
      <c r="J1824" s="543"/>
    </row>
    <row r="1825" spans="1:10" s="400" customFormat="1" ht="12.75">
      <c r="A1825" s="648" t="s">
        <v>4721</v>
      </c>
      <c r="B1825" s="822"/>
      <c r="C1825" s="1032" t="s">
        <v>1026</v>
      </c>
      <c r="D1825" s="598" t="s">
        <v>4408</v>
      </c>
      <c r="E1825" s="697">
        <v>62500</v>
      </c>
      <c r="F1825" s="698">
        <v>0</v>
      </c>
      <c r="G1825" s="1002"/>
      <c r="H1825" s="705"/>
      <c r="I1825" s="705"/>
      <c r="J1825" s="543"/>
    </row>
    <row r="1826" spans="1:10" s="400" customFormat="1" ht="12.75">
      <c r="A1826" s="648" t="s">
        <v>4722</v>
      </c>
      <c r="B1826" s="822"/>
      <c r="C1826" s="1032" t="s">
        <v>1026</v>
      </c>
      <c r="D1826" s="598" t="s">
        <v>4723</v>
      </c>
      <c r="E1826" s="697">
        <v>60799</v>
      </c>
      <c r="F1826" s="698">
        <v>0</v>
      </c>
      <c r="G1826" s="1002"/>
      <c r="H1826" s="705"/>
      <c r="I1826" s="705"/>
      <c r="J1826" s="543"/>
    </row>
    <row r="1827" spans="1:10" s="400" customFormat="1" ht="12.75">
      <c r="A1827" s="648" t="s">
        <v>4724</v>
      </c>
      <c r="B1827" s="822"/>
      <c r="C1827" s="1032" t="s">
        <v>1026</v>
      </c>
      <c r="D1827" s="598" t="s">
        <v>4723</v>
      </c>
      <c r="E1827" s="697">
        <v>51199</v>
      </c>
      <c r="F1827" s="698">
        <v>0</v>
      </c>
      <c r="G1827" s="1002"/>
      <c r="H1827" s="705"/>
      <c r="I1827" s="705"/>
      <c r="J1827" s="543"/>
    </row>
    <row r="1828" spans="1:10" s="400" customFormat="1" ht="12.75">
      <c r="A1828" s="648" t="s">
        <v>4725</v>
      </c>
      <c r="B1828" s="822"/>
      <c r="C1828" s="1032" t="s">
        <v>1026</v>
      </c>
      <c r="D1828" s="598" t="s">
        <v>4726</v>
      </c>
      <c r="E1828" s="697">
        <v>635900</v>
      </c>
      <c r="F1828" s="698">
        <v>0</v>
      </c>
      <c r="G1828" s="1002"/>
      <c r="H1828" s="705"/>
      <c r="I1828" s="705"/>
      <c r="J1828" s="543"/>
    </row>
    <row r="1829" spans="1:10" s="400" customFormat="1" ht="12.75">
      <c r="A1829" s="648" t="s">
        <v>4727</v>
      </c>
      <c r="B1829" s="822"/>
      <c r="C1829" s="1032" t="s">
        <v>1026</v>
      </c>
      <c r="D1829" s="598" t="s">
        <v>4728</v>
      </c>
      <c r="E1829" s="697">
        <v>73000</v>
      </c>
      <c r="F1829" s="698">
        <v>0</v>
      </c>
      <c r="G1829" s="1002"/>
      <c r="H1829" s="705"/>
      <c r="I1829" s="705"/>
      <c r="J1829" s="543"/>
    </row>
    <row r="1830" spans="1:10" s="400" customFormat="1" ht="12.75">
      <c r="A1830" s="648" t="s">
        <v>4729</v>
      </c>
      <c r="B1830" s="822"/>
      <c r="C1830" s="1032" t="s">
        <v>1026</v>
      </c>
      <c r="D1830" s="598" t="s">
        <v>4728</v>
      </c>
      <c r="E1830" s="697">
        <v>131900</v>
      </c>
      <c r="F1830" s="698">
        <v>0</v>
      </c>
      <c r="G1830" s="1002"/>
      <c r="H1830" s="705"/>
      <c r="I1830" s="705"/>
      <c r="J1830" s="543"/>
    </row>
    <row r="1831" spans="1:10" s="400" customFormat="1" ht="12.75">
      <c r="A1831" s="648" t="s">
        <v>4730</v>
      </c>
      <c r="B1831" s="822"/>
      <c r="C1831" s="1032" t="s">
        <v>1026</v>
      </c>
      <c r="D1831" s="598" t="s">
        <v>4731</v>
      </c>
      <c r="E1831" s="697">
        <v>98000</v>
      </c>
      <c r="F1831" s="698">
        <v>0</v>
      </c>
      <c r="G1831" s="1002"/>
      <c r="H1831" s="705"/>
      <c r="I1831" s="705"/>
      <c r="J1831" s="543"/>
    </row>
    <row r="1832" spans="1:10" s="400" customFormat="1" ht="12.75">
      <c r="A1832" s="648" t="s">
        <v>4732</v>
      </c>
      <c r="B1832" s="822"/>
      <c r="C1832" s="1032" t="s">
        <v>1026</v>
      </c>
      <c r="D1832" s="598" t="s">
        <v>4733</v>
      </c>
      <c r="E1832" s="697">
        <v>40000</v>
      </c>
      <c r="F1832" s="698">
        <v>0</v>
      </c>
      <c r="G1832" s="1002"/>
      <c r="H1832" s="705"/>
      <c r="I1832" s="705"/>
      <c r="J1832" s="543"/>
    </row>
    <row r="1833" spans="1:10" s="400" customFormat="1" ht="12.75">
      <c r="A1833" s="648" t="s">
        <v>4734</v>
      </c>
      <c r="B1833" s="822"/>
      <c r="C1833" s="1032" t="s">
        <v>1026</v>
      </c>
      <c r="D1833" s="598" t="s">
        <v>318</v>
      </c>
      <c r="E1833" s="697">
        <v>41192</v>
      </c>
      <c r="F1833" s="698">
        <v>0</v>
      </c>
      <c r="G1833" s="1002"/>
      <c r="H1833" s="705"/>
      <c r="I1833" s="705"/>
      <c r="J1833" s="543"/>
    </row>
    <row r="1834" spans="1:10" s="400" customFormat="1" ht="12.75">
      <c r="A1834" s="648" t="s">
        <v>4735</v>
      </c>
      <c r="B1834" s="822"/>
      <c r="C1834" s="1032" t="s">
        <v>1026</v>
      </c>
      <c r="D1834" s="598" t="s">
        <v>4736</v>
      </c>
      <c r="E1834" s="697">
        <v>52000</v>
      </c>
      <c r="F1834" s="698">
        <v>0</v>
      </c>
      <c r="G1834" s="1002"/>
      <c r="H1834" s="705"/>
      <c r="I1834" s="705"/>
      <c r="J1834" s="543"/>
    </row>
    <row r="1835" spans="1:10" s="400" customFormat="1" ht="12.75">
      <c r="A1835" s="648" t="s">
        <v>4737</v>
      </c>
      <c r="B1835" s="822"/>
      <c r="C1835" s="1032" t="s">
        <v>1026</v>
      </c>
      <c r="D1835" s="598" t="s">
        <v>4738</v>
      </c>
      <c r="E1835" s="697">
        <v>41000</v>
      </c>
      <c r="F1835" s="698">
        <v>0</v>
      </c>
      <c r="G1835" s="1002"/>
      <c r="H1835" s="705"/>
      <c r="I1835" s="705"/>
      <c r="J1835" s="543"/>
    </row>
    <row r="1836" spans="1:10" s="400" customFormat="1" ht="12.75">
      <c r="A1836" s="648" t="s">
        <v>4739</v>
      </c>
      <c r="B1836" s="822"/>
      <c r="C1836" s="1032" t="s">
        <v>1026</v>
      </c>
      <c r="D1836" s="598" t="s">
        <v>4738</v>
      </c>
      <c r="E1836" s="697">
        <v>56200</v>
      </c>
      <c r="F1836" s="698">
        <v>0</v>
      </c>
      <c r="G1836" s="1002"/>
      <c r="H1836" s="705"/>
      <c r="I1836" s="705"/>
      <c r="J1836" s="543"/>
    </row>
    <row r="1837" spans="1:10" s="400" customFormat="1" ht="12.75">
      <c r="A1837" s="648" t="s">
        <v>4740</v>
      </c>
      <c r="B1837" s="822"/>
      <c r="C1837" s="1032" t="s">
        <v>1026</v>
      </c>
      <c r="D1837" s="598" t="s">
        <v>4738</v>
      </c>
      <c r="E1837" s="697">
        <v>70600</v>
      </c>
      <c r="F1837" s="698">
        <v>0</v>
      </c>
      <c r="G1837" s="1002"/>
      <c r="H1837" s="705"/>
      <c r="I1837" s="705"/>
      <c r="J1837" s="543"/>
    </row>
    <row r="1838" spans="1:10" s="400" customFormat="1" ht="13.5" thickBot="1">
      <c r="A1838" s="648" t="s">
        <v>4741</v>
      </c>
      <c r="B1838" s="822"/>
      <c r="C1838" s="1032" t="s">
        <v>1026</v>
      </c>
      <c r="D1838" s="598" t="s">
        <v>4742</v>
      </c>
      <c r="E1838" s="697">
        <v>71300</v>
      </c>
      <c r="F1838" s="698">
        <v>0</v>
      </c>
      <c r="G1838" s="1002"/>
      <c r="H1838" s="705"/>
      <c r="I1838" s="705"/>
      <c r="J1838" s="543"/>
    </row>
    <row r="1839" spans="1:10" ht="48.75" thickBot="1">
      <c r="A1839" s="605" t="s">
        <v>4597</v>
      </c>
      <c r="B1839" s="606" t="s">
        <v>4601</v>
      </c>
      <c r="C1839" s="1008" t="s">
        <v>4602</v>
      </c>
      <c r="D1839" s="606" t="s">
        <v>4603</v>
      </c>
      <c r="E1839" s="738" t="s">
        <v>4604</v>
      </c>
      <c r="F1839" s="739" t="s">
        <v>4605</v>
      </c>
      <c r="J1839" s="543"/>
    </row>
    <row r="1840" spans="1:10" s="400" customFormat="1" ht="12.75">
      <c r="A1840" s="648" t="s">
        <v>4743</v>
      </c>
      <c r="B1840" s="822"/>
      <c r="C1840" s="1032" t="s">
        <v>1026</v>
      </c>
      <c r="D1840" s="598" t="s">
        <v>4744</v>
      </c>
      <c r="E1840" s="697">
        <v>39920</v>
      </c>
      <c r="F1840" s="698">
        <v>0</v>
      </c>
      <c r="G1840" s="1002"/>
      <c r="H1840" s="705"/>
      <c r="I1840" s="705"/>
      <c r="J1840" s="543"/>
    </row>
    <row r="1841" spans="1:10" s="400" customFormat="1" ht="12.75">
      <c r="A1841" s="648" t="s">
        <v>4745</v>
      </c>
      <c r="B1841" s="822"/>
      <c r="C1841" s="1032" t="s">
        <v>1026</v>
      </c>
      <c r="D1841" s="598" t="s">
        <v>4746</v>
      </c>
      <c r="E1841" s="697">
        <v>108000</v>
      </c>
      <c r="F1841" s="698">
        <v>0</v>
      </c>
      <c r="G1841" s="1002"/>
      <c r="H1841" s="705"/>
      <c r="I1841" s="705"/>
      <c r="J1841" s="543"/>
    </row>
    <row r="1842" spans="1:10" s="400" customFormat="1" ht="13.5" thickBot="1">
      <c r="A1842" s="751" t="s">
        <v>4747</v>
      </c>
      <c r="B1842" s="822"/>
      <c r="C1842" s="1032" t="s">
        <v>1026</v>
      </c>
      <c r="D1842" s="598" t="s">
        <v>4748</v>
      </c>
      <c r="E1842" s="697">
        <v>252600</v>
      </c>
      <c r="F1842" s="698">
        <v>0</v>
      </c>
      <c r="G1842" s="1002"/>
      <c r="H1842" s="705"/>
      <c r="I1842" s="705"/>
      <c r="J1842" s="543"/>
    </row>
    <row r="1843" spans="1:10" ht="13.5" thickBot="1">
      <c r="A1843" s="806"/>
      <c r="B1843" s="806">
        <v>131192</v>
      </c>
      <c r="C1843" s="1212"/>
      <c r="D1843" s="807" t="s">
        <v>1499</v>
      </c>
      <c r="E1843" s="1196">
        <f>SUM(E1695:E1842)</f>
        <v>21137004</v>
      </c>
      <c r="F1843" s="1196">
        <f>SUM(F1695:F1842)</f>
        <v>0</v>
      </c>
      <c r="J1843" s="543"/>
    </row>
    <row r="1844" spans="1:9" s="686" customFormat="1" ht="13.5" thickBot="1">
      <c r="A1844" s="2220" t="s">
        <v>4405</v>
      </c>
      <c r="B1844" s="2220"/>
      <c r="C1844" s="2220"/>
      <c r="D1844" s="2220"/>
      <c r="E1844" s="2220"/>
      <c r="F1844" s="2220"/>
      <c r="G1844" s="1001"/>
      <c r="H1844" s="817"/>
      <c r="I1844" s="817"/>
    </row>
    <row r="1845" spans="1:9" s="694" customFormat="1" ht="12.75">
      <c r="A1845" s="808" t="s">
        <v>4749</v>
      </c>
      <c r="B1845" s="819">
        <v>13119235</v>
      </c>
      <c r="C1845" s="1276" t="s">
        <v>1077</v>
      </c>
      <c r="D1845" s="616" t="s">
        <v>4406</v>
      </c>
      <c r="E1845" s="692">
        <v>373230</v>
      </c>
      <c r="F1845" s="693">
        <v>0</v>
      </c>
      <c r="G1845" s="1047"/>
      <c r="H1845" s="708"/>
      <c r="I1845" s="708"/>
    </row>
    <row r="1846" spans="1:9" s="694" customFormat="1" ht="12.75">
      <c r="A1846" s="687" t="s">
        <v>4750</v>
      </c>
      <c r="B1846" s="726"/>
      <c r="C1846" s="1041" t="s">
        <v>1077</v>
      </c>
      <c r="D1846" s="598" t="s">
        <v>4407</v>
      </c>
      <c r="E1846" s="697">
        <v>58125</v>
      </c>
      <c r="F1846" s="698">
        <v>0</v>
      </c>
      <c r="G1846" s="1047"/>
      <c r="H1846" s="708"/>
      <c r="I1846" s="708"/>
    </row>
    <row r="1847" spans="1:9" s="694" customFormat="1" ht="12.75">
      <c r="A1847" s="687" t="s">
        <v>4751</v>
      </c>
      <c r="B1847" s="726"/>
      <c r="C1847" s="1041" t="s">
        <v>1077</v>
      </c>
      <c r="D1847" s="598" t="s">
        <v>4408</v>
      </c>
      <c r="E1847" s="697">
        <v>62500</v>
      </c>
      <c r="F1847" s="698">
        <v>0</v>
      </c>
      <c r="G1847" s="1047"/>
      <c r="H1847" s="708"/>
      <c r="I1847" s="708"/>
    </row>
    <row r="1848" spans="1:9" s="694" customFormat="1" ht="12.75">
      <c r="A1848" s="687" t="s">
        <v>4752</v>
      </c>
      <c r="B1848" s="726"/>
      <c r="C1848" s="1041" t="s">
        <v>1077</v>
      </c>
      <c r="D1848" s="598" t="s">
        <v>4409</v>
      </c>
      <c r="E1848" s="697">
        <v>62500</v>
      </c>
      <c r="F1848" s="698">
        <v>0</v>
      </c>
      <c r="G1848" s="1047"/>
      <c r="H1848" s="708"/>
      <c r="I1848" s="708"/>
    </row>
    <row r="1849" spans="1:9" s="694" customFormat="1" ht="12.75">
      <c r="A1849" s="687" t="s">
        <v>4753</v>
      </c>
      <c r="B1849" s="726"/>
      <c r="C1849" s="1041" t="s">
        <v>1077</v>
      </c>
      <c r="D1849" s="598" t="s">
        <v>4410</v>
      </c>
      <c r="E1849" s="697">
        <v>59000</v>
      </c>
      <c r="F1849" s="698">
        <v>0</v>
      </c>
      <c r="G1849" s="1047"/>
      <c r="H1849" s="708"/>
      <c r="I1849" s="708"/>
    </row>
    <row r="1850" spans="1:9" s="694" customFormat="1" ht="12.75">
      <c r="A1850" s="687" t="s">
        <v>4754</v>
      </c>
      <c r="B1850" s="726"/>
      <c r="C1850" s="1041" t="s">
        <v>1077</v>
      </c>
      <c r="D1850" s="598" t="s">
        <v>4411</v>
      </c>
      <c r="E1850" s="697">
        <v>22604</v>
      </c>
      <c r="F1850" s="698">
        <v>0</v>
      </c>
      <c r="G1850" s="1047"/>
      <c r="H1850" s="708"/>
      <c r="I1850" s="708"/>
    </row>
    <row r="1851" spans="1:9" s="694" customFormat="1" ht="12.75">
      <c r="A1851" s="687" t="s">
        <v>4755</v>
      </c>
      <c r="B1851" s="726"/>
      <c r="C1851" s="1041" t="s">
        <v>1077</v>
      </c>
      <c r="D1851" s="598" t="s">
        <v>4411</v>
      </c>
      <c r="E1851" s="697">
        <v>22604</v>
      </c>
      <c r="F1851" s="698">
        <v>0</v>
      </c>
      <c r="G1851" s="1047"/>
      <c r="H1851" s="708"/>
      <c r="I1851" s="708"/>
    </row>
    <row r="1852" spans="1:9" s="694" customFormat="1" ht="12.75">
      <c r="A1852" s="687" t="s">
        <v>4756</v>
      </c>
      <c r="B1852" s="726"/>
      <c r="C1852" s="1041" t="s">
        <v>1077</v>
      </c>
      <c r="D1852" s="598" t="s">
        <v>4411</v>
      </c>
      <c r="E1852" s="697">
        <v>22604</v>
      </c>
      <c r="F1852" s="698">
        <v>0</v>
      </c>
      <c r="G1852" s="1047"/>
      <c r="H1852" s="708"/>
      <c r="I1852" s="708"/>
    </row>
    <row r="1853" spans="1:9" s="694" customFormat="1" ht="12.75">
      <c r="A1853" s="687" t="s">
        <v>4757</v>
      </c>
      <c r="B1853" s="726"/>
      <c r="C1853" s="1041" t="s">
        <v>1077</v>
      </c>
      <c r="D1853" s="598" t="s">
        <v>4411</v>
      </c>
      <c r="E1853" s="697">
        <v>22604</v>
      </c>
      <c r="F1853" s="698">
        <v>0</v>
      </c>
      <c r="G1853" s="1047"/>
      <c r="H1853" s="708"/>
      <c r="I1853" s="708"/>
    </row>
    <row r="1854" spans="1:9" s="694" customFormat="1" ht="12.75">
      <c r="A1854" s="687" t="s">
        <v>4758</v>
      </c>
      <c r="B1854" s="726"/>
      <c r="C1854" s="1041" t="s">
        <v>1077</v>
      </c>
      <c r="D1854" s="598" t="s">
        <v>4412</v>
      </c>
      <c r="E1854" s="697">
        <v>45000</v>
      </c>
      <c r="F1854" s="698">
        <v>0</v>
      </c>
      <c r="G1854" s="1047"/>
      <c r="H1854" s="708"/>
      <c r="I1854" s="708"/>
    </row>
    <row r="1855" spans="1:9" s="694" customFormat="1" ht="12.75">
      <c r="A1855" s="687" t="s">
        <v>4759</v>
      </c>
      <c r="B1855" s="726"/>
      <c r="C1855" s="1041" t="s">
        <v>1077</v>
      </c>
      <c r="D1855" s="598" t="s">
        <v>4413</v>
      </c>
      <c r="E1855" s="697">
        <v>51000</v>
      </c>
      <c r="F1855" s="698">
        <v>0</v>
      </c>
      <c r="G1855" s="1047"/>
      <c r="H1855" s="708"/>
      <c r="I1855" s="708"/>
    </row>
    <row r="1856" spans="1:9" s="694" customFormat="1" ht="12.75">
      <c r="A1856" s="687" t="s">
        <v>4760</v>
      </c>
      <c r="B1856" s="726"/>
      <c r="C1856" s="1041" t="s">
        <v>1077</v>
      </c>
      <c r="D1856" s="598" t="s">
        <v>4414</v>
      </c>
      <c r="E1856" s="697">
        <v>40500</v>
      </c>
      <c r="F1856" s="698">
        <v>0</v>
      </c>
      <c r="G1856" s="1047"/>
      <c r="H1856" s="708"/>
      <c r="I1856" s="708"/>
    </row>
    <row r="1857" spans="1:9" s="543" customFormat="1" ht="13.5" thickBot="1">
      <c r="A1857" s="688"/>
      <c r="B1857" s="1076"/>
      <c r="C1857" s="1277"/>
      <c r="D1857" s="809" t="s">
        <v>1499</v>
      </c>
      <c r="E1857" s="799">
        <f>SUM(E1845:E1856)</f>
        <v>842271</v>
      </c>
      <c r="F1857" s="800">
        <f>SUM(F1845:F1856)</f>
        <v>0</v>
      </c>
      <c r="G1857" s="1002"/>
      <c r="H1857" s="705"/>
      <c r="I1857" s="705"/>
    </row>
    <row r="1858" spans="1:9" s="686" customFormat="1" ht="13.5" thickBot="1">
      <c r="A1858" s="2220" t="s">
        <v>4415</v>
      </c>
      <c r="B1858" s="2220"/>
      <c r="C1858" s="2220"/>
      <c r="D1858" s="2220"/>
      <c r="E1858" s="2220"/>
      <c r="F1858" s="2220"/>
      <c r="G1858" s="1001"/>
      <c r="H1858" s="817"/>
      <c r="I1858" s="817"/>
    </row>
    <row r="1859" spans="1:9" s="543" customFormat="1" ht="12.75">
      <c r="A1859" s="808" t="s">
        <v>4761</v>
      </c>
      <c r="B1859" s="819">
        <v>13119236</v>
      </c>
      <c r="C1859" s="1278" t="s">
        <v>1077</v>
      </c>
      <c r="D1859" s="616" t="s">
        <v>4416</v>
      </c>
      <c r="E1859" s="692">
        <v>371876</v>
      </c>
      <c r="F1859" s="693">
        <v>0</v>
      </c>
      <c r="G1859" s="1002"/>
      <c r="H1859" s="705"/>
      <c r="I1859" s="705"/>
    </row>
    <row r="1860" spans="1:9" s="543" customFormat="1" ht="12.75">
      <c r="A1860" s="687" t="s">
        <v>4762</v>
      </c>
      <c r="B1860" s="822"/>
      <c r="C1860" s="1041" t="s">
        <v>1077</v>
      </c>
      <c r="D1860" s="598" t="s">
        <v>4387</v>
      </c>
      <c r="E1860" s="697">
        <v>59487</v>
      </c>
      <c r="F1860" s="698">
        <v>0</v>
      </c>
      <c r="G1860" s="1002"/>
      <c r="H1860" s="705"/>
      <c r="I1860" s="705"/>
    </row>
    <row r="1861" spans="1:9" s="543" customFormat="1" ht="12.75">
      <c r="A1861" s="687" t="s">
        <v>4763</v>
      </c>
      <c r="B1861" s="822"/>
      <c r="C1861" s="1041" t="s">
        <v>1077</v>
      </c>
      <c r="D1861" s="598" t="s">
        <v>4417</v>
      </c>
      <c r="E1861" s="697">
        <v>231840</v>
      </c>
      <c r="F1861" s="698">
        <v>0</v>
      </c>
      <c r="G1861" s="1002"/>
      <c r="H1861" s="705"/>
      <c r="I1861" s="705"/>
    </row>
    <row r="1862" spans="1:9" s="543" customFormat="1" ht="12.75">
      <c r="A1862" s="687" t="s">
        <v>4764</v>
      </c>
      <c r="B1862" s="822"/>
      <c r="C1862" s="1041" t="s">
        <v>1077</v>
      </c>
      <c r="D1862" s="598" t="s">
        <v>4418</v>
      </c>
      <c r="E1862" s="697">
        <v>231840</v>
      </c>
      <c r="F1862" s="698">
        <v>0</v>
      </c>
      <c r="G1862" s="1002"/>
      <c r="H1862" s="705"/>
      <c r="I1862" s="705"/>
    </row>
    <row r="1863" spans="1:9" s="543" customFormat="1" ht="12.75">
      <c r="A1863" s="687" t="s">
        <v>4765</v>
      </c>
      <c r="B1863" s="822"/>
      <c r="C1863" s="1041" t="s">
        <v>1077</v>
      </c>
      <c r="D1863" s="598" t="s">
        <v>4419</v>
      </c>
      <c r="E1863" s="697">
        <v>528966</v>
      </c>
      <c r="F1863" s="698">
        <v>0</v>
      </c>
      <c r="G1863" s="1002"/>
      <c r="H1863" s="705"/>
      <c r="I1863" s="705"/>
    </row>
    <row r="1864" spans="1:9" s="543" customFormat="1" ht="12.75">
      <c r="A1864" s="687" t="s">
        <v>4766</v>
      </c>
      <c r="B1864" s="822"/>
      <c r="C1864" s="1041" t="s">
        <v>1077</v>
      </c>
      <c r="D1864" s="598" t="s">
        <v>4420</v>
      </c>
      <c r="E1864" s="697">
        <v>528966</v>
      </c>
      <c r="F1864" s="698">
        <v>0</v>
      </c>
      <c r="G1864" s="1002"/>
      <c r="H1864" s="705"/>
      <c r="I1864" s="705"/>
    </row>
    <row r="1865" spans="1:9" s="543" customFormat="1" ht="12.75">
      <c r="A1865" s="687" t="s">
        <v>4767</v>
      </c>
      <c r="B1865" s="630"/>
      <c r="C1865" s="1041" t="s">
        <v>1077</v>
      </c>
      <c r="D1865" s="598" t="s">
        <v>4421</v>
      </c>
      <c r="E1865" s="697">
        <v>54988</v>
      </c>
      <c r="F1865" s="698">
        <v>0</v>
      </c>
      <c r="G1865" s="1002"/>
      <c r="H1865" s="705"/>
      <c r="I1865" s="705"/>
    </row>
    <row r="1866" spans="1:9" s="543" customFormat="1" ht="12.75">
      <c r="A1866" s="687" t="s">
        <v>4768</v>
      </c>
      <c r="B1866" s="630"/>
      <c r="C1866" s="1041" t="s">
        <v>1077</v>
      </c>
      <c r="D1866" s="598" t="s">
        <v>4422</v>
      </c>
      <c r="E1866" s="697">
        <v>70038</v>
      </c>
      <c r="F1866" s="698">
        <v>0</v>
      </c>
      <c r="G1866" s="1002"/>
      <c r="H1866" s="705"/>
      <c r="I1866" s="705"/>
    </row>
    <row r="1867" spans="1:9" s="543" customFormat="1" ht="24.75" customHeight="1">
      <c r="A1867" s="687" t="s">
        <v>4769</v>
      </c>
      <c r="B1867" s="630"/>
      <c r="C1867" s="1041" t="s">
        <v>1077</v>
      </c>
      <c r="D1867" s="598" t="s">
        <v>4423</v>
      </c>
      <c r="E1867" s="697">
        <v>56358</v>
      </c>
      <c r="F1867" s="698">
        <v>0</v>
      </c>
      <c r="G1867" s="1002"/>
      <c r="H1867" s="705"/>
      <c r="I1867" s="705"/>
    </row>
    <row r="1868" spans="1:9" s="543" customFormat="1" ht="12.75">
      <c r="A1868" s="687" t="s">
        <v>4770</v>
      </c>
      <c r="B1868" s="630"/>
      <c r="C1868" s="1041" t="s">
        <v>1077</v>
      </c>
      <c r="D1868" s="598" t="s">
        <v>4424</v>
      </c>
      <c r="E1868" s="697">
        <v>302625</v>
      </c>
      <c r="F1868" s="698">
        <v>0</v>
      </c>
      <c r="G1868" s="1002"/>
      <c r="H1868" s="705"/>
      <c r="I1868" s="705"/>
    </row>
    <row r="1869" spans="1:9" s="543" customFormat="1" ht="12.75">
      <c r="A1869" s="687" t="s">
        <v>4771</v>
      </c>
      <c r="B1869" s="630"/>
      <c r="C1869" s="1041" t="s">
        <v>1077</v>
      </c>
      <c r="D1869" s="598" t="s">
        <v>4425</v>
      </c>
      <c r="E1869" s="697">
        <v>50000</v>
      </c>
      <c r="F1869" s="698">
        <v>0</v>
      </c>
      <c r="G1869" s="1002"/>
      <c r="H1869" s="705"/>
      <c r="I1869" s="705"/>
    </row>
    <row r="1870" spans="1:9" s="543" customFormat="1" ht="12.75">
      <c r="A1870" s="687" t="s">
        <v>4772</v>
      </c>
      <c r="B1870" s="630"/>
      <c r="C1870" s="1041" t="s">
        <v>1077</v>
      </c>
      <c r="D1870" s="598" t="s">
        <v>4425</v>
      </c>
      <c r="E1870" s="697">
        <v>50000</v>
      </c>
      <c r="F1870" s="698">
        <v>0</v>
      </c>
      <c r="G1870" s="1002"/>
      <c r="H1870" s="705"/>
      <c r="I1870" s="705"/>
    </row>
    <row r="1871" spans="1:9" s="543" customFormat="1" ht="12.75">
      <c r="A1871" s="687" t="s">
        <v>4773</v>
      </c>
      <c r="B1871" s="630"/>
      <c r="C1871" s="1041" t="s">
        <v>1077</v>
      </c>
      <c r="D1871" s="598" t="s">
        <v>4426</v>
      </c>
      <c r="E1871" s="697">
        <v>385940</v>
      </c>
      <c r="F1871" s="698">
        <v>0</v>
      </c>
      <c r="G1871" s="1002"/>
      <c r="H1871" s="705"/>
      <c r="I1871" s="705"/>
    </row>
    <row r="1872" spans="1:9" s="543" customFormat="1" ht="12.75">
      <c r="A1872" s="687" t="s">
        <v>4774</v>
      </c>
      <c r="B1872" s="630"/>
      <c r="C1872" s="1041" t="s">
        <v>1077</v>
      </c>
      <c r="D1872" s="598" t="s">
        <v>4427</v>
      </c>
      <c r="E1872" s="697">
        <v>274411</v>
      </c>
      <c r="F1872" s="698">
        <v>0</v>
      </c>
      <c r="G1872" s="1002"/>
      <c r="H1872" s="705"/>
      <c r="I1872" s="705"/>
    </row>
    <row r="1873" spans="1:9" s="543" customFormat="1" ht="12.75">
      <c r="A1873" s="687" t="s">
        <v>4775</v>
      </c>
      <c r="B1873" s="630"/>
      <c r="C1873" s="1041" t="s">
        <v>1077</v>
      </c>
      <c r="D1873" s="598" t="s">
        <v>4428</v>
      </c>
      <c r="E1873" s="697">
        <v>203940</v>
      </c>
      <c r="F1873" s="698">
        <v>0</v>
      </c>
      <c r="G1873" s="1002"/>
      <c r="H1873" s="705"/>
      <c r="I1873" s="705"/>
    </row>
    <row r="1874" spans="1:9" s="543" customFormat="1" ht="12.75">
      <c r="A1874" s="687" t="s">
        <v>4776</v>
      </c>
      <c r="B1874" s="822"/>
      <c r="C1874" s="1041" t="s">
        <v>1077</v>
      </c>
      <c r="D1874" s="598" t="s">
        <v>4429</v>
      </c>
      <c r="E1874" s="697">
        <v>23920</v>
      </c>
      <c r="F1874" s="698">
        <v>0</v>
      </c>
      <c r="G1874" s="1002"/>
      <c r="H1874" s="705"/>
      <c r="I1874" s="705"/>
    </row>
    <row r="1875" spans="1:9" s="543" customFormat="1" ht="12.75">
      <c r="A1875" s="687" t="s">
        <v>4777</v>
      </c>
      <c r="B1875" s="822"/>
      <c r="C1875" s="1041" t="s">
        <v>1077</v>
      </c>
      <c r="D1875" s="598" t="s">
        <v>4430</v>
      </c>
      <c r="E1875" s="697">
        <v>51000</v>
      </c>
      <c r="F1875" s="698">
        <v>0</v>
      </c>
      <c r="G1875" s="1002"/>
      <c r="H1875" s="705"/>
      <c r="I1875" s="705"/>
    </row>
    <row r="1876" spans="1:9" s="543" customFormat="1" ht="12.75">
      <c r="A1876" s="687" t="s">
        <v>4778</v>
      </c>
      <c r="B1876" s="822"/>
      <c r="C1876" s="1041" t="s">
        <v>1077</v>
      </c>
      <c r="D1876" s="598" t="s">
        <v>4431</v>
      </c>
      <c r="E1876" s="697">
        <v>35500</v>
      </c>
      <c r="F1876" s="698">
        <v>0</v>
      </c>
      <c r="G1876" s="1002"/>
      <c r="H1876" s="705"/>
      <c r="I1876" s="705"/>
    </row>
    <row r="1877" spans="1:9" s="543" customFormat="1" ht="13.5" customHeight="1">
      <c r="A1877" s="687" t="s">
        <v>4779</v>
      </c>
      <c r="B1877" s="822"/>
      <c r="C1877" s="1041" t="s">
        <v>1077</v>
      </c>
      <c r="D1877" s="598" t="s">
        <v>4432</v>
      </c>
      <c r="E1877" s="697">
        <v>38000</v>
      </c>
      <c r="F1877" s="698">
        <v>0</v>
      </c>
      <c r="G1877" s="1002"/>
      <c r="H1877" s="705"/>
      <c r="I1877" s="705"/>
    </row>
    <row r="1878" spans="1:9" s="543" customFormat="1" ht="12.75">
      <c r="A1878" s="687" t="s">
        <v>4780</v>
      </c>
      <c r="B1878" s="822"/>
      <c r="C1878" s="1041" t="s">
        <v>1077</v>
      </c>
      <c r="D1878" s="598" t="s">
        <v>4433</v>
      </c>
      <c r="E1878" s="697">
        <v>20720</v>
      </c>
      <c r="F1878" s="698">
        <v>0</v>
      </c>
      <c r="G1878" s="1002"/>
      <c r="H1878" s="705"/>
      <c r="I1878" s="705"/>
    </row>
    <row r="1879" spans="1:9" s="543" customFormat="1" ht="12.75">
      <c r="A1879" s="687" t="s">
        <v>4781</v>
      </c>
      <c r="B1879" s="822"/>
      <c r="C1879" s="1041" t="s">
        <v>1077</v>
      </c>
      <c r="D1879" s="598" t="s">
        <v>4434</v>
      </c>
      <c r="E1879" s="697">
        <v>23360</v>
      </c>
      <c r="F1879" s="698">
        <v>0</v>
      </c>
      <c r="G1879" s="1002"/>
      <c r="H1879" s="705"/>
      <c r="I1879" s="705"/>
    </row>
    <row r="1880" spans="1:9" s="543" customFormat="1" ht="12.75">
      <c r="A1880" s="687" t="s">
        <v>4782</v>
      </c>
      <c r="B1880" s="822"/>
      <c r="C1880" s="1041" t="s">
        <v>1077</v>
      </c>
      <c r="D1880" s="598" t="s">
        <v>4435</v>
      </c>
      <c r="E1880" s="697">
        <v>30000</v>
      </c>
      <c r="F1880" s="698">
        <v>0</v>
      </c>
      <c r="G1880" s="1002"/>
      <c r="H1880" s="705"/>
      <c r="I1880" s="705"/>
    </row>
    <row r="1881" spans="1:9" s="543" customFormat="1" ht="12.75">
      <c r="A1881" s="687" t="s">
        <v>4783</v>
      </c>
      <c r="B1881" s="822"/>
      <c r="C1881" s="1041" t="s">
        <v>1077</v>
      </c>
      <c r="D1881" s="598" t="s">
        <v>4435</v>
      </c>
      <c r="E1881" s="697">
        <v>38750</v>
      </c>
      <c r="F1881" s="698">
        <v>0</v>
      </c>
      <c r="G1881" s="1002"/>
      <c r="H1881" s="705"/>
      <c r="I1881" s="705"/>
    </row>
    <row r="1882" spans="1:9" s="543" customFormat="1" ht="12.75">
      <c r="A1882" s="687" t="s">
        <v>4784</v>
      </c>
      <c r="B1882" s="822"/>
      <c r="C1882" s="1041" t="s">
        <v>1077</v>
      </c>
      <c r="D1882" s="598" t="s">
        <v>4436</v>
      </c>
      <c r="E1882" s="697">
        <v>44363</v>
      </c>
      <c r="F1882" s="698">
        <v>0</v>
      </c>
      <c r="G1882" s="1002"/>
      <c r="H1882" s="705"/>
      <c r="I1882" s="705"/>
    </row>
    <row r="1883" spans="1:9" s="543" customFormat="1" ht="12.75">
      <c r="A1883" s="687" t="s">
        <v>4785</v>
      </c>
      <c r="B1883" s="822"/>
      <c r="C1883" s="1041" t="s">
        <v>1077</v>
      </c>
      <c r="D1883" s="598" t="s">
        <v>4437</v>
      </c>
      <c r="E1883" s="697">
        <v>144967</v>
      </c>
      <c r="F1883" s="698">
        <v>0</v>
      </c>
      <c r="G1883" s="1002"/>
      <c r="H1883" s="705"/>
      <c r="I1883" s="705"/>
    </row>
    <row r="1884" spans="1:9" s="543" customFormat="1" ht="12.75">
      <c r="A1884" s="687" t="s">
        <v>4786</v>
      </c>
      <c r="B1884" s="822"/>
      <c r="C1884" s="1041" t="s">
        <v>1077</v>
      </c>
      <c r="D1884" s="598" t="s">
        <v>4438</v>
      </c>
      <c r="E1884" s="697">
        <v>153000</v>
      </c>
      <c r="F1884" s="698">
        <v>0</v>
      </c>
      <c r="G1884" s="1002"/>
      <c r="H1884" s="705"/>
      <c r="I1884" s="705"/>
    </row>
    <row r="1885" spans="1:9" s="543" customFormat="1" ht="12.75">
      <c r="A1885" s="687" t="s">
        <v>4787</v>
      </c>
      <c r="B1885" s="822"/>
      <c r="C1885" s="1041" t="s">
        <v>1077</v>
      </c>
      <c r="D1885" s="598" t="s">
        <v>4439</v>
      </c>
      <c r="E1885" s="697">
        <v>106000</v>
      </c>
      <c r="F1885" s="698">
        <v>0</v>
      </c>
      <c r="G1885" s="1002"/>
      <c r="H1885" s="705"/>
      <c r="I1885" s="705"/>
    </row>
    <row r="1886" spans="1:9" s="543" customFormat="1" ht="12.75">
      <c r="A1886" s="687" t="s">
        <v>4788</v>
      </c>
      <c r="B1886" s="822"/>
      <c r="C1886" s="1041" t="s">
        <v>1077</v>
      </c>
      <c r="D1886" s="598" t="s">
        <v>4440</v>
      </c>
      <c r="E1886" s="697">
        <v>106000</v>
      </c>
      <c r="F1886" s="698">
        <v>0</v>
      </c>
      <c r="G1886" s="1002"/>
      <c r="H1886" s="705"/>
      <c r="I1886" s="705"/>
    </row>
    <row r="1887" spans="1:9" s="543" customFormat="1" ht="12.75">
      <c r="A1887" s="687" t="s">
        <v>4789</v>
      </c>
      <c r="B1887" s="822"/>
      <c r="C1887" s="1041" t="s">
        <v>1077</v>
      </c>
      <c r="D1887" s="598" t="s">
        <v>4441</v>
      </c>
      <c r="E1887" s="697">
        <v>109500</v>
      </c>
      <c r="F1887" s="698">
        <v>0</v>
      </c>
      <c r="G1887" s="1002"/>
      <c r="H1887" s="705"/>
      <c r="I1887" s="705"/>
    </row>
    <row r="1888" spans="1:9" s="543" customFormat="1" ht="12.75">
      <c r="A1888" s="687" t="s">
        <v>4790</v>
      </c>
      <c r="B1888" s="822"/>
      <c r="C1888" s="1041" t="s">
        <v>1077</v>
      </c>
      <c r="D1888" s="598" t="s">
        <v>4442</v>
      </c>
      <c r="E1888" s="697">
        <v>44988</v>
      </c>
      <c r="F1888" s="698">
        <v>0</v>
      </c>
      <c r="G1888" s="1002"/>
      <c r="H1888" s="705"/>
      <c r="I1888" s="705"/>
    </row>
    <row r="1889" spans="1:9" s="686" customFormat="1" ht="13.5" thickBot="1">
      <c r="A1889" s="811"/>
      <c r="B1889" s="1076">
        <v>13119236</v>
      </c>
      <c r="C1889" s="618"/>
      <c r="D1889" s="797" t="s">
        <v>1499</v>
      </c>
      <c r="E1889" s="799">
        <f>SUM(E1859:E1888)</f>
        <v>4371343</v>
      </c>
      <c r="F1889" s="800">
        <f>SUM(F1859:F1888)</f>
        <v>0</v>
      </c>
      <c r="G1889" s="1001"/>
      <c r="H1889" s="817"/>
      <c r="I1889" s="817"/>
    </row>
    <row r="1890" spans="2:13" ht="12.75">
      <c r="B1890" s="592"/>
      <c r="C1890" s="1152"/>
      <c r="D1890" s="1279"/>
      <c r="E1890" s="1103"/>
      <c r="F1890" s="1104"/>
      <c r="J1890" s="543"/>
      <c r="K1890"/>
      <c r="L1890"/>
      <c r="M1890"/>
    </row>
    <row r="1891" spans="2:13" ht="12.75">
      <c r="B1891" s="2222" t="s">
        <v>4443</v>
      </c>
      <c r="C1891" s="2222"/>
      <c r="D1891" s="2222"/>
      <c r="E1891" s="1205">
        <f>E1889+E1857+E1843+E1693+E1690+E1600+E1589+E1458+E1455+E1452+E1437+E1357+E1337</f>
        <v>148681371</v>
      </c>
      <c r="F1891" s="1104">
        <f>F1889+F1857+F1843+F1693+F1690+F1600+F1589+F1458+F1455+F1452+F1437+F1357+F1337</f>
        <v>66442225</v>
      </c>
      <c r="K1891"/>
      <c r="L1891"/>
      <c r="M1891"/>
    </row>
    <row r="1892" spans="1:13" ht="13.5" thickBot="1">
      <c r="A1892" s="2256" t="s">
        <v>4791</v>
      </c>
      <c r="B1892" s="2256"/>
      <c r="C1892" s="2256"/>
      <c r="D1892" s="2256"/>
      <c r="E1892" s="1006"/>
      <c r="J1892" s="543"/>
      <c r="K1892"/>
      <c r="L1892"/>
      <c r="M1892"/>
    </row>
    <row r="1893" spans="1:9" s="694" customFormat="1" ht="13.5" thickBot="1">
      <c r="A1893" s="814" t="s">
        <v>4792</v>
      </c>
      <c r="B1893" s="1146">
        <v>132113</v>
      </c>
      <c r="C1893" s="1278" t="s">
        <v>1077</v>
      </c>
      <c r="D1893" s="691" t="s">
        <v>4444</v>
      </c>
      <c r="E1893" s="815">
        <v>4341569</v>
      </c>
      <c r="F1893" s="816">
        <v>3525591</v>
      </c>
      <c r="G1893" s="1047"/>
      <c r="H1893" s="708"/>
      <c r="I1893" s="708"/>
    </row>
    <row r="1894" spans="1:13" ht="13.5" thickBot="1">
      <c r="A1894" s="1080"/>
      <c r="B1894" s="1124">
        <v>132113</v>
      </c>
      <c r="C1894" s="757"/>
      <c r="D1894" s="1280" t="s">
        <v>1499</v>
      </c>
      <c r="E1894" s="773">
        <f>SUM(E1893:E1893)</f>
        <v>4341569</v>
      </c>
      <c r="F1894" s="774">
        <f>SUM(F1893:F1893)</f>
        <v>3525591</v>
      </c>
      <c r="J1894" s="543"/>
      <c r="K1894"/>
      <c r="L1894"/>
      <c r="M1894"/>
    </row>
    <row r="1895" spans="5:13" ht="12.75">
      <c r="E1895" s="1006"/>
      <c r="J1895" s="543"/>
      <c r="K1895"/>
      <c r="L1895"/>
      <c r="M1895"/>
    </row>
    <row r="1896" spans="1:13" ht="13.5" thickBot="1">
      <c r="A1896" s="2256" t="s">
        <v>4793</v>
      </c>
      <c r="B1896" s="2256"/>
      <c r="C1896" s="2256"/>
      <c r="D1896" s="2256"/>
      <c r="E1896" s="1006"/>
      <c r="G1896" s="1001"/>
      <c r="H1896" s="817"/>
      <c r="I1896" s="817"/>
      <c r="J1896" s="686"/>
      <c r="K1896" s="591"/>
      <c r="L1896" s="591"/>
      <c r="M1896"/>
    </row>
    <row r="1897" spans="1:13" ht="48.75" thickBot="1">
      <c r="A1897" s="605" t="s">
        <v>4597</v>
      </c>
      <c r="B1897" s="606" t="s">
        <v>4601</v>
      </c>
      <c r="C1897" s="1008" t="s">
        <v>4794</v>
      </c>
      <c r="D1897" s="606" t="s">
        <v>4579</v>
      </c>
      <c r="E1897" s="738" t="s">
        <v>4604</v>
      </c>
      <c r="F1897" s="739" t="s">
        <v>4795</v>
      </c>
      <c r="G1897" s="1001"/>
      <c r="J1897" s="543"/>
      <c r="K1897"/>
      <c r="L1897"/>
      <c r="M1897"/>
    </row>
    <row r="1898" spans="1:10" s="400" customFormat="1" ht="12.75">
      <c r="A1898" s="1281" t="s">
        <v>4796</v>
      </c>
      <c r="B1898" s="1282">
        <v>132113</v>
      </c>
      <c r="C1898" s="1115" t="s">
        <v>1026</v>
      </c>
      <c r="D1898" s="616" t="s">
        <v>4797</v>
      </c>
      <c r="E1898" s="692">
        <v>7050000</v>
      </c>
      <c r="F1898" s="693">
        <v>0</v>
      </c>
      <c r="G1898" s="1002"/>
      <c r="H1898" s="705"/>
      <c r="I1898" s="705"/>
      <c r="J1898" s="543"/>
    </row>
    <row r="1899" spans="1:10" s="400" customFormat="1" ht="12.75">
      <c r="A1899" s="1283" t="s">
        <v>4798</v>
      </c>
      <c r="B1899" s="630"/>
      <c r="C1899" s="1032" t="s">
        <v>1026</v>
      </c>
      <c r="D1899" s="598" t="s">
        <v>4799</v>
      </c>
      <c r="E1899" s="697">
        <v>280000</v>
      </c>
      <c r="F1899" s="698">
        <v>0</v>
      </c>
      <c r="G1899" s="1002"/>
      <c r="H1899" s="705"/>
      <c r="I1899" s="705"/>
      <c r="J1899" s="543"/>
    </row>
    <row r="1900" spans="1:10" s="400" customFormat="1" ht="13.5" thickBot="1">
      <c r="A1900" s="1284" t="s">
        <v>4800</v>
      </c>
      <c r="B1900" s="1014">
        <v>132193</v>
      </c>
      <c r="C1900" s="1071" t="s">
        <v>1026</v>
      </c>
      <c r="D1900" s="596" t="s">
        <v>4801</v>
      </c>
      <c r="E1900" s="1058">
        <v>6088320</v>
      </c>
      <c r="F1900" s="1075">
        <v>0</v>
      </c>
      <c r="G1900" s="1002"/>
      <c r="H1900" s="705"/>
      <c r="I1900" s="705"/>
      <c r="J1900" s="543"/>
    </row>
    <row r="1901" spans="1:10" s="400" customFormat="1" ht="13.5" thickBot="1">
      <c r="A1901" s="1285"/>
      <c r="B1901" s="1124">
        <f>B1900</f>
        <v>132193</v>
      </c>
      <c r="C1901" s="757"/>
      <c r="D1901" s="706" t="s">
        <v>1499</v>
      </c>
      <c r="E1901" s="773">
        <f>SUM(E1898:E1900)</f>
        <v>13418320</v>
      </c>
      <c r="F1901" s="774">
        <f>SUM(F1898:F1900)</f>
        <v>0</v>
      </c>
      <c r="G1901" s="1002"/>
      <c r="H1901" s="705"/>
      <c r="I1901" s="705"/>
      <c r="J1901" s="543"/>
    </row>
    <row r="1902" spans="2:13" ht="13.5" thickBot="1">
      <c r="B1902" s="592"/>
      <c r="F1902" s="1104"/>
      <c r="J1902" s="543"/>
      <c r="K1902"/>
      <c r="L1902"/>
      <c r="M1902"/>
    </row>
    <row r="1903" spans="1:10" s="400" customFormat="1" ht="13.5" thickBot="1">
      <c r="A1903" s="2223" t="s">
        <v>4802</v>
      </c>
      <c r="B1903" s="2223"/>
      <c r="C1903" s="2223"/>
      <c r="D1903" s="2223"/>
      <c r="E1903" s="2223"/>
      <c r="F1903" s="2223"/>
      <c r="G1903" s="1002"/>
      <c r="H1903" s="705"/>
      <c r="I1903" s="705"/>
      <c r="J1903" s="543"/>
    </row>
    <row r="1904" spans="1:10" s="400" customFormat="1" ht="12.75">
      <c r="A1904" s="1281" t="s">
        <v>4803</v>
      </c>
      <c r="B1904" s="1146">
        <v>132112</v>
      </c>
      <c r="C1904" s="690" t="s">
        <v>4592</v>
      </c>
      <c r="D1904" s="629" t="s">
        <v>4804</v>
      </c>
      <c r="E1904" s="815">
        <v>7881899</v>
      </c>
      <c r="F1904" s="816">
        <v>5353663</v>
      </c>
      <c r="G1904" s="1002"/>
      <c r="H1904" s="705"/>
      <c r="I1904" s="705"/>
      <c r="J1904" s="543"/>
    </row>
    <row r="1905" spans="1:10" s="400" customFormat="1" ht="12.75">
      <c r="A1905" s="1283" t="s">
        <v>4805</v>
      </c>
      <c r="B1905" s="726"/>
      <c r="C1905" s="1060" t="s">
        <v>4592</v>
      </c>
      <c r="D1905" s="1060" t="s">
        <v>4806</v>
      </c>
      <c r="E1905" s="1022">
        <v>2000000</v>
      </c>
      <c r="F1905" s="788">
        <v>1358471</v>
      </c>
      <c r="G1905" s="1002"/>
      <c r="H1905" s="705"/>
      <c r="I1905" s="705"/>
      <c r="J1905" s="543"/>
    </row>
    <row r="1906" spans="1:10" s="400" customFormat="1" ht="13.5" thickBot="1">
      <c r="A1906" s="1284" t="s">
        <v>4807</v>
      </c>
      <c r="B1906" s="1139"/>
      <c r="C1906" s="1062" t="s">
        <v>4592</v>
      </c>
      <c r="D1906" s="1062" t="s">
        <v>4808</v>
      </c>
      <c r="E1906" s="1029">
        <v>6731000</v>
      </c>
      <c r="F1906" s="1030">
        <v>5938033</v>
      </c>
      <c r="G1906" s="1002"/>
      <c r="H1906" s="705"/>
      <c r="I1906" s="705"/>
      <c r="J1906" s="543"/>
    </row>
    <row r="1907" spans="1:10" s="400" customFormat="1" ht="13.5" thickBot="1">
      <c r="A1907" s="1286"/>
      <c r="B1907" s="1124">
        <v>132112</v>
      </c>
      <c r="C1907" s="664"/>
      <c r="D1907" s="664" t="s">
        <v>1499</v>
      </c>
      <c r="E1907" s="1287">
        <f>SUM(E1904:E1906)</f>
        <v>16612899</v>
      </c>
      <c r="F1907" s="1288">
        <f>SUM(F1904:F1906)</f>
        <v>12650167</v>
      </c>
      <c r="G1907" s="1002"/>
      <c r="H1907" s="705"/>
      <c r="I1907" s="705"/>
      <c r="J1907" s="543"/>
    </row>
    <row r="1908" spans="1:10" s="400" customFormat="1" ht="12.75">
      <c r="A1908" s="1289"/>
      <c r="B1908" s="592"/>
      <c r="C1908" s="637"/>
      <c r="D1908" s="637"/>
      <c r="E1908" s="1290"/>
      <c r="F1908" s="1291"/>
      <c r="G1908" s="1002"/>
      <c r="H1908" s="705"/>
      <c r="I1908" s="705"/>
      <c r="J1908" s="543"/>
    </row>
    <row r="1909" spans="1:13" ht="12.75">
      <c r="A1909" s="2258" t="s">
        <v>4809</v>
      </c>
      <c r="B1909" s="2234"/>
      <c r="C1909" s="2234"/>
      <c r="D1909" s="2234"/>
      <c r="E1909" s="1292">
        <f>E1907+E1901+E1894</f>
        <v>34372788</v>
      </c>
      <c r="F1909" s="1291">
        <f>F1907+F1901+F1894</f>
        <v>16175758</v>
      </c>
      <c r="K1909"/>
      <c r="L1909"/>
      <c r="M1909"/>
    </row>
    <row r="1910" spans="2:13" ht="12.75">
      <c r="B1910" s="592"/>
      <c r="F1910" s="1104"/>
      <c r="J1910" s="543"/>
      <c r="K1910"/>
      <c r="L1910"/>
      <c r="M1910"/>
    </row>
    <row r="1911" spans="1:13" ht="12.75">
      <c r="A1911" s="2217" t="s">
        <v>4445</v>
      </c>
      <c r="B1911" s="2217"/>
      <c r="C1911" s="2217"/>
      <c r="D1911" s="2217"/>
      <c r="E1911" s="2217"/>
      <c r="F1911" s="2217"/>
      <c r="K1911"/>
      <c r="L1911"/>
      <c r="M1911"/>
    </row>
    <row r="1912" spans="2:13" ht="12.75">
      <c r="B1912" s="827"/>
      <c r="C1912" s="627"/>
      <c r="D1912" s="952"/>
      <c r="E1912" s="1205"/>
      <c r="F1912" s="1104"/>
      <c r="J1912" s="543"/>
      <c r="K1912"/>
      <c r="L1912"/>
      <c r="M1912"/>
    </row>
    <row r="1913" spans="1:13" ht="13.5" thickBot="1">
      <c r="A1913" s="2217" t="s">
        <v>4446</v>
      </c>
      <c r="B1913" s="2217"/>
      <c r="C1913" s="2217"/>
      <c r="D1913" s="2217"/>
      <c r="E1913" s="2217"/>
      <c r="F1913" s="2217"/>
      <c r="J1913" s="543"/>
      <c r="K1913"/>
      <c r="L1913"/>
      <c r="M1913"/>
    </row>
    <row r="1914" spans="1:9" s="543" customFormat="1" ht="12.75">
      <c r="A1914" s="680" t="s">
        <v>4810</v>
      </c>
      <c r="B1914" s="819">
        <v>127312</v>
      </c>
      <c r="C1914" s="1096" t="s">
        <v>1077</v>
      </c>
      <c r="D1914" s="643" t="s">
        <v>4448</v>
      </c>
      <c r="E1914" s="692">
        <v>2311500</v>
      </c>
      <c r="F1914" s="693">
        <v>2311500</v>
      </c>
      <c r="G1914" s="1002"/>
      <c r="H1914" s="705"/>
      <c r="I1914" s="705"/>
    </row>
    <row r="1915" spans="1:9" s="543" customFormat="1" ht="25.5">
      <c r="A1915" s="648" t="s">
        <v>4811</v>
      </c>
      <c r="B1915" s="630"/>
      <c r="C1915" s="1060" t="s">
        <v>1077</v>
      </c>
      <c r="D1915" s="608" t="s">
        <v>4450</v>
      </c>
      <c r="E1915" s="697">
        <v>2020000</v>
      </c>
      <c r="F1915" s="698">
        <v>2020000</v>
      </c>
      <c r="G1915" s="1002"/>
      <c r="H1915" s="705"/>
      <c r="I1915" s="705"/>
    </row>
    <row r="1916" spans="1:9" s="543" customFormat="1" ht="12.75">
      <c r="A1916" s="648" t="s">
        <v>4812</v>
      </c>
      <c r="B1916" s="630"/>
      <c r="C1916" s="1060" t="s">
        <v>1077</v>
      </c>
      <c r="D1916" s="597" t="s">
        <v>4452</v>
      </c>
      <c r="E1916" s="697">
        <v>40000</v>
      </c>
      <c r="F1916" s="698">
        <v>40000</v>
      </c>
      <c r="G1916" s="1002"/>
      <c r="H1916" s="705"/>
      <c r="I1916" s="705"/>
    </row>
    <row r="1917" spans="1:9" s="543" customFormat="1" ht="12.75">
      <c r="A1917" s="648" t="s">
        <v>4813</v>
      </c>
      <c r="B1917" s="630"/>
      <c r="C1917" s="1060" t="s">
        <v>1077</v>
      </c>
      <c r="D1917" s="597" t="s">
        <v>4454</v>
      </c>
      <c r="E1917" s="697">
        <v>40000</v>
      </c>
      <c r="F1917" s="698">
        <v>40000</v>
      </c>
      <c r="G1917" s="1002"/>
      <c r="H1917" s="705"/>
      <c r="I1917" s="705"/>
    </row>
    <row r="1918" spans="1:9" s="543" customFormat="1" ht="12.75">
      <c r="A1918" s="648" t="s">
        <v>4814</v>
      </c>
      <c r="B1918" s="630"/>
      <c r="C1918" s="1060" t="s">
        <v>1077</v>
      </c>
      <c r="D1918" s="597" t="s">
        <v>4456</v>
      </c>
      <c r="E1918" s="697">
        <v>691654</v>
      </c>
      <c r="F1918" s="698">
        <v>691654</v>
      </c>
      <c r="G1918" s="1002"/>
      <c r="H1918" s="705"/>
      <c r="I1918" s="705"/>
    </row>
    <row r="1919" spans="1:9" s="543" customFormat="1" ht="12.75">
      <c r="A1919" s="648" t="s">
        <v>4815</v>
      </c>
      <c r="B1919" s="630"/>
      <c r="C1919" s="1060" t="s">
        <v>1077</v>
      </c>
      <c r="D1919" s="597" t="s">
        <v>4458</v>
      </c>
      <c r="E1919" s="697">
        <v>1375000</v>
      </c>
      <c r="F1919" s="698">
        <v>1375000</v>
      </c>
      <c r="G1919" s="1002"/>
      <c r="H1919" s="705"/>
      <c r="I1919" s="705"/>
    </row>
    <row r="1920" spans="1:9" s="543" customFormat="1" ht="13.5" thickBot="1">
      <c r="A1920" s="751" t="s">
        <v>4816</v>
      </c>
      <c r="B1920" s="630"/>
      <c r="C1920" s="1060" t="s">
        <v>1077</v>
      </c>
      <c r="D1920" s="597" t="s">
        <v>4460</v>
      </c>
      <c r="E1920" s="697">
        <v>456000</v>
      </c>
      <c r="F1920" s="698">
        <v>456000</v>
      </c>
      <c r="G1920" s="1002"/>
      <c r="H1920" s="705"/>
      <c r="I1920" s="705"/>
    </row>
    <row r="1921" spans="1:9" s="543" customFormat="1" ht="13.5" thickBot="1">
      <c r="A1921" s="685"/>
      <c r="B1921" s="820">
        <v>127312</v>
      </c>
      <c r="C1921" s="1293"/>
      <c r="D1921" s="635" t="s">
        <v>1499</v>
      </c>
      <c r="E1921" s="773">
        <f>SUM(E1914:E1920)</f>
        <v>6934154</v>
      </c>
      <c r="F1921" s="774">
        <f>SUM(F1914:F1920)</f>
        <v>6934154</v>
      </c>
      <c r="G1921" s="1002"/>
      <c r="H1921" s="705"/>
      <c r="I1921" s="705"/>
    </row>
    <row r="1922" spans="1:9" s="543" customFormat="1" ht="13.5" thickBot="1">
      <c r="A1922" s="685"/>
      <c r="B1922" s="820"/>
      <c r="C1922" s="950"/>
      <c r="D1922" s="635"/>
      <c r="E1922" s="773"/>
      <c r="F1922" s="774"/>
      <c r="G1922" s="1002"/>
      <c r="H1922" s="705"/>
      <c r="I1922" s="705"/>
    </row>
    <row r="1923" spans="1:13" ht="13.5" thickBot="1">
      <c r="A1923" s="2259" t="s">
        <v>4461</v>
      </c>
      <c r="B1923" s="2260"/>
      <c r="C1923" s="2260"/>
      <c r="D1923" s="2260"/>
      <c r="E1923" s="2260"/>
      <c r="F1923" s="2261"/>
      <c r="J1923" s="543"/>
      <c r="K1923"/>
      <c r="L1923"/>
      <c r="M1923"/>
    </row>
    <row r="1924" spans="1:13" ht="12.75">
      <c r="A1924" s="680" t="s">
        <v>4817</v>
      </c>
      <c r="B1924" s="1282">
        <v>12741</v>
      </c>
      <c r="C1924" s="1096" t="s">
        <v>1077</v>
      </c>
      <c r="D1924" s="1154" t="s">
        <v>4463</v>
      </c>
      <c r="E1924" s="692">
        <v>152400</v>
      </c>
      <c r="F1924" s="693">
        <v>152400</v>
      </c>
      <c r="J1924" s="543"/>
      <c r="K1924"/>
      <c r="L1924"/>
      <c r="M1924"/>
    </row>
    <row r="1925" spans="1:13" ht="13.5" thickBot="1">
      <c r="A1925" s="802"/>
      <c r="B1925" s="1076">
        <v>12741</v>
      </c>
      <c r="C1925" s="1294"/>
      <c r="D1925" s="689" t="s">
        <v>2660</v>
      </c>
      <c r="E1925" s="799">
        <f>SUM(E1924:E1924)</f>
        <v>152400</v>
      </c>
      <c r="F1925" s="800">
        <f>SUM(F1924:F1924)</f>
        <v>152400</v>
      </c>
      <c r="J1925" s="543"/>
      <c r="K1925"/>
      <c r="L1925"/>
      <c r="M1925"/>
    </row>
    <row r="1926" spans="1:9" s="543" customFormat="1" ht="12.75">
      <c r="A1926" s="1295"/>
      <c r="B1926" s="592"/>
      <c r="C1926" s="948"/>
      <c r="D1926" s="639"/>
      <c r="E1926" s="1103"/>
      <c r="F1926" s="1104"/>
      <c r="G1926" s="1002"/>
      <c r="H1926" s="705"/>
      <c r="I1926" s="705"/>
    </row>
    <row r="1927" spans="1:9" s="543" customFormat="1" ht="13.5" thickBot="1">
      <c r="A1927" s="2262" t="s">
        <v>4464</v>
      </c>
      <c r="B1927" s="2227"/>
      <c r="C1927" s="2227"/>
      <c r="D1927" s="2227"/>
      <c r="E1927" s="2227"/>
      <c r="F1927" s="2263"/>
      <c r="G1927" s="1002"/>
      <c r="H1927" s="705"/>
      <c r="I1927" s="705"/>
    </row>
    <row r="1928" spans="1:9" s="543" customFormat="1" ht="12.75">
      <c r="A1928" s="644" t="s">
        <v>4818</v>
      </c>
      <c r="B1928" s="645">
        <v>127412</v>
      </c>
      <c r="C1928" s="1296" t="s">
        <v>1077</v>
      </c>
      <c r="D1928" s="673" t="s">
        <v>4466</v>
      </c>
      <c r="E1928" s="1058">
        <v>191791</v>
      </c>
      <c r="F1928" s="1075">
        <v>191791</v>
      </c>
      <c r="G1928" s="1002"/>
      <c r="H1928" s="705"/>
      <c r="I1928" s="705"/>
    </row>
    <row r="1929" spans="1:9" s="543" customFormat="1" ht="12.75">
      <c r="A1929" s="648" t="s">
        <v>4819</v>
      </c>
      <c r="B1929" s="630"/>
      <c r="C1929" s="1060" t="s">
        <v>1077</v>
      </c>
      <c r="D1929" s="597" t="s">
        <v>4468</v>
      </c>
      <c r="E1929" s="697">
        <v>267294</v>
      </c>
      <c r="F1929" s="698">
        <v>267294</v>
      </c>
      <c r="G1929" s="1002"/>
      <c r="H1929" s="705"/>
      <c r="I1929" s="705"/>
    </row>
    <row r="1930" spans="1:9" s="543" customFormat="1" ht="12.75">
      <c r="A1930" s="648" t="s">
        <v>4820</v>
      </c>
      <c r="B1930" s="630"/>
      <c r="C1930" s="1060" t="s">
        <v>1077</v>
      </c>
      <c r="D1930" s="597" t="s">
        <v>4470</v>
      </c>
      <c r="E1930" s="697">
        <v>191600</v>
      </c>
      <c r="F1930" s="698">
        <v>191600</v>
      </c>
      <c r="G1930" s="1002"/>
      <c r="H1930" s="705"/>
      <c r="I1930" s="705"/>
    </row>
    <row r="1931" spans="1:9" s="543" customFormat="1" ht="12.75">
      <c r="A1931" s="648" t="s">
        <v>4821</v>
      </c>
      <c r="B1931" s="630"/>
      <c r="C1931" s="1060" t="s">
        <v>1077</v>
      </c>
      <c r="D1931" s="597" t="s">
        <v>4472</v>
      </c>
      <c r="E1931" s="697">
        <v>94200</v>
      </c>
      <c r="F1931" s="698">
        <v>94200</v>
      </c>
      <c r="G1931" s="1002"/>
      <c r="H1931" s="705"/>
      <c r="I1931" s="705"/>
    </row>
    <row r="1932" spans="1:9" s="543" customFormat="1" ht="12.75">
      <c r="A1932" s="648" t="s">
        <v>4822</v>
      </c>
      <c r="B1932" s="630"/>
      <c r="C1932" s="1060" t="s">
        <v>1077</v>
      </c>
      <c r="D1932" s="597" t="s">
        <v>4474</v>
      </c>
      <c r="E1932" s="697">
        <v>249400</v>
      </c>
      <c r="F1932" s="698">
        <v>249400</v>
      </c>
      <c r="G1932" s="1002"/>
      <c r="H1932" s="705"/>
      <c r="I1932" s="705"/>
    </row>
    <row r="1933" spans="1:9" s="543" customFormat="1" ht="12.75">
      <c r="A1933" s="648" t="s">
        <v>4823</v>
      </c>
      <c r="B1933" s="630"/>
      <c r="C1933" s="1060" t="s">
        <v>1077</v>
      </c>
      <c r="D1933" s="597" t="s">
        <v>4476</v>
      </c>
      <c r="E1933" s="697">
        <v>57800</v>
      </c>
      <c r="F1933" s="698">
        <v>57800</v>
      </c>
      <c r="G1933" s="1002"/>
      <c r="H1933" s="705"/>
      <c r="I1933" s="705"/>
    </row>
    <row r="1934" spans="1:9" s="543" customFormat="1" ht="12.75">
      <c r="A1934" s="648" t="s">
        <v>4824</v>
      </c>
      <c r="B1934" s="630"/>
      <c r="C1934" s="1060" t="s">
        <v>1077</v>
      </c>
      <c r="D1934" s="597" t="s">
        <v>4478</v>
      </c>
      <c r="E1934" s="697">
        <v>175300</v>
      </c>
      <c r="F1934" s="698">
        <v>175300</v>
      </c>
      <c r="G1934" s="1002"/>
      <c r="H1934" s="705"/>
      <c r="I1934" s="705"/>
    </row>
    <row r="1935" spans="1:9" s="543" customFormat="1" ht="25.5">
      <c r="A1935" s="648" t="s">
        <v>4825</v>
      </c>
      <c r="B1935" s="630"/>
      <c r="C1935" s="1060" t="s">
        <v>1077</v>
      </c>
      <c r="D1935" s="597" t="s">
        <v>4480</v>
      </c>
      <c r="E1935" s="697">
        <v>102500</v>
      </c>
      <c r="F1935" s="698">
        <v>102500</v>
      </c>
      <c r="G1935" s="1002"/>
      <c r="H1935" s="705"/>
      <c r="I1935" s="705"/>
    </row>
    <row r="1936" spans="1:13" ht="25.5">
      <c r="A1936" s="648" t="s">
        <v>4826</v>
      </c>
      <c r="B1936" s="630"/>
      <c r="C1936" s="1060" t="s">
        <v>1077</v>
      </c>
      <c r="D1936" s="597" t="s">
        <v>4482</v>
      </c>
      <c r="E1936" s="697">
        <v>525000</v>
      </c>
      <c r="F1936" s="698">
        <v>525000</v>
      </c>
      <c r="J1936" s="543"/>
      <c r="K1936"/>
      <c r="L1936"/>
      <c r="M1936"/>
    </row>
    <row r="1937" spans="1:13" ht="25.5">
      <c r="A1937" s="648" t="s">
        <v>4827</v>
      </c>
      <c r="B1937" s="630"/>
      <c r="C1937" s="1060" t="s">
        <v>1077</v>
      </c>
      <c r="D1937" s="597" t="s">
        <v>4484</v>
      </c>
      <c r="E1937" s="697">
        <v>88000</v>
      </c>
      <c r="F1937" s="698">
        <v>88000</v>
      </c>
      <c r="J1937" s="543"/>
      <c r="K1937"/>
      <c r="L1937"/>
      <c r="M1937"/>
    </row>
    <row r="1938" spans="1:13" ht="25.5">
      <c r="A1938" s="648" t="s">
        <v>4828</v>
      </c>
      <c r="B1938" s="630"/>
      <c r="C1938" s="1060" t="s">
        <v>1077</v>
      </c>
      <c r="D1938" s="597" t="s">
        <v>4486</v>
      </c>
      <c r="E1938" s="697">
        <v>396109</v>
      </c>
      <c r="F1938" s="698">
        <v>396109</v>
      </c>
      <c r="J1938" s="543"/>
      <c r="K1938"/>
      <c r="L1938"/>
      <c r="M1938"/>
    </row>
    <row r="1939" spans="1:13" ht="12.75">
      <c r="A1939" s="648" t="s">
        <v>4829</v>
      </c>
      <c r="B1939" s="630"/>
      <c r="C1939" s="1060" t="s">
        <v>1077</v>
      </c>
      <c r="D1939" s="597" t="s">
        <v>4488</v>
      </c>
      <c r="E1939" s="697">
        <v>1625000</v>
      </c>
      <c r="F1939" s="698">
        <v>1625000</v>
      </c>
      <c r="J1939" s="543"/>
      <c r="K1939"/>
      <c r="L1939"/>
      <c r="M1939"/>
    </row>
    <row r="1940" spans="1:13" ht="12.75">
      <c r="A1940" s="648" t="s">
        <v>4830</v>
      </c>
      <c r="B1940" s="630"/>
      <c r="C1940" s="1060" t="s">
        <v>1077</v>
      </c>
      <c r="D1940" s="597" t="s">
        <v>4490</v>
      </c>
      <c r="E1940" s="697">
        <v>584193</v>
      </c>
      <c r="F1940" s="698">
        <v>584193</v>
      </c>
      <c r="J1940" s="543"/>
      <c r="K1940"/>
      <c r="L1940"/>
      <c r="M1940"/>
    </row>
    <row r="1941" spans="1:13" ht="12.75">
      <c r="A1941" s="648" t="s">
        <v>4831</v>
      </c>
      <c r="B1941" s="630"/>
      <c r="C1941" s="1060" t="s">
        <v>1077</v>
      </c>
      <c r="D1941" s="597" t="s">
        <v>1050</v>
      </c>
      <c r="E1941" s="697">
        <v>2319450</v>
      </c>
      <c r="F1941" s="698">
        <v>2319450</v>
      </c>
      <c r="J1941" s="543"/>
      <c r="K1941"/>
      <c r="L1941"/>
      <c r="M1941"/>
    </row>
    <row r="1942" spans="1:13" ht="12.75">
      <c r="A1942" s="648" t="s">
        <v>4832</v>
      </c>
      <c r="B1942" s="630"/>
      <c r="C1942" s="1060" t="s">
        <v>1077</v>
      </c>
      <c r="D1942" s="597" t="s">
        <v>1052</v>
      </c>
      <c r="E1942" s="697">
        <v>1601600</v>
      </c>
      <c r="F1942" s="698">
        <v>1601600</v>
      </c>
      <c r="J1942" s="543"/>
      <c r="K1942"/>
      <c r="L1942"/>
      <c r="M1942"/>
    </row>
    <row r="1943" spans="1:13" ht="12.75">
      <c r="A1943" s="648" t="s">
        <v>4833</v>
      </c>
      <c r="B1943" s="630"/>
      <c r="C1943" s="1060" t="s">
        <v>1077</v>
      </c>
      <c r="D1943" s="597" t="s">
        <v>1169</v>
      </c>
      <c r="E1943" s="697">
        <v>155300</v>
      </c>
      <c r="F1943" s="698">
        <v>155300</v>
      </c>
      <c r="J1943" s="543"/>
      <c r="K1943"/>
      <c r="L1943"/>
      <c r="M1943"/>
    </row>
    <row r="1944" spans="1:13" ht="12.75">
      <c r="A1944" s="648" t="s">
        <v>4834</v>
      </c>
      <c r="B1944" s="630"/>
      <c r="C1944" s="1060" t="s">
        <v>1077</v>
      </c>
      <c r="D1944" s="597" t="s">
        <v>1171</v>
      </c>
      <c r="E1944" s="697">
        <v>594800</v>
      </c>
      <c r="F1944" s="698">
        <v>594800</v>
      </c>
      <c r="J1944" s="543"/>
      <c r="K1944"/>
      <c r="L1944"/>
      <c r="M1944"/>
    </row>
    <row r="1945" spans="1:13" ht="12.75">
      <c r="A1945" s="648" t="s">
        <v>4835</v>
      </c>
      <c r="B1945" s="630"/>
      <c r="C1945" s="1060" t="s">
        <v>1077</v>
      </c>
      <c r="D1945" s="597" t="s">
        <v>1173</v>
      </c>
      <c r="E1945" s="697">
        <v>114200</v>
      </c>
      <c r="F1945" s="698">
        <v>114200</v>
      </c>
      <c r="J1945" s="543"/>
      <c r="K1945"/>
      <c r="L1945"/>
      <c r="M1945"/>
    </row>
    <row r="1946" spans="1:13" ht="12.75">
      <c r="A1946" s="648" t="s">
        <v>4836</v>
      </c>
      <c r="B1946" s="630"/>
      <c r="C1946" s="1060" t="s">
        <v>1077</v>
      </c>
      <c r="D1946" s="597" t="s">
        <v>1175</v>
      </c>
      <c r="E1946" s="697">
        <v>545150</v>
      </c>
      <c r="F1946" s="698">
        <v>545150</v>
      </c>
      <c r="J1946" s="543"/>
      <c r="K1946"/>
      <c r="L1946"/>
      <c r="M1946"/>
    </row>
    <row r="1947" spans="1:13" ht="26.25" thickBot="1">
      <c r="A1947" s="648" t="s">
        <v>4837</v>
      </c>
      <c r="B1947" s="630"/>
      <c r="C1947" s="1060" t="s">
        <v>1077</v>
      </c>
      <c r="D1947" s="597" t="s">
        <v>1177</v>
      </c>
      <c r="E1947" s="697">
        <v>570000</v>
      </c>
      <c r="F1947" s="698">
        <v>570000</v>
      </c>
      <c r="J1947" s="543"/>
      <c r="K1947"/>
      <c r="L1947"/>
      <c r="M1947"/>
    </row>
    <row r="1948" spans="1:13" ht="48.75" thickBot="1">
      <c r="A1948" s="605" t="s">
        <v>4597</v>
      </c>
      <c r="B1948" s="606" t="s">
        <v>4601</v>
      </c>
      <c r="C1948" s="1008" t="s">
        <v>4794</v>
      </c>
      <c r="D1948" s="606" t="s">
        <v>4579</v>
      </c>
      <c r="E1948" s="738" t="s">
        <v>4604</v>
      </c>
      <c r="F1948" s="739" t="s">
        <v>4795</v>
      </c>
      <c r="G1948" s="1001"/>
      <c r="J1948" s="543"/>
      <c r="K1948"/>
      <c r="L1948"/>
      <c r="M1948"/>
    </row>
    <row r="1949" spans="1:13" ht="25.5">
      <c r="A1949" s="823" t="s">
        <v>1178</v>
      </c>
      <c r="B1949" s="824"/>
      <c r="C1949" s="1297" t="s">
        <v>1077</v>
      </c>
      <c r="D1949" s="825" t="s">
        <v>1179</v>
      </c>
      <c r="E1949" s="1298">
        <v>755300</v>
      </c>
      <c r="F1949" s="854">
        <v>755300</v>
      </c>
      <c r="G1949" s="1299"/>
      <c r="H1949"/>
      <c r="I1949" s="543"/>
      <c r="J1949"/>
      <c r="K1949"/>
      <c r="L1949"/>
      <c r="M1949"/>
    </row>
    <row r="1950" spans="1:13" ht="25.5">
      <c r="A1950" s="648" t="s">
        <v>4838</v>
      </c>
      <c r="B1950" s="630"/>
      <c r="C1950" s="1060" t="s">
        <v>1077</v>
      </c>
      <c r="D1950" s="597" t="s">
        <v>1181</v>
      </c>
      <c r="E1950" s="697">
        <v>2085600</v>
      </c>
      <c r="F1950" s="698">
        <v>2085600</v>
      </c>
      <c r="J1950" s="543"/>
      <c r="K1950"/>
      <c r="L1950"/>
      <c r="M1950"/>
    </row>
    <row r="1951" spans="1:13" ht="25.5">
      <c r="A1951" s="648" t="s">
        <v>4839</v>
      </c>
      <c r="B1951" s="630"/>
      <c r="C1951" s="1060" t="s">
        <v>1077</v>
      </c>
      <c r="D1951" s="597" t="s">
        <v>1183</v>
      </c>
      <c r="E1951" s="697">
        <v>760000</v>
      </c>
      <c r="F1951" s="698">
        <v>760000</v>
      </c>
      <c r="J1951" s="543"/>
      <c r="K1951"/>
      <c r="L1951"/>
      <c r="M1951"/>
    </row>
    <row r="1952" spans="1:13" ht="38.25">
      <c r="A1952" s="648" t="s">
        <v>4840</v>
      </c>
      <c r="B1952" s="630"/>
      <c r="C1952" s="1060" t="s">
        <v>1077</v>
      </c>
      <c r="D1952" s="597" t="s">
        <v>1185</v>
      </c>
      <c r="E1952" s="697">
        <v>3295350</v>
      </c>
      <c r="F1952" s="698">
        <v>3295350</v>
      </c>
      <c r="J1952" s="543"/>
      <c r="K1952"/>
      <c r="L1952"/>
      <c r="M1952"/>
    </row>
    <row r="1953" spans="1:13" ht="25.5">
      <c r="A1953" s="648" t="s">
        <v>4841</v>
      </c>
      <c r="B1953" s="630"/>
      <c r="C1953" s="1060" t="s">
        <v>1077</v>
      </c>
      <c r="D1953" s="597" t="s">
        <v>1187</v>
      </c>
      <c r="E1953" s="697">
        <v>37800</v>
      </c>
      <c r="F1953" s="698">
        <v>37800</v>
      </c>
      <c r="J1953" s="543"/>
      <c r="K1953"/>
      <c r="L1953"/>
      <c r="M1953"/>
    </row>
    <row r="1954" spans="1:13" ht="13.5" thickBot="1">
      <c r="A1954" s="648" t="s">
        <v>4842</v>
      </c>
      <c r="B1954" s="630"/>
      <c r="C1954" s="1060" t="s">
        <v>1077</v>
      </c>
      <c r="D1954" s="597" t="s">
        <v>1189</v>
      </c>
      <c r="E1954" s="697">
        <v>37800</v>
      </c>
      <c r="F1954" s="698">
        <v>37800</v>
      </c>
      <c r="J1954" s="543"/>
      <c r="K1954"/>
      <c r="L1954"/>
      <c r="M1954"/>
    </row>
    <row r="1955" spans="1:13" ht="13.5" thickBot="1">
      <c r="A1955" s="2264" t="s">
        <v>735</v>
      </c>
      <c r="B1955" s="2265"/>
      <c r="C1955" s="2265"/>
      <c r="D1955" s="2266"/>
      <c r="E1955" s="1196">
        <f>SUM(E1928:E1954)</f>
        <v>17420537</v>
      </c>
      <c r="F1955" s="1196">
        <f>SUM(F1928:F1954)</f>
        <v>17420537</v>
      </c>
      <c r="J1955" s="543"/>
      <c r="K1955"/>
      <c r="L1955"/>
      <c r="M1955"/>
    </row>
    <row r="1956" spans="1:13" ht="12.75">
      <c r="A1956" s="949"/>
      <c r="B1956" s="622"/>
      <c r="C1956" s="730"/>
      <c r="D1956" s="764"/>
      <c r="E1956" s="766"/>
      <c r="F1956" s="1145"/>
      <c r="J1956" s="543"/>
      <c r="K1956"/>
      <c r="L1956"/>
      <c r="M1956"/>
    </row>
    <row r="1957" spans="1:13" ht="13.5" thickBot="1">
      <c r="A1957" s="2214" t="s">
        <v>4461</v>
      </c>
      <c r="B1957" s="2215"/>
      <c r="C1957" s="2215"/>
      <c r="D1957" s="2215"/>
      <c r="E1957" s="2215"/>
      <c r="F1957" s="2216"/>
      <c r="J1957" s="543"/>
      <c r="K1957"/>
      <c r="L1957"/>
      <c r="M1957"/>
    </row>
    <row r="1958" spans="1:13" ht="12.75">
      <c r="A1958" s="680" t="s">
        <v>4843</v>
      </c>
      <c r="B1958" s="1282">
        <v>127412</v>
      </c>
      <c r="C1958" s="1096" t="s">
        <v>1077</v>
      </c>
      <c r="D1958" s="643" t="s">
        <v>736</v>
      </c>
      <c r="E1958" s="692">
        <v>49137775</v>
      </c>
      <c r="F1958" s="693">
        <v>49137775</v>
      </c>
      <c r="J1958" s="543"/>
      <c r="K1958"/>
      <c r="L1958"/>
      <c r="M1958"/>
    </row>
    <row r="1959" spans="1:13" ht="13.5" thickBot="1">
      <c r="A1959" s="1300" t="s">
        <v>4844</v>
      </c>
      <c r="B1959" s="633">
        <v>127412</v>
      </c>
      <c r="C1959" s="662" t="s">
        <v>4845</v>
      </c>
      <c r="D1959" s="1176" t="s">
        <v>4846</v>
      </c>
      <c r="E1959" s="1079">
        <v>14358592</v>
      </c>
      <c r="F1959" s="790">
        <v>14358592</v>
      </c>
      <c r="J1959" s="543"/>
      <c r="K1959"/>
      <c r="L1959"/>
      <c r="M1959"/>
    </row>
    <row r="1960" spans="1:13" ht="40.5" customHeight="1" thickBot="1">
      <c r="A1960" s="1301" t="s">
        <v>4847</v>
      </c>
      <c r="B1960" s="1302">
        <v>12741</v>
      </c>
      <c r="C1960" s="1303" t="s">
        <v>4848</v>
      </c>
      <c r="D1960" s="1304" t="s">
        <v>4849</v>
      </c>
      <c r="E1960" s="1305">
        <v>20948651</v>
      </c>
      <c r="F1960" s="1306">
        <v>20948651</v>
      </c>
      <c r="J1960" s="543"/>
      <c r="K1960"/>
      <c r="L1960"/>
      <c r="M1960"/>
    </row>
    <row r="1961" spans="1:13" ht="13.5" thickBot="1">
      <c r="A1961" s="1140"/>
      <c r="B1961" s="1076">
        <v>127412</v>
      </c>
      <c r="C1961" s="1294"/>
      <c r="D1961" s="1101" t="s">
        <v>2660</v>
      </c>
      <c r="E1961" s="799">
        <f>SUM(E1958:E1960)</f>
        <v>84445018</v>
      </c>
      <c r="F1961" s="800">
        <f>SUM(F1958:F1960)</f>
        <v>84445018</v>
      </c>
      <c r="J1961" s="543"/>
      <c r="K1961"/>
      <c r="L1961"/>
      <c r="M1961"/>
    </row>
    <row r="1962" spans="2:13" ht="12.75">
      <c r="B1962" s="592"/>
      <c r="C1962" s="948"/>
      <c r="D1962" s="640"/>
      <c r="E1962" s="1103"/>
      <c r="F1962" s="1104"/>
      <c r="J1962" s="543"/>
      <c r="K1962"/>
      <c r="L1962"/>
      <c r="M1962"/>
    </row>
    <row r="1963" spans="2:13" ht="12.75">
      <c r="B1963" s="592"/>
      <c r="C1963" s="948"/>
      <c r="D1963" s="640"/>
      <c r="E1963" s="1103"/>
      <c r="F1963" s="1104"/>
      <c r="J1963" s="543"/>
      <c r="K1963"/>
      <c r="L1963"/>
      <c r="M1963"/>
    </row>
    <row r="1964" spans="2:13" ht="12.75">
      <c r="B1964" s="821"/>
      <c r="C1964" s="948"/>
      <c r="D1964" s="640"/>
      <c r="E1964" s="1103"/>
      <c r="F1964" s="1104"/>
      <c r="J1964" s="543"/>
      <c r="K1964"/>
      <c r="L1964"/>
      <c r="M1964"/>
    </row>
    <row r="1965" spans="1:13" ht="12.75">
      <c r="A1965" s="2218" t="s">
        <v>737</v>
      </c>
      <c r="B1965" s="2218"/>
      <c r="C1965" s="2218"/>
      <c r="D1965" s="2218"/>
      <c r="E1965" s="1004">
        <f>E1961+E1955+E1925+E1921</f>
        <v>108952109</v>
      </c>
      <c r="F1965" s="1106">
        <f>F1961+F1955+F1925+F1921</f>
        <v>108952109</v>
      </c>
      <c r="K1965"/>
      <c r="L1965"/>
      <c r="M1965"/>
    </row>
    <row r="1966" spans="1:9" s="543" customFormat="1" ht="12.75">
      <c r="A1966" s="1307"/>
      <c r="B1966" s="593"/>
      <c r="C1966" s="639"/>
      <c r="D1966" s="639"/>
      <c r="E1966" s="1004"/>
      <c r="F1966" s="1106"/>
      <c r="G1966" s="1002"/>
      <c r="H1966" s="705"/>
      <c r="I1966" s="705"/>
    </row>
    <row r="1967" spans="1:13" ht="12.75">
      <c r="A1967" s="1105"/>
      <c r="B1967" s="593"/>
      <c r="C1967" s="639"/>
      <c r="D1967" s="640"/>
      <c r="E1967" s="1004"/>
      <c r="F1967" s="1106"/>
      <c r="J1967" s="543"/>
      <c r="K1967"/>
      <c r="L1967"/>
      <c r="M1967"/>
    </row>
    <row r="1968" spans="1:13" ht="12.75">
      <c r="A1968" s="2219" t="s">
        <v>738</v>
      </c>
      <c r="B1968" s="2219"/>
      <c r="C1968" s="2219"/>
      <c r="D1968" s="2219"/>
      <c r="E1968" s="1308">
        <f>E1965+E1909+E1891+E1224</f>
        <v>3075022053.5478525</v>
      </c>
      <c r="F1968" s="1309">
        <f>F1965+F1909+F1891+F1224</f>
        <v>2183287997</v>
      </c>
      <c r="J1968" s="543"/>
      <c r="K1968"/>
      <c r="L1968"/>
      <c r="M1968"/>
    </row>
    <row r="1969" spans="10:13" ht="12.75">
      <c r="J1969" s="543"/>
      <c r="K1969"/>
      <c r="L1969"/>
      <c r="M1969"/>
    </row>
    <row r="1970" spans="1:13" ht="12.75">
      <c r="A1970" s="2217" t="s">
        <v>739</v>
      </c>
      <c r="B1970" s="2217"/>
      <c r="C1970" s="2217"/>
      <c r="D1970" s="2217"/>
      <c r="E1970" s="2217"/>
      <c r="F1970" s="2217"/>
      <c r="J1970" s="543"/>
      <c r="K1970"/>
      <c r="L1970"/>
      <c r="M1970"/>
    </row>
    <row r="1971" spans="2:13" ht="12.75">
      <c r="B1971" s="827"/>
      <c r="C1971" s="627"/>
      <c r="D1971" s="1310"/>
      <c r="E1971" s="1205"/>
      <c r="F1971" s="1104"/>
      <c r="J1971" s="543"/>
      <c r="K1971"/>
      <c r="L1971"/>
      <c r="M1971"/>
    </row>
    <row r="1972" spans="1:13" ht="13.5" thickBot="1">
      <c r="A1972" s="2236" t="s">
        <v>740</v>
      </c>
      <c r="B1972" s="2236"/>
      <c r="C1972" s="2236"/>
      <c r="D1972" s="2236"/>
      <c r="E1972" s="2236"/>
      <c r="F1972" s="2236"/>
      <c r="J1972" s="543"/>
      <c r="K1972"/>
      <c r="L1972"/>
      <c r="M1972"/>
    </row>
    <row r="1973" spans="1:13" ht="12.75">
      <c r="A1973" s="680" t="s">
        <v>4850</v>
      </c>
      <c r="B1973" s="1282">
        <v>171111</v>
      </c>
      <c r="C1973" s="1096" t="s">
        <v>1077</v>
      </c>
      <c r="D1973" s="643" t="s">
        <v>742</v>
      </c>
      <c r="E1973" s="692">
        <v>7200000</v>
      </c>
      <c r="F1973" s="693">
        <v>7200000</v>
      </c>
      <c r="J1973" s="543"/>
      <c r="K1973"/>
      <c r="L1973"/>
      <c r="M1973"/>
    </row>
    <row r="1974" spans="1:13" ht="25.5">
      <c r="A1974" s="648" t="s">
        <v>4851</v>
      </c>
      <c r="B1974" s="630"/>
      <c r="C1974" s="1060" t="s">
        <v>1077</v>
      </c>
      <c r="D1974" s="597" t="s">
        <v>744</v>
      </c>
      <c r="E1974" s="697">
        <v>250000</v>
      </c>
      <c r="F1974" s="698">
        <v>250000</v>
      </c>
      <c r="J1974" s="543"/>
      <c r="K1974"/>
      <c r="L1974"/>
      <c r="M1974"/>
    </row>
    <row r="1975" spans="1:13" ht="12.75">
      <c r="A1975" s="648" t="s">
        <v>4852</v>
      </c>
      <c r="B1975" s="1014"/>
      <c r="C1975" s="1060" t="s">
        <v>1077</v>
      </c>
      <c r="D1975" s="673" t="s">
        <v>746</v>
      </c>
      <c r="E1975" s="1058">
        <v>1100000</v>
      </c>
      <c r="F1975" s="1075">
        <v>1100000</v>
      </c>
      <c r="J1975" s="543"/>
      <c r="K1975"/>
      <c r="L1975"/>
      <c r="M1975"/>
    </row>
    <row r="1976" spans="1:13" ht="25.5">
      <c r="A1976" s="648" t="s">
        <v>4853</v>
      </c>
      <c r="B1976" s="630"/>
      <c r="C1976" s="1060" t="s">
        <v>1077</v>
      </c>
      <c r="D1976" s="597" t="s">
        <v>748</v>
      </c>
      <c r="E1976" s="697">
        <v>381680</v>
      </c>
      <c r="F1976" s="698">
        <v>381680</v>
      </c>
      <c r="J1976" s="543"/>
      <c r="K1976"/>
      <c r="L1976"/>
      <c r="M1976"/>
    </row>
    <row r="1977" spans="1:13" ht="12.75">
      <c r="A1977" s="648" t="s">
        <v>4854</v>
      </c>
      <c r="B1977" s="630"/>
      <c r="C1977" s="1060" t="s">
        <v>1077</v>
      </c>
      <c r="D1977" s="597" t="s">
        <v>750</v>
      </c>
      <c r="E1977" s="697">
        <v>6000</v>
      </c>
      <c r="F1977" s="698">
        <v>6000</v>
      </c>
      <c r="J1977" s="543"/>
      <c r="K1977"/>
      <c r="L1977"/>
      <c r="M1977"/>
    </row>
    <row r="1978" spans="1:13" ht="12.75">
      <c r="A1978" s="648" t="s">
        <v>4855</v>
      </c>
      <c r="B1978" s="631"/>
      <c r="C1978" s="1062" t="s">
        <v>1077</v>
      </c>
      <c r="D1978" s="599" t="s">
        <v>752</v>
      </c>
      <c r="E1978" s="770">
        <v>25000</v>
      </c>
      <c r="F1978" s="771">
        <v>25000</v>
      </c>
      <c r="J1978" s="543"/>
      <c r="K1978"/>
      <c r="L1978"/>
      <c r="M1978"/>
    </row>
    <row r="1979" spans="1:13" ht="13.5" thickBot="1">
      <c r="A1979" s="751" t="s">
        <v>4856</v>
      </c>
      <c r="B1979" s="633"/>
      <c r="C1979" s="1294" t="s">
        <v>1077</v>
      </c>
      <c r="D1979" s="728" t="s">
        <v>753</v>
      </c>
      <c r="E1979" s="1079">
        <v>100000</v>
      </c>
      <c r="F1979" s="790">
        <v>100000</v>
      </c>
      <c r="J1979" s="543"/>
      <c r="K1979"/>
      <c r="L1979"/>
      <c r="M1979"/>
    </row>
    <row r="1980" spans="1:13" ht="13.5" thickBot="1">
      <c r="A1980" s="2225" t="s">
        <v>1499</v>
      </c>
      <c r="B1980" s="2220"/>
      <c r="C1980" s="2220"/>
      <c r="D1980" s="2257"/>
      <c r="E1980" s="1196">
        <f>SUM(E1973:E1979)</f>
        <v>9062680</v>
      </c>
      <c r="F1980" s="1196">
        <f>SUM(F1973:F1979)</f>
        <v>9062680</v>
      </c>
      <c r="J1980" s="543"/>
      <c r="K1980"/>
      <c r="L1980"/>
      <c r="M1980"/>
    </row>
    <row r="1981" spans="1:13" ht="12.75">
      <c r="A1981" s="2217" t="s">
        <v>754</v>
      </c>
      <c r="B1981" s="2217"/>
      <c r="C1981" s="2217"/>
      <c r="D1981" s="2217"/>
      <c r="E1981" s="2217"/>
      <c r="F1981" s="2217"/>
      <c r="J1981" s="543"/>
      <c r="K1981"/>
      <c r="L1981"/>
      <c r="M1981"/>
    </row>
    <row r="1982" spans="2:13" ht="12.75">
      <c r="B1982" s="821"/>
      <c r="C1982" s="638"/>
      <c r="D1982" s="1311"/>
      <c r="E1982" s="1006"/>
      <c r="J1982" s="543"/>
      <c r="K1982"/>
      <c r="L1982"/>
      <c r="M1982"/>
    </row>
    <row r="1983" spans="1:13" ht="12.75">
      <c r="A1983" s="2219" t="s">
        <v>755</v>
      </c>
      <c r="B1983" s="2219"/>
      <c r="C1983" s="2219"/>
      <c r="D1983" s="2219"/>
      <c r="E1983" s="1103">
        <f>E1980</f>
        <v>9062680</v>
      </c>
      <c r="F1983" s="1104">
        <f>F1980</f>
        <v>9062680</v>
      </c>
      <c r="J1983" s="543"/>
      <c r="K1983"/>
      <c r="L1983"/>
      <c r="M1983"/>
    </row>
    <row r="1984" spans="2:13" ht="12.75">
      <c r="B1984" s="592"/>
      <c r="C1984" s="637"/>
      <c r="D1984" s="640"/>
      <c r="E1984" s="1103"/>
      <c r="F1984" s="1104"/>
      <c r="J1984" s="543"/>
      <c r="K1984"/>
      <c r="L1984"/>
      <c r="M1984"/>
    </row>
    <row r="1985" spans="1:13" ht="12.75">
      <c r="A1985" s="2258" t="s">
        <v>3594</v>
      </c>
      <c r="B1985" s="2258"/>
      <c r="C1985" s="2258"/>
      <c r="D1985" s="2258"/>
      <c r="E1985" s="2258"/>
      <c r="F1985" s="2258"/>
      <c r="J1985" s="543"/>
      <c r="K1985"/>
      <c r="L1985"/>
      <c r="M1985"/>
    </row>
    <row r="1986" spans="1:13" ht="12.75">
      <c r="A1986" s="951"/>
      <c r="B1986" s="827"/>
      <c r="C1986" s="627"/>
      <c r="D1986" s="952"/>
      <c r="E1986" s="1205"/>
      <c r="F1986" s="1104"/>
      <c r="J1986" s="543"/>
      <c r="K1986"/>
      <c r="L1986"/>
      <c r="M1986"/>
    </row>
    <row r="1987" spans="1:13" ht="13.5" thickBot="1">
      <c r="A1987" s="2255" t="s">
        <v>3595</v>
      </c>
      <c r="B1987" s="2255"/>
      <c r="C1987" s="2255"/>
      <c r="D1987" s="2255"/>
      <c r="E1987" s="1308"/>
      <c r="F1987" s="1309"/>
      <c r="J1987" s="543"/>
      <c r="K1987"/>
      <c r="L1987"/>
      <c r="M1987"/>
    </row>
    <row r="1988" spans="1:9" s="543" customFormat="1" ht="12.75">
      <c r="A1988" s="680" t="s">
        <v>4857</v>
      </c>
      <c r="B1988" s="819">
        <v>1612221</v>
      </c>
      <c r="C1988" s="1115" t="s">
        <v>3596</v>
      </c>
      <c r="D1988" s="643" t="s">
        <v>3597</v>
      </c>
      <c r="E1988" s="692">
        <v>2043000</v>
      </c>
      <c r="F1988" s="693">
        <v>2043000</v>
      </c>
      <c r="G1988" s="1002"/>
      <c r="H1988" s="705"/>
      <c r="I1988" s="705"/>
    </row>
    <row r="1989" spans="1:9" s="543" customFormat="1" ht="13.5" thickBot="1">
      <c r="A1989" s="751" t="s">
        <v>4858</v>
      </c>
      <c r="B1989" s="633"/>
      <c r="C1989" s="1077" t="s">
        <v>3598</v>
      </c>
      <c r="D1989" s="603" t="s">
        <v>3599</v>
      </c>
      <c r="E1989" s="1079">
        <v>750000</v>
      </c>
      <c r="F1989" s="790">
        <v>750000</v>
      </c>
      <c r="G1989" s="1002"/>
      <c r="H1989" s="705"/>
      <c r="I1989" s="705"/>
    </row>
    <row r="1990" spans="1:9" s="543" customFormat="1" ht="13.5" thickBot="1">
      <c r="A1990" s="685"/>
      <c r="B1990" s="1124">
        <f>B1988</f>
        <v>1612221</v>
      </c>
      <c r="C1990" s="757" t="s">
        <v>3600</v>
      </c>
      <c r="D1990" s="601" t="s">
        <v>1499</v>
      </c>
      <c r="E1990" s="773">
        <f>SUM(E1988:E1989)</f>
        <v>2793000</v>
      </c>
      <c r="F1990" s="774">
        <f>SUM(F1988:F1989)</f>
        <v>2793000</v>
      </c>
      <c r="G1990" s="1002"/>
      <c r="H1990" s="705"/>
      <c r="I1990" s="705"/>
    </row>
    <row r="1991" spans="1:9" s="543" customFormat="1" ht="13.5" thickBot="1">
      <c r="A1991" s="1226"/>
      <c r="B1991" s="827"/>
      <c r="C1991" s="627"/>
      <c r="D1991" s="828"/>
      <c r="E1991" s="1205"/>
      <c r="F1991" s="1104"/>
      <c r="G1991" s="1002"/>
      <c r="H1991" s="705"/>
      <c r="I1991" s="705"/>
    </row>
    <row r="1992" spans="1:9" s="543" customFormat="1" ht="13.5" thickBot="1">
      <c r="A1992" s="2220" t="s">
        <v>3601</v>
      </c>
      <c r="B1992" s="2220"/>
      <c r="C1992" s="2220"/>
      <c r="D1992" s="2220"/>
      <c r="E1992" s="1112"/>
      <c r="F1992" s="1113"/>
      <c r="G1992" s="1002"/>
      <c r="H1992" s="705"/>
      <c r="I1992" s="705"/>
    </row>
    <row r="1993" spans="1:9" s="543" customFormat="1" ht="12.75">
      <c r="A1993" s="829" t="s">
        <v>4859</v>
      </c>
      <c r="B1993" s="819">
        <v>16122227</v>
      </c>
      <c r="C1993" s="1115" t="s">
        <v>3602</v>
      </c>
      <c r="D1993" s="643" t="s">
        <v>3603</v>
      </c>
      <c r="E1993" s="692">
        <v>237251</v>
      </c>
      <c r="F1993" s="693">
        <f>E1993</f>
        <v>237251</v>
      </c>
      <c r="G1993" s="1002"/>
      <c r="H1993" s="705"/>
      <c r="I1993" s="705"/>
    </row>
    <row r="1994" spans="1:9" s="543" customFormat="1" ht="12.75">
      <c r="A1994" s="810" t="s">
        <v>4860</v>
      </c>
      <c r="B1994" s="822"/>
      <c r="C1994" s="1032" t="s">
        <v>3602</v>
      </c>
      <c r="D1994" s="597" t="s">
        <v>3604</v>
      </c>
      <c r="E1994" s="697">
        <v>322250</v>
      </c>
      <c r="F1994" s="698">
        <f>E1994</f>
        <v>322250</v>
      </c>
      <c r="G1994" s="1002"/>
      <c r="H1994" s="705"/>
      <c r="I1994" s="705"/>
    </row>
    <row r="1995" spans="1:9" s="543" customFormat="1" ht="12.75">
      <c r="A1995" s="810" t="s">
        <v>4861</v>
      </c>
      <c r="B1995" s="822"/>
      <c r="C1995" s="1032" t="s">
        <v>3602</v>
      </c>
      <c r="D1995" s="597" t="s">
        <v>3605</v>
      </c>
      <c r="E1995" s="697">
        <v>1</v>
      </c>
      <c r="F1995" s="698">
        <f aca="true" t="shared" si="1" ref="F1995:F2003">E1995</f>
        <v>1</v>
      </c>
      <c r="G1995" s="1002"/>
      <c r="H1995" s="705"/>
      <c r="I1995" s="705"/>
    </row>
    <row r="1996" spans="1:9" s="543" customFormat="1" ht="12.75">
      <c r="A1996" s="810" t="s">
        <v>4862</v>
      </c>
      <c r="B1996" s="822"/>
      <c r="C1996" s="1032" t="s">
        <v>3602</v>
      </c>
      <c r="D1996" s="597" t="s">
        <v>3605</v>
      </c>
      <c r="E1996" s="697">
        <v>1</v>
      </c>
      <c r="F1996" s="698">
        <f t="shared" si="1"/>
        <v>1</v>
      </c>
      <c r="G1996" s="1002"/>
      <c r="H1996" s="705"/>
      <c r="I1996" s="705"/>
    </row>
    <row r="1997" spans="1:9" s="543" customFormat="1" ht="12.75">
      <c r="A1997" s="810" t="s">
        <v>4863</v>
      </c>
      <c r="B1997" s="822"/>
      <c r="C1997" s="1032" t="s">
        <v>3602</v>
      </c>
      <c r="D1997" s="597" t="s">
        <v>3605</v>
      </c>
      <c r="E1997" s="697">
        <v>190000</v>
      </c>
      <c r="F1997" s="698">
        <f t="shared" si="1"/>
        <v>190000</v>
      </c>
      <c r="G1997" s="1002"/>
      <c r="H1997" s="705"/>
      <c r="I1997" s="705"/>
    </row>
    <row r="1998" spans="1:9" s="543" customFormat="1" ht="13.5" thickBot="1">
      <c r="A1998" s="810" t="s">
        <v>4864</v>
      </c>
      <c r="B1998" s="822"/>
      <c r="C1998" s="1032" t="s">
        <v>3602</v>
      </c>
      <c r="D1998" s="597" t="s">
        <v>3606</v>
      </c>
      <c r="E1998" s="697">
        <v>152000</v>
      </c>
      <c r="F1998" s="698">
        <f t="shared" si="1"/>
        <v>152000</v>
      </c>
      <c r="G1998" s="1002"/>
      <c r="H1998" s="705"/>
      <c r="I1998" s="705"/>
    </row>
    <row r="1999" spans="1:13" ht="48.75" thickBot="1">
      <c r="A1999" s="605" t="s">
        <v>4597</v>
      </c>
      <c r="B1999" s="606" t="s">
        <v>4601</v>
      </c>
      <c r="C1999" s="1008" t="s">
        <v>4794</v>
      </c>
      <c r="D1999" s="606" t="s">
        <v>4579</v>
      </c>
      <c r="E1999" s="738" t="s">
        <v>4604</v>
      </c>
      <c r="F1999" s="739" t="s">
        <v>4795</v>
      </c>
      <c r="G1999" s="1001"/>
      <c r="J1999" s="543"/>
      <c r="K1999"/>
      <c r="L1999"/>
      <c r="M1999"/>
    </row>
    <row r="2000" spans="1:9" s="543" customFormat="1" ht="12.75">
      <c r="A2000" s="810" t="s">
        <v>4865</v>
      </c>
      <c r="B2000" s="822"/>
      <c r="C2000" s="1032" t="s">
        <v>3602</v>
      </c>
      <c r="D2000" s="597" t="s">
        <v>3607</v>
      </c>
      <c r="E2000" s="697">
        <v>9000</v>
      </c>
      <c r="F2000" s="698">
        <f t="shared" si="1"/>
        <v>9000</v>
      </c>
      <c r="G2000" s="1002"/>
      <c r="H2000" s="705"/>
      <c r="I2000" s="705"/>
    </row>
    <row r="2001" spans="1:9" s="543" customFormat="1" ht="12.75">
      <c r="A2001" s="810" t="s">
        <v>4866</v>
      </c>
      <c r="B2001" s="822"/>
      <c r="C2001" s="1032" t="s">
        <v>3602</v>
      </c>
      <c r="D2001" s="597" t="s">
        <v>3607</v>
      </c>
      <c r="E2001" s="697">
        <v>31000</v>
      </c>
      <c r="F2001" s="698">
        <f t="shared" si="1"/>
        <v>31000</v>
      </c>
      <c r="G2001" s="1002"/>
      <c r="H2001" s="705"/>
      <c r="I2001" s="705"/>
    </row>
    <row r="2002" spans="1:9" s="543" customFormat="1" ht="12.75">
      <c r="A2002" s="810" t="s">
        <v>4867</v>
      </c>
      <c r="B2002" s="822"/>
      <c r="C2002" s="1032" t="s">
        <v>3608</v>
      </c>
      <c r="D2002" s="597" t="s">
        <v>3609</v>
      </c>
      <c r="E2002" s="697">
        <v>3000</v>
      </c>
      <c r="F2002" s="698">
        <f t="shared" si="1"/>
        <v>3000</v>
      </c>
      <c r="G2002" s="1002"/>
      <c r="H2002" s="705"/>
      <c r="I2002" s="705"/>
    </row>
    <row r="2003" spans="1:9" s="543" customFormat="1" ht="14.25" customHeight="1" thickBot="1">
      <c r="A2003" s="833" t="s">
        <v>4868</v>
      </c>
      <c r="B2003" s="1076"/>
      <c r="C2003" s="1077" t="s">
        <v>3608</v>
      </c>
      <c r="D2003" s="603" t="s">
        <v>3610</v>
      </c>
      <c r="E2003" s="1079">
        <v>1476729</v>
      </c>
      <c r="F2003" s="698">
        <f t="shared" si="1"/>
        <v>1476729</v>
      </c>
      <c r="G2003" s="1002"/>
      <c r="H2003" s="705"/>
      <c r="I2003" s="705"/>
    </row>
    <row r="2004" spans="1:9" s="543" customFormat="1" ht="13.5" thickBot="1">
      <c r="A2004" s="830"/>
      <c r="B2004" s="1124">
        <f>B1993</f>
        <v>16122227</v>
      </c>
      <c r="C2004" s="757" t="s">
        <v>3315</v>
      </c>
      <c r="D2004" s="601" t="s">
        <v>1499</v>
      </c>
      <c r="E2004" s="773">
        <f>SUM(E1993:E2003)</f>
        <v>2421232</v>
      </c>
      <c r="F2004" s="774">
        <f>SUM(F1993:F2003)</f>
        <v>2421232</v>
      </c>
      <c r="G2004" s="1002"/>
      <c r="H2004" s="705"/>
      <c r="I2004" s="705"/>
    </row>
    <row r="2005" spans="1:9" s="543" customFormat="1" ht="13.5" thickBot="1">
      <c r="A2005" s="1312"/>
      <c r="B2005" s="622"/>
      <c r="C2005" s="1143"/>
      <c r="D2005" s="732"/>
      <c r="E2005" s="766"/>
      <c r="F2005" s="1145"/>
      <c r="G2005" s="1002"/>
      <c r="H2005" s="705"/>
      <c r="I2005" s="705"/>
    </row>
    <row r="2006" spans="1:9" s="543" customFormat="1" ht="13.5" thickBot="1">
      <c r="A2006" s="2267" t="s">
        <v>3611</v>
      </c>
      <c r="B2006" s="2267"/>
      <c r="C2006" s="2267"/>
      <c r="D2006" s="2267"/>
      <c r="E2006" s="2224"/>
      <c r="F2006" s="2224"/>
      <c r="G2006" s="1002"/>
      <c r="H2006" s="705"/>
      <c r="I2006" s="705"/>
    </row>
    <row r="2007" spans="1:9" s="543" customFormat="1" ht="12.75">
      <c r="A2007" s="836" t="s">
        <v>4869</v>
      </c>
      <c r="B2007" s="1131">
        <v>16123121</v>
      </c>
      <c r="C2007" s="1150"/>
      <c r="D2007" s="831" t="s">
        <v>3612</v>
      </c>
      <c r="E2007" s="1134">
        <v>859657</v>
      </c>
      <c r="F2007" s="1075">
        <v>656722</v>
      </c>
      <c r="G2007" s="1002"/>
      <c r="H2007" s="705"/>
      <c r="I2007" s="705"/>
    </row>
    <row r="2008" spans="1:9" s="543" customFormat="1" ht="12.75">
      <c r="A2008" s="810" t="s">
        <v>4870</v>
      </c>
      <c r="B2008" s="630"/>
      <c r="C2008" s="1032" t="s">
        <v>3613</v>
      </c>
      <c r="D2008" s="597" t="s">
        <v>3614</v>
      </c>
      <c r="E2008" s="697">
        <v>300000</v>
      </c>
      <c r="F2008" s="698">
        <v>211251</v>
      </c>
      <c r="G2008" s="1002"/>
      <c r="H2008" s="705"/>
      <c r="I2008" s="705"/>
    </row>
    <row r="2009" spans="1:9" s="543" customFormat="1" ht="12.75">
      <c r="A2009" s="810" t="s">
        <v>4871</v>
      </c>
      <c r="B2009" s="631"/>
      <c r="C2009" s="1073"/>
      <c r="D2009" s="677" t="s">
        <v>3615</v>
      </c>
      <c r="E2009" s="770">
        <v>225000</v>
      </c>
      <c r="F2009" s="771">
        <v>176316</v>
      </c>
      <c r="G2009" s="1002"/>
      <c r="H2009" s="705"/>
      <c r="I2009" s="705"/>
    </row>
    <row r="2010" spans="1:9" s="543" customFormat="1" ht="13.5" thickBot="1">
      <c r="A2010" s="833" t="s">
        <v>4872</v>
      </c>
      <c r="B2010" s="633"/>
      <c r="C2010" s="1077" t="s">
        <v>3613</v>
      </c>
      <c r="D2010" s="603" t="s">
        <v>3616</v>
      </c>
      <c r="E2010" s="1079">
        <v>1870000</v>
      </c>
      <c r="F2010" s="790">
        <v>1516580</v>
      </c>
      <c r="G2010" s="1002"/>
      <c r="H2010" s="705"/>
      <c r="I2010" s="705"/>
    </row>
    <row r="2011" spans="1:9" s="543" customFormat="1" ht="13.5" thickBot="1">
      <c r="A2011" s="830"/>
      <c r="B2011" s="1124"/>
      <c r="C2011" s="757" t="s">
        <v>3600</v>
      </c>
      <c r="D2011" s="601" t="s">
        <v>1499</v>
      </c>
      <c r="E2011" s="773">
        <f>SUM(E2007:E2010)</f>
        <v>3254657</v>
      </c>
      <c r="F2011" s="774">
        <f>SUM(F2007:F2010)</f>
        <v>2560869</v>
      </c>
      <c r="G2011" s="1002"/>
      <c r="H2011" s="705"/>
      <c r="I2011" s="705"/>
    </row>
    <row r="2012" spans="1:9" s="543" customFormat="1" ht="13.5" thickBot="1">
      <c r="A2012" s="2220" t="s">
        <v>3617</v>
      </c>
      <c r="B2012" s="2220"/>
      <c r="C2012" s="2220"/>
      <c r="D2012" s="2220"/>
      <c r="E2012" s="2224"/>
      <c r="F2012" s="2224"/>
      <c r="G2012" s="1002"/>
      <c r="H2012" s="705"/>
      <c r="I2012" s="705"/>
    </row>
    <row r="2013" spans="1:9" s="543" customFormat="1" ht="12.75">
      <c r="A2013" s="829" t="s">
        <v>4873</v>
      </c>
      <c r="B2013" s="819">
        <v>16123127</v>
      </c>
      <c r="C2013" s="1115"/>
      <c r="D2013" s="643" t="s">
        <v>3603</v>
      </c>
      <c r="E2013" s="692">
        <v>711753</v>
      </c>
      <c r="F2013" s="693">
        <v>298306</v>
      </c>
      <c r="G2013" s="1002"/>
      <c r="H2013" s="705"/>
      <c r="I2013" s="705"/>
    </row>
    <row r="2014" spans="1:9" s="543" customFormat="1" ht="12.75">
      <c r="A2014" s="810" t="s">
        <v>4874</v>
      </c>
      <c r="B2014" s="822"/>
      <c r="C2014" s="1032"/>
      <c r="D2014" s="597" t="s">
        <v>3618</v>
      </c>
      <c r="E2014" s="697">
        <v>1080336</v>
      </c>
      <c r="F2014" s="698">
        <v>357764</v>
      </c>
      <c r="G2014" s="1002"/>
      <c r="H2014" s="705"/>
      <c r="I2014" s="705"/>
    </row>
    <row r="2015" spans="1:9" s="543" customFormat="1" ht="13.5" thickBot="1">
      <c r="A2015" s="833" t="s">
        <v>4875</v>
      </c>
      <c r="B2015" s="822"/>
      <c r="C2015" s="1032" t="s">
        <v>3619</v>
      </c>
      <c r="D2015" s="597" t="s">
        <v>3620</v>
      </c>
      <c r="E2015" s="697">
        <v>4430186</v>
      </c>
      <c r="F2015" s="698">
        <v>2783035</v>
      </c>
      <c r="G2015" s="1002"/>
      <c r="H2015" s="705"/>
      <c r="I2015" s="705"/>
    </row>
    <row r="2016" spans="1:9" s="543" customFormat="1" ht="13.5" thickBot="1">
      <c r="A2016" s="830"/>
      <c r="B2016" s="1124">
        <f>B2013</f>
        <v>16123127</v>
      </c>
      <c r="C2016" s="757" t="s">
        <v>3600</v>
      </c>
      <c r="D2016" s="601" t="s">
        <v>1499</v>
      </c>
      <c r="E2016" s="773">
        <f>SUM(E2013:E2015)</f>
        <v>6222275</v>
      </c>
      <c r="F2016" s="774">
        <f>SUM(F2013:F2015)</f>
        <v>3439105</v>
      </c>
      <c r="G2016" s="1002"/>
      <c r="H2016" s="705"/>
      <c r="I2016" s="705"/>
    </row>
    <row r="2017" spans="1:9" s="543" customFormat="1" ht="13.5" thickBot="1">
      <c r="A2017" s="1313"/>
      <c r="B2017" s="1314"/>
      <c r="C2017" s="1315"/>
      <c r="D2017" s="832"/>
      <c r="E2017" s="1316"/>
      <c r="F2017" s="1317"/>
      <c r="G2017" s="1002"/>
      <c r="H2017" s="705"/>
      <c r="I2017" s="705"/>
    </row>
    <row r="2018" spans="1:9" s="543" customFormat="1" ht="13.5" thickBot="1">
      <c r="A2018" s="2220" t="s">
        <v>3621</v>
      </c>
      <c r="B2018" s="2220"/>
      <c r="C2018" s="2220"/>
      <c r="D2018" s="2220"/>
      <c r="E2018" s="2220"/>
      <c r="F2018" s="2220"/>
      <c r="G2018" s="1002"/>
      <c r="H2018" s="705"/>
      <c r="I2018" s="705"/>
    </row>
    <row r="2019" spans="1:9" s="543" customFormat="1" ht="12.75">
      <c r="A2019" s="829" t="s">
        <v>4876</v>
      </c>
      <c r="B2019" s="819">
        <v>16124921</v>
      </c>
      <c r="C2019" s="1115" t="s">
        <v>3613</v>
      </c>
      <c r="D2019" s="643" t="s">
        <v>3622</v>
      </c>
      <c r="E2019" s="692">
        <v>500000</v>
      </c>
      <c r="F2019" s="693">
        <v>275195</v>
      </c>
      <c r="G2019" s="1002"/>
      <c r="H2019" s="705"/>
      <c r="I2019" s="705"/>
    </row>
    <row r="2020" spans="1:9" s="543" customFormat="1" ht="13.5" thickBot="1">
      <c r="A2020" s="833" t="s">
        <v>4877</v>
      </c>
      <c r="B2020" s="633"/>
      <c r="C2020" s="1077" t="s">
        <v>3613</v>
      </c>
      <c r="D2020" s="603" t="s">
        <v>3623</v>
      </c>
      <c r="E2020" s="1079">
        <v>400000</v>
      </c>
      <c r="F2020" s="790">
        <v>219571</v>
      </c>
      <c r="G2020" s="1002"/>
      <c r="H2020" s="705"/>
      <c r="I2020" s="705"/>
    </row>
    <row r="2021" spans="1:9" s="543" customFormat="1" ht="13.5" thickBot="1">
      <c r="A2021" s="830"/>
      <c r="B2021" s="1318">
        <f>B2019</f>
        <v>16124921</v>
      </c>
      <c r="C2021" s="834"/>
      <c r="D2021" s="834" t="s">
        <v>1499</v>
      </c>
      <c r="E2021" s="773">
        <f>SUM(E2019:E2020)</f>
        <v>900000</v>
      </c>
      <c r="F2021" s="774">
        <f>SUM(F2019:F2020)</f>
        <v>494766</v>
      </c>
      <c r="G2021" s="1002"/>
      <c r="H2021" s="705"/>
      <c r="I2021" s="705"/>
    </row>
    <row r="2022" spans="1:9" s="543" customFormat="1" ht="13.5" thickBot="1">
      <c r="A2022" s="1312"/>
      <c r="B2022" s="622"/>
      <c r="C2022" s="1143"/>
      <c r="D2022" s="732"/>
      <c r="E2022" s="766"/>
      <c r="F2022" s="1145"/>
      <c r="G2022" s="1002"/>
      <c r="H2022" s="705"/>
      <c r="I2022" s="705"/>
    </row>
    <row r="2023" spans="1:9" s="835" customFormat="1" ht="12.75" thickBot="1">
      <c r="A2023" s="2268" t="s">
        <v>3624</v>
      </c>
      <c r="B2023" s="2269"/>
      <c r="C2023" s="2269"/>
      <c r="D2023" s="2269"/>
      <c r="E2023" s="2269"/>
      <c r="F2023" s="2269"/>
      <c r="G2023" s="1319"/>
      <c r="H2023" s="1320"/>
      <c r="I2023" s="1320"/>
    </row>
    <row r="2024" spans="1:9" s="543" customFormat="1" ht="12.75">
      <c r="A2024" s="836" t="s">
        <v>4878</v>
      </c>
      <c r="B2024" s="645">
        <v>16124927</v>
      </c>
      <c r="C2024" s="1071" t="s">
        <v>3613</v>
      </c>
      <c r="D2024" s="673" t="s">
        <v>3625</v>
      </c>
      <c r="E2024" s="1058">
        <v>8281955</v>
      </c>
      <c r="F2024" s="1075">
        <v>444476</v>
      </c>
      <c r="G2024" s="1002"/>
      <c r="H2024" s="705"/>
      <c r="I2024" s="705"/>
    </row>
    <row r="2025" spans="1:9" s="543" customFormat="1" ht="12.75">
      <c r="A2025" s="836" t="s">
        <v>4879</v>
      </c>
      <c r="B2025" s="822"/>
      <c r="C2025" s="1032" t="s">
        <v>3613</v>
      </c>
      <c r="D2025" s="597" t="s">
        <v>3626</v>
      </c>
      <c r="E2025" s="697">
        <v>3915243</v>
      </c>
      <c r="F2025" s="698">
        <v>572761</v>
      </c>
      <c r="G2025" s="1002"/>
      <c r="H2025" s="705"/>
      <c r="I2025" s="705"/>
    </row>
    <row r="2026" spans="1:9" s="543" customFormat="1" ht="12.75">
      <c r="A2026" s="836" t="s">
        <v>4880</v>
      </c>
      <c r="B2026" s="822"/>
      <c r="C2026" s="1032" t="s">
        <v>3613</v>
      </c>
      <c r="D2026" s="597" t="s">
        <v>3627</v>
      </c>
      <c r="E2026" s="697">
        <v>1573718</v>
      </c>
      <c r="F2026" s="698">
        <v>52386</v>
      </c>
      <c r="G2026" s="1002"/>
      <c r="H2026" s="705"/>
      <c r="I2026" s="705"/>
    </row>
    <row r="2027" spans="1:9" s="543" customFormat="1" ht="12.75">
      <c r="A2027" s="836" t="s">
        <v>4881</v>
      </c>
      <c r="B2027" s="822"/>
      <c r="C2027" s="1032" t="s">
        <v>3613</v>
      </c>
      <c r="D2027" s="597" t="s">
        <v>3628</v>
      </c>
      <c r="E2027" s="697">
        <v>219717</v>
      </c>
      <c r="F2027" s="698">
        <v>82946</v>
      </c>
      <c r="G2027" s="1002"/>
      <c r="H2027" s="705"/>
      <c r="I2027" s="705"/>
    </row>
    <row r="2028" spans="1:9" s="543" customFormat="1" ht="12.75">
      <c r="A2028" s="836" t="s">
        <v>4882</v>
      </c>
      <c r="B2028" s="822"/>
      <c r="C2028" s="1032" t="s">
        <v>3613</v>
      </c>
      <c r="D2028" s="597" t="s">
        <v>3629</v>
      </c>
      <c r="E2028" s="697">
        <v>10200</v>
      </c>
      <c r="F2028" s="698">
        <v>1759</v>
      </c>
      <c r="G2028" s="1002"/>
      <c r="H2028" s="705"/>
      <c r="I2028" s="705"/>
    </row>
    <row r="2029" spans="1:9" s="543" customFormat="1" ht="12.75">
      <c r="A2029" s="836" t="s">
        <v>4883</v>
      </c>
      <c r="B2029" s="822"/>
      <c r="C2029" s="1032" t="s">
        <v>3613</v>
      </c>
      <c r="D2029" s="597" t="s">
        <v>3630</v>
      </c>
      <c r="E2029" s="697">
        <v>47131</v>
      </c>
      <c r="F2029" s="698">
        <v>12617</v>
      </c>
      <c r="G2029" s="1002"/>
      <c r="H2029" s="705"/>
      <c r="I2029" s="705"/>
    </row>
    <row r="2030" spans="1:9" s="543" customFormat="1" ht="12.75">
      <c r="A2030" s="836" t="s">
        <v>4884</v>
      </c>
      <c r="B2030" s="822"/>
      <c r="C2030" s="1032" t="s">
        <v>3613</v>
      </c>
      <c r="D2030" s="597" t="s">
        <v>3631</v>
      </c>
      <c r="E2030" s="697">
        <v>49300</v>
      </c>
      <c r="F2030" s="698">
        <v>11354</v>
      </c>
      <c r="G2030" s="1002"/>
      <c r="H2030" s="705"/>
      <c r="I2030" s="705"/>
    </row>
    <row r="2031" spans="1:9" s="543" customFormat="1" ht="12.75">
      <c r="A2031" s="836" t="s">
        <v>4885</v>
      </c>
      <c r="B2031" s="822"/>
      <c r="C2031" s="1032" t="s">
        <v>3613</v>
      </c>
      <c r="D2031" s="597" t="s">
        <v>3632</v>
      </c>
      <c r="E2031" s="697">
        <v>3680399</v>
      </c>
      <c r="F2031" s="698">
        <v>198660</v>
      </c>
      <c r="G2031" s="1002"/>
      <c r="H2031" s="705"/>
      <c r="I2031" s="705"/>
    </row>
    <row r="2032" spans="1:9" s="543" customFormat="1" ht="12.75">
      <c r="A2032" s="836" t="s">
        <v>4886</v>
      </c>
      <c r="B2032" s="822"/>
      <c r="C2032" s="1032" t="s">
        <v>3613</v>
      </c>
      <c r="D2032" s="597" t="s">
        <v>3633</v>
      </c>
      <c r="E2032" s="697">
        <v>3212424</v>
      </c>
      <c r="F2032" s="698">
        <v>608354</v>
      </c>
      <c r="G2032" s="1002"/>
      <c r="H2032" s="705"/>
      <c r="I2032" s="705"/>
    </row>
    <row r="2033" spans="1:9" s="543" customFormat="1" ht="12.75">
      <c r="A2033" s="836" t="s">
        <v>4887</v>
      </c>
      <c r="B2033" s="822"/>
      <c r="C2033" s="1032" t="s">
        <v>3613</v>
      </c>
      <c r="D2033" s="597" t="s">
        <v>3634</v>
      </c>
      <c r="E2033" s="697">
        <v>73034</v>
      </c>
      <c r="F2033" s="698">
        <v>33130</v>
      </c>
      <c r="G2033" s="1002"/>
      <c r="H2033" s="705"/>
      <c r="I2033" s="705"/>
    </row>
    <row r="2034" spans="1:9" s="543" customFormat="1" ht="12.75">
      <c r="A2034" s="836" t="s">
        <v>4888</v>
      </c>
      <c r="B2034" s="822"/>
      <c r="C2034" s="1032" t="s">
        <v>3613</v>
      </c>
      <c r="D2034" s="597" t="s">
        <v>3635</v>
      </c>
      <c r="E2034" s="697">
        <v>102000</v>
      </c>
      <c r="F2034" s="698">
        <v>33464</v>
      </c>
      <c r="G2034" s="1002"/>
      <c r="H2034" s="705"/>
      <c r="I2034" s="705"/>
    </row>
    <row r="2035" spans="1:9" s="543" customFormat="1" ht="12.75">
      <c r="A2035" s="836" t="s">
        <v>4889</v>
      </c>
      <c r="B2035" s="822"/>
      <c r="C2035" s="1032" t="s">
        <v>3613</v>
      </c>
      <c r="D2035" s="597" t="s">
        <v>3636</v>
      </c>
      <c r="E2035" s="697">
        <v>22000</v>
      </c>
      <c r="F2035" s="698">
        <v>7198</v>
      </c>
      <c r="G2035" s="1002"/>
      <c r="H2035" s="705"/>
      <c r="I2035" s="705"/>
    </row>
    <row r="2036" spans="1:9" s="543" customFormat="1" ht="12.75">
      <c r="A2036" s="836" t="s">
        <v>4890</v>
      </c>
      <c r="B2036" s="822"/>
      <c r="C2036" s="1032" t="s">
        <v>3608</v>
      </c>
      <c r="D2036" s="597" t="s">
        <v>3637</v>
      </c>
      <c r="E2036" s="697">
        <v>1547193</v>
      </c>
      <c r="F2036" s="698">
        <v>567131</v>
      </c>
      <c r="G2036" s="1002"/>
      <c r="H2036" s="705"/>
      <c r="I2036" s="705"/>
    </row>
    <row r="2037" spans="1:9" s="543" customFormat="1" ht="12.75">
      <c r="A2037" s="836" t="s">
        <v>4891</v>
      </c>
      <c r="B2037" s="822"/>
      <c r="C2037" s="1032" t="s">
        <v>3613</v>
      </c>
      <c r="D2037" s="597" t="s">
        <v>3638</v>
      </c>
      <c r="E2037" s="697">
        <v>8000</v>
      </c>
      <c r="F2037" s="698">
        <v>1181</v>
      </c>
      <c r="G2037" s="1002"/>
      <c r="H2037" s="705"/>
      <c r="I2037" s="705"/>
    </row>
    <row r="2038" spans="1:9" s="543" customFormat="1" ht="12.75">
      <c r="A2038" s="836" t="s">
        <v>4892</v>
      </c>
      <c r="B2038" s="822"/>
      <c r="C2038" s="1032" t="s">
        <v>3613</v>
      </c>
      <c r="D2038" s="597" t="s">
        <v>3639</v>
      </c>
      <c r="E2038" s="697">
        <v>11000</v>
      </c>
      <c r="F2038" s="698">
        <v>2138</v>
      </c>
      <c r="G2038" s="1002"/>
      <c r="H2038" s="705"/>
      <c r="I2038" s="705"/>
    </row>
    <row r="2039" spans="1:9" s="543" customFormat="1" ht="12.75">
      <c r="A2039" s="836" t="s">
        <v>4893</v>
      </c>
      <c r="B2039" s="822"/>
      <c r="C2039" s="1032" t="s">
        <v>3613</v>
      </c>
      <c r="D2039" s="597" t="s">
        <v>3640</v>
      </c>
      <c r="E2039" s="697">
        <v>122000</v>
      </c>
      <c r="F2039" s="698">
        <v>21194</v>
      </c>
      <c r="G2039" s="1002"/>
      <c r="H2039" s="705"/>
      <c r="I2039" s="705"/>
    </row>
    <row r="2040" spans="1:9" s="543" customFormat="1" ht="12.75">
      <c r="A2040" s="836" t="s">
        <v>4894</v>
      </c>
      <c r="B2040" s="822"/>
      <c r="C2040" s="1032" t="s">
        <v>3602</v>
      </c>
      <c r="D2040" s="597" t="s">
        <v>3641</v>
      </c>
      <c r="E2040" s="697">
        <v>80000</v>
      </c>
      <c r="F2040" s="698">
        <v>20508</v>
      </c>
      <c r="G2040" s="1002"/>
      <c r="H2040" s="705"/>
      <c r="I2040" s="705"/>
    </row>
    <row r="2041" spans="1:9" s="543" customFormat="1" ht="12.75">
      <c r="A2041" s="836" t="s">
        <v>4895</v>
      </c>
      <c r="B2041" s="822"/>
      <c r="C2041" s="1032" t="s">
        <v>3602</v>
      </c>
      <c r="D2041" s="597" t="s">
        <v>3642</v>
      </c>
      <c r="E2041" s="697">
        <v>202000</v>
      </c>
      <c r="F2041" s="698">
        <v>36820</v>
      </c>
      <c r="G2041" s="1002"/>
      <c r="H2041" s="705"/>
      <c r="I2041" s="705"/>
    </row>
    <row r="2042" spans="1:9" s="543" customFormat="1" ht="12.75">
      <c r="A2042" s="836" t="s">
        <v>4896</v>
      </c>
      <c r="B2042" s="822"/>
      <c r="C2042" s="1032" t="s">
        <v>3602</v>
      </c>
      <c r="D2042" s="597" t="s">
        <v>3642</v>
      </c>
      <c r="E2042" s="697">
        <v>53500</v>
      </c>
      <c r="F2042" s="698">
        <v>15707</v>
      </c>
      <c r="G2042" s="1002"/>
      <c r="H2042" s="705"/>
      <c r="I2042" s="705"/>
    </row>
    <row r="2043" spans="1:9" s="543" customFormat="1" ht="12.75">
      <c r="A2043" s="836" t="s">
        <v>4897</v>
      </c>
      <c r="B2043" s="822"/>
      <c r="C2043" s="1032" t="s">
        <v>3602</v>
      </c>
      <c r="D2043" s="597" t="s">
        <v>3642</v>
      </c>
      <c r="E2043" s="697">
        <v>298000</v>
      </c>
      <c r="F2043" s="698">
        <v>114902</v>
      </c>
      <c r="G2043" s="1002"/>
      <c r="H2043" s="705"/>
      <c r="I2043" s="705"/>
    </row>
    <row r="2044" spans="1:9" s="543" customFormat="1" ht="12.75">
      <c r="A2044" s="836" t="s">
        <v>4898</v>
      </c>
      <c r="B2044" s="822"/>
      <c r="C2044" s="1032" t="s">
        <v>3608</v>
      </c>
      <c r="D2044" s="597" t="s">
        <v>3643</v>
      </c>
      <c r="E2044" s="697">
        <v>57000</v>
      </c>
      <c r="F2044" s="698">
        <v>18734</v>
      </c>
      <c r="G2044" s="1002"/>
      <c r="H2044" s="705"/>
      <c r="I2044" s="705"/>
    </row>
    <row r="2045" spans="1:9" s="543" customFormat="1" ht="12.75">
      <c r="A2045" s="836" t="s">
        <v>4899</v>
      </c>
      <c r="B2045" s="822"/>
      <c r="C2045" s="1032" t="s">
        <v>3602</v>
      </c>
      <c r="D2045" s="597" t="s">
        <v>3644</v>
      </c>
      <c r="E2045" s="697">
        <v>1000000</v>
      </c>
      <c r="F2045" s="698">
        <v>381748</v>
      </c>
      <c r="G2045" s="1002"/>
      <c r="H2045" s="705"/>
      <c r="I2045" s="705"/>
    </row>
    <row r="2046" spans="1:9" s="543" customFormat="1" ht="12.75">
      <c r="A2046" s="836" t="s">
        <v>4900</v>
      </c>
      <c r="B2046" s="822"/>
      <c r="C2046" s="1032" t="s">
        <v>3608</v>
      </c>
      <c r="D2046" s="597" t="s">
        <v>3645</v>
      </c>
      <c r="E2046" s="697">
        <v>799000</v>
      </c>
      <c r="F2046" s="698">
        <v>256915</v>
      </c>
      <c r="G2046" s="1002"/>
      <c r="H2046" s="705"/>
      <c r="I2046" s="705"/>
    </row>
    <row r="2047" spans="1:9" s="543" customFormat="1" ht="12.75">
      <c r="A2047" s="836" t="s">
        <v>4901</v>
      </c>
      <c r="B2047" s="822"/>
      <c r="C2047" s="1032" t="s">
        <v>3602</v>
      </c>
      <c r="D2047" s="597" t="s">
        <v>3646</v>
      </c>
      <c r="E2047" s="697">
        <v>374700</v>
      </c>
      <c r="F2047" s="698">
        <v>15116</v>
      </c>
      <c r="G2047" s="1002"/>
      <c r="H2047" s="705"/>
      <c r="I2047" s="705"/>
    </row>
    <row r="2048" spans="1:9" s="543" customFormat="1" ht="12.75">
      <c r="A2048" s="836" t="s">
        <v>4902</v>
      </c>
      <c r="B2048" s="822"/>
      <c r="C2048" s="1032" t="s">
        <v>3602</v>
      </c>
      <c r="D2048" s="597" t="s">
        <v>3647</v>
      </c>
      <c r="E2048" s="697">
        <v>65000</v>
      </c>
      <c r="F2048" s="698">
        <v>24867</v>
      </c>
      <c r="G2048" s="1002"/>
      <c r="H2048" s="705"/>
      <c r="I2048" s="705"/>
    </row>
    <row r="2049" spans="1:9" s="543" customFormat="1" ht="12.75">
      <c r="A2049" s="836" t="s">
        <v>4903</v>
      </c>
      <c r="B2049" s="822"/>
      <c r="C2049" s="1032" t="s">
        <v>3602</v>
      </c>
      <c r="D2049" s="597" t="s">
        <v>3641</v>
      </c>
      <c r="E2049" s="697">
        <v>369000</v>
      </c>
      <c r="F2049" s="698">
        <v>141725</v>
      </c>
      <c r="G2049" s="1002"/>
      <c r="H2049" s="705"/>
      <c r="I2049" s="705"/>
    </row>
    <row r="2050" spans="1:9" s="543" customFormat="1" ht="12.75">
      <c r="A2050" s="836" t="s">
        <v>4904</v>
      </c>
      <c r="B2050" s="822"/>
      <c r="C2050" s="1032" t="s">
        <v>3602</v>
      </c>
      <c r="D2050" s="597" t="s">
        <v>3641</v>
      </c>
      <c r="E2050" s="697">
        <v>54000</v>
      </c>
      <c r="F2050" s="698">
        <v>17290</v>
      </c>
      <c r="G2050" s="1002"/>
      <c r="H2050" s="705"/>
      <c r="I2050" s="705"/>
    </row>
    <row r="2051" spans="1:9" s="543" customFormat="1" ht="12.75">
      <c r="A2051" s="836" t="s">
        <v>4905</v>
      </c>
      <c r="B2051" s="822"/>
      <c r="C2051" s="1032" t="s">
        <v>3602</v>
      </c>
      <c r="D2051" s="597" t="s">
        <v>3648</v>
      </c>
      <c r="E2051" s="697">
        <v>24000</v>
      </c>
      <c r="F2051" s="698">
        <v>9078</v>
      </c>
      <c r="G2051" s="1002"/>
      <c r="H2051" s="705"/>
      <c r="I2051" s="705"/>
    </row>
    <row r="2052" spans="1:9" s="543" customFormat="1" ht="12.75">
      <c r="A2052" s="836" t="s">
        <v>4906</v>
      </c>
      <c r="B2052" s="822"/>
      <c r="C2052" s="1041" t="s">
        <v>1255</v>
      </c>
      <c r="D2052" s="597" t="s">
        <v>3649</v>
      </c>
      <c r="E2052" s="697">
        <v>3030600</v>
      </c>
      <c r="F2052" s="698">
        <v>1499867</v>
      </c>
      <c r="G2052" s="1002"/>
      <c r="H2052" s="705"/>
      <c r="I2052" s="705"/>
    </row>
    <row r="2053" spans="1:9" s="543" customFormat="1" ht="12.75">
      <c r="A2053" s="836" t="s">
        <v>4907</v>
      </c>
      <c r="B2053" s="822"/>
      <c r="C2053" s="1032" t="s">
        <v>3602</v>
      </c>
      <c r="D2053" s="597" t="s">
        <v>3650</v>
      </c>
      <c r="E2053" s="697">
        <v>482291</v>
      </c>
      <c r="F2053" s="698">
        <v>158764</v>
      </c>
      <c r="G2053" s="1002"/>
      <c r="H2053" s="705"/>
      <c r="I2053" s="705"/>
    </row>
    <row r="2054" spans="1:9" s="543" customFormat="1" ht="12.75">
      <c r="A2054" s="836" t="s">
        <v>4908</v>
      </c>
      <c r="B2054" s="822"/>
      <c r="C2054" s="1032" t="s">
        <v>3608</v>
      </c>
      <c r="D2054" s="597" t="s">
        <v>3651</v>
      </c>
      <c r="E2054" s="697">
        <v>1463000</v>
      </c>
      <c r="F2054" s="698">
        <v>1104764</v>
      </c>
      <c r="G2054" s="1002"/>
      <c r="H2054" s="705"/>
      <c r="I2054" s="705"/>
    </row>
    <row r="2055" spans="1:9" s="543" customFormat="1" ht="13.5" thickBot="1">
      <c r="A2055" s="836" t="s">
        <v>4909</v>
      </c>
      <c r="B2055" s="1076"/>
      <c r="C2055" s="1077" t="s">
        <v>3602</v>
      </c>
      <c r="D2055" s="603" t="s">
        <v>3652</v>
      </c>
      <c r="E2055" s="1079">
        <v>163170000</v>
      </c>
      <c r="F2055" s="790">
        <v>123168308</v>
      </c>
      <c r="G2055" s="1002"/>
      <c r="H2055" s="705"/>
      <c r="I2055" s="705"/>
    </row>
    <row r="2056" spans="1:9" s="543" customFormat="1" ht="13.5" thickBot="1">
      <c r="A2056" s="830"/>
      <c r="B2056" s="1124"/>
      <c r="C2056" s="757" t="s">
        <v>3600</v>
      </c>
      <c r="D2056" s="601" t="s">
        <v>1499</v>
      </c>
      <c r="E2056" s="773">
        <f>SUM(E2024:E2055)</f>
        <v>194397405</v>
      </c>
      <c r="F2056" s="774">
        <f>SUM(F2024:F2055)</f>
        <v>129635862</v>
      </c>
      <c r="G2056" s="1002"/>
      <c r="H2056" s="705"/>
      <c r="I2056" s="705"/>
    </row>
    <row r="2057" spans="1:9" s="543" customFormat="1" ht="48.75" thickBot="1">
      <c r="A2057" s="605" t="s">
        <v>4597</v>
      </c>
      <c r="B2057" s="606" t="s">
        <v>4601</v>
      </c>
      <c r="C2057" s="1008" t="s">
        <v>4602</v>
      </c>
      <c r="D2057" s="606" t="s">
        <v>4603</v>
      </c>
      <c r="E2057" s="738" t="s">
        <v>4604</v>
      </c>
      <c r="F2057" s="739" t="s">
        <v>4605</v>
      </c>
      <c r="G2057" s="1002"/>
      <c r="H2057" s="705"/>
      <c r="I2057" s="705"/>
    </row>
    <row r="2058" spans="1:9" s="543" customFormat="1" ht="13.5" thickBot="1">
      <c r="A2058" s="2220" t="s">
        <v>3653</v>
      </c>
      <c r="B2058" s="2220"/>
      <c r="C2058" s="2220"/>
      <c r="D2058" s="2220"/>
      <c r="E2058" s="2220"/>
      <c r="F2058" s="2220"/>
      <c r="G2058" s="1002"/>
      <c r="H2058" s="705"/>
      <c r="I2058" s="705"/>
    </row>
    <row r="2059" spans="1:9" s="543" customFormat="1" ht="12.75">
      <c r="A2059" s="808" t="s">
        <v>4910</v>
      </c>
      <c r="B2059" s="1321">
        <v>1612493</v>
      </c>
      <c r="C2059" s="1322" t="s">
        <v>3613</v>
      </c>
      <c r="D2059" s="616" t="s">
        <v>3654</v>
      </c>
      <c r="E2059" s="815">
        <v>48000</v>
      </c>
      <c r="F2059" s="693">
        <v>10212</v>
      </c>
      <c r="G2059" s="1002"/>
      <c r="H2059" s="705"/>
      <c r="I2059" s="705"/>
    </row>
    <row r="2060" spans="1:9" s="543" customFormat="1" ht="12.75">
      <c r="A2060" s="687" t="s">
        <v>4911</v>
      </c>
      <c r="B2060" s="631"/>
      <c r="C2060" s="1073" t="s">
        <v>3613</v>
      </c>
      <c r="D2060" s="600" t="s">
        <v>3655</v>
      </c>
      <c r="E2060" s="770">
        <v>82500</v>
      </c>
      <c r="F2060" s="771">
        <v>3673</v>
      </c>
      <c r="G2060" s="1002"/>
      <c r="H2060" s="705"/>
      <c r="I2060" s="705"/>
    </row>
    <row r="2061" spans="1:9" s="543" customFormat="1" ht="13.5" thickBot="1">
      <c r="A2061" s="1251" t="s">
        <v>4912</v>
      </c>
      <c r="B2061" s="633">
        <v>1612493</v>
      </c>
      <c r="C2061" s="1077" t="s">
        <v>1029</v>
      </c>
      <c r="D2061" s="604" t="s">
        <v>4913</v>
      </c>
      <c r="E2061" s="1079">
        <v>9456000</v>
      </c>
      <c r="F2061" s="790">
        <v>2710463</v>
      </c>
      <c r="G2061" s="1002"/>
      <c r="H2061" s="705"/>
      <c r="I2061" s="705"/>
    </row>
    <row r="2062" spans="1:9" s="543" customFormat="1" ht="13.5" thickBot="1">
      <c r="A2062" s="613"/>
      <c r="B2062" s="1124">
        <f>B2059</f>
        <v>1612493</v>
      </c>
      <c r="C2062" s="757" t="s">
        <v>3656</v>
      </c>
      <c r="D2062" s="706" t="s">
        <v>1499</v>
      </c>
      <c r="E2062" s="773">
        <f>SUM(E2059:E2061)</f>
        <v>9586500</v>
      </c>
      <c r="F2062" s="774">
        <f>SUM(F2059:F2061)</f>
        <v>2724348</v>
      </c>
      <c r="G2062" s="1002"/>
      <c r="H2062" s="705"/>
      <c r="I2062" s="705"/>
    </row>
    <row r="2063" spans="1:9" s="543" customFormat="1" ht="13.5" thickBot="1">
      <c r="A2063" s="2270" t="s">
        <v>3657</v>
      </c>
      <c r="B2063" s="2270"/>
      <c r="C2063" s="2270"/>
      <c r="D2063" s="2270"/>
      <c r="E2063" s="2270"/>
      <c r="F2063" s="2270"/>
      <c r="G2063" s="1002"/>
      <c r="H2063" s="705"/>
      <c r="I2063" s="705"/>
    </row>
    <row r="2064" spans="1:9" s="801" customFormat="1" ht="13.5" thickBot="1">
      <c r="A2064" s="837" t="s">
        <v>4914</v>
      </c>
      <c r="B2064" s="1323">
        <v>16129312</v>
      </c>
      <c r="C2064" s="838" t="s">
        <v>3613</v>
      </c>
      <c r="D2064" s="838" t="s">
        <v>3658</v>
      </c>
      <c r="E2064" s="778">
        <v>48000</v>
      </c>
      <c r="F2064" s="774">
        <v>0</v>
      </c>
      <c r="G2064" s="1267"/>
      <c r="H2064" s="1268"/>
      <c r="I2064" s="1268"/>
    </row>
    <row r="2065" spans="1:9" s="801" customFormat="1" ht="13.5" thickBot="1">
      <c r="A2065" s="830"/>
      <c r="B2065" s="1318">
        <f>B2064</f>
        <v>16129312</v>
      </c>
      <c r="C2065" s="834"/>
      <c r="D2065" s="834" t="s">
        <v>1499</v>
      </c>
      <c r="E2065" s="773">
        <f>SUM(E2063:E2064)</f>
        <v>48000</v>
      </c>
      <c r="F2065" s="774">
        <f>SUM(F2063:F2064)</f>
        <v>0</v>
      </c>
      <c r="G2065" s="1267"/>
      <c r="H2065" s="1268"/>
      <c r="I2065" s="1268"/>
    </row>
    <row r="2066" spans="1:9" s="543" customFormat="1" ht="13.5" thickBot="1">
      <c r="A2066" s="2222" t="s">
        <v>3659</v>
      </c>
      <c r="B2066" s="2222"/>
      <c r="C2066" s="2222"/>
      <c r="D2066" s="2222"/>
      <c r="E2066" s="2222"/>
      <c r="F2066" s="2222"/>
      <c r="G2066" s="1002"/>
      <c r="H2066" s="705"/>
      <c r="I2066" s="705"/>
    </row>
    <row r="2067" spans="1:9" s="543" customFormat="1" ht="12.75">
      <c r="A2067" s="1324" t="s">
        <v>4915</v>
      </c>
      <c r="B2067" s="819">
        <v>16129492</v>
      </c>
      <c r="C2067" s="1278" t="s">
        <v>4916</v>
      </c>
      <c r="D2067" s="643" t="s">
        <v>3660</v>
      </c>
      <c r="E2067" s="692">
        <v>134372</v>
      </c>
      <c r="F2067" s="693">
        <v>0</v>
      </c>
      <c r="G2067" s="1002"/>
      <c r="H2067" s="705"/>
      <c r="I2067" s="705"/>
    </row>
    <row r="2068" spans="1:9" s="543" customFormat="1" ht="12.75">
      <c r="A2068" s="1019" t="s">
        <v>4917</v>
      </c>
      <c r="B2068" s="822"/>
      <c r="C2068" s="1041" t="s">
        <v>4916</v>
      </c>
      <c r="D2068" s="597" t="s">
        <v>3661</v>
      </c>
      <c r="E2068" s="697">
        <v>244407</v>
      </c>
      <c r="F2068" s="698">
        <v>0</v>
      </c>
      <c r="G2068" s="1002"/>
      <c r="H2068" s="705"/>
      <c r="I2068" s="705"/>
    </row>
    <row r="2069" spans="1:9" s="543" customFormat="1" ht="12.75">
      <c r="A2069" s="1019" t="s">
        <v>4918</v>
      </c>
      <c r="B2069" s="630"/>
      <c r="C2069" s="1041" t="s">
        <v>4916</v>
      </c>
      <c r="D2069" s="597" t="s">
        <v>3662</v>
      </c>
      <c r="E2069" s="697">
        <v>13000</v>
      </c>
      <c r="F2069" s="698">
        <v>0</v>
      </c>
      <c r="G2069" s="1002"/>
      <c r="H2069" s="705"/>
      <c r="I2069" s="705"/>
    </row>
    <row r="2070" spans="1:9" s="543" customFormat="1" ht="12.75">
      <c r="A2070" s="1019" t="s">
        <v>4919</v>
      </c>
      <c r="B2070" s="822"/>
      <c r="C2070" s="1041" t="s">
        <v>4916</v>
      </c>
      <c r="D2070" s="786" t="s">
        <v>3663</v>
      </c>
      <c r="E2070" s="697">
        <v>34400</v>
      </c>
      <c r="F2070" s="698">
        <v>0</v>
      </c>
      <c r="G2070" s="1002"/>
      <c r="H2070" s="705"/>
      <c r="I2070" s="705"/>
    </row>
    <row r="2071" spans="1:9" s="801" customFormat="1" ht="12.75">
      <c r="A2071" s="1019" t="s">
        <v>4920</v>
      </c>
      <c r="B2071" s="822"/>
      <c r="C2071" s="1041" t="s">
        <v>4916</v>
      </c>
      <c r="D2071" s="598" t="s">
        <v>3664</v>
      </c>
      <c r="E2071" s="697">
        <v>4332</v>
      </c>
      <c r="F2071" s="698">
        <v>0</v>
      </c>
      <c r="G2071" s="1267"/>
      <c r="H2071" s="1268"/>
      <c r="I2071" s="1268"/>
    </row>
    <row r="2072" spans="1:9" s="801" customFormat="1" ht="12.75">
      <c r="A2072" s="1019" t="s">
        <v>4921</v>
      </c>
      <c r="B2072" s="630"/>
      <c r="C2072" s="1041" t="s">
        <v>4916</v>
      </c>
      <c r="D2072" s="598" t="s">
        <v>3665</v>
      </c>
      <c r="E2072" s="697">
        <v>7600</v>
      </c>
      <c r="F2072" s="698">
        <v>0</v>
      </c>
      <c r="G2072" s="1267"/>
      <c r="H2072" s="1268"/>
      <c r="I2072" s="1268"/>
    </row>
    <row r="2073" spans="1:9" s="801" customFormat="1" ht="12.75">
      <c r="A2073" s="1019" t="s">
        <v>4922</v>
      </c>
      <c r="B2073" s="630"/>
      <c r="C2073" s="1041" t="s">
        <v>4916</v>
      </c>
      <c r="D2073" s="598" t="s">
        <v>3666</v>
      </c>
      <c r="E2073" s="697">
        <v>3800</v>
      </c>
      <c r="F2073" s="698">
        <v>0</v>
      </c>
      <c r="G2073" s="1267"/>
      <c r="H2073" s="1268"/>
      <c r="I2073" s="1268"/>
    </row>
    <row r="2074" spans="1:9" s="801" customFormat="1" ht="12.75">
      <c r="A2074" s="1019" t="s">
        <v>4923</v>
      </c>
      <c r="B2074" s="630"/>
      <c r="C2074" s="1041" t="s">
        <v>4916</v>
      </c>
      <c r="D2074" s="598" t="s">
        <v>3667</v>
      </c>
      <c r="E2074" s="697">
        <v>23000</v>
      </c>
      <c r="F2074" s="698">
        <v>0</v>
      </c>
      <c r="G2074" s="1267"/>
      <c r="H2074" s="1268"/>
      <c r="I2074" s="1268"/>
    </row>
    <row r="2075" spans="1:9" s="801" customFormat="1" ht="12.75">
      <c r="A2075" s="1019" t="s">
        <v>4924</v>
      </c>
      <c r="B2075" s="1325"/>
      <c r="C2075" s="1041" t="s">
        <v>4916</v>
      </c>
      <c r="D2075" s="598" t="s">
        <v>3668</v>
      </c>
      <c r="E2075" s="697">
        <v>3600</v>
      </c>
      <c r="F2075" s="698">
        <v>0</v>
      </c>
      <c r="G2075" s="1267"/>
      <c r="H2075" s="1268"/>
      <c r="I2075" s="1268"/>
    </row>
    <row r="2076" spans="1:9" s="801" customFormat="1" ht="12.75">
      <c r="A2076" s="1019" t="s">
        <v>4925</v>
      </c>
      <c r="B2076" s="1325"/>
      <c r="C2076" s="1041" t="s">
        <v>4916</v>
      </c>
      <c r="D2076" s="598" t="s">
        <v>3669</v>
      </c>
      <c r="E2076" s="697">
        <v>3900</v>
      </c>
      <c r="F2076" s="698">
        <v>0</v>
      </c>
      <c r="G2076" s="1267"/>
      <c r="H2076" s="1268"/>
      <c r="I2076" s="1268"/>
    </row>
    <row r="2077" spans="1:9" s="801" customFormat="1" ht="12.75">
      <c r="A2077" s="1019" t="s">
        <v>4926</v>
      </c>
      <c r="B2077" s="1325"/>
      <c r="C2077" s="1041" t="s">
        <v>4916</v>
      </c>
      <c r="D2077" s="598" t="s">
        <v>3670</v>
      </c>
      <c r="E2077" s="697">
        <v>342000</v>
      </c>
      <c r="F2077" s="698">
        <v>0</v>
      </c>
      <c r="G2077" s="1267"/>
      <c r="H2077" s="1268"/>
      <c r="I2077" s="1268"/>
    </row>
    <row r="2078" spans="1:9" s="543" customFormat="1" ht="12.75">
      <c r="A2078" s="1019" t="s">
        <v>4927</v>
      </c>
      <c r="B2078" s="822"/>
      <c r="C2078" s="1041" t="s">
        <v>4916</v>
      </c>
      <c r="D2078" s="597" t="s">
        <v>3671</v>
      </c>
      <c r="E2078" s="697">
        <v>11100</v>
      </c>
      <c r="F2078" s="698">
        <v>0</v>
      </c>
      <c r="G2078" s="1002"/>
      <c r="H2078" s="705"/>
      <c r="I2078" s="705"/>
    </row>
    <row r="2079" spans="1:9" s="543" customFormat="1" ht="12.75">
      <c r="A2079" s="1019" t="s">
        <v>4928</v>
      </c>
      <c r="B2079" s="822"/>
      <c r="C2079" s="1041" t="s">
        <v>4916</v>
      </c>
      <c r="D2079" s="597" t="s">
        <v>3672</v>
      </c>
      <c r="E2079" s="697">
        <v>2314304</v>
      </c>
      <c r="F2079" s="698">
        <v>0</v>
      </c>
      <c r="G2079" s="1002"/>
      <c r="H2079" s="705"/>
      <c r="I2079" s="705"/>
    </row>
    <row r="2080" spans="1:9" s="543" customFormat="1" ht="12.75">
      <c r="A2080" s="1019" t="s">
        <v>4929</v>
      </c>
      <c r="B2080" s="822"/>
      <c r="C2080" s="1041" t="s">
        <v>3602</v>
      </c>
      <c r="D2080" s="597" t="s">
        <v>3673</v>
      </c>
      <c r="E2080" s="697">
        <v>2260087</v>
      </c>
      <c r="F2080" s="698">
        <v>0</v>
      </c>
      <c r="G2080" s="1002"/>
      <c r="H2080" s="705"/>
      <c r="I2080" s="705"/>
    </row>
    <row r="2081" spans="1:9" s="543" customFormat="1" ht="13.5" thickBot="1">
      <c r="A2081" s="1326" t="s">
        <v>4930</v>
      </c>
      <c r="B2081" s="1076"/>
      <c r="C2081" s="1077" t="s">
        <v>3602</v>
      </c>
      <c r="D2081" s="603" t="s">
        <v>3674</v>
      </c>
      <c r="E2081" s="1079">
        <v>366000</v>
      </c>
      <c r="F2081" s="790">
        <v>0</v>
      </c>
      <c r="G2081" s="1002"/>
      <c r="H2081" s="705"/>
      <c r="I2081" s="705"/>
    </row>
    <row r="2082" spans="1:9" s="759" customFormat="1" ht="13.5" thickBot="1">
      <c r="A2082" s="685"/>
      <c r="B2082" s="1124">
        <f>B2067</f>
        <v>16129492</v>
      </c>
      <c r="C2082" s="664" t="s">
        <v>3675</v>
      </c>
      <c r="D2082" s="601" t="s">
        <v>1499</v>
      </c>
      <c r="E2082" s="773">
        <f>SUM(E2067:E2081)</f>
        <v>5765902</v>
      </c>
      <c r="F2082" s="774">
        <f>SUM(F2067:F2081)</f>
        <v>0</v>
      </c>
      <c r="G2082" s="1206"/>
      <c r="H2082" s="849"/>
      <c r="I2082" s="849"/>
    </row>
    <row r="2083" spans="1:9" s="543" customFormat="1" ht="13.5" thickBot="1">
      <c r="A2083" s="1274" t="s">
        <v>4931</v>
      </c>
      <c r="B2083" s="1327">
        <v>16129493</v>
      </c>
      <c r="C2083" s="1328" t="s">
        <v>5105</v>
      </c>
      <c r="D2083" s="805" t="s">
        <v>3676</v>
      </c>
      <c r="E2083" s="778">
        <v>8500</v>
      </c>
      <c r="F2083" s="779">
        <v>0</v>
      </c>
      <c r="G2083" s="1002"/>
      <c r="H2083" s="705"/>
      <c r="I2083" s="705"/>
    </row>
    <row r="2084" spans="1:9" s="543" customFormat="1" ht="13.5" thickBot="1">
      <c r="A2084" s="613"/>
      <c r="B2084" s="1124">
        <f>B2083</f>
        <v>16129493</v>
      </c>
      <c r="C2084" s="757"/>
      <c r="D2084" s="706" t="s">
        <v>1499</v>
      </c>
      <c r="E2084" s="773">
        <f>SUM(E2083)</f>
        <v>8500</v>
      </c>
      <c r="F2084" s="774">
        <f>SUM(F2083)</f>
        <v>0</v>
      </c>
      <c r="G2084" s="1002"/>
      <c r="H2084" s="705"/>
      <c r="I2084" s="705"/>
    </row>
    <row r="2085" spans="1:9" s="543" customFormat="1" ht="15.75" customHeight="1" thickBot="1">
      <c r="A2085" s="2248" t="s">
        <v>4932</v>
      </c>
      <c r="B2085" s="2248"/>
      <c r="C2085" s="2248"/>
      <c r="D2085" s="2248"/>
      <c r="E2085" s="1308"/>
      <c r="F2085" s="1309"/>
      <c r="G2085" s="1002"/>
      <c r="H2085" s="705"/>
      <c r="I2085" s="705"/>
    </row>
    <row r="2086" spans="1:9" s="543" customFormat="1" ht="16.5" customHeight="1">
      <c r="A2086" s="1329" t="s">
        <v>4933</v>
      </c>
      <c r="B2086" s="1014">
        <v>161933</v>
      </c>
      <c r="C2086" s="1071" t="s">
        <v>1029</v>
      </c>
      <c r="D2086" s="596" t="s">
        <v>4934</v>
      </c>
      <c r="E2086" s="692">
        <v>52640</v>
      </c>
      <c r="F2086" s="693">
        <v>0</v>
      </c>
      <c r="G2086" s="1002"/>
      <c r="H2086" s="705"/>
      <c r="I2086" s="705"/>
    </row>
    <row r="2087" spans="1:13" ht="15" customHeight="1">
      <c r="A2087" s="1283" t="s">
        <v>4935</v>
      </c>
      <c r="B2087" s="630"/>
      <c r="C2087" s="1032" t="s">
        <v>1029</v>
      </c>
      <c r="D2087" s="598" t="s">
        <v>4934</v>
      </c>
      <c r="E2087" s="697">
        <v>52640</v>
      </c>
      <c r="F2087" s="698">
        <v>0</v>
      </c>
      <c r="J2087" s="543"/>
      <c r="K2087"/>
      <c r="L2087"/>
      <c r="M2087"/>
    </row>
    <row r="2088" spans="1:13" ht="15.75" customHeight="1" thickBot="1">
      <c r="A2088" s="1284" t="s">
        <v>4936</v>
      </c>
      <c r="B2088" s="1330"/>
      <c r="C2088" s="1032" t="s">
        <v>1029</v>
      </c>
      <c r="D2088" s="742" t="s">
        <v>4934</v>
      </c>
      <c r="E2088" s="1079">
        <v>65800</v>
      </c>
      <c r="F2088" s="790">
        <v>0</v>
      </c>
      <c r="J2088" s="543"/>
      <c r="K2088"/>
      <c r="L2088"/>
      <c r="M2088"/>
    </row>
    <row r="2089" spans="1:13" ht="15.75" customHeight="1" thickBot="1">
      <c r="A2089" s="1285"/>
      <c r="B2089" s="1124">
        <v>161933</v>
      </c>
      <c r="C2089" s="757"/>
      <c r="D2089" s="706" t="s">
        <v>1499</v>
      </c>
      <c r="E2089" s="773">
        <f>SUM(E2086:E2088)</f>
        <v>171080</v>
      </c>
      <c r="F2089" s="774">
        <f>SUM(F2088)</f>
        <v>0</v>
      </c>
      <c r="J2089" s="543"/>
      <c r="K2089"/>
      <c r="L2089"/>
      <c r="M2089"/>
    </row>
    <row r="2090" spans="1:9" s="543" customFormat="1" ht="13.5" thickBot="1">
      <c r="A2090" s="1331"/>
      <c r="B2090" s="839"/>
      <c r="C2090" s="1332"/>
      <c r="D2090" s="840"/>
      <c r="E2090" s="813"/>
      <c r="F2090" s="1198"/>
      <c r="G2090" s="1002"/>
      <c r="H2090" s="705"/>
      <c r="I2090" s="705"/>
    </row>
    <row r="2091" spans="1:9" s="801" customFormat="1" ht="12.75">
      <c r="A2091" s="2222" t="s">
        <v>3677</v>
      </c>
      <c r="B2091" s="2222"/>
      <c r="C2091" s="2222"/>
      <c r="D2091" s="2222"/>
      <c r="E2091" s="2234"/>
      <c r="F2091" s="2234"/>
      <c r="G2091" s="1267"/>
      <c r="H2091" s="1268"/>
      <c r="I2091" s="1268"/>
    </row>
    <row r="2092" spans="1:9" s="801" customFormat="1" ht="13.5" thickBot="1">
      <c r="A2092" s="751" t="s">
        <v>4937</v>
      </c>
      <c r="B2092" s="1076">
        <v>161327</v>
      </c>
      <c r="C2092" s="1147" t="s">
        <v>3613</v>
      </c>
      <c r="D2092" s="742" t="s">
        <v>3678</v>
      </c>
      <c r="E2092" s="1079">
        <v>110196</v>
      </c>
      <c r="F2092" s="790">
        <v>13636</v>
      </c>
      <c r="G2092" s="1267"/>
      <c r="H2092" s="1268"/>
      <c r="I2092" s="1268"/>
    </row>
    <row r="2093" spans="1:9" s="543" customFormat="1" ht="13.5" thickBot="1">
      <c r="A2093" s="613"/>
      <c r="B2093" s="1124"/>
      <c r="C2093" s="757" t="s">
        <v>3679</v>
      </c>
      <c r="D2093" s="601" t="s">
        <v>1499</v>
      </c>
      <c r="E2093" s="773">
        <f>SUM(E2092:E2092)</f>
        <v>110196</v>
      </c>
      <c r="F2093" s="774">
        <f>SUM(F2092:F2092)</f>
        <v>13636</v>
      </c>
      <c r="G2093" s="1002"/>
      <c r="H2093" s="705"/>
      <c r="I2093" s="705"/>
    </row>
    <row r="2094" spans="1:9" s="543" customFormat="1" ht="13.5" thickBot="1">
      <c r="A2094" s="1333"/>
      <c r="B2094" s="622"/>
      <c r="C2094" s="1143"/>
      <c r="D2094" s="732"/>
      <c r="E2094" s="766"/>
      <c r="F2094" s="1145"/>
      <c r="G2094" s="1002"/>
      <c r="H2094" s="705"/>
      <c r="I2094" s="705"/>
    </row>
    <row r="2095" spans="1:9" s="801" customFormat="1" ht="13.5" thickBot="1">
      <c r="A2095" s="2267" t="s">
        <v>3680</v>
      </c>
      <c r="B2095" s="2271"/>
      <c r="C2095" s="2271"/>
      <c r="D2095" s="2271"/>
      <c r="E2095" s="2271"/>
      <c r="F2095" s="2271"/>
      <c r="G2095" s="1267"/>
      <c r="H2095" s="1268"/>
      <c r="I2095" s="1268"/>
    </row>
    <row r="2096" spans="1:9" s="617" customFormat="1" ht="13.5" thickBot="1">
      <c r="A2096" s="703" t="s">
        <v>4938</v>
      </c>
      <c r="B2096" s="1059">
        <v>1619137</v>
      </c>
      <c r="C2096" s="1129" t="s">
        <v>1077</v>
      </c>
      <c r="D2096" s="600" t="s">
        <v>3681</v>
      </c>
      <c r="E2096" s="763">
        <v>200000</v>
      </c>
      <c r="F2096" s="760">
        <v>0</v>
      </c>
      <c r="G2096" s="1089"/>
      <c r="H2096" s="1090"/>
      <c r="I2096" s="1090"/>
    </row>
    <row r="2097" spans="1:9" s="841" customFormat="1" ht="13.5" thickBot="1">
      <c r="A2097" s="656"/>
      <c r="B2097" s="1076">
        <v>1619137</v>
      </c>
      <c r="C2097" s="757"/>
      <c r="D2097" s="706" t="s">
        <v>1499</v>
      </c>
      <c r="E2097" s="1334">
        <f>SUM(E2096)</f>
        <v>200000</v>
      </c>
      <c r="F2097" s="1335">
        <f>SUM(F2096)</f>
        <v>0</v>
      </c>
      <c r="G2097" s="1336"/>
      <c r="H2097" s="1337"/>
      <c r="I2097" s="1337"/>
    </row>
    <row r="2098" spans="1:9" s="617" customFormat="1" ht="13.5" thickBot="1">
      <c r="A2098" s="1338"/>
      <c r="B2098" s="622"/>
      <c r="C2098" s="1339"/>
      <c r="D2098" s="842"/>
      <c r="E2098" s="1340"/>
      <c r="F2098" s="1341"/>
      <c r="G2098" s="1089"/>
      <c r="H2098" s="1090"/>
      <c r="I2098" s="1090"/>
    </row>
    <row r="2099" spans="1:9" s="543" customFormat="1" ht="13.5" thickBot="1">
      <c r="A2099" s="2248" t="s">
        <v>3682</v>
      </c>
      <c r="B2099" s="2248"/>
      <c r="C2099" s="2248"/>
      <c r="D2099" s="2248"/>
      <c r="E2099" s="2248"/>
      <c r="F2099" s="2248"/>
      <c r="G2099" s="1002"/>
      <c r="H2099" s="705"/>
      <c r="I2099" s="705"/>
    </row>
    <row r="2100" spans="1:9" s="801" customFormat="1" ht="12.75">
      <c r="A2100" s="680" t="s">
        <v>4939</v>
      </c>
      <c r="B2100" s="819">
        <v>1619327</v>
      </c>
      <c r="C2100" s="1115" t="s">
        <v>3613</v>
      </c>
      <c r="D2100" s="629" t="s">
        <v>3683</v>
      </c>
      <c r="E2100" s="692">
        <v>150400</v>
      </c>
      <c r="F2100" s="693">
        <v>0</v>
      </c>
      <c r="G2100" s="1267"/>
      <c r="H2100" s="1268"/>
      <c r="I2100" s="1268"/>
    </row>
    <row r="2101" spans="1:9" s="801" customFormat="1" ht="12.75">
      <c r="A2101" s="648" t="s">
        <v>4940</v>
      </c>
      <c r="B2101" s="822"/>
      <c r="C2101" s="1032" t="s">
        <v>3613</v>
      </c>
      <c r="D2101" s="608" t="s">
        <v>1167</v>
      </c>
      <c r="E2101" s="697">
        <v>3153640</v>
      </c>
      <c r="F2101" s="698">
        <v>0</v>
      </c>
      <c r="G2101" s="1267"/>
      <c r="H2101" s="1268"/>
      <c r="I2101" s="1268"/>
    </row>
    <row r="2102" spans="1:9" s="543" customFormat="1" ht="12.75">
      <c r="A2102" s="648" t="s">
        <v>4941</v>
      </c>
      <c r="B2102" s="1014"/>
      <c r="C2102" s="1071" t="s">
        <v>4395</v>
      </c>
      <c r="D2102" s="596" t="s">
        <v>1168</v>
      </c>
      <c r="E2102" s="1058">
        <v>64400</v>
      </c>
      <c r="F2102" s="1075">
        <v>0</v>
      </c>
      <c r="G2102" s="1002"/>
      <c r="H2102" s="705"/>
      <c r="I2102" s="705"/>
    </row>
    <row r="2103" spans="1:9" s="801" customFormat="1" ht="12.75">
      <c r="A2103" s="648" t="s">
        <v>4942</v>
      </c>
      <c r="B2103" s="630"/>
      <c r="C2103" s="1032" t="s">
        <v>3613</v>
      </c>
      <c r="D2103" s="597" t="s">
        <v>1920</v>
      </c>
      <c r="E2103" s="697">
        <v>4359000</v>
      </c>
      <c r="F2103" s="698">
        <v>0</v>
      </c>
      <c r="G2103" s="1267"/>
      <c r="H2103" s="1268"/>
      <c r="I2103" s="1268"/>
    </row>
    <row r="2104" spans="1:9" s="543" customFormat="1" ht="12.75">
      <c r="A2104" s="648" t="s">
        <v>4943</v>
      </c>
      <c r="B2104" s="630"/>
      <c r="C2104" s="1032" t="s">
        <v>3613</v>
      </c>
      <c r="D2104" s="598" t="s">
        <v>1168</v>
      </c>
      <c r="E2104" s="697">
        <v>287107</v>
      </c>
      <c r="F2104" s="698">
        <v>0</v>
      </c>
      <c r="G2104" s="1002"/>
      <c r="H2104" s="705"/>
      <c r="I2104" s="705"/>
    </row>
    <row r="2105" spans="1:9" s="543" customFormat="1" ht="12.75">
      <c r="A2105" s="648" t="s">
        <v>4944</v>
      </c>
      <c r="B2105" s="630"/>
      <c r="C2105" s="1032" t="s">
        <v>4395</v>
      </c>
      <c r="D2105" s="598" t="s">
        <v>1921</v>
      </c>
      <c r="E2105" s="697">
        <v>80000</v>
      </c>
      <c r="F2105" s="698">
        <v>0</v>
      </c>
      <c r="G2105" s="1002"/>
      <c r="H2105" s="705"/>
      <c r="I2105" s="705"/>
    </row>
    <row r="2106" spans="1:9" s="543" customFormat="1" ht="12.75">
      <c r="A2106" s="648" t="s">
        <v>4945</v>
      </c>
      <c r="B2106" s="630"/>
      <c r="C2106" s="1032" t="s">
        <v>4395</v>
      </c>
      <c r="D2106" s="598" t="s">
        <v>1921</v>
      </c>
      <c r="E2106" s="697">
        <v>80000</v>
      </c>
      <c r="F2106" s="698">
        <v>0</v>
      </c>
      <c r="G2106" s="1002"/>
      <c r="H2106" s="705"/>
      <c r="I2106" s="705"/>
    </row>
    <row r="2107" spans="1:9" s="543" customFormat="1" ht="12.75">
      <c r="A2107" s="648" t="s">
        <v>4946</v>
      </c>
      <c r="B2107" s="630"/>
      <c r="C2107" s="1032" t="s">
        <v>4395</v>
      </c>
      <c r="D2107" s="598" t="s">
        <v>1921</v>
      </c>
      <c r="E2107" s="697">
        <v>80000</v>
      </c>
      <c r="F2107" s="698">
        <v>0</v>
      </c>
      <c r="G2107" s="1002"/>
      <c r="H2107" s="705"/>
      <c r="I2107" s="705"/>
    </row>
    <row r="2108" spans="1:9" s="543" customFormat="1" ht="12.75">
      <c r="A2108" s="648" t="s">
        <v>4947</v>
      </c>
      <c r="B2108" s="630"/>
      <c r="C2108" s="1032" t="s">
        <v>4395</v>
      </c>
      <c r="D2108" s="598" t="s">
        <v>1921</v>
      </c>
      <c r="E2108" s="697">
        <v>80000</v>
      </c>
      <c r="F2108" s="698">
        <v>0</v>
      </c>
      <c r="G2108" s="1002"/>
      <c r="H2108" s="705"/>
      <c r="I2108" s="705"/>
    </row>
    <row r="2109" spans="1:9" s="543" customFormat="1" ht="12.75">
      <c r="A2109" s="648" t="s">
        <v>4948</v>
      </c>
      <c r="B2109" s="630"/>
      <c r="C2109" s="1032" t="s">
        <v>4395</v>
      </c>
      <c r="D2109" s="598" t="s">
        <v>1922</v>
      </c>
      <c r="E2109" s="697">
        <v>848596</v>
      </c>
      <c r="F2109" s="698">
        <v>0</v>
      </c>
      <c r="G2109" s="1002"/>
      <c r="H2109" s="705"/>
      <c r="I2109" s="705"/>
    </row>
    <row r="2110" spans="1:9" s="543" customFormat="1" ht="12.75">
      <c r="A2110" s="648" t="s">
        <v>4949</v>
      </c>
      <c r="B2110" s="630"/>
      <c r="C2110" s="1032" t="s">
        <v>4395</v>
      </c>
      <c r="D2110" s="598" t="s">
        <v>1923</v>
      </c>
      <c r="E2110" s="697">
        <v>200671</v>
      </c>
      <c r="F2110" s="698">
        <v>0</v>
      </c>
      <c r="G2110" s="1002"/>
      <c r="H2110" s="705"/>
      <c r="I2110" s="705"/>
    </row>
    <row r="2111" spans="1:9" s="543" customFormat="1" ht="12.75">
      <c r="A2111" s="648" t="s">
        <v>4950</v>
      </c>
      <c r="B2111" s="630"/>
      <c r="C2111" s="1032" t="s">
        <v>4395</v>
      </c>
      <c r="D2111" s="598" t="s">
        <v>1924</v>
      </c>
      <c r="E2111" s="697">
        <v>208301</v>
      </c>
      <c r="F2111" s="698">
        <v>0</v>
      </c>
      <c r="G2111" s="1002"/>
      <c r="H2111" s="705"/>
      <c r="I2111" s="705"/>
    </row>
    <row r="2112" spans="1:9" s="543" customFormat="1" ht="12.75">
      <c r="A2112" s="648" t="s">
        <v>4951</v>
      </c>
      <c r="B2112" s="630"/>
      <c r="C2112" s="1032" t="s">
        <v>4395</v>
      </c>
      <c r="D2112" s="598" t="s">
        <v>1925</v>
      </c>
      <c r="E2112" s="697">
        <v>813000</v>
      </c>
      <c r="F2112" s="698">
        <v>0</v>
      </c>
      <c r="G2112" s="1002"/>
      <c r="H2112" s="705"/>
      <c r="I2112" s="705"/>
    </row>
    <row r="2113" spans="1:10" ht="13.5" thickBot="1">
      <c r="A2113" s="648" t="s">
        <v>4952</v>
      </c>
      <c r="B2113" s="630"/>
      <c r="C2113" s="1032" t="s">
        <v>4395</v>
      </c>
      <c r="D2113" s="598" t="s">
        <v>1925</v>
      </c>
      <c r="E2113" s="697">
        <v>813000</v>
      </c>
      <c r="F2113" s="698">
        <v>0</v>
      </c>
      <c r="J2113" s="543"/>
    </row>
    <row r="2114" spans="1:10" s="590" customFormat="1" ht="48.75" thickBot="1">
      <c r="A2114" s="1007" t="s">
        <v>4597</v>
      </c>
      <c r="B2114" s="606" t="s">
        <v>4601</v>
      </c>
      <c r="C2114" s="1008" t="s">
        <v>4794</v>
      </c>
      <c r="D2114" s="606" t="s">
        <v>4579</v>
      </c>
      <c r="E2114" s="738" t="s">
        <v>4604</v>
      </c>
      <c r="F2114" s="739" t="s">
        <v>4605</v>
      </c>
      <c r="G2114" s="1342"/>
      <c r="H2114" s="1343"/>
      <c r="I2114" s="1343"/>
      <c r="J2114" s="827"/>
    </row>
    <row r="2115" spans="1:10" ht="12.75">
      <c r="A2115" s="648" t="s">
        <v>4953</v>
      </c>
      <c r="B2115" s="630"/>
      <c r="C2115" s="1041" t="s">
        <v>4954</v>
      </c>
      <c r="D2115" s="597" t="s">
        <v>1927</v>
      </c>
      <c r="E2115" s="697">
        <v>59601</v>
      </c>
      <c r="F2115" s="698">
        <v>0</v>
      </c>
      <c r="J2115" s="543"/>
    </row>
    <row r="2116" spans="1:9" s="801" customFormat="1" ht="12.75">
      <c r="A2116" s="648" t="s">
        <v>4955</v>
      </c>
      <c r="B2116" s="630"/>
      <c r="C2116" s="1041" t="s">
        <v>4954</v>
      </c>
      <c r="D2116" s="597" t="s">
        <v>1927</v>
      </c>
      <c r="E2116" s="697">
        <v>96446</v>
      </c>
      <c r="F2116" s="698">
        <v>0</v>
      </c>
      <c r="G2116" s="1267"/>
      <c r="H2116" s="1268"/>
      <c r="I2116" s="1268"/>
    </row>
    <row r="2117" spans="1:10" ht="12.75">
      <c r="A2117" s="648" t="s">
        <v>4956</v>
      </c>
      <c r="B2117" s="630"/>
      <c r="C2117" s="1021" t="s">
        <v>4395</v>
      </c>
      <c r="D2117" s="598" t="s">
        <v>1929</v>
      </c>
      <c r="E2117" s="1022">
        <v>351500</v>
      </c>
      <c r="F2117" s="698">
        <v>0</v>
      </c>
      <c r="J2117" s="543"/>
    </row>
    <row r="2118" spans="1:10" ht="12.75">
      <c r="A2118" s="648" t="s">
        <v>4957</v>
      </c>
      <c r="B2118" s="630"/>
      <c r="C2118" s="1021" t="s">
        <v>4395</v>
      </c>
      <c r="D2118" s="598" t="s">
        <v>1930</v>
      </c>
      <c r="E2118" s="1022">
        <v>195000</v>
      </c>
      <c r="F2118" s="698">
        <v>0</v>
      </c>
      <c r="J2118" s="543"/>
    </row>
    <row r="2119" spans="1:10" ht="12.75">
      <c r="A2119" s="648" t="s">
        <v>4958</v>
      </c>
      <c r="B2119" s="630"/>
      <c r="C2119" s="1021" t="s">
        <v>4395</v>
      </c>
      <c r="D2119" s="598" t="s">
        <v>1931</v>
      </c>
      <c r="E2119" s="697">
        <v>608124</v>
      </c>
      <c r="F2119" s="698">
        <v>0</v>
      </c>
      <c r="J2119" s="543"/>
    </row>
    <row r="2120" spans="1:10" ht="12.75">
      <c r="A2120" s="648" t="s">
        <v>4959</v>
      </c>
      <c r="B2120" s="630"/>
      <c r="C2120" s="1021" t="s">
        <v>4395</v>
      </c>
      <c r="D2120" s="598" t="s">
        <v>1930</v>
      </c>
      <c r="E2120" s="697">
        <v>305500</v>
      </c>
      <c r="F2120" s="698">
        <v>0</v>
      </c>
      <c r="J2120" s="543"/>
    </row>
    <row r="2121" spans="1:10" ht="13.5" thickBot="1">
      <c r="A2121" s="751" t="s">
        <v>4960</v>
      </c>
      <c r="B2121" s="630"/>
      <c r="C2121" s="1021" t="s">
        <v>4395</v>
      </c>
      <c r="D2121" s="597" t="s">
        <v>1932</v>
      </c>
      <c r="E2121" s="697">
        <v>135570</v>
      </c>
      <c r="F2121" s="698">
        <v>0</v>
      </c>
      <c r="J2121" s="543"/>
    </row>
    <row r="2122" spans="1:10" ht="13.5" thickBot="1">
      <c r="A2122" s="613"/>
      <c r="B2122" s="1124">
        <f>B2124</f>
        <v>1619327</v>
      </c>
      <c r="C2122" s="757" t="s">
        <v>757</v>
      </c>
      <c r="D2122" s="843" t="s">
        <v>1499</v>
      </c>
      <c r="E2122" s="773">
        <f>SUM(E2100:E2121)</f>
        <v>12969856</v>
      </c>
      <c r="F2122" s="774">
        <f>SUM(F2100:F2121)</f>
        <v>0</v>
      </c>
      <c r="J2122" s="543"/>
    </row>
    <row r="2123" spans="1:10" ht="13.5" thickBot="1">
      <c r="A2123" s="1344"/>
      <c r="B2123" s="844"/>
      <c r="C2123" s="1345"/>
      <c r="D2123" s="845"/>
      <c r="E2123" s="1346"/>
      <c r="F2123" s="1347"/>
      <c r="J2123" s="543"/>
    </row>
    <row r="2124" spans="1:9" s="801" customFormat="1" ht="12.75">
      <c r="A2124" s="680" t="s">
        <v>4961</v>
      </c>
      <c r="B2124" s="1282">
        <v>1619327</v>
      </c>
      <c r="C2124" s="1115" t="s">
        <v>3613</v>
      </c>
      <c r="D2124" s="643" t="s">
        <v>3683</v>
      </c>
      <c r="E2124" s="692">
        <v>195518</v>
      </c>
      <c r="F2124" s="693">
        <v>0</v>
      </c>
      <c r="G2124" s="1267"/>
      <c r="H2124" s="1268"/>
      <c r="I2124" s="1268"/>
    </row>
    <row r="2125" spans="1:9" s="627" customFormat="1" ht="12.75">
      <c r="A2125" s="648" t="s">
        <v>4962</v>
      </c>
      <c r="B2125" s="645"/>
      <c r="C2125" s="1071" t="s">
        <v>3613</v>
      </c>
      <c r="D2125" s="673" t="s">
        <v>1933</v>
      </c>
      <c r="E2125" s="1058">
        <v>24376</v>
      </c>
      <c r="F2125" s="1075">
        <v>0</v>
      </c>
      <c r="G2125" s="1099"/>
      <c r="H2125" s="818"/>
      <c r="I2125" s="818"/>
    </row>
    <row r="2126" spans="1:10" ht="12.75">
      <c r="A2126" s="648" t="s">
        <v>4963</v>
      </c>
      <c r="B2126" s="630"/>
      <c r="C2126" s="1032" t="s">
        <v>3613</v>
      </c>
      <c r="D2126" s="597" t="s">
        <v>1934</v>
      </c>
      <c r="E2126" s="697">
        <v>21200</v>
      </c>
      <c r="F2126" s="698">
        <v>0</v>
      </c>
      <c r="J2126" s="543"/>
    </row>
    <row r="2127" spans="1:10" ht="12.75">
      <c r="A2127" s="648" t="s">
        <v>4964</v>
      </c>
      <c r="B2127" s="630"/>
      <c r="C2127" s="1032" t="s">
        <v>3613</v>
      </c>
      <c r="D2127" s="598" t="s">
        <v>1935</v>
      </c>
      <c r="E2127" s="697">
        <v>28000</v>
      </c>
      <c r="F2127" s="698">
        <v>0</v>
      </c>
      <c r="J2127" s="543"/>
    </row>
    <row r="2128" spans="1:10" ht="13.5" thickBot="1">
      <c r="A2128" s="751" t="s">
        <v>4965</v>
      </c>
      <c r="B2128" s="631"/>
      <c r="C2128" s="1129" t="s">
        <v>3613</v>
      </c>
      <c r="D2128" s="599" t="s">
        <v>1936</v>
      </c>
      <c r="E2128" s="770">
        <v>57300</v>
      </c>
      <c r="F2128" s="771">
        <v>0</v>
      </c>
      <c r="J2128" s="543"/>
    </row>
    <row r="2129" spans="1:9" s="543" customFormat="1" ht="13.5" thickBot="1">
      <c r="A2129" s="613"/>
      <c r="B2129" s="1327">
        <v>1619327</v>
      </c>
      <c r="C2129" s="757"/>
      <c r="D2129" s="843" t="s">
        <v>2660</v>
      </c>
      <c r="E2129" s="773">
        <f>SUM(E2124:E2128)</f>
        <v>326394</v>
      </c>
      <c r="F2129" s="774">
        <f>SUM(F2124:F2128)</f>
        <v>0</v>
      </c>
      <c r="G2129" s="1002"/>
      <c r="H2129" s="705"/>
      <c r="I2129" s="705"/>
    </row>
    <row r="2130" spans="1:9" s="543" customFormat="1" ht="13.5" thickBot="1">
      <c r="A2130" s="1331"/>
      <c r="B2130" s="839"/>
      <c r="C2130" s="1332"/>
      <c r="D2130" s="846"/>
      <c r="E2130" s="813"/>
      <c r="F2130" s="1198"/>
      <c r="G2130" s="1002"/>
      <c r="H2130" s="705"/>
      <c r="I2130" s="705"/>
    </row>
    <row r="2131" spans="1:9" s="543" customFormat="1" ht="13.5" thickBot="1">
      <c r="A2131" s="2248" t="s">
        <v>3682</v>
      </c>
      <c r="B2131" s="2248"/>
      <c r="C2131" s="2248"/>
      <c r="D2131" s="2248"/>
      <c r="E2131" s="2248"/>
      <c r="F2131" s="2248"/>
      <c r="G2131" s="1002"/>
      <c r="H2131" s="705"/>
      <c r="I2131" s="705"/>
    </row>
    <row r="2132" spans="1:9" s="543" customFormat="1" ht="12.75">
      <c r="A2132" s="648" t="s">
        <v>4966</v>
      </c>
      <c r="B2132" s="822">
        <v>1619337</v>
      </c>
      <c r="C2132" s="1032" t="s">
        <v>4395</v>
      </c>
      <c r="D2132" s="598" t="s">
        <v>1168</v>
      </c>
      <c r="E2132" s="697">
        <v>69400</v>
      </c>
      <c r="F2132" s="698">
        <v>0</v>
      </c>
      <c r="G2132" s="1002"/>
      <c r="H2132" s="705"/>
      <c r="I2132" s="705"/>
    </row>
    <row r="2133" spans="1:9" s="543" customFormat="1" ht="12.75">
      <c r="A2133" s="648" t="s">
        <v>4967</v>
      </c>
      <c r="B2133" s="822"/>
      <c r="C2133" s="1032" t="s">
        <v>4395</v>
      </c>
      <c r="D2133" s="598" t="s">
        <v>1168</v>
      </c>
      <c r="E2133" s="697">
        <v>24880</v>
      </c>
      <c r="F2133" s="698">
        <v>0</v>
      </c>
      <c r="G2133" s="1002"/>
      <c r="H2133" s="705"/>
      <c r="I2133" s="705"/>
    </row>
    <row r="2134" spans="1:9" s="543" customFormat="1" ht="12.75">
      <c r="A2134" s="648" t="s">
        <v>4968</v>
      </c>
      <c r="B2134" s="822"/>
      <c r="C2134" s="1032" t="s">
        <v>4395</v>
      </c>
      <c r="D2134" s="598" t="s">
        <v>1937</v>
      </c>
      <c r="E2134" s="697">
        <v>9000</v>
      </c>
      <c r="F2134" s="698">
        <v>0</v>
      </c>
      <c r="G2134" s="1002"/>
      <c r="H2134" s="705"/>
      <c r="I2134" s="705"/>
    </row>
    <row r="2135" spans="1:9" s="543" customFormat="1" ht="12.75">
      <c r="A2135" s="648" t="s">
        <v>4969</v>
      </c>
      <c r="B2135" s="822"/>
      <c r="C2135" s="1032" t="s">
        <v>4395</v>
      </c>
      <c r="D2135" s="598" t="s">
        <v>1937</v>
      </c>
      <c r="E2135" s="697">
        <v>9000</v>
      </c>
      <c r="F2135" s="698">
        <v>0</v>
      </c>
      <c r="G2135" s="1002"/>
      <c r="H2135" s="705"/>
      <c r="I2135" s="705"/>
    </row>
    <row r="2136" spans="1:9" s="543" customFormat="1" ht="12.75">
      <c r="A2136" s="648" t="s">
        <v>4970</v>
      </c>
      <c r="B2136" s="822"/>
      <c r="C2136" s="1032" t="s">
        <v>4395</v>
      </c>
      <c r="D2136" s="598" t="s">
        <v>1925</v>
      </c>
      <c r="E2136" s="697">
        <v>676531</v>
      </c>
      <c r="F2136" s="698">
        <v>0</v>
      </c>
      <c r="G2136" s="1002"/>
      <c r="H2136" s="705"/>
      <c r="I2136" s="705"/>
    </row>
    <row r="2137" spans="1:9" s="543" customFormat="1" ht="12.75">
      <c r="A2137" s="648" t="s">
        <v>4971</v>
      </c>
      <c r="B2137" s="822"/>
      <c r="C2137" s="1032" t="s">
        <v>4395</v>
      </c>
      <c r="D2137" s="598" t="s">
        <v>1925</v>
      </c>
      <c r="E2137" s="697">
        <v>641000</v>
      </c>
      <c r="F2137" s="698">
        <v>0</v>
      </c>
      <c r="G2137" s="1002"/>
      <c r="H2137" s="705"/>
      <c r="I2137" s="705"/>
    </row>
    <row r="2138" spans="1:9" s="543" customFormat="1" ht="12.75">
      <c r="A2138" s="648" t="s">
        <v>4972</v>
      </c>
      <c r="B2138" s="822"/>
      <c r="C2138" s="1032" t="s">
        <v>4395</v>
      </c>
      <c r="D2138" s="598" t="s">
        <v>1938</v>
      </c>
      <c r="E2138" s="697">
        <v>2500</v>
      </c>
      <c r="F2138" s="698">
        <v>0</v>
      </c>
      <c r="G2138" s="1002"/>
      <c r="H2138" s="705"/>
      <c r="I2138" s="705"/>
    </row>
    <row r="2139" spans="1:9" s="543" customFormat="1" ht="12.75">
      <c r="A2139" s="648" t="s">
        <v>4973</v>
      </c>
      <c r="B2139" s="822"/>
      <c r="C2139" s="1032" t="s">
        <v>4395</v>
      </c>
      <c r="D2139" s="598" t="s">
        <v>1938</v>
      </c>
      <c r="E2139" s="697">
        <v>2500</v>
      </c>
      <c r="F2139" s="698">
        <v>0</v>
      </c>
      <c r="G2139" s="1002"/>
      <c r="H2139" s="705"/>
      <c r="I2139" s="705"/>
    </row>
    <row r="2140" spans="1:9" s="543" customFormat="1" ht="12.75">
      <c r="A2140" s="648" t="s">
        <v>4974</v>
      </c>
      <c r="B2140" s="822"/>
      <c r="C2140" s="1032" t="s">
        <v>4395</v>
      </c>
      <c r="D2140" s="598" t="s">
        <v>1939</v>
      </c>
      <c r="E2140" s="697">
        <v>144400</v>
      </c>
      <c r="F2140" s="698">
        <v>0</v>
      </c>
      <c r="G2140" s="1002"/>
      <c r="H2140" s="705"/>
      <c r="I2140" s="705"/>
    </row>
    <row r="2141" spans="1:9" s="543" customFormat="1" ht="12.75">
      <c r="A2141" s="648" t="s">
        <v>4975</v>
      </c>
      <c r="B2141" s="822"/>
      <c r="C2141" s="1032" t="s">
        <v>4395</v>
      </c>
      <c r="D2141" s="598" t="s">
        <v>1940</v>
      </c>
      <c r="E2141" s="697">
        <v>910143</v>
      </c>
      <c r="F2141" s="698">
        <v>0</v>
      </c>
      <c r="G2141" s="1002"/>
      <c r="H2141" s="705"/>
      <c r="I2141" s="705"/>
    </row>
    <row r="2142" spans="1:9" s="543" customFormat="1" ht="13.5" thickBot="1">
      <c r="A2142" s="648" t="s">
        <v>4976</v>
      </c>
      <c r="B2142" s="1059"/>
      <c r="C2142" s="1073" t="s">
        <v>4395</v>
      </c>
      <c r="D2142" s="600" t="s">
        <v>1941</v>
      </c>
      <c r="E2142" s="770">
        <v>430000</v>
      </c>
      <c r="F2142" s="771">
        <v>0</v>
      </c>
      <c r="G2142" s="1002"/>
      <c r="H2142" s="705"/>
      <c r="I2142" s="705"/>
    </row>
    <row r="2143" spans="1:9" s="801" customFormat="1" ht="13.5" thickBot="1">
      <c r="A2143" s="2272" t="s">
        <v>4977</v>
      </c>
      <c r="B2143" s="2273"/>
      <c r="C2143" s="2273"/>
      <c r="D2143" s="2273"/>
      <c r="E2143" s="780">
        <f>SUM(E2132:E2142)</f>
        <v>2919354</v>
      </c>
      <c r="F2143" s="1256"/>
      <c r="G2143" s="1267"/>
      <c r="H2143" s="1268"/>
      <c r="I2143" s="1268"/>
    </row>
    <row r="2144" spans="1:9" s="543" customFormat="1" ht="13.5" thickBot="1">
      <c r="A2144" s="2255" t="s">
        <v>1942</v>
      </c>
      <c r="B2144" s="2255"/>
      <c r="C2144" s="2255"/>
      <c r="D2144" s="2255"/>
      <c r="E2144" s="1006"/>
      <c r="F2144" s="1086"/>
      <c r="G2144" s="1002"/>
      <c r="H2144" s="705"/>
      <c r="I2144" s="705"/>
    </row>
    <row r="2145" spans="1:9" s="543" customFormat="1" ht="13.5" thickBot="1">
      <c r="A2145" s="1274" t="s">
        <v>4978</v>
      </c>
      <c r="B2145" s="1327">
        <v>1619437</v>
      </c>
      <c r="C2145" s="1348" t="s">
        <v>579</v>
      </c>
      <c r="D2145" s="805" t="s">
        <v>1943</v>
      </c>
      <c r="E2145" s="1349">
        <v>500000</v>
      </c>
      <c r="F2145" s="779">
        <v>0</v>
      </c>
      <c r="G2145" s="1002"/>
      <c r="H2145" s="705"/>
      <c r="I2145" s="705"/>
    </row>
    <row r="2146" spans="1:9" s="543" customFormat="1" ht="13.5" thickBot="1">
      <c r="A2146" s="648" t="s">
        <v>4979</v>
      </c>
      <c r="B2146" s="822"/>
      <c r="C2146" s="1032" t="s">
        <v>4395</v>
      </c>
      <c r="D2146" s="598" t="s">
        <v>1944</v>
      </c>
      <c r="E2146" s="697">
        <v>99500</v>
      </c>
      <c r="F2146" s="698">
        <v>0</v>
      </c>
      <c r="G2146" s="1002"/>
      <c r="H2146" s="705"/>
      <c r="I2146" s="705"/>
    </row>
    <row r="2147" spans="1:9" s="543" customFormat="1" ht="13.5" thickBot="1">
      <c r="A2147" s="847"/>
      <c r="B2147" s="1124">
        <f>B2145</f>
        <v>1619437</v>
      </c>
      <c r="C2147" s="664"/>
      <c r="D2147" s="601" t="s">
        <v>1499</v>
      </c>
      <c r="E2147" s="773">
        <f>SUM(E2145:E2146)</f>
        <v>599500</v>
      </c>
      <c r="F2147" s="774">
        <f>SUM(F2145)</f>
        <v>0</v>
      </c>
      <c r="G2147" s="1002"/>
      <c r="H2147" s="705"/>
      <c r="I2147" s="705"/>
    </row>
    <row r="2148" spans="1:10" s="850" customFormat="1" ht="29.25" customHeight="1">
      <c r="A2148" s="1350"/>
      <c r="B2148" s="1351"/>
      <c r="C2148" s="801"/>
      <c r="D2148" s="848"/>
      <c r="E2148" s="1110"/>
      <c r="F2148" s="1086"/>
      <c r="G2148" s="1267"/>
      <c r="H2148" s="1268"/>
      <c r="I2148" s="1268"/>
      <c r="J2148" s="801"/>
    </row>
    <row r="2149" spans="1:10" s="850" customFormat="1" ht="12.75" customHeight="1">
      <c r="A2149" s="2274" t="s">
        <v>1945</v>
      </c>
      <c r="B2149" s="2274"/>
      <c r="C2149" s="2274"/>
      <c r="D2149" s="2274"/>
      <c r="E2149" s="1110"/>
      <c r="F2149" s="1086"/>
      <c r="G2149" s="1267"/>
      <c r="H2149" s="1268"/>
      <c r="I2149" s="1268"/>
      <c r="J2149" s="801"/>
    </row>
    <row r="2150" spans="1:10" s="850" customFormat="1" ht="12.75">
      <c r="A2150" s="2274"/>
      <c r="B2150" s="2274"/>
      <c r="C2150" s="2274"/>
      <c r="D2150" s="2274"/>
      <c r="E2150" s="1205">
        <f>E2147+E2143+E2129+E2122+E2097+E2093+E2084+E2082+E2065+E2062+E2056+E2021+E2016+E2011+E2004+E1990+E2089</f>
        <v>242693851</v>
      </c>
      <c r="F2150" s="1104">
        <f>F2147+F2143+F2129+F2122+F2097+F2093+F2084+F2082+F2065+F2062+F2056+F2021+F2016+F2011+F2004+F1990+F2089</f>
        <v>144082818</v>
      </c>
      <c r="G2150" s="1267"/>
      <c r="H2150" s="1268"/>
      <c r="I2150" s="1352"/>
      <c r="J2150" s="801"/>
    </row>
    <row r="2151" spans="2:13" ht="12.75">
      <c r="B2151" s="592"/>
      <c r="C2151" s="637"/>
      <c r="D2151" s="640"/>
      <c r="E2151" s="1103"/>
      <c r="F2151" s="1104"/>
      <c r="J2151" s="543"/>
      <c r="K2151"/>
      <c r="L2151"/>
      <c r="M2151"/>
    </row>
    <row r="2152" spans="1:10" s="853" customFormat="1" ht="12.75">
      <c r="A2152" s="1107"/>
      <c r="B2152" s="1351"/>
      <c r="C2152" s="801"/>
      <c r="D2152" s="1353"/>
      <c r="E2152" s="1110"/>
      <c r="F2152" s="1086"/>
      <c r="G2152" s="1206"/>
      <c r="H2152" s="849"/>
      <c r="I2152" s="849"/>
      <c r="J2152" s="759"/>
    </row>
    <row r="2153" spans="10:13" ht="12.75">
      <c r="J2153" s="543"/>
      <c r="K2153"/>
      <c r="L2153"/>
      <c r="M2153"/>
    </row>
    <row r="2154" spans="1:10" s="853" customFormat="1" ht="12.75">
      <c r="A2154" s="2274" t="s">
        <v>1946</v>
      </c>
      <c r="B2154" s="2274"/>
      <c r="C2154" s="2274"/>
      <c r="D2154" s="2274"/>
      <c r="E2154" s="1308">
        <f>E2150+E1983+E1968+E229</f>
        <v>3366358804.5478525</v>
      </c>
      <c r="F2154" s="1309">
        <f>F2150+F1983+F1968+F229</f>
        <v>2355202339</v>
      </c>
      <c r="G2154" s="1206"/>
      <c r="H2154" s="708">
        <f>E2154-E1983</f>
        <v>3357296124.5478525</v>
      </c>
      <c r="I2154" s="708">
        <f>F2154-F1983</f>
        <v>2346139659</v>
      </c>
      <c r="J2154" s="1206"/>
    </row>
    <row r="2155" spans="1:13" ht="12.75">
      <c r="A2155" s="1354"/>
      <c r="B2155" s="852"/>
      <c r="C2155" s="1355"/>
      <c r="D2155" s="851"/>
      <c r="E2155" s="1205"/>
      <c r="F2155" s="1104"/>
      <c r="J2155" s="543"/>
      <c r="K2155"/>
      <c r="L2155"/>
      <c r="M2155"/>
    </row>
    <row r="2156" spans="1:13" ht="12.75">
      <c r="A2156" s="2275" t="s">
        <v>4980</v>
      </c>
      <c r="B2156" s="2275"/>
      <c r="C2156" s="2275"/>
      <c r="D2156" s="1356"/>
      <c r="E2156" s="1357"/>
      <c r="F2156" s="1358"/>
      <c r="K2156"/>
      <c r="L2156"/>
      <c r="M2156"/>
    </row>
    <row r="2157" spans="1:13" ht="12.75">
      <c r="A2157" s="1359"/>
      <c r="B2157" s="1360"/>
      <c r="C2157" s="1361"/>
      <c r="D2157" s="1356"/>
      <c r="E2157" s="1357"/>
      <c r="F2157" s="1358"/>
      <c r="H2157" s="705">
        <v>3357296125</v>
      </c>
      <c r="I2157" s="705">
        <v>2346139659</v>
      </c>
      <c r="J2157" s="543"/>
      <c r="K2157"/>
      <c r="L2157"/>
      <c r="M2157"/>
    </row>
    <row r="2158" spans="1:13" ht="12.75" customHeight="1">
      <c r="A2158" s="2275" t="s">
        <v>4981</v>
      </c>
      <c r="B2158" s="2275"/>
      <c r="C2158" s="2275"/>
      <c r="D2158" s="2275"/>
      <c r="E2158" s="1362"/>
      <c r="F2158" s="1363"/>
      <c r="J2158" s="543"/>
      <c r="K2158"/>
      <c r="L2158"/>
      <c r="M2158"/>
    </row>
    <row r="2159" spans="1:13" ht="13.5" thickBot="1">
      <c r="A2159" s="1359"/>
      <c r="B2159" s="1364"/>
      <c r="C2159" s="1365"/>
      <c r="D2159" s="1366"/>
      <c r="E2159" s="1362"/>
      <c r="F2159" s="1363"/>
      <c r="H2159" s="705">
        <f>H2154-H2157</f>
        <v>-0.4521474838256836</v>
      </c>
      <c r="I2159" s="705">
        <f>I2154-I2157</f>
        <v>0</v>
      </c>
      <c r="J2159" s="543"/>
      <c r="K2159"/>
      <c r="L2159"/>
      <c r="M2159"/>
    </row>
    <row r="2160" spans="1:10" s="591" customFormat="1" ht="12.75">
      <c r="A2160" s="1367" t="s">
        <v>4979</v>
      </c>
      <c r="B2160" s="1368">
        <v>211</v>
      </c>
      <c r="C2160" s="1369" t="s">
        <v>4982</v>
      </c>
      <c r="D2160" s="1370" t="s">
        <v>4983</v>
      </c>
      <c r="E2160" s="1371">
        <v>2363116.69</v>
      </c>
      <c r="F2160" s="1372">
        <v>2363116.69</v>
      </c>
      <c r="G2160" s="1001"/>
      <c r="H2160" s="817"/>
      <c r="I2160" s="817"/>
      <c r="J2160" s="686"/>
    </row>
    <row r="2161" spans="1:13" ht="13.5" thickBot="1">
      <c r="A2161" s="1373" t="s">
        <v>4984</v>
      </c>
      <c r="B2161" s="1374">
        <v>215</v>
      </c>
      <c r="C2161" s="1375" t="s">
        <v>4982</v>
      </c>
      <c r="D2161" s="1376" t="s">
        <v>4985</v>
      </c>
      <c r="E2161" s="1377">
        <v>40999</v>
      </c>
      <c r="F2161" s="1378">
        <v>40999</v>
      </c>
      <c r="J2161" s="543"/>
      <c r="K2161"/>
      <c r="L2161"/>
      <c r="M2161"/>
    </row>
    <row r="2162" spans="1:10" s="591" customFormat="1" ht="13.5" thickBot="1">
      <c r="A2162" s="2276" t="s">
        <v>1499</v>
      </c>
      <c r="B2162" s="2276"/>
      <c r="C2162" s="2276"/>
      <c r="D2162" s="2276"/>
      <c r="E2162" s="1379">
        <f>SUM(E2160:E2161)</f>
        <v>2404115.69</v>
      </c>
      <c r="F2162" s="1379">
        <f>SUM(F2160:F2161)</f>
        <v>2404115.69</v>
      </c>
      <c r="G2162" s="1001"/>
      <c r="H2162" s="817"/>
      <c r="I2162" s="817"/>
      <c r="J2162" s="686"/>
    </row>
    <row r="2163" spans="1:10" s="591" customFormat="1" ht="12.75">
      <c r="A2163" s="1359"/>
      <c r="B2163" s="1360"/>
      <c r="C2163" s="1361"/>
      <c r="D2163" s="1356"/>
      <c r="E2163" s="1357"/>
      <c r="F2163" s="1358"/>
      <c r="G2163" s="1001"/>
      <c r="H2163" s="817"/>
      <c r="I2163" s="817"/>
      <c r="J2163" s="686"/>
    </row>
    <row r="2164" spans="1:13" ht="12.75">
      <c r="A2164" s="2275" t="s">
        <v>4986</v>
      </c>
      <c r="B2164" s="2277"/>
      <c r="C2164" s="2277"/>
      <c r="D2164" s="1356"/>
      <c r="E2164" s="1357"/>
      <c r="F2164" s="1358"/>
      <c r="J2164" s="543"/>
      <c r="K2164"/>
      <c r="L2164"/>
      <c r="M2164"/>
    </row>
    <row r="2165" spans="1:13" ht="13.5" thickBot="1">
      <c r="A2165" s="1359"/>
      <c r="B2165" s="1360"/>
      <c r="C2165" s="1361"/>
      <c r="D2165" s="1356"/>
      <c r="E2165" s="1357"/>
      <c r="F2165" s="1358"/>
      <c r="J2165" s="543"/>
      <c r="K2165"/>
      <c r="L2165"/>
      <c r="M2165"/>
    </row>
    <row r="2166" spans="1:13" ht="13.5" thickBot="1">
      <c r="A2166" s="1380" t="s">
        <v>4987</v>
      </c>
      <c r="B2166" s="1381">
        <v>251</v>
      </c>
      <c r="C2166" s="1382" t="s">
        <v>4592</v>
      </c>
      <c r="D2166" s="772" t="s">
        <v>4988</v>
      </c>
      <c r="E2166" s="1383">
        <v>1381184</v>
      </c>
      <c r="F2166" s="1384">
        <v>1381184</v>
      </c>
      <c r="J2166" s="543"/>
      <c r="K2166"/>
      <c r="L2166"/>
      <c r="M2166"/>
    </row>
    <row r="2167" spans="1:13" ht="13.5" thickBot="1">
      <c r="A2167" s="2276" t="s">
        <v>2660</v>
      </c>
      <c r="B2167" s="2276"/>
      <c r="C2167" s="2276"/>
      <c r="D2167" s="2276"/>
      <c r="E2167" s="1379">
        <f>SUM(E2163:E2166)</f>
        <v>1381184</v>
      </c>
      <c r="F2167" s="1379">
        <f>SUM(F2163:F2166)</f>
        <v>1381184</v>
      </c>
      <c r="J2167" s="543"/>
      <c r="K2167"/>
      <c r="L2167"/>
      <c r="M2167"/>
    </row>
    <row r="2168" spans="1:10" s="853" customFormat="1" ht="13.5" customHeight="1">
      <c r="A2168" s="1359"/>
      <c r="B2168" s="1364"/>
      <c r="C2168" s="1365"/>
      <c r="D2168" s="1366"/>
      <c r="E2168" s="1362"/>
      <c r="F2168" s="1363"/>
      <c r="G2168" s="1206"/>
      <c r="H2168" s="849"/>
      <c r="I2168" s="849"/>
      <c r="J2168" s="759"/>
    </row>
    <row r="2169" spans="1:10" s="853" customFormat="1" ht="12.75">
      <c r="A2169" s="1359"/>
      <c r="B2169" s="1364"/>
      <c r="C2169" s="1365"/>
      <c r="D2169" s="1366"/>
      <c r="E2169" s="1362"/>
      <c r="F2169" s="1363"/>
      <c r="G2169" s="1206"/>
      <c r="H2169" s="849"/>
      <c r="I2169" s="849"/>
      <c r="J2169" s="759"/>
    </row>
    <row r="2170" spans="1:10" s="853" customFormat="1" ht="12.75">
      <c r="A2170" s="2275" t="s">
        <v>4989</v>
      </c>
      <c r="B2170" s="2275"/>
      <c r="C2170" s="2275"/>
      <c r="D2170" s="2275"/>
      <c r="E2170" s="1357">
        <f>E2167+E2162</f>
        <v>3785299.69</v>
      </c>
      <c r="F2170" s="1358">
        <f>F2167+F2162</f>
        <v>3785299.69</v>
      </c>
      <c r="G2170" s="1206"/>
      <c r="H2170" s="849"/>
      <c r="I2170" s="849"/>
      <c r="J2170" s="759"/>
    </row>
    <row r="2171" spans="1:10" s="853" customFormat="1" ht="12.75">
      <c r="A2171" s="1354"/>
      <c r="B2171" s="852"/>
      <c r="C2171" s="1355"/>
      <c r="D2171" s="851"/>
      <c r="E2171" s="1205"/>
      <c r="F2171" s="1104"/>
      <c r="G2171" s="1206"/>
      <c r="H2171" s="849"/>
      <c r="I2171" s="849"/>
      <c r="J2171" s="759"/>
    </row>
    <row r="2172" spans="1:10" s="853" customFormat="1" ht="12.75">
      <c r="A2172" s="2222" t="s">
        <v>1947</v>
      </c>
      <c r="B2172" s="2222"/>
      <c r="C2172" s="707"/>
      <c r="D2172" s="1109"/>
      <c r="E2172" s="1110"/>
      <c r="F2172" s="1086"/>
      <c r="G2172" s="1206"/>
      <c r="H2172" s="849"/>
      <c r="I2172" s="849"/>
      <c r="J2172" s="759"/>
    </row>
    <row r="2173" spans="1:10" s="853" customFormat="1" ht="12.75">
      <c r="A2173" s="1107"/>
      <c r="B2173" s="1351"/>
      <c r="C2173" s="637"/>
      <c r="D2173" s="640"/>
      <c r="E2173" s="1006"/>
      <c r="F2173" s="1086"/>
      <c r="G2173" s="1206"/>
      <c r="H2173" s="849"/>
      <c r="I2173" s="849"/>
      <c r="J2173" s="759"/>
    </row>
    <row r="2174" spans="1:10" s="853" customFormat="1" ht="13.5" thickBot="1">
      <c r="A2174" s="2227" t="s">
        <v>1948</v>
      </c>
      <c r="B2174" s="2227"/>
      <c r="C2174" s="2227"/>
      <c r="D2174" s="2227"/>
      <c r="E2174" s="1006"/>
      <c r="F2174" s="1086"/>
      <c r="G2174" s="1206"/>
      <c r="H2174" s="849"/>
      <c r="I2174" s="849"/>
      <c r="J2174" s="759"/>
    </row>
    <row r="2175" spans="1:10" s="1012" customFormat="1" ht="48.75" thickBot="1">
      <c r="A2175" s="1007" t="s">
        <v>4597</v>
      </c>
      <c r="B2175" s="606" t="s">
        <v>4601</v>
      </c>
      <c r="C2175" s="1008" t="s">
        <v>4602</v>
      </c>
      <c r="D2175" s="606" t="s">
        <v>4603</v>
      </c>
      <c r="E2175" s="738" t="s">
        <v>4604</v>
      </c>
      <c r="F2175" s="739" t="s">
        <v>4605</v>
      </c>
      <c r="G2175" s="1009"/>
      <c r="H2175" s="1010"/>
      <c r="I2175" s="1010"/>
      <c r="J2175" s="1011"/>
    </row>
    <row r="2176" spans="1:13" ht="12.75">
      <c r="A2176" s="585" t="s">
        <v>4990</v>
      </c>
      <c r="B2176" s="1368">
        <v>282111</v>
      </c>
      <c r="C2176" s="1385" t="s">
        <v>1077</v>
      </c>
      <c r="D2176" s="643" t="s">
        <v>1950</v>
      </c>
      <c r="E2176" s="1386">
        <v>3240000</v>
      </c>
      <c r="F2176" s="1372">
        <v>3240000</v>
      </c>
      <c r="J2176" s="543"/>
      <c r="K2176"/>
      <c r="L2176"/>
      <c r="M2176"/>
    </row>
    <row r="2177" spans="1:10" s="853" customFormat="1" ht="12.75">
      <c r="A2177" s="576" t="s">
        <v>4991</v>
      </c>
      <c r="B2177" s="630">
        <v>282121</v>
      </c>
      <c r="C2177" s="727" t="s">
        <v>1077</v>
      </c>
      <c r="D2177" s="597" t="s">
        <v>1952</v>
      </c>
      <c r="E2177" s="1238">
        <v>45450</v>
      </c>
      <c r="F2177" s="698">
        <v>45450</v>
      </c>
      <c r="G2177" s="1206"/>
      <c r="H2177" s="849"/>
      <c r="I2177" s="849"/>
      <c r="J2177" s="759"/>
    </row>
    <row r="2178" spans="1:10" s="853" customFormat="1" ht="38.25">
      <c r="A2178" s="576" t="s">
        <v>4992</v>
      </c>
      <c r="B2178" s="631">
        <v>284221</v>
      </c>
      <c r="C2178" s="1387" t="s">
        <v>1077</v>
      </c>
      <c r="D2178" s="599" t="s">
        <v>1956</v>
      </c>
      <c r="E2178" s="1388">
        <v>315632</v>
      </c>
      <c r="F2178" s="1388">
        <v>315632</v>
      </c>
      <c r="G2178" s="1206"/>
      <c r="H2178" s="849"/>
      <c r="I2178" s="849"/>
      <c r="J2178" s="759"/>
    </row>
    <row r="2179" spans="1:10" s="853" customFormat="1" ht="38.25">
      <c r="A2179" s="576" t="s">
        <v>4993</v>
      </c>
      <c r="B2179" s="630">
        <v>284121</v>
      </c>
      <c r="C2179" s="607" t="s">
        <v>4994</v>
      </c>
      <c r="D2179" s="747" t="s">
        <v>1954</v>
      </c>
      <c r="E2179" s="697">
        <v>502940.4</v>
      </c>
      <c r="F2179" s="758">
        <f>E2179</f>
        <v>502940.4</v>
      </c>
      <c r="G2179" s="1206"/>
      <c r="H2179" s="849"/>
      <c r="I2179" s="849"/>
      <c r="J2179" s="759"/>
    </row>
    <row r="2180" spans="1:10" s="853" customFormat="1" ht="38.25">
      <c r="A2180" s="576" t="s">
        <v>4995</v>
      </c>
      <c r="B2180" s="630">
        <v>284221</v>
      </c>
      <c r="C2180" s="607" t="s">
        <v>4994</v>
      </c>
      <c r="D2180" s="747" t="s">
        <v>1956</v>
      </c>
      <c r="E2180" s="697">
        <v>14962</v>
      </c>
      <c r="F2180" s="698">
        <f>E2180</f>
        <v>14962</v>
      </c>
      <c r="G2180" s="1206"/>
      <c r="H2180" s="849"/>
      <c r="I2180" s="849"/>
      <c r="J2180" s="759"/>
    </row>
    <row r="2181" spans="1:10" s="853" customFormat="1" ht="12.75">
      <c r="A2181" s="576" t="s">
        <v>4996</v>
      </c>
      <c r="B2181" s="782">
        <v>282211</v>
      </c>
      <c r="C2181" s="1389" t="s">
        <v>4592</v>
      </c>
      <c r="D2181" s="783" t="s">
        <v>1950</v>
      </c>
      <c r="E2181" s="697">
        <v>47430</v>
      </c>
      <c r="F2181" s="698">
        <f aca="true" t="shared" si="2" ref="F2181:F2194">E2181</f>
        <v>47430</v>
      </c>
      <c r="G2181" s="1206"/>
      <c r="H2181" s="849"/>
      <c r="I2181" s="849"/>
      <c r="J2181" s="759"/>
    </row>
    <row r="2182" spans="1:10" s="853" customFormat="1" ht="12.75">
      <c r="A2182" s="576" t="s">
        <v>4997</v>
      </c>
      <c r="B2182" s="782">
        <v>282221</v>
      </c>
      <c r="C2182" s="1389" t="s">
        <v>4592</v>
      </c>
      <c r="D2182" s="783" t="s">
        <v>1952</v>
      </c>
      <c r="E2182" s="697">
        <v>250148</v>
      </c>
      <c r="F2182" s="698">
        <f t="shared" si="2"/>
        <v>250148</v>
      </c>
      <c r="G2182" s="1206"/>
      <c r="H2182" s="849"/>
      <c r="I2182" s="849"/>
      <c r="J2182" s="759"/>
    </row>
    <row r="2183" spans="1:10" s="853" customFormat="1" ht="38.25">
      <c r="A2183" s="576" t="s">
        <v>4998</v>
      </c>
      <c r="B2183" s="782">
        <v>284121</v>
      </c>
      <c r="C2183" s="1389" t="s">
        <v>4592</v>
      </c>
      <c r="D2183" s="769" t="s">
        <v>4999</v>
      </c>
      <c r="E2183" s="697">
        <v>140956</v>
      </c>
      <c r="F2183" s="698">
        <f t="shared" si="2"/>
        <v>140956</v>
      </c>
      <c r="G2183" s="1206"/>
      <c r="H2183" s="849"/>
      <c r="I2183" s="849"/>
      <c r="J2183" s="759"/>
    </row>
    <row r="2184" spans="1:10" s="853" customFormat="1" ht="24">
      <c r="A2184" s="576" t="s">
        <v>5000</v>
      </c>
      <c r="B2184" s="782">
        <v>282121</v>
      </c>
      <c r="C2184" s="1389" t="s">
        <v>4592</v>
      </c>
      <c r="D2184" s="734" t="s">
        <v>5001</v>
      </c>
      <c r="E2184" s="697">
        <v>114565</v>
      </c>
      <c r="F2184" s="698">
        <f t="shared" si="2"/>
        <v>114565</v>
      </c>
      <c r="G2184" s="1206"/>
      <c r="H2184" s="849"/>
      <c r="I2184" s="849"/>
      <c r="J2184" s="759"/>
    </row>
    <row r="2185" spans="1:10" s="853" customFormat="1" ht="12.75">
      <c r="A2185" s="576" t="s">
        <v>5002</v>
      </c>
      <c r="B2185" s="782">
        <v>288222</v>
      </c>
      <c r="C2185" s="1207" t="s">
        <v>4592</v>
      </c>
      <c r="D2185" s="1025" t="s">
        <v>5003</v>
      </c>
      <c r="E2185" s="697">
        <v>-33675</v>
      </c>
      <c r="F2185" s="698">
        <f t="shared" si="2"/>
        <v>-33675</v>
      </c>
      <c r="G2185" s="1206"/>
      <c r="H2185" s="849"/>
      <c r="I2185" s="849"/>
      <c r="J2185" s="759"/>
    </row>
    <row r="2186" spans="1:10" s="853" customFormat="1" ht="12.75">
      <c r="A2186" s="576" t="s">
        <v>5004</v>
      </c>
      <c r="B2186" s="782">
        <v>282211</v>
      </c>
      <c r="C2186" s="1389" t="s">
        <v>4982</v>
      </c>
      <c r="D2186" s="783" t="s">
        <v>5005</v>
      </c>
      <c r="E2186" s="697">
        <v>128406</v>
      </c>
      <c r="F2186" s="698">
        <f t="shared" si="2"/>
        <v>128406</v>
      </c>
      <c r="G2186" s="1206"/>
      <c r="H2186" s="849"/>
      <c r="I2186" s="849"/>
      <c r="J2186" s="759"/>
    </row>
    <row r="2187" spans="1:10" s="853" customFormat="1" ht="12.75">
      <c r="A2187" s="576" t="s">
        <v>5006</v>
      </c>
      <c r="B2187" s="782">
        <v>282221</v>
      </c>
      <c r="C2187" s="1389" t="s">
        <v>4982</v>
      </c>
      <c r="D2187" s="783" t="s">
        <v>5007</v>
      </c>
      <c r="E2187" s="697">
        <v>865529</v>
      </c>
      <c r="F2187" s="698">
        <f t="shared" si="2"/>
        <v>865529</v>
      </c>
      <c r="G2187" s="1206"/>
      <c r="H2187" s="849"/>
      <c r="I2187" s="849"/>
      <c r="J2187" s="759"/>
    </row>
    <row r="2188" spans="1:13" ht="12.75">
      <c r="A2188" s="576" t="s">
        <v>5008</v>
      </c>
      <c r="B2188" s="722">
        <v>288222</v>
      </c>
      <c r="C2188" s="1389" t="s">
        <v>4982</v>
      </c>
      <c r="D2188" s="669" t="s">
        <v>5009</v>
      </c>
      <c r="E2188" s="697">
        <v>-13696</v>
      </c>
      <c r="F2188" s="698">
        <f t="shared" si="2"/>
        <v>-13696</v>
      </c>
      <c r="J2188" s="543"/>
      <c r="K2188"/>
      <c r="L2188"/>
      <c r="M2188"/>
    </row>
    <row r="2189" spans="1:10" s="853" customFormat="1" ht="12.75">
      <c r="A2189" s="576" t="s">
        <v>5010</v>
      </c>
      <c r="B2189" s="782">
        <v>282211</v>
      </c>
      <c r="C2189" s="1389" t="s">
        <v>4845</v>
      </c>
      <c r="D2189" s="783" t="s">
        <v>1950</v>
      </c>
      <c r="E2189" s="697">
        <v>35439</v>
      </c>
      <c r="F2189" s="698">
        <f t="shared" si="2"/>
        <v>35439</v>
      </c>
      <c r="G2189" s="1206"/>
      <c r="H2189" s="849"/>
      <c r="I2189" s="849"/>
      <c r="J2189" s="759"/>
    </row>
    <row r="2190" spans="1:10" s="853" customFormat="1" ht="12.75">
      <c r="A2190" s="576" t="s">
        <v>5011</v>
      </c>
      <c r="B2190" s="782">
        <v>282221</v>
      </c>
      <c r="C2190" s="1389" t="s">
        <v>4845</v>
      </c>
      <c r="D2190" s="768" t="s">
        <v>1952</v>
      </c>
      <c r="E2190" s="697">
        <v>123684</v>
      </c>
      <c r="F2190" s="698">
        <f t="shared" si="2"/>
        <v>123684</v>
      </c>
      <c r="G2190" s="1206"/>
      <c r="H2190" s="849"/>
      <c r="I2190" s="849"/>
      <c r="J2190" s="759"/>
    </row>
    <row r="2191" spans="1:10" s="853" customFormat="1" ht="38.25">
      <c r="A2191" s="576" t="s">
        <v>5012</v>
      </c>
      <c r="B2191" s="782">
        <v>284121</v>
      </c>
      <c r="C2191" s="1389" t="s">
        <v>4845</v>
      </c>
      <c r="D2191" s="783" t="s">
        <v>5013</v>
      </c>
      <c r="E2191" s="697">
        <v>321082</v>
      </c>
      <c r="F2191" s="698">
        <f t="shared" si="2"/>
        <v>321082</v>
      </c>
      <c r="G2191" s="1206"/>
      <c r="H2191" s="849"/>
      <c r="I2191" s="849"/>
      <c r="J2191" s="759"/>
    </row>
    <row r="2192" spans="1:10" s="853" customFormat="1" ht="38.25">
      <c r="A2192" s="576" t="s">
        <v>5014</v>
      </c>
      <c r="B2192" s="782">
        <v>284221</v>
      </c>
      <c r="C2192" s="1389" t="s">
        <v>4845</v>
      </c>
      <c r="D2192" s="783" t="s">
        <v>1956</v>
      </c>
      <c r="E2192" s="697">
        <v>137782</v>
      </c>
      <c r="F2192" s="698">
        <f t="shared" si="2"/>
        <v>137782</v>
      </c>
      <c r="G2192" s="1206"/>
      <c r="H2192" s="849"/>
      <c r="I2192" s="849"/>
      <c r="J2192" s="759"/>
    </row>
    <row r="2193" spans="1:10" s="853" customFormat="1" ht="12.75">
      <c r="A2193" s="576" t="s">
        <v>5015</v>
      </c>
      <c r="B2193" s="782">
        <v>288221</v>
      </c>
      <c r="C2193" s="1389" t="s">
        <v>4845</v>
      </c>
      <c r="D2193" s="1025" t="s">
        <v>5016</v>
      </c>
      <c r="E2193" s="697">
        <v>-25117</v>
      </c>
      <c r="F2193" s="698">
        <f t="shared" si="2"/>
        <v>-25117</v>
      </c>
      <c r="G2193" s="1206"/>
      <c r="H2193" s="849"/>
      <c r="I2193" s="849"/>
      <c r="J2193" s="759"/>
    </row>
    <row r="2194" spans="1:13" ht="13.5" thickBot="1">
      <c r="A2194" s="587" t="s">
        <v>5017</v>
      </c>
      <c r="B2194" s="1330">
        <v>288422</v>
      </c>
      <c r="C2194" s="1375" t="s">
        <v>4845</v>
      </c>
      <c r="D2194" s="1390" t="s">
        <v>5018</v>
      </c>
      <c r="E2194" s="697">
        <v>-305028</v>
      </c>
      <c r="F2194" s="698">
        <f t="shared" si="2"/>
        <v>-305028</v>
      </c>
      <c r="J2194" s="543"/>
      <c r="K2194"/>
      <c r="L2194"/>
      <c r="M2194"/>
    </row>
    <row r="2195" spans="1:10" s="853" customFormat="1" ht="13.5" thickBot="1">
      <c r="A2195" s="2225" t="s">
        <v>2660</v>
      </c>
      <c r="B2195" s="2220"/>
      <c r="C2195" s="2220"/>
      <c r="D2195" s="2257"/>
      <c r="E2195" s="1196">
        <f>SUM(E2176:E2194)</f>
        <v>5906489.4</v>
      </c>
      <c r="F2195" s="1196">
        <f>SUM(F2176:F2194)</f>
        <v>5906489.4</v>
      </c>
      <c r="G2195" s="1206"/>
      <c r="H2195" s="849"/>
      <c r="I2195" s="849"/>
      <c r="J2195" s="759"/>
    </row>
    <row r="2196" spans="2:13" ht="12.75">
      <c r="B2196" s="592"/>
      <c r="C2196" s="637"/>
      <c r="D2196" s="640"/>
      <c r="E2196" s="1103"/>
      <c r="F2196" s="1104"/>
      <c r="J2196" s="543"/>
      <c r="K2196"/>
      <c r="L2196"/>
      <c r="M2196"/>
    </row>
    <row r="2197" spans="1:10" s="850" customFormat="1" ht="12.75">
      <c r="A2197" s="1107"/>
      <c r="B2197" s="1351"/>
      <c r="C2197" s="801"/>
      <c r="D2197" s="1353"/>
      <c r="E2197" s="1110"/>
      <c r="F2197" s="1086"/>
      <c r="G2197" s="1206"/>
      <c r="H2197" s="1268"/>
      <c r="I2197" s="1268"/>
      <c r="J2197" s="801"/>
    </row>
    <row r="2198" spans="1:10" s="850" customFormat="1" ht="13.5" thickBot="1">
      <c r="A2198" s="2222" t="s">
        <v>1957</v>
      </c>
      <c r="B2198" s="2222"/>
      <c r="C2198" s="2222"/>
      <c r="D2198" s="1310"/>
      <c r="E2198" s="1110"/>
      <c r="F2198" s="1086"/>
      <c r="G2198" s="1206"/>
      <c r="H2198" s="1268"/>
      <c r="I2198" s="1268"/>
      <c r="J2198" s="801"/>
    </row>
    <row r="2199" spans="1:10" s="591" customFormat="1" ht="25.5">
      <c r="A2199" s="680" t="s">
        <v>5019</v>
      </c>
      <c r="B2199" s="1282">
        <v>281192</v>
      </c>
      <c r="C2199" s="1385" t="s">
        <v>1077</v>
      </c>
      <c r="D2199" s="643" t="s">
        <v>1959</v>
      </c>
      <c r="E2199" s="744">
        <v>35172917</v>
      </c>
      <c r="F2199" s="693">
        <v>35172917</v>
      </c>
      <c r="G2199" s="1001"/>
      <c r="H2199" s="817"/>
      <c r="I2199" s="817"/>
      <c r="J2199" s="686"/>
    </row>
    <row r="2200" spans="1:10" s="850" customFormat="1" ht="25.5">
      <c r="A2200" s="648" t="s">
        <v>5020</v>
      </c>
      <c r="B2200" s="630">
        <v>2812</v>
      </c>
      <c r="C2200" s="727" t="s">
        <v>1077</v>
      </c>
      <c r="D2200" s="608" t="s">
        <v>1961</v>
      </c>
      <c r="E2200" s="748">
        <v>19635943</v>
      </c>
      <c r="F2200" s="698">
        <v>19635943</v>
      </c>
      <c r="G2200" s="1267"/>
      <c r="H2200" s="1268"/>
      <c r="I2200" s="1268"/>
      <c r="J2200" s="801"/>
    </row>
    <row r="2201" spans="1:10" s="853" customFormat="1" ht="25.5">
      <c r="A2201" s="648" t="s">
        <v>5021</v>
      </c>
      <c r="B2201" s="630">
        <v>281119</v>
      </c>
      <c r="C2201" s="727" t="s">
        <v>1077</v>
      </c>
      <c r="D2201" s="675" t="s">
        <v>1963</v>
      </c>
      <c r="E2201" s="748">
        <v>1147485</v>
      </c>
      <c r="F2201" s="698">
        <v>1147485</v>
      </c>
      <c r="G2201" s="1206"/>
      <c r="H2201" s="849"/>
      <c r="I2201" s="849"/>
      <c r="J2201" s="759"/>
    </row>
    <row r="2202" spans="1:10" s="853" customFormat="1" ht="25.5">
      <c r="A2202" s="648" t="s">
        <v>5022</v>
      </c>
      <c r="B2202" s="630">
        <v>281219</v>
      </c>
      <c r="C2202" s="727" t="s">
        <v>1077</v>
      </c>
      <c r="D2202" s="675" t="s">
        <v>1965</v>
      </c>
      <c r="E2202" s="748">
        <v>10926055</v>
      </c>
      <c r="F2202" s="1238">
        <v>10926055</v>
      </c>
      <c r="G2202" s="1206"/>
      <c r="H2202" s="849"/>
      <c r="I2202" s="849"/>
      <c r="J2202" s="759"/>
    </row>
    <row r="2203" spans="1:10" s="853" customFormat="1" ht="25.5">
      <c r="A2203" s="648" t="s">
        <v>5023</v>
      </c>
      <c r="B2203" s="631">
        <v>2881292</v>
      </c>
      <c r="C2203" s="1387" t="s">
        <v>1077</v>
      </c>
      <c r="D2203" s="599" t="s">
        <v>1967</v>
      </c>
      <c r="E2203" s="1391">
        <v>-35714807</v>
      </c>
      <c r="F2203" s="771">
        <v>-35714807</v>
      </c>
      <c r="G2203" s="1206"/>
      <c r="H2203" s="849"/>
      <c r="I2203" s="849"/>
      <c r="J2203" s="759"/>
    </row>
    <row r="2204" spans="1:10" s="853" customFormat="1" ht="12.75">
      <c r="A2204" s="648" t="s">
        <v>5024</v>
      </c>
      <c r="B2204" s="631">
        <v>281219</v>
      </c>
      <c r="C2204" s="704" t="s">
        <v>1038</v>
      </c>
      <c r="D2204" s="1138" t="s">
        <v>5025</v>
      </c>
      <c r="E2204" s="770">
        <v>541398</v>
      </c>
      <c r="F2204" s="771">
        <f>E2204</f>
        <v>541398</v>
      </c>
      <c r="G2204" s="1206"/>
      <c r="H2204" s="849"/>
      <c r="I2204" s="849"/>
      <c r="J2204" s="759"/>
    </row>
    <row r="2205" spans="1:13" ht="26.25" thickBot="1">
      <c r="A2205" s="751" t="s">
        <v>5026</v>
      </c>
      <c r="B2205" s="633">
        <v>2879291</v>
      </c>
      <c r="C2205" s="710" t="s">
        <v>1038</v>
      </c>
      <c r="D2205" s="603" t="s">
        <v>5027</v>
      </c>
      <c r="E2205" s="678">
        <v>70485</v>
      </c>
      <c r="F2205" s="1392">
        <v>70485</v>
      </c>
      <c r="J2205" s="543"/>
      <c r="K2205"/>
      <c r="L2205"/>
      <c r="M2205"/>
    </row>
    <row r="2206" spans="1:10" s="853" customFormat="1" ht="13.5" thickBot="1">
      <c r="A2206" s="2225" t="s">
        <v>1499</v>
      </c>
      <c r="B2206" s="2220"/>
      <c r="C2206" s="2220"/>
      <c r="D2206" s="2257"/>
      <c r="E2206" s="1196">
        <f>SUM(E2199:E2205)</f>
        <v>31779476</v>
      </c>
      <c r="F2206" s="1196">
        <f>SUM(F2199:F2205)</f>
        <v>31779476</v>
      </c>
      <c r="G2206" s="1206"/>
      <c r="H2206" s="849"/>
      <c r="I2206" s="849"/>
      <c r="J2206" s="759"/>
    </row>
    <row r="2207" spans="1:10" s="853" customFormat="1" ht="12.75">
      <c r="A2207" s="1107"/>
      <c r="B2207" s="592"/>
      <c r="C2207" s="637"/>
      <c r="D2207" s="640"/>
      <c r="E2207" s="1006"/>
      <c r="F2207" s="1086"/>
      <c r="G2207" s="1206"/>
      <c r="H2207" s="849"/>
      <c r="I2207" s="849"/>
      <c r="J2207" s="759"/>
    </row>
    <row r="2208" spans="1:10" s="853" customFormat="1" ht="13.5" thickBot="1">
      <c r="A2208" s="2258" t="s">
        <v>1968</v>
      </c>
      <c r="B2208" s="2258"/>
      <c r="C2208" s="2258"/>
      <c r="D2208" s="848"/>
      <c r="E2208" s="1393"/>
      <c r="F2208" s="1086"/>
      <c r="G2208" s="1206"/>
      <c r="H2208" s="849"/>
      <c r="I2208" s="849"/>
      <c r="J2208" s="759"/>
    </row>
    <row r="2209" spans="1:10" s="591" customFormat="1" ht="48.75" thickBot="1">
      <c r="A2209" s="605" t="s">
        <v>4597</v>
      </c>
      <c r="B2209" s="606" t="s">
        <v>4601</v>
      </c>
      <c r="C2209" s="606" t="s">
        <v>4602</v>
      </c>
      <c r="D2209" s="606" t="s">
        <v>4603</v>
      </c>
      <c r="E2209" s="738" t="s">
        <v>4604</v>
      </c>
      <c r="F2209" s="739" t="s">
        <v>5028</v>
      </c>
      <c r="G2209" s="1001"/>
      <c r="H2209" s="817"/>
      <c r="I2209" s="817"/>
      <c r="J2209" s="686"/>
    </row>
    <row r="2210" spans="1:10" s="591" customFormat="1" ht="24">
      <c r="A2210" s="1394" t="s">
        <v>5029</v>
      </c>
      <c r="B2210" s="1395">
        <v>27216</v>
      </c>
      <c r="C2210" s="1396" t="s">
        <v>1077</v>
      </c>
      <c r="D2210" s="1397" t="s">
        <v>1969</v>
      </c>
      <c r="E2210" s="1398">
        <v>2159632</v>
      </c>
      <c r="F2210" s="1399">
        <v>2159632</v>
      </c>
      <c r="G2210" s="1001"/>
      <c r="H2210" s="817"/>
      <c r="I2210" s="708"/>
      <c r="J2210" s="686"/>
    </row>
    <row r="2211" spans="1:13" s="591" customFormat="1" ht="24">
      <c r="A2211" s="1400" t="s">
        <v>5030</v>
      </c>
      <c r="B2211" s="735">
        <v>27315</v>
      </c>
      <c r="C2211" s="1396" t="s">
        <v>1077</v>
      </c>
      <c r="D2211" s="734" t="s">
        <v>1970</v>
      </c>
      <c r="E2211" s="736">
        <v>3250000</v>
      </c>
      <c r="F2211" s="737">
        <v>3250000</v>
      </c>
      <c r="G2211" s="1001"/>
      <c r="H2211" s="817"/>
      <c r="I2211" s="708"/>
      <c r="J2211" s="694"/>
      <c r="L2211" s="855"/>
      <c r="M2211" s="855"/>
    </row>
    <row r="2212" spans="1:10" s="591" customFormat="1" ht="24.75" thickBot="1">
      <c r="A2212" s="1401" t="s">
        <v>5031</v>
      </c>
      <c r="B2212" s="735">
        <v>274134</v>
      </c>
      <c r="C2212" s="1396" t="s">
        <v>1077</v>
      </c>
      <c r="D2212" s="734" t="s">
        <v>1971</v>
      </c>
      <c r="E2212" s="736">
        <v>3480000</v>
      </c>
      <c r="F2212" s="737">
        <v>3480000</v>
      </c>
      <c r="G2212" s="1001"/>
      <c r="H2212" s="817"/>
      <c r="I2212" s="708"/>
      <c r="J2212" s="686"/>
    </row>
    <row r="2213" spans="1:10" s="853" customFormat="1" ht="13.5" thickBot="1">
      <c r="A2213" s="2225" t="s">
        <v>1499</v>
      </c>
      <c r="B2213" s="2220"/>
      <c r="C2213" s="2220"/>
      <c r="D2213" s="2257"/>
      <c r="E2213" s="1196">
        <f>SUM(E2210:E2212)</f>
        <v>8889632</v>
      </c>
      <c r="F2213" s="1196">
        <f>SUM(F2210:F2212)</f>
        <v>8889632</v>
      </c>
      <c r="G2213" s="1206"/>
      <c r="H2213" s="849"/>
      <c r="I2213" s="849"/>
      <c r="J2213" s="759"/>
    </row>
    <row r="2214" spans="1:10" s="853" customFormat="1" ht="12.75">
      <c r="A2214" s="1107"/>
      <c r="B2214" s="592"/>
      <c r="C2214" s="637"/>
      <c r="D2214" s="640"/>
      <c r="E2214" s="1103"/>
      <c r="F2214" s="1104"/>
      <c r="G2214" s="1206"/>
      <c r="H2214" s="849"/>
      <c r="I2214" s="849"/>
      <c r="J2214" s="759"/>
    </row>
    <row r="2215" spans="1:10" s="853" customFormat="1" ht="13.5" thickBot="1">
      <c r="A2215" s="2258" t="s">
        <v>1972</v>
      </c>
      <c r="B2215" s="2258"/>
      <c r="C2215" s="2258"/>
      <c r="D2215" s="848"/>
      <c r="E2215" s="1393"/>
      <c r="F2215" s="1086"/>
      <c r="G2215" s="1206"/>
      <c r="H2215" s="849"/>
      <c r="I2215" s="849"/>
      <c r="J2215" s="759"/>
    </row>
    <row r="2216" spans="1:10" s="853" customFormat="1" ht="12.75">
      <c r="A2216" s="680" t="s">
        <v>5032</v>
      </c>
      <c r="B2216" s="1282">
        <v>287921</v>
      </c>
      <c r="C2216" s="1385" t="s">
        <v>1077</v>
      </c>
      <c r="D2216" s="1154" t="s">
        <v>1973</v>
      </c>
      <c r="E2216" s="744">
        <v>9112829</v>
      </c>
      <c r="F2216" s="693">
        <v>9112829</v>
      </c>
      <c r="G2216" s="1206"/>
      <c r="H2216" s="708"/>
      <c r="I2216" s="849"/>
      <c r="J2216" s="759"/>
    </row>
    <row r="2217" spans="1:10" s="853" customFormat="1" ht="26.25" thickBot="1">
      <c r="A2217" s="1402" t="s">
        <v>5033</v>
      </c>
      <c r="B2217" s="1403">
        <v>2879</v>
      </c>
      <c r="C2217" s="1396" t="s">
        <v>1077</v>
      </c>
      <c r="D2217" s="1404" t="s">
        <v>1975</v>
      </c>
      <c r="E2217" s="1405">
        <v>8167</v>
      </c>
      <c r="F2217" s="1248">
        <v>8167</v>
      </c>
      <c r="G2217" s="1206"/>
      <c r="H2217" s="849"/>
      <c r="I2217" s="849"/>
      <c r="J2217" s="759"/>
    </row>
    <row r="2218" spans="1:10" s="853" customFormat="1" ht="13.5" thickBot="1">
      <c r="A2218" s="2225" t="s">
        <v>2660</v>
      </c>
      <c r="B2218" s="2220"/>
      <c r="C2218" s="2220"/>
      <c r="D2218" s="2257"/>
      <c r="E2218" s="1196">
        <f>SUM(E2216:E2217)</f>
        <v>9120996</v>
      </c>
      <c r="F2218" s="1196">
        <f>SUM(F2216:F2217)</f>
        <v>9120996</v>
      </c>
      <c r="G2218" s="1206"/>
      <c r="H2218" s="849"/>
      <c r="I2218" s="849"/>
      <c r="J2218" s="759"/>
    </row>
    <row r="2219" spans="1:10" s="853" customFormat="1" ht="12.75">
      <c r="A2219" s="1406"/>
      <c r="B2219" s="622"/>
      <c r="C2219" s="730"/>
      <c r="D2219" s="1407"/>
      <c r="E2219" s="1408"/>
      <c r="F2219" s="1408"/>
      <c r="G2219" s="1206"/>
      <c r="H2219" s="849"/>
      <c r="I2219" s="849"/>
      <c r="J2219" s="759"/>
    </row>
    <row r="2220" spans="1:10" s="853" customFormat="1" ht="12.75">
      <c r="A2220" s="1409"/>
      <c r="B2220" s="821"/>
      <c r="C2220" s="638"/>
      <c r="D2220" s="1311"/>
      <c r="E2220" s="1006"/>
      <c r="F2220" s="1006"/>
      <c r="G2220" s="1206"/>
      <c r="H2220" s="849"/>
      <c r="I2220" s="849"/>
      <c r="J2220" s="759"/>
    </row>
    <row r="2221" spans="1:13" ht="12.75">
      <c r="A2221" s="2219" t="s">
        <v>1976</v>
      </c>
      <c r="B2221" s="2219"/>
      <c r="C2221" s="2219"/>
      <c r="D2221" s="2219"/>
      <c r="E2221" s="1103">
        <f>E2218+E2213+E2206+E2195</f>
        <v>55696593.4</v>
      </c>
      <c r="F2221" s="1103">
        <f>F2218+F2213+F2206+F2195</f>
        <v>55696593.4</v>
      </c>
      <c r="J2221" s="543"/>
      <c r="K2221"/>
      <c r="L2221"/>
      <c r="M2221"/>
    </row>
    <row r="2222" spans="1:10" s="1012" customFormat="1" ht="12.75">
      <c r="A2222" s="1409"/>
      <c r="B2222" s="592"/>
      <c r="C2222" s="637"/>
      <c r="D2222" s="640"/>
      <c r="E2222" s="1103"/>
      <c r="F2222" s="1103"/>
      <c r="G2222" s="1009"/>
      <c r="H2222" s="1010"/>
      <c r="I2222" s="1010"/>
      <c r="J2222" s="1011"/>
    </row>
    <row r="2223" spans="1:10" s="853" customFormat="1" ht="12.75">
      <c r="A2223" s="2222" t="s">
        <v>1977</v>
      </c>
      <c r="B2223" s="2222"/>
      <c r="C2223" s="2222"/>
      <c r="D2223" s="2222"/>
      <c r="E2223" s="2222"/>
      <c r="F2223" s="2222"/>
      <c r="G2223" s="1206"/>
      <c r="H2223" s="849"/>
      <c r="I2223" s="849"/>
      <c r="J2223" s="759"/>
    </row>
    <row r="2224" spans="1:10" s="853" customFormat="1" ht="12.75">
      <c r="A2224" s="1409"/>
      <c r="B2224" s="1410"/>
      <c r="C2224" s="948"/>
      <c r="D2224" s="1005"/>
      <c r="E2224" s="1006"/>
      <c r="F2224" s="1006"/>
      <c r="G2224" s="1206"/>
      <c r="H2224" s="849"/>
      <c r="I2224" s="849"/>
      <c r="J2224" s="759"/>
    </row>
    <row r="2225" spans="1:10" s="853" customFormat="1" ht="12.75">
      <c r="A2225" s="2222" t="s">
        <v>1978</v>
      </c>
      <c r="B2225" s="2222"/>
      <c r="C2225" s="2222"/>
      <c r="D2225" s="2222"/>
      <c r="E2225" s="2222"/>
      <c r="F2225" s="2222"/>
      <c r="G2225" s="1206"/>
      <c r="H2225" s="849"/>
      <c r="I2225" s="849"/>
      <c r="J2225" s="759"/>
    </row>
    <row r="2226" spans="1:10" s="853" customFormat="1" ht="13.5" thickBot="1">
      <c r="A2226" s="1411"/>
      <c r="B2226" s="839"/>
      <c r="C2226" s="812"/>
      <c r="D2226" s="1412"/>
      <c r="E2226" s="1413"/>
      <c r="F2226" s="1413"/>
      <c r="G2226" s="1206"/>
      <c r="H2226" s="849"/>
      <c r="I2226" s="849"/>
      <c r="J2226" s="759"/>
    </row>
    <row r="2227" spans="1:10" s="853" customFormat="1" ht="12.75">
      <c r="A2227" s="1201" t="s">
        <v>5034</v>
      </c>
      <c r="B2227" s="782">
        <v>311</v>
      </c>
      <c r="C2227" s="1389" t="s">
        <v>4592</v>
      </c>
      <c r="D2227" s="1025" t="s">
        <v>5035</v>
      </c>
      <c r="E2227" s="1067">
        <v>23600</v>
      </c>
      <c r="F2227" s="698">
        <f>E2227</f>
        <v>23600</v>
      </c>
      <c r="G2227" s="1206"/>
      <c r="H2227" s="849"/>
      <c r="I2227" s="849"/>
      <c r="J2227" s="759"/>
    </row>
    <row r="2228" spans="1:13" ht="12.75">
      <c r="A2228" s="1201" t="s">
        <v>5036</v>
      </c>
      <c r="B2228" s="1414">
        <v>311</v>
      </c>
      <c r="C2228" s="1389" t="s">
        <v>4982</v>
      </c>
      <c r="D2228" s="768" t="s">
        <v>1980</v>
      </c>
      <c r="E2228" s="1067">
        <v>140955</v>
      </c>
      <c r="F2228" s="698">
        <f>E2228</f>
        <v>140955</v>
      </c>
      <c r="J2228" s="543"/>
      <c r="K2228"/>
      <c r="L2228"/>
      <c r="M2228"/>
    </row>
    <row r="2229" spans="1:10" s="1012" customFormat="1" ht="13.5" thickBot="1">
      <c r="A2229" s="1201" t="s">
        <v>5037</v>
      </c>
      <c r="B2229" s="1415">
        <v>311</v>
      </c>
      <c r="C2229" s="1375" t="s">
        <v>4845</v>
      </c>
      <c r="D2229" s="1416" t="s">
        <v>1980</v>
      </c>
      <c r="E2229" s="1417">
        <v>1280</v>
      </c>
      <c r="F2229" s="790">
        <f>E2229</f>
        <v>1280</v>
      </c>
      <c r="G2229" s="1009"/>
      <c r="H2229" s="1010"/>
      <c r="I2229" s="1010"/>
      <c r="J2229" s="1011"/>
    </row>
    <row r="2230" spans="1:10" s="853" customFormat="1" ht="13.5" thickBot="1">
      <c r="A2230" s="2225" t="s">
        <v>1499</v>
      </c>
      <c r="B2230" s="2220"/>
      <c r="C2230" s="2220"/>
      <c r="D2230" s="2257"/>
      <c r="E2230" s="1196">
        <f>SUM(E2227:E2229)</f>
        <v>165835</v>
      </c>
      <c r="F2230" s="1418">
        <f>E2230</f>
        <v>165835</v>
      </c>
      <c r="G2230" s="1206"/>
      <c r="H2230" s="849"/>
      <c r="I2230" s="849"/>
      <c r="J2230" s="759"/>
    </row>
    <row r="2231" spans="1:10" s="853" customFormat="1" ht="12.75">
      <c r="A2231" s="951"/>
      <c r="B2231" s="592"/>
      <c r="C2231" s="637"/>
      <c r="D2231" s="709"/>
      <c r="E2231" s="1103"/>
      <c r="F2231" s="1104"/>
      <c r="G2231" s="1206"/>
      <c r="H2231" s="849"/>
      <c r="I2231" s="849"/>
      <c r="J2231" s="759"/>
    </row>
    <row r="2232" spans="1:13" ht="12.75">
      <c r="A2232" s="2258" t="s">
        <v>1981</v>
      </c>
      <c r="B2232" s="2258"/>
      <c r="C2232" s="2258"/>
      <c r="D2232" s="2258"/>
      <c r="E2232" s="2258"/>
      <c r="F2232" s="2258"/>
      <c r="J2232" s="543"/>
      <c r="K2232"/>
      <c r="L2232"/>
      <c r="M2232"/>
    </row>
    <row r="2233" spans="2:13" ht="13.5" thickBot="1">
      <c r="B2233" s="827"/>
      <c r="C2233" s="627"/>
      <c r="D2233" s="640"/>
      <c r="E2233" s="1006"/>
      <c r="J2233" s="543"/>
      <c r="K2233"/>
      <c r="L2233"/>
      <c r="M2233"/>
    </row>
    <row r="2234" spans="1:10" s="853" customFormat="1" ht="12.75">
      <c r="A2234" s="680" t="s">
        <v>5038</v>
      </c>
      <c r="B2234" s="1282">
        <v>3211</v>
      </c>
      <c r="C2234" s="1385" t="s">
        <v>1077</v>
      </c>
      <c r="D2234" s="643" t="s">
        <v>1983</v>
      </c>
      <c r="E2234" s="744">
        <v>91348874</v>
      </c>
      <c r="F2234" s="693">
        <f>E2234</f>
        <v>91348874</v>
      </c>
      <c r="G2234" s="1206"/>
      <c r="H2234" s="849"/>
      <c r="I2234" s="849"/>
      <c r="J2234" s="759"/>
    </row>
    <row r="2235" spans="1:10" s="853" customFormat="1" ht="25.5">
      <c r="A2235" s="648" t="s">
        <v>5039</v>
      </c>
      <c r="B2235" s="630">
        <v>3225</v>
      </c>
      <c r="C2235" s="727" t="s">
        <v>1077</v>
      </c>
      <c r="D2235" s="675" t="s">
        <v>1985</v>
      </c>
      <c r="E2235" s="748">
        <v>11699</v>
      </c>
      <c r="F2235" s="698">
        <f>E2235</f>
        <v>11699</v>
      </c>
      <c r="G2235" s="1206"/>
      <c r="H2235" s="849"/>
      <c r="I2235" s="849"/>
      <c r="J2235" s="759"/>
    </row>
    <row r="2236" spans="1:10" s="853" customFormat="1" ht="25.5">
      <c r="A2236" s="648" t="s">
        <v>5040</v>
      </c>
      <c r="B2236" s="630">
        <v>3226</v>
      </c>
      <c r="C2236" s="727" t="s">
        <v>1077</v>
      </c>
      <c r="D2236" s="597" t="s">
        <v>1987</v>
      </c>
      <c r="E2236" s="748">
        <v>4047122</v>
      </c>
      <c r="F2236" s="698">
        <f aca="true" t="shared" si="3" ref="F2236:F2244">E2236</f>
        <v>4047122</v>
      </c>
      <c r="G2236" s="1206"/>
      <c r="H2236" s="849"/>
      <c r="I2236" s="849"/>
      <c r="J2236" s="759"/>
    </row>
    <row r="2237" spans="1:10" s="853" customFormat="1" ht="12.75">
      <c r="A2237" s="648" t="s">
        <v>5041</v>
      </c>
      <c r="B2237" s="630">
        <v>3229911</v>
      </c>
      <c r="C2237" s="727" t="s">
        <v>1077</v>
      </c>
      <c r="D2237" s="608" t="s">
        <v>1989</v>
      </c>
      <c r="E2237" s="748">
        <v>20475</v>
      </c>
      <c r="F2237" s="698">
        <f t="shared" si="3"/>
        <v>20475</v>
      </c>
      <c r="G2237" s="1206"/>
      <c r="H2237" s="849"/>
      <c r="I2237" s="849"/>
      <c r="J2237" s="759"/>
    </row>
    <row r="2238" spans="1:10" s="853" customFormat="1" ht="12.75">
      <c r="A2238" s="648" t="s">
        <v>5042</v>
      </c>
      <c r="B2238" s="630">
        <v>322995</v>
      </c>
      <c r="C2238" s="727" t="s">
        <v>1077</v>
      </c>
      <c r="D2238" s="608" t="s">
        <v>1991</v>
      </c>
      <c r="E2238" s="748">
        <v>2593727</v>
      </c>
      <c r="F2238" s="698">
        <f t="shared" si="3"/>
        <v>2593727</v>
      </c>
      <c r="G2238" s="1206"/>
      <c r="H2238" s="849"/>
      <c r="I2238" s="849"/>
      <c r="J2238" s="759"/>
    </row>
    <row r="2239" spans="1:10" s="853" customFormat="1" ht="12.75">
      <c r="A2239" s="648" t="s">
        <v>5043</v>
      </c>
      <c r="B2239" s="630">
        <v>322998</v>
      </c>
      <c r="C2239" s="727" t="s">
        <v>1077</v>
      </c>
      <c r="D2239" s="608" t="s">
        <v>1993</v>
      </c>
      <c r="E2239" s="748">
        <v>79470</v>
      </c>
      <c r="F2239" s="698">
        <f t="shared" si="3"/>
        <v>79470</v>
      </c>
      <c r="G2239" s="1206"/>
      <c r="H2239" s="849"/>
      <c r="I2239" s="849"/>
      <c r="J2239" s="759"/>
    </row>
    <row r="2240" spans="1:10" s="853" customFormat="1" ht="12.75">
      <c r="A2240" s="648" t="s">
        <v>5044</v>
      </c>
      <c r="B2240" s="630">
        <v>322999</v>
      </c>
      <c r="C2240" s="727" t="s">
        <v>1077</v>
      </c>
      <c r="D2240" s="675" t="s">
        <v>1995</v>
      </c>
      <c r="E2240" s="748">
        <v>17701</v>
      </c>
      <c r="F2240" s="698">
        <f t="shared" si="3"/>
        <v>17701</v>
      </c>
      <c r="G2240" s="1206"/>
      <c r="H2240" s="849"/>
      <c r="I2240" s="849"/>
      <c r="J2240" s="759"/>
    </row>
    <row r="2241" spans="1:10" s="853" customFormat="1" ht="12.75">
      <c r="A2241" s="648" t="s">
        <v>5045</v>
      </c>
      <c r="B2241" s="630">
        <v>3229991</v>
      </c>
      <c r="C2241" s="727" t="s">
        <v>1077</v>
      </c>
      <c r="D2241" s="675" t="s">
        <v>1997</v>
      </c>
      <c r="E2241" s="748">
        <v>3249859</v>
      </c>
      <c r="F2241" s="698">
        <f>E2241</f>
        <v>3249859</v>
      </c>
      <c r="G2241" s="1206"/>
      <c r="H2241" s="849"/>
      <c r="I2241" s="849"/>
      <c r="J2241" s="759"/>
    </row>
    <row r="2242" spans="1:13" ht="25.5">
      <c r="A2242" s="648" t="s">
        <v>5046</v>
      </c>
      <c r="B2242" s="631">
        <v>3229992</v>
      </c>
      <c r="C2242" s="727" t="s">
        <v>1077</v>
      </c>
      <c r="D2242" s="632" t="s">
        <v>1998</v>
      </c>
      <c r="E2242" s="1391">
        <v>716500</v>
      </c>
      <c r="F2242" s="771">
        <f>E2242</f>
        <v>716500</v>
      </c>
      <c r="J2242" s="543"/>
      <c r="K2242"/>
      <c r="L2242"/>
      <c r="M2242"/>
    </row>
    <row r="2243" spans="1:10" s="853" customFormat="1" ht="12.75">
      <c r="A2243" s="648" t="s">
        <v>5047</v>
      </c>
      <c r="B2243" s="631">
        <v>3232</v>
      </c>
      <c r="C2243" s="727" t="s">
        <v>1077</v>
      </c>
      <c r="D2243" s="632" t="s">
        <v>1999</v>
      </c>
      <c r="E2243" s="1391">
        <v>1958686</v>
      </c>
      <c r="F2243" s="771">
        <f>E2243</f>
        <v>1958686</v>
      </c>
      <c r="G2243" s="1206"/>
      <c r="H2243" s="849"/>
      <c r="I2243" s="849"/>
      <c r="J2243" s="759"/>
    </row>
    <row r="2244" spans="1:10" s="853" customFormat="1" ht="25.5">
      <c r="A2244" s="648" t="s">
        <v>5048</v>
      </c>
      <c r="B2244" s="630">
        <v>3236</v>
      </c>
      <c r="C2244" s="727" t="s">
        <v>1077</v>
      </c>
      <c r="D2244" s="597" t="s">
        <v>2001</v>
      </c>
      <c r="E2244" s="748">
        <v>3314</v>
      </c>
      <c r="F2244" s="698">
        <f t="shared" si="3"/>
        <v>3314</v>
      </c>
      <c r="G2244" s="1206"/>
      <c r="H2244" s="849"/>
      <c r="I2244" s="849"/>
      <c r="J2244" s="759"/>
    </row>
    <row r="2245" spans="1:13" ht="12.75">
      <c r="A2245" s="648" t="s">
        <v>5049</v>
      </c>
      <c r="B2245" s="1014">
        <v>3215</v>
      </c>
      <c r="C2245" s="672" t="s">
        <v>4848</v>
      </c>
      <c r="D2245" s="673" t="s">
        <v>1983</v>
      </c>
      <c r="E2245" s="674">
        <v>1063251</v>
      </c>
      <c r="F2245" s="1419">
        <v>1063251</v>
      </c>
      <c r="J2245" s="543"/>
      <c r="K2245"/>
      <c r="L2245"/>
      <c r="M2245"/>
    </row>
    <row r="2246" spans="1:10" s="853" customFormat="1" ht="12.75">
      <c r="A2246" s="648" t="s">
        <v>5050</v>
      </c>
      <c r="B2246" s="630">
        <v>3211</v>
      </c>
      <c r="C2246" s="607" t="s">
        <v>579</v>
      </c>
      <c r="D2246" s="747" t="s">
        <v>1983</v>
      </c>
      <c r="E2246" s="697">
        <v>604988</v>
      </c>
      <c r="F2246" s="698">
        <f>E2246</f>
        <v>604988</v>
      </c>
      <c r="G2246" s="1206"/>
      <c r="H2246" s="849"/>
      <c r="I2246" s="849"/>
      <c r="J2246" s="759"/>
    </row>
    <row r="2247" spans="1:10" s="853" customFormat="1" ht="12.75">
      <c r="A2247" s="648" t="s">
        <v>5051</v>
      </c>
      <c r="B2247" s="630">
        <v>321</v>
      </c>
      <c r="C2247" s="1032" t="s">
        <v>1517</v>
      </c>
      <c r="D2247" s="747" t="s">
        <v>1983</v>
      </c>
      <c r="E2247" s="697">
        <v>507413</v>
      </c>
      <c r="F2247" s="698">
        <f>E2247</f>
        <v>507413</v>
      </c>
      <c r="G2247" s="1206"/>
      <c r="H2247" s="849"/>
      <c r="I2247" s="849"/>
      <c r="J2247" s="759"/>
    </row>
    <row r="2248" spans="1:10" s="853" customFormat="1" ht="12.75">
      <c r="A2248" s="648" t="s">
        <v>5052</v>
      </c>
      <c r="B2248" s="782">
        <v>321</v>
      </c>
      <c r="C2248" s="1389" t="s">
        <v>4592</v>
      </c>
      <c r="D2248" s="783" t="s">
        <v>1983</v>
      </c>
      <c r="E2248" s="697">
        <v>19399201</v>
      </c>
      <c r="F2248" s="698">
        <f>E2248</f>
        <v>19399201</v>
      </c>
      <c r="G2248" s="1206"/>
      <c r="H2248" s="849"/>
      <c r="I2248" s="849"/>
      <c r="J2248" s="759"/>
    </row>
    <row r="2249" spans="1:13" ht="12.75">
      <c r="A2249" s="648" t="s">
        <v>5053</v>
      </c>
      <c r="B2249" s="1414">
        <v>325</v>
      </c>
      <c r="C2249" s="1389" t="s">
        <v>4982</v>
      </c>
      <c r="D2249" s="1025" t="s">
        <v>5054</v>
      </c>
      <c r="E2249" s="697">
        <v>921771</v>
      </c>
      <c r="F2249" s="698">
        <f>E2249</f>
        <v>921771</v>
      </c>
      <c r="G2249" s="1206"/>
      <c r="J2249" s="543"/>
      <c r="K2249"/>
      <c r="L2249"/>
      <c r="M2249"/>
    </row>
    <row r="2250" spans="1:10" s="1012" customFormat="1" ht="13.5" thickBot="1">
      <c r="A2250" s="751" t="s">
        <v>5055</v>
      </c>
      <c r="B2250" s="1415">
        <v>325</v>
      </c>
      <c r="C2250" s="1375" t="s">
        <v>4845</v>
      </c>
      <c r="D2250" s="1420" t="s">
        <v>5056</v>
      </c>
      <c r="E2250" s="697">
        <v>293807</v>
      </c>
      <c r="F2250" s="698">
        <f>E2250</f>
        <v>293807</v>
      </c>
      <c r="G2250" s="1009"/>
      <c r="H2250" s="1010"/>
      <c r="I2250" s="1010"/>
      <c r="J2250" s="1011"/>
    </row>
    <row r="2251" spans="1:10" s="853" customFormat="1" ht="13.5" thickBot="1">
      <c r="A2251" s="2225" t="s">
        <v>1499</v>
      </c>
      <c r="B2251" s="2220"/>
      <c r="C2251" s="2220"/>
      <c r="D2251" s="2257"/>
      <c r="E2251" s="1196">
        <f>SUM(E2234:E2250)</f>
        <v>126837858</v>
      </c>
      <c r="F2251" s="1196">
        <f>SUM(F2234:F2250)</f>
        <v>126837858</v>
      </c>
      <c r="G2251" s="1206"/>
      <c r="H2251" s="849"/>
      <c r="I2251" s="849"/>
      <c r="J2251" s="759"/>
    </row>
    <row r="2252" spans="1:10" s="853" customFormat="1" ht="12.75">
      <c r="A2252" s="1107"/>
      <c r="B2252" s="592"/>
      <c r="C2252" s="637"/>
      <c r="D2252" s="640"/>
      <c r="E2252" s="1205"/>
      <c r="F2252" s="1104"/>
      <c r="G2252" s="1206"/>
      <c r="H2252" s="849"/>
      <c r="I2252" s="849"/>
      <c r="J2252" s="759"/>
    </row>
    <row r="2253" spans="1:10" s="591" customFormat="1" ht="13.5" thickBot="1">
      <c r="A2253" s="2227" t="s">
        <v>2002</v>
      </c>
      <c r="B2253" s="2227"/>
      <c r="C2253" s="2227"/>
      <c r="D2253" s="640"/>
      <c r="E2253" s="1205"/>
      <c r="F2253" s="1104"/>
      <c r="G2253" s="1001"/>
      <c r="H2253" s="817"/>
      <c r="I2253" s="817"/>
      <c r="J2253" s="686"/>
    </row>
    <row r="2254" spans="1:13" ht="14.25" thickBot="1" thickTop="1">
      <c r="A2254" s="1421" t="s">
        <v>5057</v>
      </c>
      <c r="B2254" s="1422">
        <v>3571</v>
      </c>
      <c r="C2254" s="1303" t="s">
        <v>4848</v>
      </c>
      <c r="D2254" s="1423" t="s">
        <v>5058</v>
      </c>
      <c r="E2254" s="1424">
        <v>553846</v>
      </c>
      <c r="F2254" s="1425">
        <v>553846</v>
      </c>
      <c r="J2254" s="543"/>
      <c r="K2254"/>
      <c r="L2254"/>
      <c r="M2254"/>
    </row>
    <row r="2255" spans="1:10" s="853" customFormat="1" ht="13.5" thickBot="1">
      <c r="A2255" s="2225" t="s">
        <v>1499</v>
      </c>
      <c r="B2255" s="2220"/>
      <c r="C2255" s="2220"/>
      <c r="D2255" s="2257"/>
      <c r="E2255" s="1196">
        <f>SUM(E2254)</f>
        <v>553846</v>
      </c>
      <c r="F2255" s="1196">
        <f>SUM(F2254)</f>
        <v>553846</v>
      </c>
      <c r="G2255" s="1206"/>
      <c r="H2255" s="849"/>
      <c r="I2255" s="849"/>
      <c r="J2255" s="759"/>
    </row>
    <row r="2256" spans="1:10" s="853" customFormat="1" ht="12.75">
      <c r="A2256" s="951"/>
      <c r="B2256" s="592"/>
      <c r="C2256" s="637"/>
      <c r="D2256" s="709"/>
      <c r="E2256" s="1103"/>
      <c r="F2256" s="1104"/>
      <c r="G2256" s="1206"/>
      <c r="H2256" s="849"/>
      <c r="I2256" s="849"/>
      <c r="J2256" s="759"/>
    </row>
    <row r="2257" spans="1:10" s="1012" customFormat="1" ht="12.75">
      <c r="A2257" s="1107"/>
      <c r="B2257" s="1351"/>
      <c r="C2257" s="801"/>
      <c r="D2257" s="1353"/>
      <c r="E2257" s="1006"/>
      <c r="F2257" s="1086"/>
      <c r="G2257" s="1009"/>
      <c r="H2257" s="1010"/>
      <c r="I2257" s="1010"/>
      <c r="J2257" s="1011"/>
    </row>
    <row r="2258" spans="1:13" ht="12.75">
      <c r="A2258" s="2278" t="s">
        <v>2004</v>
      </c>
      <c r="B2258" s="2278"/>
      <c r="C2258" s="2278"/>
      <c r="D2258" s="2278"/>
      <c r="E2258" s="1103">
        <f>E2255+E2251+E2230</f>
        <v>127557539</v>
      </c>
      <c r="F2258" s="1104">
        <f>F2255+F2251+F2230</f>
        <v>127557539</v>
      </c>
      <c r="J2258" s="543"/>
      <c r="K2258"/>
      <c r="L2258"/>
      <c r="M2258"/>
    </row>
    <row r="2259" spans="2:13" ht="12.75">
      <c r="B2259" s="827"/>
      <c r="C2259" s="627"/>
      <c r="D2259" s="1310"/>
      <c r="J2259" s="543"/>
      <c r="K2259"/>
      <c r="L2259"/>
      <c r="M2259"/>
    </row>
    <row r="2260" spans="1:10" s="853" customFormat="1" ht="12.75">
      <c r="A2260" s="1107"/>
      <c r="B2260" s="827"/>
      <c r="C2260" s="627"/>
      <c r="D2260" s="1310"/>
      <c r="E2260" s="1110"/>
      <c r="F2260" s="1086"/>
      <c r="G2260" s="1206"/>
      <c r="H2260" s="849"/>
      <c r="I2260" s="849"/>
      <c r="J2260" s="759"/>
    </row>
    <row r="2261" spans="1:10" s="853" customFormat="1" ht="12.75">
      <c r="A2261" s="2258" t="s">
        <v>2005</v>
      </c>
      <c r="B2261" s="2258"/>
      <c r="C2261" s="2258"/>
      <c r="D2261" s="2258"/>
      <c r="E2261" s="2258"/>
      <c r="F2261" s="2258"/>
      <c r="G2261" s="1206"/>
      <c r="H2261" s="849"/>
      <c r="I2261" s="849"/>
      <c r="J2261" s="759"/>
    </row>
    <row r="2262" spans="1:10" s="591" customFormat="1" ht="12.75">
      <c r="A2262" s="1107"/>
      <c r="B2262" s="1351"/>
      <c r="C2262" s="801"/>
      <c r="D2262" s="1353"/>
      <c r="E2262" s="1110"/>
      <c r="F2262" s="1086"/>
      <c r="G2262" s="1001"/>
      <c r="H2262" s="817"/>
      <c r="I2262" s="817"/>
      <c r="J2262" s="686"/>
    </row>
    <row r="2263" spans="1:10" s="591" customFormat="1" ht="12.75">
      <c r="A2263" s="2258" t="s">
        <v>2006</v>
      </c>
      <c r="B2263" s="2258"/>
      <c r="C2263" s="2258"/>
      <c r="D2263" s="2258"/>
      <c r="E2263" s="2258"/>
      <c r="F2263" s="2258"/>
      <c r="G2263" s="1001"/>
      <c r="H2263" s="817"/>
      <c r="I2263" s="817"/>
      <c r="J2263" s="686"/>
    </row>
    <row r="2264" spans="1:10" s="591" customFormat="1" ht="13.5" thickBot="1">
      <c r="A2264" s="1102"/>
      <c r="B2264" s="592"/>
      <c r="C2264" s="637"/>
      <c r="D2264" s="640"/>
      <c r="E2264" s="1006"/>
      <c r="F2264" s="1086"/>
      <c r="G2264" s="1001"/>
      <c r="H2264" s="817"/>
      <c r="I2264" s="817"/>
      <c r="J2264" s="686"/>
    </row>
    <row r="2265" spans="1:10" s="853" customFormat="1" ht="48.75" thickBot="1">
      <c r="A2265" s="1007" t="s">
        <v>4597</v>
      </c>
      <c r="B2265" s="606" t="s">
        <v>4601</v>
      </c>
      <c r="C2265" s="1008" t="s">
        <v>4602</v>
      </c>
      <c r="D2265" s="606" t="s">
        <v>4603</v>
      </c>
      <c r="E2265" s="1426" t="s">
        <v>4604</v>
      </c>
      <c r="F2265" s="1427" t="s">
        <v>4605</v>
      </c>
      <c r="G2265" s="1206"/>
      <c r="H2265" s="849"/>
      <c r="I2265" s="849"/>
      <c r="J2265" s="759"/>
    </row>
    <row r="2266" spans="1:10" s="853" customFormat="1" ht="12.75">
      <c r="A2266" s="1201" t="s">
        <v>5059</v>
      </c>
      <c r="B2266" s="630">
        <v>39111</v>
      </c>
      <c r="C2266" s="695" t="s">
        <v>5060</v>
      </c>
      <c r="D2266" s="747" t="s">
        <v>2008</v>
      </c>
      <c r="E2266" s="692">
        <v>56238</v>
      </c>
      <c r="F2266" s="693">
        <v>56238</v>
      </c>
      <c r="G2266" s="1206"/>
      <c r="H2266" s="849"/>
      <c r="I2266" s="849"/>
      <c r="J2266" s="759"/>
    </row>
    <row r="2267" spans="1:10" s="853" customFormat="1" ht="13.5" thickBot="1">
      <c r="A2267" s="1202" t="s">
        <v>5061</v>
      </c>
      <c r="B2267" s="1374">
        <v>39111</v>
      </c>
      <c r="C2267" s="1375" t="s">
        <v>4592</v>
      </c>
      <c r="D2267" s="1420" t="s">
        <v>5062</v>
      </c>
      <c r="E2267" s="1079">
        <v>843094</v>
      </c>
      <c r="F2267" s="790">
        <v>843094</v>
      </c>
      <c r="G2267" s="1206"/>
      <c r="H2267" s="849"/>
      <c r="I2267" s="849"/>
      <c r="J2267" s="759"/>
    </row>
    <row r="2268" spans="1:10" s="853" customFormat="1" ht="13.5" thickBot="1">
      <c r="A2268" s="2225" t="s">
        <v>1499</v>
      </c>
      <c r="B2268" s="2220"/>
      <c r="C2268" s="2220"/>
      <c r="D2268" s="2257"/>
      <c r="E2268" s="1196">
        <f>SUM(E2266:E2267)</f>
        <v>899332</v>
      </c>
      <c r="F2268" s="1196">
        <f>SUM(F2266:F2267)</f>
        <v>899332</v>
      </c>
      <c r="G2268" s="1206"/>
      <c r="H2268" s="849"/>
      <c r="I2268" s="849"/>
      <c r="J2268" s="759"/>
    </row>
    <row r="2269" spans="2:13" ht="12.75">
      <c r="B2269" s="592"/>
      <c r="C2269" s="637"/>
      <c r="D2269" s="709"/>
      <c r="E2269" s="1103"/>
      <c r="F2269" s="1104"/>
      <c r="J2269" s="543"/>
      <c r="K2269"/>
      <c r="L2269"/>
      <c r="M2269"/>
    </row>
    <row r="2270" spans="1:10" s="853" customFormat="1" ht="12.75">
      <c r="A2270" s="1107"/>
      <c r="B2270" s="592"/>
      <c r="C2270" s="637"/>
      <c r="D2270" s="709"/>
      <c r="E2270" s="1103"/>
      <c r="F2270" s="1104"/>
      <c r="G2270" s="1206"/>
      <c r="H2270" s="849"/>
      <c r="I2270" s="849"/>
      <c r="J2270" s="759"/>
    </row>
    <row r="2271" spans="1:10" s="853" customFormat="1" ht="12.75">
      <c r="A2271" s="2222" t="s">
        <v>2009</v>
      </c>
      <c r="B2271" s="2222"/>
      <c r="C2271" s="2222"/>
      <c r="D2271" s="2222"/>
      <c r="E2271" s="2222"/>
      <c r="F2271" s="2222"/>
      <c r="G2271" s="1206"/>
      <c r="H2271" s="849"/>
      <c r="I2271" s="849"/>
      <c r="J2271" s="759"/>
    </row>
    <row r="2272" spans="1:10" s="853" customFormat="1" ht="13.5" thickBot="1">
      <c r="A2272" s="1107"/>
      <c r="B2272" s="821"/>
      <c r="C2272" s="638"/>
      <c r="D2272" s="1311"/>
      <c r="E2272" s="1205"/>
      <c r="F2272" s="1104"/>
      <c r="G2272" s="1206"/>
      <c r="H2272" s="849"/>
      <c r="I2272" s="849"/>
      <c r="J2272" s="759"/>
    </row>
    <row r="2273" spans="1:10" s="853" customFormat="1" ht="25.5">
      <c r="A2273" s="1199" t="s">
        <v>5063</v>
      </c>
      <c r="B2273" s="1282">
        <v>39211</v>
      </c>
      <c r="C2273" s="690" t="s">
        <v>1077</v>
      </c>
      <c r="D2273" s="714" t="s">
        <v>5064</v>
      </c>
      <c r="E2273" s="692">
        <v>2</v>
      </c>
      <c r="F2273" s="693">
        <v>2</v>
      </c>
      <c r="G2273" s="1206"/>
      <c r="H2273" s="849"/>
      <c r="I2273" s="849"/>
      <c r="J2273" s="759"/>
    </row>
    <row r="2274" spans="1:10" s="853" customFormat="1" ht="26.25" thickBot="1">
      <c r="A2274" s="1428" t="s">
        <v>5065</v>
      </c>
      <c r="B2274" s="1403">
        <v>39291</v>
      </c>
      <c r="C2274" s="1429" t="s">
        <v>1077</v>
      </c>
      <c r="D2274" s="1430" t="s">
        <v>2011</v>
      </c>
      <c r="E2274" s="1247"/>
      <c r="F2274" s="1248"/>
      <c r="G2274" s="1206"/>
      <c r="H2274" s="849"/>
      <c r="I2274" s="849"/>
      <c r="J2274" s="759"/>
    </row>
    <row r="2275" spans="1:10" s="853" customFormat="1" ht="13.5" thickBot="1">
      <c r="A2275" s="2225" t="s">
        <v>2660</v>
      </c>
      <c r="B2275" s="2220"/>
      <c r="C2275" s="2220"/>
      <c r="D2275" s="2257"/>
      <c r="E2275" s="1196">
        <f>SUM(E2273:E2274)</f>
        <v>2</v>
      </c>
      <c r="F2275" s="1196">
        <f>SUM(F2273:F2274)</f>
        <v>2</v>
      </c>
      <c r="G2275" s="1206"/>
      <c r="H2275" s="849"/>
      <c r="I2275" s="849"/>
      <c r="J2275" s="759"/>
    </row>
    <row r="2276" spans="1:10" s="853" customFormat="1" ht="12.75">
      <c r="A2276" s="1107"/>
      <c r="B2276" s="1351"/>
      <c r="C2276" s="801"/>
      <c r="D2276" s="1353"/>
      <c r="E2276" s="1308"/>
      <c r="F2276" s="1309"/>
      <c r="G2276" s="1206"/>
      <c r="H2276" s="849"/>
      <c r="I2276" s="849"/>
      <c r="J2276" s="759"/>
    </row>
    <row r="2277" spans="1:13" ht="12.75">
      <c r="A2277" s="2222" t="s">
        <v>2012</v>
      </c>
      <c r="B2277" s="2222"/>
      <c r="C2277" s="2222"/>
      <c r="D2277" s="2222"/>
      <c r="E2277" s="1103">
        <f>E2275+E2268</f>
        <v>899334</v>
      </c>
      <c r="F2277" s="1103">
        <f>F2275+F2268</f>
        <v>899334</v>
      </c>
      <c r="J2277" s="543"/>
      <c r="K2277"/>
      <c r="L2277"/>
      <c r="M2277"/>
    </row>
    <row r="2278" spans="1:10" s="1012" customFormat="1" ht="12.75">
      <c r="A2278" s="1409"/>
      <c r="B2278" s="821"/>
      <c r="C2278" s="638"/>
      <c r="D2278" s="1311"/>
      <c r="E2278" s="1431"/>
      <c r="F2278" s="1431"/>
      <c r="G2278" s="1009"/>
      <c r="H2278" s="1010"/>
      <c r="I2278" s="1010"/>
      <c r="J2278" s="1011"/>
    </row>
    <row r="2279" spans="1:10" s="853" customFormat="1" ht="12.75">
      <c r="A2279" s="1409"/>
      <c r="B2279" s="592"/>
      <c r="C2279" s="637"/>
      <c r="D2279" s="640"/>
      <c r="E2279" s="1006"/>
      <c r="F2279" s="1006"/>
      <c r="G2279" s="1206"/>
      <c r="H2279" s="849"/>
      <c r="I2279" s="849"/>
      <c r="J2279" s="759"/>
    </row>
    <row r="2280" spans="1:10" s="853" customFormat="1" ht="12.75">
      <c r="A2280" s="2222" t="s">
        <v>2013</v>
      </c>
      <c r="B2280" s="2222"/>
      <c r="C2280" s="2222"/>
      <c r="D2280" s="1311"/>
      <c r="E2280" s="1103">
        <f>E2277+E2258+E2221+E2170</f>
        <v>187938766.09</v>
      </c>
      <c r="F2280" s="1103">
        <f>F2277+F2258+F2221+F2170</f>
        <v>187938766.09</v>
      </c>
      <c r="G2280" s="1206"/>
      <c r="H2280" s="849"/>
      <c r="I2280" s="849"/>
      <c r="J2280" s="759"/>
    </row>
    <row r="2281" spans="1:13" ht="12.75">
      <c r="A2281" s="1409"/>
      <c r="B2281" s="592"/>
      <c r="C2281" s="637"/>
      <c r="D2281" s="1311"/>
      <c r="E2281" s="1006"/>
      <c r="F2281" s="1006"/>
      <c r="J2281" s="543"/>
      <c r="K2281"/>
      <c r="L2281"/>
      <c r="M2281"/>
    </row>
    <row r="2282" spans="1:10" s="591" customFormat="1" ht="12.75">
      <c r="A2282" s="1409"/>
      <c r="B2282" s="592"/>
      <c r="C2282" s="637"/>
      <c r="D2282" s="1311"/>
      <c r="E2282" s="1006"/>
      <c r="F2282" s="1006"/>
      <c r="G2282" s="1001"/>
      <c r="H2282" s="817"/>
      <c r="I2282" s="817"/>
      <c r="J2282" s="686"/>
    </row>
    <row r="2283" spans="1:10" s="853" customFormat="1" ht="12.75">
      <c r="A2283" s="1409"/>
      <c r="B2283" s="592"/>
      <c r="C2283" s="637"/>
      <c r="D2283" s="1311"/>
      <c r="E2283" s="1006"/>
      <c r="F2283" s="1006"/>
      <c r="G2283" s="1206"/>
      <c r="H2283" s="849"/>
      <c r="I2283" s="849"/>
      <c r="J2283" s="759"/>
    </row>
    <row r="2284" spans="1:10" s="853" customFormat="1" ht="12.75">
      <c r="A2284" s="1409"/>
      <c r="B2284" s="821"/>
      <c r="C2284" s="638"/>
      <c r="D2284" s="1311"/>
      <c r="E2284" s="1006"/>
      <c r="F2284" s="1006"/>
      <c r="G2284" s="1206"/>
      <c r="H2284" s="849"/>
      <c r="I2284" s="849"/>
      <c r="J2284" s="759"/>
    </row>
    <row r="2285" spans="1:10" s="853" customFormat="1" ht="12.75">
      <c r="A2285" s="2279" t="s">
        <v>2014</v>
      </c>
      <c r="B2285" s="2279"/>
      <c r="C2285" s="2279"/>
      <c r="D2285" s="1432"/>
      <c r="E2285" s="1433">
        <f>E2280+E2154</f>
        <v>3554297570.6378527</v>
      </c>
      <c r="F2285" s="1433">
        <f>F2280+F2154</f>
        <v>2543141105.09</v>
      </c>
      <c r="G2285" s="1206"/>
      <c r="H2285" s="849"/>
      <c r="I2285" s="849"/>
      <c r="J2285" s="759"/>
    </row>
    <row r="2286" spans="1:10" s="853" customFormat="1" ht="12.75">
      <c r="A2286" s="1409"/>
      <c r="B2286" s="592"/>
      <c r="C2286" s="637"/>
      <c r="D2286" s="1311"/>
      <c r="E2286" s="1006"/>
      <c r="F2286" s="1006"/>
      <c r="G2286" s="1206"/>
      <c r="H2286" s="849"/>
      <c r="I2286" s="849"/>
      <c r="J2286" s="759"/>
    </row>
    <row r="2287" spans="1:10" s="853" customFormat="1" ht="12.75">
      <c r="A2287" s="1409"/>
      <c r="B2287" s="592"/>
      <c r="C2287" s="637"/>
      <c r="D2287" s="1311"/>
      <c r="E2287" s="1006"/>
      <c r="F2287" s="1006"/>
      <c r="G2287" s="1206"/>
      <c r="H2287" s="849"/>
      <c r="I2287" s="849"/>
      <c r="J2287" s="759"/>
    </row>
    <row r="2288" spans="1:10" s="853" customFormat="1" ht="12.75">
      <c r="A2288" s="1409"/>
      <c r="B2288" s="592"/>
      <c r="C2288" s="637"/>
      <c r="D2288" s="1311"/>
      <c r="E2288" s="1006"/>
      <c r="F2288" s="1006"/>
      <c r="G2288" s="1206"/>
      <c r="H2288" s="849"/>
      <c r="I2288" s="849"/>
      <c r="J2288" s="759"/>
    </row>
    <row r="2289" spans="1:10" s="1012" customFormat="1" ht="12.75">
      <c r="A2289" s="2222" t="s">
        <v>2015</v>
      </c>
      <c r="B2289" s="2222"/>
      <c r="C2289" s="2222"/>
      <c r="D2289" s="1311"/>
      <c r="E2289" s="1431"/>
      <c r="F2289" s="1431"/>
      <c r="G2289" s="1009"/>
      <c r="H2289" s="1010"/>
      <c r="I2289" s="1010"/>
      <c r="J2289" s="1011"/>
    </row>
    <row r="2290" spans="1:10" s="853" customFormat="1" ht="12.75">
      <c r="A2290" s="1409"/>
      <c r="B2290" s="592"/>
      <c r="C2290" s="637"/>
      <c r="D2290" s="1311"/>
      <c r="E2290" s="1431"/>
      <c r="F2290" s="1431"/>
      <c r="G2290" s="1206"/>
      <c r="H2290" s="849"/>
      <c r="I2290" s="849"/>
      <c r="J2290" s="759"/>
    </row>
    <row r="2291" spans="1:10" s="853" customFormat="1" ht="12.75">
      <c r="A2291" s="1434"/>
      <c r="B2291" s="636"/>
      <c r="C2291" s="1435"/>
      <c r="D2291" s="640"/>
      <c r="E2291" s="1103"/>
      <c r="F2291" s="1103"/>
      <c r="G2291" s="1206"/>
      <c r="H2291" s="849"/>
      <c r="I2291" s="849"/>
      <c r="J2291" s="759"/>
    </row>
    <row r="2292" spans="1:10" s="853" customFormat="1" ht="12.75">
      <c r="A2292" s="2222" t="s">
        <v>2016</v>
      </c>
      <c r="B2292" s="2222"/>
      <c r="C2292" s="1435"/>
      <c r="D2292" s="640"/>
      <c r="E2292" s="1103"/>
      <c r="F2292" s="1103"/>
      <c r="G2292" s="1206"/>
      <c r="H2292" s="849"/>
      <c r="I2292" s="849"/>
      <c r="J2292" s="759"/>
    </row>
    <row r="2293" spans="1:10" s="853" customFormat="1" ht="13.5" thickBot="1">
      <c r="A2293" s="1411"/>
      <c r="B2293" s="1436"/>
      <c r="C2293" s="1437"/>
      <c r="D2293" s="1438"/>
      <c r="E2293" s="813"/>
      <c r="F2293" s="813"/>
      <c r="G2293" s="1206"/>
      <c r="H2293" s="849"/>
      <c r="I2293" s="849"/>
      <c r="J2293" s="759"/>
    </row>
    <row r="2294" spans="1:10" s="853" customFormat="1" ht="12.75">
      <c r="A2294" s="1199" t="s">
        <v>5066</v>
      </c>
      <c r="B2294" s="1282">
        <v>411</v>
      </c>
      <c r="C2294" s="690" t="s">
        <v>1077</v>
      </c>
      <c r="D2294" s="743" t="s">
        <v>2018</v>
      </c>
      <c r="E2294" s="681">
        <v>68562809.24</v>
      </c>
      <c r="F2294" s="693">
        <f>E2294</f>
        <v>68562809.24</v>
      </c>
      <c r="G2294" s="1206"/>
      <c r="H2294" s="849"/>
      <c r="I2294" s="849"/>
      <c r="J2294" s="759"/>
    </row>
    <row r="2295" spans="1:10" s="853" customFormat="1" ht="12.75">
      <c r="A2295" s="1201" t="s">
        <v>5067</v>
      </c>
      <c r="B2295" s="630">
        <v>411</v>
      </c>
      <c r="C2295" s="1032" t="s">
        <v>1517</v>
      </c>
      <c r="D2295" s="747" t="s">
        <v>2018</v>
      </c>
      <c r="E2295" s="1058">
        <v>626555.52</v>
      </c>
      <c r="F2295" s="698">
        <f>E2295</f>
        <v>626555.52</v>
      </c>
      <c r="G2295" s="1206"/>
      <c r="H2295" s="849"/>
      <c r="I2295" s="849"/>
      <c r="J2295" s="759"/>
    </row>
    <row r="2296" spans="1:10" s="853" customFormat="1" ht="12.75">
      <c r="A2296" s="1201" t="s">
        <v>5068</v>
      </c>
      <c r="B2296" s="630">
        <v>411</v>
      </c>
      <c r="C2296" s="1389" t="s">
        <v>4592</v>
      </c>
      <c r="D2296" s="783" t="s">
        <v>2018</v>
      </c>
      <c r="E2296" s="1067">
        <v>20141546</v>
      </c>
      <c r="F2296" s="784">
        <f>E2296</f>
        <v>20141546</v>
      </c>
      <c r="G2296" s="1206"/>
      <c r="H2296" s="849"/>
      <c r="I2296" s="849"/>
      <c r="J2296" s="759"/>
    </row>
    <row r="2297" spans="1:10" s="853" customFormat="1" ht="12.75">
      <c r="A2297" s="1201" t="s">
        <v>5069</v>
      </c>
      <c r="B2297" s="630">
        <v>411</v>
      </c>
      <c r="C2297" s="1389" t="s">
        <v>5070</v>
      </c>
      <c r="D2297" s="783" t="s">
        <v>2018</v>
      </c>
      <c r="E2297" s="1067">
        <v>139121285.08</v>
      </c>
      <c r="F2297" s="784">
        <v>139121285.08</v>
      </c>
      <c r="G2297" s="1206"/>
      <c r="H2297" s="849"/>
      <c r="I2297" s="849"/>
      <c r="J2297" s="759"/>
    </row>
    <row r="2298" spans="1:10" s="853" customFormat="1" ht="13.5" thickBot="1">
      <c r="A2298" s="1202" t="s">
        <v>5071</v>
      </c>
      <c r="B2298" s="633">
        <v>411</v>
      </c>
      <c r="C2298" s="1375" t="s">
        <v>4845</v>
      </c>
      <c r="D2298" s="1376" t="s">
        <v>2018</v>
      </c>
      <c r="E2298" s="1417">
        <v>64297450</v>
      </c>
      <c r="F2298" s="1439">
        <f>E2298</f>
        <v>64297450</v>
      </c>
      <c r="G2298" s="1206"/>
      <c r="H2298" s="849"/>
      <c r="I2298" s="849"/>
      <c r="J2298" s="759"/>
    </row>
    <row r="2299" spans="1:13" ht="13.5" thickBot="1">
      <c r="A2299" s="2225" t="s">
        <v>1499</v>
      </c>
      <c r="B2299" s="2220"/>
      <c r="C2299" s="2220"/>
      <c r="D2299" s="2257"/>
      <c r="E2299" s="1196">
        <f>SUM(E2294:E2298)</f>
        <v>292749645.84000003</v>
      </c>
      <c r="F2299" s="1196">
        <f>SUM(F2294:F2298)</f>
        <v>292749645.84000003</v>
      </c>
      <c r="J2299" s="543"/>
      <c r="K2299"/>
      <c r="L2299"/>
      <c r="M2299"/>
    </row>
    <row r="2300" spans="2:13" ht="12.75">
      <c r="B2300" s="592"/>
      <c r="C2300" s="637"/>
      <c r="D2300" s="709"/>
      <c r="E2300" s="1103"/>
      <c r="F2300" s="1104"/>
      <c r="J2300" s="543"/>
      <c r="K2300"/>
      <c r="L2300"/>
      <c r="M2300"/>
    </row>
    <row r="2301" spans="1:10" s="591" customFormat="1" ht="12.75">
      <c r="A2301" s="1107"/>
      <c r="B2301" s="592"/>
      <c r="C2301" s="637"/>
      <c r="D2301" s="640"/>
      <c r="E2301" s="1440"/>
      <c r="F2301" s="1184"/>
      <c r="G2301" s="1001"/>
      <c r="H2301" s="817"/>
      <c r="I2301" s="817"/>
      <c r="J2301" s="686"/>
    </row>
    <row r="2302" spans="1:13" ht="12.75">
      <c r="A2302" s="2222" t="s">
        <v>2019</v>
      </c>
      <c r="B2302" s="2222"/>
      <c r="C2302" s="637"/>
      <c r="D2302" s="640"/>
      <c r="E2302" s="1440"/>
      <c r="F2302" s="1184"/>
      <c r="J2302" s="543"/>
      <c r="K2302"/>
      <c r="L2302"/>
      <c r="M2302"/>
    </row>
    <row r="2303" spans="2:13" ht="13.5" thickBot="1">
      <c r="B2303" s="592"/>
      <c r="C2303" s="637"/>
      <c r="D2303" s="640"/>
      <c r="E2303" s="1308"/>
      <c r="F2303" s="1309"/>
      <c r="J2303" s="543"/>
      <c r="K2303"/>
      <c r="L2303"/>
      <c r="M2303"/>
    </row>
    <row r="2304" spans="1:10" s="591" customFormat="1" ht="13.5" customHeight="1">
      <c r="A2304" s="1199" t="s">
        <v>5072</v>
      </c>
      <c r="B2304" s="1282">
        <v>413</v>
      </c>
      <c r="C2304" s="690" t="s">
        <v>1077</v>
      </c>
      <c r="D2304" s="743" t="s">
        <v>2021</v>
      </c>
      <c r="E2304" s="1441">
        <f>2051261312.15+3</f>
        <v>2051261315.15</v>
      </c>
      <c r="F2304" s="693">
        <f>E2304</f>
        <v>2051261315.15</v>
      </c>
      <c r="G2304" s="1001"/>
      <c r="H2304" s="817"/>
      <c r="I2304" s="817"/>
      <c r="J2304" s="686"/>
    </row>
    <row r="2305" spans="1:13" ht="12.75">
      <c r="A2305" s="1201" t="s">
        <v>5073</v>
      </c>
      <c r="B2305" s="1014">
        <v>413</v>
      </c>
      <c r="C2305" s="672" t="s">
        <v>4848</v>
      </c>
      <c r="D2305" s="673" t="s">
        <v>2021</v>
      </c>
      <c r="E2305" s="674">
        <v>17031855</v>
      </c>
      <c r="F2305" s="1419">
        <v>17031855</v>
      </c>
      <c r="J2305" s="543"/>
      <c r="K2305"/>
      <c r="L2305"/>
      <c r="M2305"/>
    </row>
    <row r="2306" spans="1:10" s="591" customFormat="1" ht="12.75">
      <c r="A2306" s="1201" t="s">
        <v>5074</v>
      </c>
      <c r="B2306" s="630">
        <v>413</v>
      </c>
      <c r="C2306" s="607" t="s">
        <v>579</v>
      </c>
      <c r="D2306" s="747" t="s">
        <v>2021</v>
      </c>
      <c r="E2306" s="697">
        <v>2119421.4</v>
      </c>
      <c r="F2306" s="698">
        <f aca="true" t="shared" si="4" ref="F2306:F2311">E2306</f>
        <v>2119421.4</v>
      </c>
      <c r="G2306" s="1001"/>
      <c r="H2306" s="817"/>
      <c r="I2306" s="817"/>
      <c r="J2306" s="686"/>
    </row>
    <row r="2307" spans="1:10" s="591" customFormat="1" ht="12.75">
      <c r="A2307" s="1201" t="s">
        <v>5075</v>
      </c>
      <c r="B2307" s="630">
        <v>413</v>
      </c>
      <c r="C2307" s="1032" t="s">
        <v>1517</v>
      </c>
      <c r="D2307" s="747" t="s">
        <v>2021</v>
      </c>
      <c r="E2307" s="697">
        <v>4785722.48</v>
      </c>
      <c r="F2307" s="698">
        <f t="shared" si="4"/>
        <v>4785722.48</v>
      </c>
      <c r="G2307" s="1001"/>
      <c r="H2307" s="817"/>
      <c r="I2307" s="817"/>
      <c r="J2307" s="686"/>
    </row>
    <row r="2308" spans="1:10" s="591" customFormat="1" ht="12.75" customHeight="1">
      <c r="A2308" s="1201" t="s">
        <v>5076</v>
      </c>
      <c r="B2308" s="630">
        <v>413</v>
      </c>
      <c r="C2308" s="1389" t="s">
        <v>4592</v>
      </c>
      <c r="D2308" s="783" t="s">
        <v>2021</v>
      </c>
      <c r="E2308" s="1442">
        <v>43049827</v>
      </c>
      <c r="F2308" s="698">
        <f t="shared" si="4"/>
        <v>43049827</v>
      </c>
      <c r="G2308" s="1001"/>
      <c r="H2308" s="817"/>
      <c r="I2308" s="817"/>
      <c r="J2308" s="686"/>
    </row>
    <row r="2309" spans="1:13" ht="12.75">
      <c r="A2309" s="1201" t="s">
        <v>5077</v>
      </c>
      <c r="B2309" s="630">
        <v>413</v>
      </c>
      <c r="C2309" s="1389" t="s">
        <v>5070</v>
      </c>
      <c r="D2309" s="783" t="s">
        <v>2021</v>
      </c>
      <c r="E2309" s="1067">
        <v>-19017282.39</v>
      </c>
      <c r="F2309" s="698">
        <f t="shared" si="4"/>
        <v>-19017282.39</v>
      </c>
      <c r="J2309" s="543"/>
      <c r="K2309"/>
      <c r="L2309"/>
      <c r="M2309"/>
    </row>
    <row r="2310" spans="1:13" ht="13.5" thickBot="1">
      <c r="A2310" s="1201" t="s">
        <v>5078</v>
      </c>
      <c r="B2310" s="630">
        <v>413</v>
      </c>
      <c r="C2310" s="1389" t="s">
        <v>4845</v>
      </c>
      <c r="D2310" s="783" t="s">
        <v>2021</v>
      </c>
      <c r="E2310" s="1443">
        <v>-5589675</v>
      </c>
      <c r="F2310" s="771">
        <f t="shared" si="4"/>
        <v>-5589675</v>
      </c>
      <c r="J2310" s="543"/>
      <c r="K2310"/>
      <c r="L2310"/>
      <c r="M2310"/>
    </row>
    <row r="2311" spans="1:13" ht="13.5" thickBot="1">
      <c r="A2311" s="2280" t="s">
        <v>1499</v>
      </c>
      <c r="B2311" s="2281"/>
      <c r="C2311" s="2281"/>
      <c r="D2311" s="2282"/>
      <c r="E2311" s="773">
        <f>SUM(E2304:E2310)</f>
        <v>2093641183.64</v>
      </c>
      <c r="F2311" s="774">
        <f t="shared" si="4"/>
        <v>2093641183.64</v>
      </c>
      <c r="J2311" s="543"/>
      <c r="K2311"/>
      <c r="L2311"/>
      <c r="M2311"/>
    </row>
    <row r="2312" spans="2:13" ht="12.75">
      <c r="B2312" s="592"/>
      <c r="C2312" s="637"/>
      <c r="D2312" s="709"/>
      <c r="E2312" s="1103"/>
      <c r="F2312" s="1104"/>
      <c r="J2312" s="543"/>
      <c r="K2312"/>
      <c r="L2312"/>
      <c r="M2312"/>
    </row>
    <row r="2313" spans="1:13" ht="12.75">
      <c r="A2313" s="2258" t="s">
        <v>2022</v>
      </c>
      <c r="B2313" s="2258"/>
      <c r="C2313" s="2258"/>
      <c r="D2313" s="640"/>
      <c r="E2313" s="1103">
        <f>E2311+E2299</f>
        <v>2386390829.48</v>
      </c>
      <c r="F2313" s="1104">
        <f>F2311+F2299</f>
        <v>2386390829.48</v>
      </c>
      <c r="J2313" s="543"/>
      <c r="K2313"/>
      <c r="L2313"/>
      <c r="M2313"/>
    </row>
    <row r="2314" spans="2:13" ht="12.75">
      <c r="B2314" s="1351"/>
      <c r="C2314" s="801"/>
      <c r="D2314" s="1311"/>
      <c r="E2314" s="1006"/>
      <c r="J2314" s="543"/>
      <c r="K2314"/>
      <c r="L2314"/>
      <c r="M2314"/>
    </row>
    <row r="2315" spans="2:13" ht="12.75">
      <c r="B2315" s="1351"/>
      <c r="C2315" s="801"/>
      <c r="D2315" s="1311"/>
      <c r="E2315" s="1006"/>
      <c r="J2315" s="543"/>
      <c r="K2315"/>
      <c r="L2315"/>
      <c r="M2315"/>
    </row>
    <row r="2316" spans="1:13" ht="12.75">
      <c r="A2316" s="1409"/>
      <c r="B2316" s="1351"/>
      <c r="C2316" s="801"/>
      <c r="D2316" s="1311"/>
      <c r="E2316" s="1006"/>
      <c r="F2316" s="1006"/>
      <c r="J2316" s="543"/>
      <c r="K2316"/>
      <c r="L2316"/>
      <c r="M2316"/>
    </row>
    <row r="2317" spans="1:10" s="1012" customFormat="1" ht="12.75">
      <c r="A2317" s="2258" t="s">
        <v>2023</v>
      </c>
      <c r="B2317" s="2258"/>
      <c r="C2317" s="2258"/>
      <c r="D2317" s="2258"/>
      <c r="E2317" s="2258"/>
      <c r="F2317" s="2258"/>
      <c r="G2317" s="1009"/>
      <c r="H2317" s="1010"/>
      <c r="I2317" s="1010"/>
      <c r="J2317" s="1011"/>
    </row>
    <row r="2318" spans="2:13" ht="12.75">
      <c r="B2318" s="827"/>
      <c r="C2318" s="627"/>
      <c r="D2318" s="640"/>
      <c r="E2318" s="1103"/>
      <c r="F2318" s="1104"/>
      <c r="J2318" s="543"/>
      <c r="K2318"/>
      <c r="L2318"/>
      <c r="M2318"/>
    </row>
    <row r="2319" spans="1:13" ht="12.75">
      <c r="A2319" s="2258" t="s">
        <v>2024</v>
      </c>
      <c r="B2319" s="2258"/>
      <c r="C2319" s="2258"/>
      <c r="D2319" s="2258"/>
      <c r="E2319" s="2258"/>
      <c r="F2319" s="2258"/>
      <c r="J2319" s="543"/>
      <c r="K2319"/>
      <c r="L2319"/>
      <c r="M2319"/>
    </row>
    <row r="2320" spans="2:13" ht="13.5" thickBot="1">
      <c r="B2320" s="1351"/>
      <c r="C2320" s="801"/>
      <c r="D2320" s="1353"/>
      <c r="J2320" s="543"/>
      <c r="K2320"/>
      <c r="L2320"/>
      <c r="M2320"/>
    </row>
    <row r="2321" spans="1:13" ht="48.75" thickBot="1">
      <c r="A2321" s="1007" t="s">
        <v>4597</v>
      </c>
      <c r="B2321" s="606" t="s">
        <v>4601</v>
      </c>
      <c r="C2321" s="1008" t="s">
        <v>4602</v>
      </c>
      <c r="D2321" s="606" t="s">
        <v>4603</v>
      </c>
      <c r="E2321" s="738" t="s">
        <v>4604</v>
      </c>
      <c r="F2321" s="739" t="s">
        <v>4605</v>
      </c>
      <c r="J2321" s="543"/>
      <c r="K2321"/>
      <c r="L2321"/>
      <c r="M2321"/>
    </row>
    <row r="2322" spans="1:13" ht="12.75">
      <c r="A2322" s="1199" t="s">
        <v>5079</v>
      </c>
      <c r="B2322" s="1282">
        <v>4211</v>
      </c>
      <c r="C2322" s="690" t="s">
        <v>1077</v>
      </c>
      <c r="D2322" s="743" t="s">
        <v>2026</v>
      </c>
      <c r="E2322" s="744">
        <v>98001551</v>
      </c>
      <c r="F2322" s="693">
        <v>98001551</v>
      </c>
      <c r="J2322" s="543"/>
      <c r="K2322"/>
      <c r="L2322"/>
      <c r="M2322"/>
    </row>
    <row r="2323" spans="1:13" ht="12.75">
      <c r="A2323" s="1201" t="s">
        <v>5080</v>
      </c>
      <c r="B2323" s="630">
        <v>4214</v>
      </c>
      <c r="C2323" s="695" t="s">
        <v>1077</v>
      </c>
      <c r="D2323" s="668" t="s">
        <v>2027</v>
      </c>
      <c r="E2323" s="697">
        <v>0</v>
      </c>
      <c r="F2323" s="698">
        <v>0</v>
      </c>
      <c r="J2323" s="543"/>
      <c r="K2323"/>
      <c r="L2323"/>
      <c r="M2323"/>
    </row>
    <row r="2324" spans="1:13" ht="12.75">
      <c r="A2324" s="1201" t="s">
        <v>5081</v>
      </c>
      <c r="B2324" s="1014">
        <v>4211</v>
      </c>
      <c r="C2324" s="672" t="s">
        <v>4848</v>
      </c>
      <c r="D2324" s="673" t="s">
        <v>2026</v>
      </c>
      <c r="E2324" s="674">
        <v>1063347</v>
      </c>
      <c r="F2324" s="1419">
        <v>1063347</v>
      </c>
      <c r="J2324" s="543"/>
      <c r="K2324"/>
      <c r="L2324"/>
      <c r="M2324"/>
    </row>
    <row r="2325" spans="1:13" ht="12.75">
      <c r="A2325" s="1201" t="s">
        <v>5082</v>
      </c>
      <c r="B2325" s="630">
        <v>4211</v>
      </c>
      <c r="C2325" s="607" t="s">
        <v>579</v>
      </c>
      <c r="D2325" s="747" t="s">
        <v>2026</v>
      </c>
      <c r="E2325" s="697">
        <v>604988.39</v>
      </c>
      <c r="F2325" s="698">
        <v>604988.39</v>
      </c>
      <c r="J2325" s="543"/>
      <c r="K2325"/>
      <c r="L2325"/>
      <c r="M2325"/>
    </row>
    <row r="2326" spans="1:10" s="1012" customFormat="1" ht="12.75">
      <c r="A2326" s="1201" t="s">
        <v>5083</v>
      </c>
      <c r="B2326" s="630">
        <v>4211</v>
      </c>
      <c r="C2326" s="1032" t="s">
        <v>1517</v>
      </c>
      <c r="D2326" s="747" t="s">
        <v>2026</v>
      </c>
      <c r="E2326" s="697">
        <v>507413</v>
      </c>
      <c r="F2326" s="698">
        <f>E2326</f>
        <v>507413</v>
      </c>
      <c r="G2326" s="1009"/>
      <c r="H2326" s="1010"/>
      <c r="I2326" s="1010"/>
      <c r="J2326" s="1011"/>
    </row>
    <row r="2327" spans="1:13" ht="12.75">
      <c r="A2327" s="1201" t="s">
        <v>5084</v>
      </c>
      <c r="B2327" s="630">
        <v>4211</v>
      </c>
      <c r="C2327" s="1389" t="s">
        <v>4592</v>
      </c>
      <c r="D2327" s="783" t="s">
        <v>2026</v>
      </c>
      <c r="E2327" s="1442">
        <v>4381957</v>
      </c>
      <c r="F2327" s="784">
        <f>E2327</f>
        <v>4381957</v>
      </c>
      <c r="J2327" s="543"/>
      <c r="K2327"/>
      <c r="L2327"/>
      <c r="M2327"/>
    </row>
    <row r="2328" spans="1:13" ht="12.75">
      <c r="A2328" s="1201" t="s">
        <v>5085</v>
      </c>
      <c r="B2328" s="630">
        <v>4211</v>
      </c>
      <c r="C2328" s="1207" t="s">
        <v>5086</v>
      </c>
      <c r="D2328" s="768" t="s">
        <v>5087</v>
      </c>
      <c r="E2328" s="1067">
        <v>1062728</v>
      </c>
      <c r="F2328" s="784">
        <f>E2328</f>
        <v>1062728</v>
      </c>
      <c r="J2328" s="543"/>
      <c r="K2328"/>
      <c r="L2328"/>
      <c r="M2328"/>
    </row>
    <row r="2329" spans="1:13" ht="13.5" thickBot="1">
      <c r="A2329" s="1202" t="s">
        <v>5088</v>
      </c>
      <c r="B2329" s="630">
        <v>4211</v>
      </c>
      <c r="C2329" s="1375" t="s">
        <v>4845</v>
      </c>
      <c r="D2329" s="1420" t="s">
        <v>5087</v>
      </c>
      <c r="E2329" s="1417">
        <v>351325</v>
      </c>
      <c r="F2329" s="1439">
        <f>E2329</f>
        <v>351325</v>
      </c>
      <c r="J2329" s="543"/>
      <c r="K2329"/>
      <c r="L2329"/>
      <c r="M2329"/>
    </row>
    <row r="2330" spans="1:13" ht="13.5" thickBot="1">
      <c r="A2330" s="2283" t="s">
        <v>1499</v>
      </c>
      <c r="B2330" s="2283"/>
      <c r="C2330" s="2283"/>
      <c r="D2330" s="2283"/>
      <c r="E2330" s="1196">
        <f>SUM(E2322:E2329)</f>
        <v>105973309.39</v>
      </c>
      <c r="F2330" s="1196">
        <f>SUM(F2322:F2329)</f>
        <v>105973309.39</v>
      </c>
      <c r="J2330" s="543"/>
      <c r="K2330"/>
      <c r="L2330"/>
      <c r="M2330"/>
    </row>
    <row r="2331" spans="2:13" ht="12.75">
      <c r="B2331" s="592"/>
      <c r="C2331" s="637"/>
      <c r="D2331" s="709"/>
      <c r="E2331" s="1103"/>
      <c r="F2331" s="1104"/>
      <c r="J2331" s="543"/>
      <c r="K2331"/>
      <c r="L2331"/>
      <c r="M2331"/>
    </row>
    <row r="2332" spans="1:13" ht="12.75">
      <c r="A2332" s="2222" t="s">
        <v>2028</v>
      </c>
      <c r="B2332" s="2222"/>
      <c r="C2332" s="2222"/>
      <c r="D2332" s="1310"/>
      <c r="E2332" s="1205"/>
      <c r="F2332" s="1104"/>
      <c r="J2332" s="543"/>
      <c r="K2332"/>
      <c r="L2332"/>
      <c r="M2332"/>
    </row>
    <row r="2333" spans="2:13" ht="13.5" thickBot="1">
      <c r="B2333" s="1351"/>
      <c r="C2333" s="801"/>
      <c r="D2333" s="1353"/>
      <c r="E2333" s="1205"/>
      <c r="F2333" s="1104"/>
      <c r="J2333" s="543"/>
      <c r="K2333"/>
      <c r="L2333"/>
      <c r="M2333"/>
    </row>
    <row r="2334" spans="1:247" s="181" customFormat="1" ht="13.5" thickBot="1">
      <c r="A2334" s="1199" t="s">
        <v>5089</v>
      </c>
      <c r="B2334" s="1282">
        <v>421213</v>
      </c>
      <c r="C2334" s="690" t="s">
        <v>1077</v>
      </c>
      <c r="D2334" s="743" t="s">
        <v>4587</v>
      </c>
      <c r="E2334" s="744">
        <v>4087358.31</v>
      </c>
      <c r="F2334" s="1444">
        <v>4087358.31</v>
      </c>
      <c r="G2334" s="1002"/>
      <c r="H2334" s="705"/>
      <c r="I2334" s="705"/>
      <c r="J2334" s="543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  <c r="AB2334"/>
      <c r="AC2334"/>
      <c r="AD2334"/>
      <c r="AE2334"/>
      <c r="AF2334"/>
      <c r="AG2334"/>
      <c r="AH2334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  <c r="AV2334"/>
      <c r="AW2334"/>
      <c r="AX2334"/>
      <c r="AY2334"/>
      <c r="AZ2334"/>
      <c r="BA2334"/>
      <c r="BB2334"/>
      <c r="BC2334"/>
      <c r="BD2334"/>
      <c r="BE2334"/>
      <c r="BF2334"/>
      <c r="BG2334"/>
      <c r="BH2334"/>
      <c r="BI2334"/>
      <c r="BJ2334"/>
      <c r="BK2334"/>
      <c r="BL2334"/>
      <c r="BM2334"/>
      <c r="BN2334"/>
      <c r="BO2334"/>
      <c r="BP2334"/>
      <c r="BQ2334"/>
      <c r="BR2334"/>
      <c r="BS2334"/>
      <c r="BT2334"/>
      <c r="BU2334"/>
      <c r="BV2334"/>
      <c r="BW2334"/>
      <c r="BX2334"/>
      <c r="BY2334"/>
      <c r="BZ2334"/>
      <c r="CA2334"/>
      <c r="CB2334"/>
      <c r="CC2334"/>
      <c r="CD2334"/>
      <c r="CE2334"/>
      <c r="CF2334"/>
      <c r="CG2334"/>
      <c r="CH2334"/>
      <c r="CI2334"/>
      <c r="CJ2334"/>
      <c r="CK2334"/>
      <c r="CL2334"/>
      <c r="CM2334"/>
      <c r="CN2334"/>
      <c r="CO2334"/>
      <c r="CP2334"/>
      <c r="CQ2334"/>
      <c r="CR2334"/>
      <c r="CS2334"/>
      <c r="CT2334"/>
      <c r="CU2334"/>
      <c r="CV2334"/>
      <c r="CW2334"/>
      <c r="CX2334"/>
      <c r="CY2334"/>
      <c r="CZ2334"/>
      <c r="DA2334"/>
      <c r="DB2334"/>
      <c r="DC2334"/>
      <c r="DD2334"/>
      <c r="DE2334"/>
      <c r="DF2334"/>
      <c r="DG2334"/>
      <c r="DH2334"/>
      <c r="DI2334"/>
      <c r="DJ2334"/>
      <c r="DK2334"/>
      <c r="DL2334"/>
      <c r="DM2334"/>
      <c r="DN2334"/>
      <c r="DO2334"/>
      <c r="DP2334"/>
      <c r="DQ2334"/>
      <c r="DR2334"/>
      <c r="DS2334"/>
      <c r="DT2334"/>
      <c r="DU2334"/>
      <c r="DV2334"/>
      <c r="DW2334"/>
      <c r="DX2334"/>
      <c r="DY2334"/>
      <c r="DZ2334"/>
      <c r="EA2334"/>
      <c r="EB2334"/>
      <c r="EC2334"/>
      <c r="ED2334"/>
      <c r="EE2334"/>
      <c r="EF2334"/>
      <c r="EG2334"/>
      <c r="EH2334"/>
      <c r="EI2334"/>
      <c r="EJ2334"/>
      <c r="EK2334"/>
      <c r="EL2334"/>
      <c r="EM2334"/>
      <c r="EN2334"/>
      <c r="EO2334"/>
      <c r="EP2334"/>
      <c r="EQ2334"/>
      <c r="ER2334"/>
      <c r="ES2334"/>
      <c r="ET2334"/>
      <c r="EU2334"/>
      <c r="EV2334"/>
      <c r="EW2334"/>
      <c r="EX2334"/>
      <c r="EY2334"/>
      <c r="EZ2334"/>
      <c r="FA2334"/>
      <c r="FB2334"/>
      <c r="FC2334"/>
      <c r="FD2334"/>
      <c r="FE2334"/>
      <c r="FF2334"/>
      <c r="FG2334"/>
      <c r="FH2334"/>
      <c r="FI2334"/>
      <c r="FJ2334"/>
      <c r="FK2334"/>
      <c r="FL2334"/>
      <c r="FM2334"/>
      <c r="FN2334"/>
      <c r="FO2334"/>
      <c r="FP2334"/>
      <c r="FQ2334"/>
      <c r="FR2334"/>
      <c r="FS2334"/>
      <c r="FT2334"/>
      <c r="FU2334"/>
      <c r="FV2334"/>
      <c r="FW2334"/>
      <c r="FX2334"/>
      <c r="FY2334"/>
      <c r="FZ2334"/>
      <c r="GA2334"/>
      <c r="GB2334"/>
      <c r="GC2334"/>
      <c r="GD2334"/>
      <c r="GE2334"/>
      <c r="GF2334"/>
      <c r="GG2334"/>
      <c r="GH2334"/>
      <c r="GI2334"/>
      <c r="GJ2334"/>
      <c r="GK2334"/>
      <c r="GL2334"/>
      <c r="GM2334"/>
      <c r="GN2334"/>
      <c r="GO2334"/>
      <c r="GP2334"/>
      <c r="GQ2334"/>
      <c r="GR2334"/>
      <c r="GS2334"/>
      <c r="GT2334"/>
      <c r="GU2334"/>
      <c r="GV2334"/>
      <c r="GW2334"/>
      <c r="GX2334"/>
      <c r="GY2334"/>
      <c r="GZ2334"/>
      <c r="HA2334"/>
      <c r="HB2334"/>
      <c r="HC2334"/>
      <c r="HD2334"/>
      <c r="HE2334"/>
      <c r="HF2334"/>
      <c r="HG2334"/>
      <c r="HH2334"/>
      <c r="HI2334"/>
      <c r="HJ2334"/>
      <c r="HK2334"/>
      <c r="HL2334"/>
      <c r="HM2334"/>
      <c r="HN2334"/>
      <c r="HO2334"/>
      <c r="HP2334"/>
      <c r="HQ2334"/>
      <c r="HR2334"/>
      <c r="HS2334"/>
      <c r="HT2334"/>
      <c r="HU2334"/>
      <c r="HV2334"/>
      <c r="HW2334"/>
      <c r="HX2334"/>
      <c r="HY2334"/>
      <c r="HZ2334"/>
      <c r="IA2334"/>
      <c r="IB2334"/>
      <c r="IC2334"/>
      <c r="ID2334"/>
      <c r="IE2334"/>
      <c r="IF2334"/>
      <c r="IG2334"/>
      <c r="IH2334"/>
      <c r="II2334"/>
      <c r="IJ2334"/>
      <c r="IK2334"/>
      <c r="IL2334"/>
      <c r="IM2334"/>
    </row>
    <row r="2335" spans="1:13" ht="13.5" thickBot="1">
      <c r="A2335" s="2283" t="s">
        <v>1499</v>
      </c>
      <c r="B2335" s="2283"/>
      <c r="C2335" s="2283"/>
      <c r="D2335" s="2283"/>
      <c r="E2335" s="1196">
        <f>SUM(E2334:E2334)</f>
        <v>4087358.31</v>
      </c>
      <c r="F2335" s="1196">
        <f>SUM(F2334:F2334)</f>
        <v>4087358.31</v>
      </c>
      <c r="J2335" s="543"/>
      <c r="K2335"/>
      <c r="L2335"/>
      <c r="M2335"/>
    </row>
    <row r="2336" spans="2:13" ht="12.75">
      <c r="B2336" s="827"/>
      <c r="C2336" s="627"/>
      <c r="D2336" s="640"/>
      <c r="E2336" s="1103"/>
      <c r="F2336" s="1104"/>
      <c r="J2336" s="543"/>
      <c r="K2336"/>
      <c r="L2336"/>
      <c r="M2336"/>
    </row>
    <row r="2337" spans="1:13" ht="36" customHeight="1">
      <c r="A2337" s="2258" t="s">
        <v>2030</v>
      </c>
      <c r="B2337" s="2258"/>
      <c r="C2337" s="2258"/>
      <c r="D2337" s="1311"/>
      <c r="E2337" s="1103">
        <f>E2335+E2330</f>
        <v>110060667.7</v>
      </c>
      <c r="F2337" s="1104">
        <f>F2335+F2330</f>
        <v>110060667.7</v>
      </c>
      <c r="J2337" s="543"/>
      <c r="K2337"/>
      <c r="L2337"/>
      <c r="M2337"/>
    </row>
    <row r="2338" spans="2:13" ht="12.75">
      <c r="B2338" s="827"/>
      <c r="C2338" s="627"/>
      <c r="D2338" s="1311"/>
      <c r="E2338" s="1103"/>
      <c r="F2338" s="1104"/>
      <c r="J2338" s="543"/>
      <c r="K2338"/>
      <c r="L2338"/>
      <c r="M2338"/>
    </row>
    <row r="2339" spans="1:13" ht="12.75">
      <c r="A2339" s="2258" t="s">
        <v>2031</v>
      </c>
      <c r="B2339" s="2258"/>
      <c r="C2339" s="2258"/>
      <c r="D2339" s="1311"/>
      <c r="E2339" s="1103">
        <f>E2337</f>
        <v>110060667.7</v>
      </c>
      <c r="F2339" s="1104">
        <f>F2337</f>
        <v>110060667.7</v>
      </c>
      <c r="J2339" s="543"/>
      <c r="K2339"/>
      <c r="L2339"/>
      <c r="M2339"/>
    </row>
    <row r="2340" spans="1:13" ht="12.75">
      <c r="A2340" s="952"/>
      <c r="B2340" s="952"/>
      <c r="C2340" s="952"/>
      <c r="D2340" s="1311"/>
      <c r="E2340" s="1103"/>
      <c r="F2340" s="1104"/>
      <c r="J2340" s="543"/>
      <c r="K2340"/>
      <c r="L2340"/>
      <c r="M2340"/>
    </row>
    <row r="2341" spans="1:13" ht="13.5" thickBot="1">
      <c r="A2341" s="2258" t="s">
        <v>2032</v>
      </c>
      <c r="B2341" s="2258"/>
      <c r="C2341" s="2258"/>
      <c r="D2341" s="1311"/>
      <c r="E2341" s="1006"/>
      <c r="J2341" s="543"/>
      <c r="K2341"/>
      <c r="L2341"/>
      <c r="M2341"/>
    </row>
    <row r="2342" spans="1:13" ht="13.5" thickBot="1">
      <c r="A2342" s="1199"/>
      <c r="B2342" s="1282"/>
      <c r="C2342" s="1328"/>
      <c r="D2342" s="714"/>
      <c r="E2342" s="692"/>
      <c r="F2342" s="693">
        <f>E2342</f>
        <v>0</v>
      </c>
      <c r="J2342" s="543"/>
      <c r="K2342"/>
      <c r="L2342"/>
      <c r="M2342"/>
    </row>
    <row r="2343" spans="1:10" s="752" customFormat="1" ht="13.5" thickBot="1">
      <c r="A2343" s="2225" t="s">
        <v>1499</v>
      </c>
      <c r="B2343" s="2220"/>
      <c r="C2343" s="2220"/>
      <c r="D2343" s="2257"/>
      <c r="E2343" s="1196">
        <f>SUM(E2342:E2342)</f>
        <v>0</v>
      </c>
      <c r="F2343" s="1196">
        <f>SUM(F2342:F2342)</f>
        <v>0</v>
      </c>
      <c r="G2343" s="1127"/>
      <c r="H2343" s="1128"/>
      <c r="I2343" s="1128"/>
      <c r="J2343" s="666"/>
    </row>
    <row r="2344" spans="2:13" ht="12.75">
      <c r="B2344" s="1351"/>
      <c r="C2344" s="801"/>
      <c r="D2344" s="1353"/>
      <c r="E2344" s="1006"/>
      <c r="J2344" s="543"/>
      <c r="K2344"/>
      <c r="L2344"/>
      <c r="M2344"/>
    </row>
    <row r="2345" spans="1:13" ht="12.75">
      <c r="A2345" s="2258" t="s">
        <v>2812</v>
      </c>
      <c r="B2345" s="2258"/>
      <c r="C2345" s="2258"/>
      <c r="D2345" s="2258"/>
      <c r="E2345" s="1103">
        <f>SUM(E2343)</f>
        <v>0</v>
      </c>
      <c r="F2345" s="1104">
        <f>SUM(F2343)</f>
        <v>0</v>
      </c>
      <c r="J2345" s="543"/>
      <c r="K2345"/>
      <c r="L2345"/>
      <c r="M2345"/>
    </row>
    <row r="2346" spans="2:13" ht="12.75">
      <c r="B2346" s="827"/>
      <c r="C2346" s="627"/>
      <c r="D2346" s="952"/>
      <c r="E2346" s="1103"/>
      <c r="F2346" s="1104"/>
      <c r="J2346" s="543"/>
      <c r="K2346"/>
      <c r="L2346"/>
      <c r="M2346"/>
    </row>
    <row r="2347" spans="1:13" ht="12.75">
      <c r="A2347" s="2275" t="s">
        <v>2813</v>
      </c>
      <c r="B2347" s="2275"/>
      <c r="C2347" s="2275"/>
      <c r="D2347" s="2275"/>
      <c r="E2347" s="1357"/>
      <c r="F2347" s="1358"/>
      <c r="J2347" s="543"/>
      <c r="K2347"/>
      <c r="L2347"/>
      <c r="M2347"/>
    </row>
    <row r="2348" spans="1:13" ht="13.5" thickBot="1">
      <c r="A2348" s="1359"/>
      <c r="B2348" s="1364"/>
      <c r="C2348" s="1365"/>
      <c r="D2348" s="1366"/>
      <c r="E2348" s="1362"/>
      <c r="F2348" s="1363"/>
      <c r="J2348" s="543"/>
      <c r="K2348"/>
      <c r="L2348"/>
      <c r="M2348"/>
    </row>
    <row r="2349" spans="1:13" ht="26.25" thickBot="1">
      <c r="A2349" s="1274" t="s">
        <v>2814</v>
      </c>
      <c r="B2349" s="1327">
        <v>441621</v>
      </c>
      <c r="C2349" s="1445" t="s">
        <v>1077</v>
      </c>
      <c r="D2349" s="1446" t="s">
        <v>4248</v>
      </c>
      <c r="E2349" s="1305">
        <v>149927</v>
      </c>
      <c r="F2349" s="779">
        <v>149927</v>
      </c>
      <c r="J2349" s="543"/>
      <c r="K2349"/>
      <c r="L2349"/>
      <c r="M2349"/>
    </row>
    <row r="2350" spans="1:13" ht="13.5" thickBot="1">
      <c r="A2350" s="2276" t="s">
        <v>1499</v>
      </c>
      <c r="B2350" s="2276"/>
      <c r="C2350" s="2276"/>
      <c r="D2350" s="2276"/>
      <c r="E2350" s="1379">
        <f>SUM(E2349:E2349)</f>
        <v>149927</v>
      </c>
      <c r="F2350" s="1379">
        <f>SUM(F2349:F2349)</f>
        <v>149927</v>
      </c>
      <c r="J2350" s="543"/>
      <c r="K2350"/>
      <c r="L2350"/>
      <c r="M2350"/>
    </row>
    <row r="2351" spans="1:13" ht="12.75">
      <c r="A2351" s="1359"/>
      <c r="B2351" s="1364"/>
      <c r="C2351" s="1365"/>
      <c r="D2351" s="1366"/>
      <c r="E2351" s="1362"/>
      <c r="F2351" s="1363"/>
      <c r="J2351" s="543"/>
      <c r="K2351"/>
      <c r="L2351"/>
      <c r="M2351"/>
    </row>
    <row r="2352" spans="1:13" ht="12.75">
      <c r="A2352" s="1359"/>
      <c r="B2352" s="1364"/>
      <c r="C2352" s="1365"/>
      <c r="D2352" s="1366"/>
      <c r="E2352" s="1362"/>
      <c r="F2352" s="1363"/>
      <c r="J2352" s="543"/>
      <c r="K2352"/>
      <c r="L2352"/>
      <c r="M2352"/>
    </row>
    <row r="2353" spans="1:13" ht="12.75">
      <c r="A2353" s="2275" t="s">
        <v>4249</v>
      </c>
      <c r="B2353" s="2275"/>
      <c r="C2353" s="2275"/>
      <c r="D2353" s="2275"/>
      <c r="E2353" s="1357">
        <f>E2350</f>
        <v>149927</v>
      </c>
      <c r="F2353" s="1358">
        <f>F2350</f>
        <v>149927</v>
      </c>
      <c r="J2353" s="543"/>
      <c r="K2353"/>
      <c r="L2353"/>
      <c r="M2353"/>
    </row>
    <row r="2354" spans="1:10" s="1012" customFormat="1" ht="12.75">
      <c r="A2354" s="1107"/>
      <c r="B2354" s="592"/>
      <c r="C2354" s="637"/>
      <c r="D2354" s="709"/>
      <c r="E2354" s="1103"/>
      <c r="F2354" s="1104"/>
      <c r="G2354" s="1009"/>
      <c r="H2354" s="1010"/>
      <c r="I2354" s="1010"/>
      <c r="J2354" s="1011"/>
    </row>
    <row r="2355" spans="2:13" ht="12.75">
      <c r="B2355" s="827"/>
      <c r="C2355" s="627"/>
      <c r="D2355" s="1310"/>
      <c r="E2355" s="1006"/>
      <c r="J2355" s="543"/>
      <c r="K2355"/>
      <c r="L2355"/>
      <c r="M2355"/>
    </row>
    <row r="2356" spans="1:13" ht="12.75">
      <c r="A2356" s="2258" t="s">
        <v>4250</v>
      </c>
      <c r="B2356" s="2284"/>
      <c r="C2356" s="2284"/>
      <c r="D2356" s="2284"/>
      <c r="E2356" s="2284"/>
      <c r="F2356" s="2284"/>
      <c r="J2356" s="543"/>
      <c r="K2356"/>
      <c r="L2356"/>
      <c r="M2356"/>
    </row>
    <row r="2357" spans="2:13" ht="13.5" thickBot="1">
      <c r="B2357" s="1351"/>
      <c r="C2357" s="801"/>
      <c r="D2357" s="1353"/>
      <c r="J2357" s="543"/>
      <c r="K2357"/>
      <c r="L2357"/>
      <c r="M2357"/>
    </row>
    <row r="2358" spans="1:13" ht="25.5">
      <c r="A2358" s="680" t="s">
        <v>2815</v>
      </c>
      <c r="B2358" s="1282">
        <v>4472</v>
      </c>
      <c r="C2358" s="1385" t="s">
        <v>1077</v>
      </c>
      <c r="D2358" s="643" t="s">
        <v>4252</v>
      </c>
      <c r="E2358" s="744">
        <v>5960098</v>
      </c>
      <c r="F2358" s="693">
        <v>5960098</v>
      </c>
      <c r="J2358" s="543"/>
      <c r="K2358"/>
      <c r="L2358"/>
      <c r="M2358"/>
    </row>
    <row r="2359" spans="1:13" ht="25.5">
      <c r="A2359" s="648" t="s">
        <v>2816</v>
      </c>
      <c r="B2359" s="630">
        <v>449921</v>
      </c>
      <c r="C2359" s="727" t="s">
        <v>1077</v>
      </c>
      <c r="D2359" s="675" t="s">
        <v>4253</v>
      </c>
      <c r="E2359" s="748">
        <v>18233762</v>
      </c>
      <c r="F2359" s="698">
        <v>18233762</v>
      </c>
      <c r="J2359" s="543"/>
      <c r="K2359"/>
      <c r="L2359"/>
      <c r="M2359"/>
    </row>
    <row r="2360" spans="1:13" ht="25.5">
      <c r="A2360" s="648" t="s">
        <v>2817</v>
      </c>
      <c r="B2360" s="630">
        <v>449921</v>
      </c>
      <c r="C2360" s="671" t="s">
        <v>579</v>
      </c>
      <c r="D2360" s="597" t="s">
        <v>2818</v>
      </c>
      <c r="E2360" s="670">
        <v>32650</v>
      </c>
      <c r="F2360" s="1447">
        <v>32650</v>
      </c>
      <c r="J2360" s="543"/>
      <c r="K2360"/>
      <c r="L2360"/>
      <c r="M2360"/>
    </row>
    <row r="2361" spans="1:13" ht="25.5">
      <c r="A2361" s="648" t="s">
        <v>2819</v>
      </c>
      <c r="B2361" s="630">
        <v>435125</v>
      </c>
      <c r="C2361" s="671" t="s">
        <v>4848</v>
      </c>
      <c r="D2361" s="597" t="s">
        <v>2820</v>
      </c>
      <c r="E2361" s="670">
        <v>3836700</v>
      </c>
      <c r="F2361" s="1447">
        <v>3836700</v>
      </c>
      <c r="J2361" s="543"/>
      <c r="K2361"/>
      <c r="L2361"/>
      <c r="M2361"/>
    </row>
    <row r="2362" spans="1:13" ht="26.25" thickBot="1">
      <c r="A2362" s="751" t="s">
        <v>2821</v>
      </c>
      <c r="B2362" s="633">
        <v>449921</v>
      </c>
      <c r="C2362" s="710" t="s">
        <v>4848</v>
      </c>
      <c r="D2362" s="603" t="s">
        <v>2822</v>
      </c>
      <c r="E2362" s="678">
        <v>80000</v>
      </c>
      <c r="F2362" s="1392">
        <v>80000</v>
      </c>
      <c r="J2362" s="543"/>
      <c r="K2362"/>
      <c r="L2362"/>
      <c r="M2362"/>
    </row>
    <row r="2363" spans="1:10" s="1012" customFormat="1" ht="13.5" thickBot="1">
      <c r="A2363" s="2283" t="s">
        <v>1499</v>
      </c>
      <c r="B2363" s="2283"/>
      <c r="C2363" s="2283"/>
      <c r="D2363" s="2283"/>
      <c r="E2363" s="1196">
        <f>SUM(E2358:E2362)</f>
        <v>28143210</v>
      </c>
      <c r="F2363" s="1196">
        <f>SUM(F2358:F2362)</f>
        <v>28143210</v>
      </c>
      <c r="G2363" s="1009"/>
      <c r="H2363" s="1010"/>
      <c r="I2363" s="1010"/>
      <c r="J2363" s="1011"/>
    </row>
    <row r="2364" spans="2:13" ht="12.75">
      <c r="B2364" s="1351"/>
      <c r="C2364" s="801"/>
      <c r="D2364" s="1353"/>
      <c r="J2364" s="543"/>
      <c r="K2364"/>
      <c r="L2364"/>
      <c r="M2364"/>
    </row>
    <row r="2365" spans="1:13" ht="12.75">
      <c r="A2365" s="2217" t="s">
        <v>4254</v>
      </c>
      <c r="B2365" s="2217"/>
      <c r="C2365" s="2217"/>
      <c r="D2365" s="2217"/>
      <c r="E2365" s="1103">
        <f>E2363+E2353+E2345</f>
        <v>28293137</v>
      </c>
      <c r="F2365" s="1104">
        <f>F2363+F2353+F2345</f>
        <v>28293137</v>
      </c>
      <c r="J2365" s="543"/>
      <c r="K2365"/>
      <c r="L2365"/>
      <c r="M2365"/>
    </row>
    <row r="2366" spans="2:13" ht="12.75">
      <c r="B2366" s="1351"/>
      <c r="C2366" s="801"/>
      <c r="D2366" s="1353"/>
      <c r="E2366" s="1006"/>
      <c r="J2366" s="543"/>
      <c r="K2366"/>
      <c r="L2366"/>
      <c r="M2366"/>
    </row>
    <row r="2367" spans="2:13" ht="12.75">
      <c r="B2367" s="1351"/>
      <c r="C2367" s="801"/>
      <c r="D2367" s="1353"/>
      <c r="E2367" s="1103"/>
      <c r="F2367" s="1104"/>
      <c r="J2367" s="543"/>
      <c r="K2367"/>
      <c r="L2367"/>
      <c r="M2367"/>
    </row>
    <row r="2368" spans="1:13" ht="12.75">
      <c r="A2368" s="2217" t="s">
        <v>4255</v>
      </c>
      <c r="B2368" s="2217"/>
      <c r="C2368" s="2217"/>
      <c r="D2368" s="2217"/>
      <c r="E2368" s="1103"/>
      <c r="F2368" s="1104"/>
      <c r="J2368" s="543"/>
      <c r="K2368"/>
      <c r="L2368"/>
      <c r="M2368"/>
    </row>
    <row r="2369" spans="1:10" s="1012" customFormat="1" ht="12.75">
      <c r="A2369" s="1107"/>
      <c r="B2369" s="1351"/>
      <c r="C2369" s="801"/>
      <c r="D2369" s="1353"/>
      <c r="E2369" s="1103"/>
      <c r="F2369" s="1104"/>
      <c r="G2369" s="1009"/>
      <c r="H2369" s="1010"/>
      <c r="I2369" s="1010"/>
      <c r="J2369" s="1011"/>
    </row>
    <row r="2370" spans="1:13" ht="12.75">
      <c r="A2370" s="2258" t="s">
        <v>4256</v>
      </c>
      <c r="B2370" s="2284"/>
      <c r="C2370" s="2284"/>
      <c r="D2370" s="2284"/>
      <c r="E2370" s="2284"/>
      <c r="F2370" s="2284"/>
      <c r="J2370" s="543"/>
      <c r="K2370"/>
      <c r="L2370"/>
      <c r="M2370"/>
    </row>
    <row r="2371" spans="2:13" ht="13.5" thickBot="1">
      <c r="B2371" s="1351"/>
      <c r="C2371" s="801"/>
      <c r="D2371" s="1353"/>
      <c r="E2371" s="1006"/>
      <c r="J2371" s="543"/>
      <c r="K2371"/>
      <c r="L2371"/>
      <c r="M2371"/>
    </row>
    <row r="2372" spans="1:13" ht="48.75" thickBot="1">
      <c r="A2372" s="1007" t="s">
        <v>4597</v>
      </c>
      <c r="B2372" s="606" t="s">
        <v>4601</v>
      </c>
      <c r="C2372" s="1008" t="s">
        <v>4602</v>
      </c>
      <c r="D2372" s="606" t="s">
        <v>4603</v>
      </c>
      <c r="E2372" s="738" t="s">
        <v>4604</v>
      </c>
      <c r="F2372" s="739" t="s">
        <v>4605</v>
      </c>
      <c r="J2372" s="543"/>
      <c r="K2372"/>
      <c r="L2372"/>
      <c r="M2372"/>
    </row>
    <row r="2373" spans="1:13" ht="13.5" thickBot="1">
      <c r="A2373" s="1448" t="s">
        <v>2823</v>
      </c>
      <c r="B2373" s="1327">
        <v>48111</v>
      </c>
      <c r="C2373" s="1385" t="s">
        <v>1077</v>
      </c>
      <c r="D2373" s="1449" t="s">
        <v>4258</v>
      </c>
      <c r="E2373" s="779">
        <v>1958686.39</v>
      </c>
      <c r="F2373" s="779">
        <v>1958686.39</v>
      </c>
      <c r="J2373" s="543"/>
      <c r="K2373"/>
      <c r="L2373"/>
      <c r="M2373"/>
    </row>
    <row r="2374" spans="1:13" ht="13.5" thickBot="1">
      <c r="A2374" s="2283" t="s">
        <v>1499</v>
      </c>
      <c r="B2374" s="2283"/>
      <c r="C2374" s="2283"/>
      <c r="D2374" s="2283"/>
      <c r="E2374" s="1196">
        <f>SUM(E2373:E2373)</f>
        <v>1958686.39</v>
      </c>
      <c r="F2374" s="1196">
        <f>SUM(F2373:F2373)</f>
        <v>1958686.39</v>
      </c>
      <c r="J2374" s="543"/>
      <c r="K2374"/>
      <c r="L2374"/>
      <c r="M2374"/>
    </row>
    <row r="2375" spans="2:13" ht="12.75">
      <c r="B2375" s="592"/>
      <c r="C2375" s="637"/>
      <c r="D2375" s="709"/>
      <c r="E2375" s="1103"/>
      <c r="F2375" s="1104"/>
      <c r="J2375" s="543"/>
      <c r="K2375"/>
      <c r="L2375"/>
      <c r="M2375"/>
    </row>
    <row r="2376" spans="2:13" ht="12.75">
      <c r="B2376" s="592"/>
      <c r="C2376" s="637"/>
      <c r="D2376" s="709"/>
      <c r="E2376" s="1103"/>
      <c r="F2376" s="1104"/>
      <c r="J2376" s="543"/>
      <c r="K2376"/>
      <c r="L2376"/>
      <c r="M2376"/>
    </row>
    <row r="2377" spans="1:13" ht="12.75">
      <c r="A2377" s="2258" t="s">
        <v>2824</v>
      </c>
      <c r="B2377" s="2284"/>
      <c r="C2377" s="2284"/>
      <c r="D2377" s="2284"/>
      <c r="E2377" s="2284"/>
      <c r="F2377" s="2284"/>
      <c r="J2377" s="543"/>
      <c r="K2377"/>
      <c r="L2377"/>
      <c r="M2377"/>
    </row>
    <row r="2378" spans="2:13" ht="13.5" thickBot="1">
      <c r="B2378" s="592"/>
      <c r="C2378" s="637"/>
      <c r="D2378" s="640"/>
      <c r="E2378" s="1308"/>
      <c r="F2378" s="1309"/>
      <c r="J2378" s="543"/>
      <c r="K2378"/>
      <c r="L2378"/>
      <c r="M2378"/>
    </row>
    <row r="2379" spans="1:13" ht="26.25" thickBot="1">
      <c r="A2379" s="1450" t="s">
        <v>2825</v>
      </c>
      <c r="B2379" s="1327">
        <v>482</v>
      </c>
      <c r="C2379" s="690" t="s">
        <v>4592</v>
      </c>
      <c r="D2379" s="1451" t="s">
        <v>2826</v>
      </c>
      <c r="E2379" s="778">
        <v>15883938</v>
      </c>
      <c r="F2379" s="779">
        <v>15883938</v>
      </c>
      <c r="J2379" s="543"/>
      <c r="K2379"/>
      <c r="L2379"/>
      <c r="M2379"/>
    </row>
    <row r="2380" spans="1:13" ht="13.5" thickBot="1">
      <c r="A2380" s="2225" t="s">
        <v>1499</v>
      </c>
      <c r="B2380" s="2220"/>
      <c r="C2380" s="2220"/>
      <c r="D2380" s="2257"/>
      <c r="E2380" s="1196">
        <f>SUM(E2379:E2379)</f>
        <v>15883938</v>
      </c>
      <c r="F2380" s="1196">
        <f>SUM(F2379:F2379)</f>
        <v>15883938</v>
      </c>
      <c r="J2380" s="543"/>
      <c r="K2380"/>
      <c r="L2380"/>
      <c r="M2380"/>
    </row>
    <row r="2381" spans="2:13" ht="12.75">
      <c r="B2381" s="592"/>
      <c r="C2381" s="637"/>
      <c r="D2381" s="709"/>
      <c r="E2381" s="1103"/>
      <c r="F2381" s="1104"/>
      <c r="J2381" s="543"/>
      <c r="K2381"/>
      <c r="L2381"/>
      <c r="M2381"/>
    </row>
    <row r="2382" spans="1:13" ht="12.75">
      <c r="A2382" s="2258" t="s">
        <v>4259</v>
      </c>
      <c r="B2382" s="2284"/>
      <c r="C2382" s="2284"/>
      <c r="D2382" s="2284"/>
      <c r="E2382" s="2284"/>
      <c r="F2382" s="2284"/>
      <c r="J2382" s="543"/>
      <c r="K2382"/>
      <c r="L2382"/>
      <c r="M2382"/>
    </row>
    <row r="2383" spans="2:13" ht="13.5" thickBot="1">
      <c r="B2383" s="592"/>
      <c r="C2383" s="637"/>
      <c r="D2383" s="640"/>
      <c r="E2383" s="1308"/>
      <c r="F2383" s="1309"/>
      <c r="J2383" s="543"/>
      <c r="K2383"/>
      <c r="L2383"/>
      <c r="M2383"/>
    </row>
    <row r="2384" spans="1:13" ht="27" thickBot="1" thickTop="1">
      <c r="A2384" s="1421" t="s">
        <v>2827</v>
      </c>
      <c r="B2384" s="1452">
        <v>488</v>
      </c>
      <c r="C2384" s="1303" t="s">
        <v>4848</v>
      </c>
      <c r="D2384" s="1423" t="s">
        <v>2828</v>
      </c>
      <c r="E2384" s="1424">
        <v>553846</v>
      </c>
      <c r="F2384" s="1425">
        <v>553846</v>
      </c>
      <c r="J2384" s="543"/>
      <c r="K2384"/>
      <c r="L2384"/>
      <c r="M2384"/>
    </row>
    <row r="2385" spans="1:13" ht="13.5" thickBot="1">
      <c r="A2385" s="2225" t="s">
        <v>1499</v>
      </c>
      <c r="B2385" s="2220"/>
      <c r="C2385" s="2220"/>
      <c r="D2385" s="2257"/>
      <c r="E2385" s="1196">
        <f>E2384</f>
        <v>553846</v>
      </c>
      <c r="F2385" s="1196">
        <f>F2384</f>
        <v>553846</v>
      </c>
      <c r="J2385" s="543"/>
      <c r="K2385"/>
      <c r="L2385"/>
      <c r="M2385"/>
    </row>
    <row r="2386" spans="2:13" ht="12.75">
      <c r="B2386" s="592"/>
      <c r="C2386" s="637"/>
      <c r="D2386" s="640"/>
      <c r="E2386" s="1103"/>
      <c r="F2386" s="1104"/>
      <c r="J2386" s="543"/>
      <c r="K2386"/>
      <c r="L2386"/>
      <c r="M2386"/>
    </row>
    <row r="2387" spans="1:13" ht="12.75">
      <c r="A2387" s="2217" t="s">
        <v>4255</v>
      </c>
      <c r="B2387" s="2217"/>
      <c r="C2387" s="2217"/>
      <c r="D2387" s="2217"/>
      <c r="E2387" s="1205">
        <f>E2380+E2374+E2385</f>
        <v>18396470.39</v>
      </c>
      <c r="F2387" s="1104">
        <f>F2380+F2374+F2385</f>
        <v>18396470.39</v>
      </c>
      <c r="J2387" s="543"/>
      <c r="K2387"/>
      <c r="L2387"/>
      <c r="M2387"/>
    </row>
    <row r="2388" spans="2:13" ht="12.75">
      <c r="B2388" s="1351"/>
      <c r="C2388" s="801"/>
      <c r="D2388" s="1353"/>
      <c r="J2388" s="543"/>
      <c r="K2388"/>
      <c r="L2388"/>
      <c r="M2388"/>
    </row>
    <row r="2389" spans="2:13" ht="12.75">
      <c r="B2389" s="1351"/>
      <c r="C2389" s="801"/>
      <c r="D2389" s="1353"/>
      <c r="J2389" s="543"/>
      <c r="K2389"/>
      <c r="L2389"/>
      <c r="M2389"/>
    </row>
    <row r="2390" spans="1:6" ht="12.75">
      <c r="A2390" s="2217" t="s">
        <v>4261</v>
      </c>
      <c r="B2390" s="2217"/>
      <c r="C2390" s="2217"/>
      <c r="D2390" s="2217"/>
      <c r="E2390" s="1205">
        <f>E2387+E2365</f>
        <v>46689607.39</v>
      </c>
      <c r="F2390" s="1104">
        <f>F2387+F2365</f>
        <v>46689607.39</v>
      </c>
    </row>
    <row r="2391" spans="2:6" ht="12.75">
      <c r="B2391" s="827"/>
      <c r="C2391" s="627"/>
      <c r="D2391" s="1310"/>
      <c r="E2391" s="1205"/>
      <c r="F2391" s="1104"/>
    </row>
    <row r="2392" spans="2:4" ht="12.75">
      <c r="B2392" s="1351"/>
      <c r="C2392" s="801"/>
      <c r="D2392" s="1353"/>
    </row>
    <row r="2393" spans="1:6" ht="12.75">
      <c r="A2393" s="2285" t="s">
        <v>1193</v>
      </c>
      <c r="B2393" s="2285"/>
      <c r="C2393" s="2285"/>
      <c r="D2393" s="2285"/>
      <c r="E2393" s="1205">
        <f>E2390+E2339+E2313</f>
        <v>2543141104.57</v>
      </c>
      <c r="F2393" s="1104">
        <f>F2390+F2339+F2313</f>
        <v>2543141104.57</v>
      </c>
    </row>
    <row r="2394" spans="2:4" ht="12.75">
      <c r="B2394" s="1351"/>
      <c r="C2394" s="801"/>
      <c r="D2394" s="1353"/>
    </row>
    <row r="2395" spans="2:6" ht="12.75">
      <c r="B2395" s="1351"/>
      <c r="C2395" s="801"/>
      <c r="D2395" s="1353"/>
      <c r="F2395" s="1086" t="s">
        <v>394</v>
      </c>
    </row>
    <row r="2396" spans="1:6" ht="12.75">
      <c r="A2396" s="1453"/>
      <c r="B2396" s="1351"/>
      <c r="C2396" s="801"/>
      <c r="D2396" s="1353"/>
      <c r="F2396" s="1086" t="s">
        <v>394</v>
      </c>
    </row>
    <row r="2397" spans="1:4" ht="12.75">
      <c r="A2397" s="1453"/>
      <c r="B2397" s="1351"/>
      <c r="C2397" s="801"/>
      <c r="D2397" s="1353"/>
    </row>
    <row r="2398" spans="1:4" ht="12.75">
      <c r="A2398" s="1453"/>
      <c r="B2398" s="1351"/>
      <c r="C2398" s="801"/>
      <c r="D2398" s="1353"/>
    </row>
    <row r="2399" spans="1:4" ht="12.75">
      <c r="A2399" s="1453"/>
      <c r="B2399" s="1351"/>
      <c r="C2399" s="801"/>
      <c r="D2399" s="1353"/>
    </row>
    <row r="2400" ht="12.75">
      <c r="A2400" s="1453"/>
    </row>
    <row r="2401" ht="12.75">
      <c r="A2401" s="1453"/>
    </row>
    <row r="2402" ht="12.75">
      <c r="A2402" s="1453"/>
    </row>
    <row r="2403" spans="1:13" ht="12.75">
      <c r="A2403" s="1453"/>
      <c r="J2403" s="543"/>
      <c r="K2403"/>
      <c r="L2403"/>
      <c r="M2403"/>
    </row>
    <row r="2404" spans="1:13" ht="12.75">
      <c r="A2404" s="1453"/>
      <c r="J2404" s="543"/>
      <c r="K2404"/>
      <c r="L2404"/>
      <c r="M2404"/>
    </row>
    <row r="2405" spans="1:13" ht="12.75">
      <c r="A2405" s="1453"/>
      <c r="J2405" s="543"/>
      <c r="K2405"/>
      <c r="L2405"/>
      <c r="M2405"/>
    </row>
    <row r="2419" spans="1:4" ht="12.75">
      <c r="A2419" s="1453"/>
      <c r="D2419" s="1454"/>
    </row>
    <row r="2420" spans="1:4" ht="12.75">
      <c r="A2420" s="1453"/>
      <c r="D2420" s="1454"/>
    </row>
    <row r="2421" spans="1:4" ht="12.75">
      <c r="A2421" s="1453"/>
      <c r="D2421" s="1455"/>
    </row>
  </sheetData>
  <sheetProtection/>
  <mergeCells count="150">
    <mergeCell ref="A2370:F2370"/>
    <mergeCell ref="A2374:D2374"/>
    <mergeCell ref="A2387:D2387"/>
    <mergeCell ref="A2390:D2390"/>
    <mergeCell ref="A2393:D2393"/>
    <mergeCell ref="A2377:F2377"/>
    <mergeCell ref="A2380:D2380"/>
    <mergeCell ref="A2382:F2382"/>
    <mergeCell ref="A2385:D2385"/>
    <mergeCell ref="A2350:D2350"/>
    <mergeCell ref="A2353:D2353"/>
    <mergeCell ref="A2356:F2356"/>
    <mergeCell ref="A2363:D2363"/>
    <mergeCell ref="A2365:D2365"/>
    <mergeCell ref="A2368:D2368"/>
    <mergeCell ref="A2337:C2337"/>
    <mergeCell ref="A2339:C2339"/>
    <mergeCell ref="A2341:C2341"/>
    <mergeCell ref="A2343:D2343"/>
    <mergeCell ref="A2345:D2345"/>
    <mergeCell ref="A2347:D2347"/>
    <mergeCell ref="A2313:C2313"/>
    <mergeCell ref="A2317:F2317"/>
    <mergeCell ref="A2319:F2319"/>
    <mergeCell ref="A2330:D2330"/>
    <mergeCell ref="A2332:C2332"/>
    <mergeCell ref="A2335:D2335"/>
    <mergeCell ref="A2285:C2285"/>
    <mergeCell ref="A2289:C2289"/>
    <mergeCell ref="A2292:B2292"/>
    <mergeCell ref="A2299:D2299"/>
    <mergeCell ref="A2302:B2302"/>
    <mergeCell ref="A2311:D2311"/>
    <mergeCell ref="A2263:F2263"/>
    <mergeCell ref="A2268:D2268"/>
    <mergeCell ref="A2271:F2271"/>
    <mergeCell ref="A2275:D2275"/>
    <mergeCell ref="A2277:D2277"/>
    <mergeCell ref="A2280:C2280"/>
    <mergeCell ref="A2232:F2232"/>
    <mergeCell ref="A2251:D2251"/>
    <mergeCell ref="A2253:C2253"/>
    <mergeCell ref="A2255:D2255"/>
    <mergeCell ref="A2258:D2258"/>
    <mergeCell ref="A2261:F2261"/>
    <mergeCell ref="A2215:C2215"/>
    <mergeCell ref="A2218:D2218"/>
    <mergeCell ref="A2221:D2221"/>
    <mergeCell ref="A2223:F2223"/>
    <mergeCell ref="A2225:F2225"/>
    <mergeCell ref="A2230:D2230"/>
    <mergeCell ref="A2174:D2174"/>
    <mergeCell ref="A2195:D2195"/>
    <mergeCell ref="A2198:C2198"/>
    <mergeCell ref="A2206:D2206"/>
    <mergeCell ref="A2208:C2208"/>
    <mergeCell ref="A2213:D2213"/>
    <mergeCell ref="A2158:D2158"/>
    <mergeCell ref="A2162:D2162"/>
    <mergeCell ref="A2164:C2164"/>
    <mergeCell ref="A2167:D2167"/>
    <mergeCell ref="A2170:D2170"/>
    <mergeCell ref="A2172:B2172"/>
    <mergeCell ref="A2131:F2131"/>
    <mergeCell ref="A2143:D2143"/>
    <mergeCell ref="A2144:D2144"/>
    <mergeCell ref="A2149:D2150"/>
    <mergeCell ref="A2154:D2154"/>
    <mergeCell ref="A2156:C2156"/>
    <mergeCell ref="A2063:F2063"/>
    <mergeCell ref="A2066:F2066"/>
    <mergeCell ref="A2085:D2085"/>
    <mergeCell ref="A2091:F2091"/>
    <mergeCell ref="A2095:F2095"/>
    <mergeCell ref="A2099:F2099"/>
    <mergeCell ref="A1992:D1992"/>
    <mergeCell ref="A2006:F2006"/>
    <mergeCell ref="A2012:F2012"/>
    <mergeCell ref="A2018:F2018"/>
    <mergeCell ref="A2023:F2023"/>
    <mergeCell ref="A2058:F2058"/>
    <mergeCell ref="A1927:F1927"/>
    <mergeCell ref="A1955:D1955"/>
    <mergeCell ref="A1981:F1981"/>
    <mergeCell ref="A1983:D1983"/>
    <mergeCell ref="A1985:F1985"/>
    <mergeCell ref="A1987:D1987"/>
    <mergeCell ref="A1438:D1438"/>
    <mergeCell ref="A1453:F1453"/>
    <mergeCell ref="A1892:D1892"/>
    <mergeCell ref="A1896:D1896"/>
    <mergeCell ref="A1972:F1972"/>
    <mergeCell ref="A1980:D1980"/>
    <mergeCell ref="A1909:D1909"/>
    <mergeCell ref="A1911:F1911"/>
    <mergeCell ref="A1913:F1913"/>
    <mergeCell ref="A1923:F1923"/>
    <mergeCell ref="A303:D303"/>
    <mergeCell ref="A599:F599"/>
    <mergeCell ref="A964:D964"/>
    <mergeCell ref="A1136:F1136"/>
    <mergeCell ref="A782:D782"/>
    <mergeCell ref="A798:D798"/>
    <mergeCell ref="A8:D8"/>
    <mergeCell ref="A9:F9"/>
    <mergeCell ref="A93:E93"/>
    <mergeCell ref="C202:D202"/>
    <mergeCell ref="A1:F1"/>
    <mergeCell ref="A3:F3"/>
    <mergeCell ref="A4:F4"/>
    <mergeCell ref="A5:F5"/>
    <mergeCell ref="A2:F2"/>
    <mergeCell ref="A236:F236"/>
    <mergeCell ref="A238:F238"/>
    <mergeCell ref="A240:D240"/>
    <mergeCell ref="A252:F252"/>
    <mergeCell ref="A204:D204"/>
    <mergeCell ref="A206:D206"/>
    <mergeCell ref="A215:F215"/>
    <mergeCell ref="C227:D227"/>
    <mergeCell ref="A1200:D1200"/>
    <mergeCell ref="A1211:F1211"/>
    <mergeCell ref="A1180:C1180"/>
    <mergeCell ref="A1193:D1193"/>
    <mergeCell ref="A229:D229"/>
    <mergeCell ref="A631:F631"/>
    <mergeCell ref="A699:F699"/>
    <mergeCell ref="A745:F745"/>
    <mergeCell ref="A232:F232"/>
    <mergeCell ref="A234:F234"/>
    <mergeCell ref="A1691:F1691"/>
    <mergeCell ref="A1694:F1694"/>
    <mergeCell ref="A1858:F1858"/>
    <mergeCell ref="B1891:D1891"/>
    <mergeCell ref="A1217:F1217"/>
    <mergeCell ref="A1224:C1224"/>
    <mergeCell ref="A1226:F1226"/>
    <mergeCell ref="A1228:F1228"/>
    <mergeCell ref="A1339:F1339"/>
    <mergeCell ref="A1359:F1359"/>
    <mergeCell ref="A1957:F1957"/>
    <mergeCell ref="A1970:F1970"/>
    <mergeCell ref="A1965:D1965"/>
    <mergeCell ref="A1968:D1968"/>
    <mergeCell ref="A1456:F1456"/>
    <mergeCell ref="A1459:F1459"/>
    <mergeCell ref="A1844:F1844"/>
    <mergeCell ref="A1903:F1903"/>
    <mergeCell ref="A1591:F1591"/>
    <mergeCell ref="A1602:F160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H1"/>
    </sheetView>
  </sheetViews>
  <sheetFormatPr defaultColWidth="9.00390625" defaultRowHeight="12.75"/>
  <cols>
    <col min="2" max="2" width="35.75390625" style="0" customWidth="1"/>
    <col min="3" max="3" width="12.625" style="0" customWidth="1"/>
    <col min="4" max="4" width="10.625" style="0" customWidth="1"/>
    <col min="5" max="5" width="12.875" style="0" customWidth="1"/>
    <col min="7" max="7" width="10.125" style="0" customWidth="1"/>
    <col min="8" max="9" width="10.00390625" style="0" customWidth="1"/>
  </cols>
  <sheetData>
    <row r="1" spans="1:8" ht="12.75">
      <c r="A1" s="2286" t="s">
        <v>5297</v>
      </c>
      <c r="B1" s="2286"/>
      <c r="C1" s="2286"/>
      <c r="D1" s="2286"/>
      <c r="E1" s="2286"/>
      <c r="F1" s="2286"/>
      <c r="G1" s="2286"/>
      <c r="H1" s="2286"/>
    </row>
    <row r="2" spans="1:8" ht="12.75">
      <c r="A2" s="542"/>
      <c r="B2" s="542"/>
      <c r="C2" s="542" t="s">
        <v>2809</v>
      </c>
      <c r="D2" s="542"/>
      <c r="E2" s="542"/>
      <c r="F2" s="542"/>
      <c r="G2" s="542"/>
      <c r="H2" s="542"/>
    </row>
    <row r="3" spans="1:8" ht="12.75">
      <c r="A3" s="2286" t="s">
        <v>2810</v>
      </c>
      <c r="B3" s="2286"/>
      <c r="C3" s="2286"/>
      <c r="D3" s="2286"/>
      <c r="E3" s="2286"/>
      <c r="F3" s="2286"/>
      <c r="G3" s="2286"/>
      <c r="H3" s="2286"/>
    </row>
    <row r="4" spans="1:8" ht="12.75">
      <c r="A4" s="542"/>
      <c r="B4" s="542"/>
      <c r="C4" s="542"/>
      <c r="D4" s="542"/>
      <c r="E4" s="542"/>
      <c r="F4" s="542"/>
      <c r="G4" s="542"/>
      <c r="H4" s="542"/>
    </row>
    <row r="5" ht="13.5" thickBot="1"/>
    <row r="6" spans="1:9" ht="52.5" customHeight="1">
      <c r="A6" s="2030" t="s">
        <v>4597</v>
      </c>
      <c r="B6" s="2031" t="s">
        <v>4585</v>
      </c>
      <c r="C6" s="2031" t="s">
        <v>4586</v>
      </c>
      <c r="D6" s="2031" t="s">
        <v>2811</v>
      </c>
      <c r="E6" s="2289" t="s">
        <v>4587</v>
      </c>
      <c r="F6" s="2289" t="s">
        <v>4588</v>
      </c>
      <c r="G6" s="2289"/>
      <c r="H6" s="2291" t="s">
        <v>4589</v>
      </c>
      <c r="I6" s="2292"/>
    </row>
    <row r="7" spans="1:9" ht="52.5" customHeight="1">
      <c r="A7" s="2287"/>
      <c r="B7" s="2288"/>
      <c r="C7" s="2288"/>
      <c r="D7" s="2288"/>
      <c r="E7" s="2290"/>
      <c r="F7" s="1891" t="s">
        <v>4590</v>
      </c>
      <c r="G7" s="1891" t="s">
        <v>4591</v>
      </c>
      <c r="H7" s="1891" t="s">
        <v>4590</v>
      </c>
      <c r="I7" s="1892" t="s">
        <v>4591</v>
      </c>
    </row>
    <row r="8" spans="1:9" ht="12.75">
      <c r="A8" s="1893" t="s">
        <v>4029</v>
      </c>
      <c r="B8" s="946" t="s">
        <v>4595</v>
      </c>
      <c r="C8" s="946">
        <v>605</v>
      </c>
      <c r="D8" s="946"/>
      <c r="E8" s="946">
        <f aca="true" t="shared" si="0" ref="E8:E13">C8+D8</f>
        <v>605</v>
      </c>
      <c r="F8" s="946"/>
      <c r="G8" s="946"/>
      <c r="H8" s="946">
        <f>E8-F8-G8</f>
        <v>605</v>
      </c>
      <c r="I8" s="386"/>
    </row>
    <row r="9" spans="1:9" ht="12.75">
      <c r="A9" s="1893" t="s">
        <v>4041</v>
      </c>
      <c r="B9" s="946" t="s">
        <v>4594</v>
      </c>
      <c r="C9" s="946">
        <v>508</v>
      </c>
      <c r="D9" s="946"/>
      <c r="E9" s="946">
        <f t="shared" si="0"/>
        <v>508</v>
      </c>
      <c r="F9" s="946"/>
      <c r="G9" s="946">
        <v>500</v>
      </c>
      <c r="H9" s="946">
        <v>8</v>
      </c>
      <c r="I9" s="386"/>
    </row>
    <row r="10" spans="1:9" ht="12.75">
      <c r="A10" s="1893" t="s">
        <v>4166</v>
      </c>
      <c r="B10" s="946" t="s">
        <v>4592</v>
      </c>
      <c r="C10" s="946">
        <v>4382</v>
      </c>
      <c r="D10" s="946"/>
      <c r="E10" s="946">
        <f t="shared" si="0"/>
        <v>4382</v>
      </c>
      <c r="F10" s="946">
        <v>843</v>
      </c>
      <c r="G10" s="946"/>
      <c r="H10" s="946">
        <f>E10-F10</f>
        <v>3539</v>
      </c>
      <c r="I10" s="386"/>
    </row>
    <row r="11" spans="1:9" ht="12.75">
      <c r="A11" s="1893" t="s">
        <v>4061</v>
      </c>
      <c r="B11" s="946" t="s">
        <v>1078</v>
      </c>
      <c r="C11" s="946">
        <v>351</v>
      </c>
      <c r="D11" s="946"/>
      <c r="E11" s="946">
        <f t="shared" si="0"/>
        <v>351</v>
      </c>
      <c r="F11" s="946">
        <v>217</v>
      </c>
      <c r="G11" s="946"/>
      <c r="H11" s="946">
        <f>E11-F11</f>
        <v>134</v>
      </c>
      <c r="I11" s="386"/>
    </row>
    <row r="12" spans="1:9" ht="12.75">
      <c r="A12" s="1893" t="s">
        <v>4074</v>
      </c>
      <c r="B12" s="946" t="s">
        <v>4593</v>
      </c>
      <c r="C12" s="946">
        <v>1063</v>
      </c>
      <c r="D12" s="946"/>
      <c r="E12" s="946">
        <f t="shared" si="0"/>
        <v>1063</v>
      </c>
      <c r="F12" s="946"/>
      <c r="G12" s="946"/>
      <c r="H12" s="946">
        <f>E12-F12</f>
        <v>1063</v>
      </c>
      <c r="I12" s="386"/>
    </row>
    <row r="13" spans="1:9" ht="12.75">
      <c r="A13" s="1893" t="s">
        <v>4195</v>
      </c>
      <c r="B13" s="946" t="s">
        <v>4596</v>
      </c>
      <c r="C13" s="946">
        <v>98001</v>
      </c>
      <c r="D13" s="946">
        <v>2089</v>
      </c>
      <c r="E13" s="946">
        <f t="shared" si="0"/>
        <v>100090</v>
      </c>
      <c r="F13" s="946">
        <v>40704</v>
      </c>
      <c r="G13" s="946">
        <v>10634</v>
      </c>
      <c r="H13" s="946">
        <f>E13-F13-G13</f>
        <v>48752</v>
      </c>
      <c r="I13" s="386"/>
    </row>
    <row r="14" spans="1:9" ht="23.25" thickBot="1">
      <c r="A14" s="1894" t="s">
        <v>4094</v>
      </c>
      <c r="B14" s="1895" t="s">
        <v>3017</v>
      </c>
      <c r="C14" s="1612">
        <v>1063</v>
      </c>
      <c r="D14" s="1612"/>
      <c r="E14" s="1612">
        <v>1063</v>
      </c>
      <c r="F14" s="1612"/>
      <c r="G14" s="1612">
        <v>1063</v>
      </c>
      <c r="H14" s="1612"/>
      <c r="I14" s="1613"/>
    </row>
    <row r="15" spans="1:9" ht="13.5" thickBot="1">
      <c r="A15" s="1896" t="s">
        <v>4102</v>
      </c>
      <c r="B15" s="1620" t="s">
        <v>1499</v>
      </c>
      <c r="C15" s="1620">
        <f>SUM(C8:C14)</f>
        <v>105973</v>
      </c>
      <c r="D15" s="1620">
        <f aca="true" t="shared" si="1" ref="D15:I15">SUM(D8:D14)</f>
        <v>2089</v>
      </c>
      <c r="E15" s="1620">
        <f t="shared" si="1"/>
        <v>108062</v>
      </c>
      <c r="F15" s="1620">
        <f t="shared" si="1"/>
        <v>41764</v>
      </c>
      <c r="G15" s="1620">
        <f t="shared" si="1"/>
        <v>12197</v>
      </c>
      <c r="H15" s="1620">
        <f t="shared" si="1"/>
        <v>54101</v>
      </c>
      <c r="I15" s="1560">
        <f t="shared" si="1"/>
        <v>0</v>
      </c>
    </row>
  </sheetData>
  <sheetProtection/>
  <mergeCells count="9">
    <mergeCell ref="A1:H1"/>
    <mergeCell ref="A3:H3"/>
    <mergeCell ref="A6:A7"/>
    <mergeCell ref="B6:B7"/>
    <mergeCell ref="C6:C7"/>
    <mergeCell ref="D6:D7"/>
    <mergeCell ref="E6:E7"/>
    <mergeCell ref="F6:G6"/>
    <mergeCell ref="H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31" sqref="O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9" sqref="B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3"/>
  <sheetViews>
    <sheetView zoomScale="125" zoomScaleNormal="125" zoomScalePageLayoutView="0" workbookViewId="0" topLeftCell="A1">
      <selection activeCell="A1" sqref="A1:N1"/>
    </sheetView>
  </sheetViews>
  <sheetFormatPr defaultColWidth="9.00390625" defaultRowHeight="12.75"/>
  <cols>
    <col min="1" max="1" width="2.875" style="867" customWidth="1"/>
    <col min="2" max="2" width="3.375" style="867" customWidth="1"/>
    <col min="3" max="3" width="3.75390625" style="867" customWidth="1"/>
    <col min="4" max="4" width="35.875" style="867" customWidth="1"/>
    <col min="5" max="5" width="6.875" style="867" customWidth="1"/>
    <col min="6" max="6" width="7.875" style="867" customWidth="1"/>
    <col min="7" max="7" width="6.875" style="867" customWidth="1"/>
    <col min="8" max="8" width="3.25390625" style="867" customWidth="1"/>
    <col min="9" max="9" width="3.125" style="867" customWidth="1"/>
    <col min="10" max="10" width="3.75390625" style="867" customWidth="1"/>
    <col min="11" max="11" width="31.125" style="867" customWidth="1"/>
    <col min="12" max="12" width="8.00390625" style="867" customWidth="1"/>
    <col min="13" max="14" width="7.375" style="867" customWidth="1"/>
    <col min="15" max="16384" width="9.125" style="867" customWidth="1"/>
  </cols>
  <sheetData>
    <row r="1" spans="1:14" ht="12.75">
      <c r="A1" s="2004" t="s">
        <v>5269</v>
      </c>
      <c r="B1" s="2004"/>
      <c r="C1" s="2004"/>
      <c r="D1" s="2004"/>
      <c r="E1" s="2004"/>
      <c r="F1" s="2004"/>
      <c r="G1" s="2004"/>
      <c r="H1" s="2004"/>
      <c r="I1" s="2004"/>
      <c r="J1" s="2004"/>
      <c r="K1" s="2004"/>
      <c r="L1" s="2004"/>
      <c r="M1" s="2004"/>
      <c r="N1" s="2004"/>
    </row>
    <row r="2" spans="1:14" ht="14.25" customHeight="1">
      <c r="A2" s="2014" t="s">
        <v>2782</v>
      </c>
      <c r="B2" s="2014"/>
      <c r="C2" s="2014"/>
      <c r="D2" s="2014"/>
      <c r="E2" s="2014"/>
      <c r="F2" s="2014"/>
      <c r="G2" s="2014"/>
      <c r="H2" s="2014"/>
      <c r="I2" s="2014"/>
      <c r="J2" s="2014"/>
      <c r="K2" s="2014"/>
      <c r="L2" s="2014"/>
      <c r="M2" s="2014"/>
      <c r="N2" s="2014"/>
    </row>
    <row r="3" spans="1:14" ht="12" customHeight="1">
      <c r="A3" s="2007" t="s">
        <v>669</v>
      </c>
      <c r="B3" s="2007"/>
      <c r="C3" s="2007"/>
      <c r="D3" s="2007"/>
      <c r="E3" s="2007"/>
      <c r="F3" s="2007"/>
      <c r="G3" s="2007"/>
      <c r="H3" s="2007" t="s">
        <v>670</v>
      </c>
      <c r="I3" s="2007"/>
      <c r="J3" s="2007"/>
      <c r="K3" s="2007"/>
      <c r="L3" s="2007"/>
      <c r="M3" s="2007"/>
      <c r="N3" s="2007"/>
    </row>
    <row r="4" spans="1:14" ht="22.5" customHeight="1">
      <c r="A4" s="2001" t="s">
        <v>671</v>
      </c>
      <c r="B4" s="2002"/>
      <c r="C4" s="2002"/>
      <c r="D4" s="2003"/>
      <c r="E4" s="1697" t="s">
        <v>672</v>
      </c>
      <c r="F4" s="1697" t="s">
        <v>673</v>
      </c>
      <c r="G4" s="1697" t="s">
        <v>4220</v>
      </c>
      <c r="H4" s="2015" t="s">
        <v>671</v>
      </c>
      <c r="I4" s="2015"/>
      <c r="J4" s="2015"/>
      <c r="K4" s="2015"/>
      <c r="L4" s="1697" t="s">
        <v>672</v>
      </c>
      <c r="M4" s="1697" t="s">
        <v>673</v>
      </c>
      <c r="N4" s="1697" t="s">
        <v>4220</v>
      </c>
    </row>
    <row r="5" spans="1:14" ht="11.25" customHeight="1">
      <c r="A5" s="1698" t="s">
        <v>675</v>
      </c>
      <c r="B5" s="1980" t="s">
        <v>676</v>
      </c>
      <c r="C5" s="1980"/>
      <c r="D5" s="1980"/>
      <c r="E5" s="194"/>
      <c r="F5" s="194"/>
      <c r="G5" s="194"/>
      <c r="H5" s="1696" t="s">
        <v>675</v>
      </c>
      <c r="I5" s="1987" t="s">
        <v>676</v>
      </c>
      <c r="J5" s="1987"/>
      <c r="K5" s="1987"/>
      <c r="L5" s="194"/>
      <c r="M5" s="194"/>
      <c r="N5" s="194"/>
    </row>
    <row r="6" spans="1:14" ht="11.25" customHeight="1">
      <c r="A6" s="1699"/>
      <c r="B6" s="1700">
        <v>1</v>
      </c>
      <c r="C6" s="1970" t="s">
        <v>677</v>
      </c>
      <c r="D6" s="1971"/>
      <c r="E6" s="1701">
        <f>E7+E8+E10+E9</f>
        <v>0</v>
      </c>
      <c r="F6" s="1701">
        <f>F7+F8+F10+F9</f>
        <v>0</v>
      </c>
      <c r="G6" s="1701">
        <f>G7+G8+G10+G9</f>
        <v>0</v>
      </c>
      <c r="H6" s="487"/>
      <c r="I6" s="178" t="s">
        <v>4029</v>
      </c>
      <c r="J6" s="1999" t="s">
        <v>4136</v>
      </c>
      <c r="K6" s="1999"/>
      <c r="L6" s="1702">
        <v>42256</v>
      </c>
      <c r="M6" s="1702">
        <v>43375</v>
      </c>
      <c r="N6" s="1702">
        <v>43322</v>
      </c>
    </row>
    <row r="7" spans="1:14" ht="11.25" customHeight="1">
      <c r="A7" s="1699"/>
      <c r="B7" s="1703"/>
      <c r="C7" s="183" t="s">
        <v>4135</v>
      </c>
      <c r="D7" s="1704" t="s">
        <v>4034</v>
      </c>
      <c r="E7" s="194"/>
      <c r="F7" s="194"/>
      <c r="G7" s="194"/>
      <c r="H7" s="487"/>
      <c r="I7" s="178" t="s">
        <v>4031</v>
      </c>
      <c r="J7" s="1999" t="s">
        <v>4138</v>
      </c>
      <c r="K7" s="1999"/>
      <c r="L7" s="1702">
        <v>10934</v>
      </c>
      <c r="M7" s="1702">
        <v>11232</v>
      </c>
      <c r="N7" s="1702">
        <v>10303</v>
      </c>
    </row>
    <row r="8" spans="1:14" ht="13.5" customHeight="1">
      <c r="A8" s="194"/>
      <c r="B8" s="487"/>
      <c r="C8" s="184" t="s">
        <v>4137</v>
      </c>
      <c r="D8" s="1704" t="s">
        <v>4036</v>
      </c>
      <c r="E8" s="194"/>
      <c r="F8" s="1705"/>
      <c r="G8" s="194"/>
      <c r="H8" s="487"/>
      <c r="I8" s="178" t="s">
        <v>4041</v>
      </c>
      <c r="J8" s="1999" t="s">
        <v>4140</v>
      </c>
      <c r="K8" s="1999"/>
      <c r="L8" s="1702">
        <v>14531</v>
      </c>
      <c r="M8" s="1706">
        <v>12575</v>
      </c>
      <c r="N8" s="1706">
        <v>11691</v>
      </c>
    </row>
    <row r="9" spans="1:14" ht="9.75" customHeight="1">
      <c r="A9" s="194"/>
      <c r="B9" s="487"/>
      <c r="C9" s="184" t="s">
        <v>679</v>
      </c>
      <c r="D9" s="1704" t="s">
        <v>4038</v>
      </c>
      <c r="E9" s="194"/>
      <c r="F9" s="194"/>
      <c r="G9" s="194"/>
      <c r="H9" s="487"/>
      <c r="I9" s="178" t="s">
        <v>4166</v>
      </c>
      <c r="J9" s="1999" t="s">
        <v>4142</v>
      </c>
      <c r="K9" s="1999"/>
      <c r="L9" s="1702"/>
      <c r="M9" s="1702"/>
      <c r="N9" s="1702"/>
    </row>
    <row r="10" spans="1:14" ht="10.5" customHeight="1">
      <c r="A10" s="194"/>
      <c r="B10" s="487"/>
      <c r="C10" s="184" t="s">
        <v>680</v>
      </c>
      <c r="D10" s="1704" t="s">
        <v>4040</v>
      </c>
      <c r="E10" s="1701"/>
      <c r="F10" s="194"/>
      <c r="G10" s="194"/>
      <c r="H10" s="487"/>
      <c r="I10" s="178" t="s">
        <v>4061</v>
      </c>
      <c r="J10" s="1999" t="s">
        <v>4144</v>
      </c>
      <c r="K10" s="1999"/>
      <c r="L10" s="1702">
        <f>L11+L12+L13+L14+L16+L17+L15+L18</f>
        <v>124691</v>
      </c>
      <c r="M10" s="1702">
        <f>M11+M12+M13+M14+M16+M17+M15+M18</f>
        <v>108966</v>
      </c>
      <c r="N10" s="1702">
        <f>N11+N12+N13+N14+N16+N17+N15+N18</f>
        <v>108515</v>
      </c>
    </row>
    <row r="11" spans="1:14" ht="14.25" customHeight="1">
      <c r="A11" s="194"/>
      <c r="B11" s="185" t="s">
        <v>4031</v>
      </c>
      <c r="C11" s="1980" t="s">
        <v>682</v>
      </c>
      <c r="D11" s="1980"/>
      <c r="E11" s="194">
        <f>SUM(E12:E17)</f>
        <v>699</v>
      </c>
      <c r="F11" s="194">
        <f>SUM(F12:F17)</f>
        <v>699</v>
      </c>
      <c r="G11" s="194">
        <f>SUM(G12:G17)</f>
        <v>1073</v>
      </c>
      <c r="H11" s="487"/>
      <c r="I11" s="487"/>
      <c r="J11" s="184" t="s">
        <v>4063</v>
      </c>
      <c r="K11" s="186" t="s">
        <v>683</v>
      </c>
      <c r="L11" s="1702"/>
      <c r="M11" s="1702"/>
      <c r="N11" s="1702"/>
    </row>
    <row r="12" spans="1:14" ht="12.75" customHeight="1">
      <c r="A12" s="194"/>
      <c r="B12" s="487"/>
      <c r="C12" s="184" t="s">
        <v>684</v>
      </c>
      <c r="D12" s="186" t="s">
        <v>4046</v>
      </c>
      <c r="E12" s="194"/>
      <c r="F12" s="194"/>
      <c r="G12" s="194"/>
      <c r="H12" s="487"/>
      <c r="I12" s="487"/>
      <c r="J12" s="184" t="s">
        <v>4064</v>
      </c>
      <c r="K12" s="187" t="s">
        <v>686</v>
      </c>
      <c r="L12" s="1702">
        <v>124691</v>
      </c>
      <c r="M12" s="1707">
        <v>108966</v>
      </c>
      <c r="N12" s="1707">
        <v>108515</v>
      </c>
    </row>
    <row r="13" spans="1:14" ht="12.75" customHeight="1">
      <c r="A13" s="194"/>
      <c r="B13" s="487"/>
      <c r="C13" s="184" t="s">
        <v>687</v>
      </c>
      <c r="D13" s="186" t="s">
        <v>4048</v>
      </c>
      <c r="E13" s="194"/>
      <c r="F13" s="194"/>
      <c r="G13" s="194"/>
      <c r="H13" s="487"/>
      <c r="I13" s="487"/>
      <c r="J13" s="184" t="s">
        <v>4065</v>
      </c>
      <c r="K13" s="188" t="s">
        <v>688</v>
      </c>
      <c r="L13" s="194"/>
      <c r="M13" s="194"/>
      <c r="N13" s="194"/>
    </row>
    <row r="14" spans="1:14" ht="10.5" customHeight="1">
      <c r="A14" s="194"/>
      <c r="B14" s="487"/>
      <c r="C14" s="184" t="s">
        <v>689</v>
      </c>
      <c r="D14" s="186" t="s">
        <v>4050</v>
      </c>
      <c r="E14" s="194"/>
      <c r="F14" s="194"/>
      <c r="G14" s="194"/>
      <c r="H14" s="487"/>
      <c r="I14" s="487"/>
      <c r="J14" s="184" t="s">
        <v>4066</v>
      </c>
      <c r="K14" s="186" t="s">
        <v>3703</v>
      </c>
      <c r="L14" s="194"/>
      <c r="M14" s="194"/>
      <c r="N14" s="194"/>
    </row>
    <row r="15" spans="1:14" ht="12" customHeight="1">
      <c r="A15" s="194"/>
      <c r="B15" s="487"/>
      <c r="C15" s="184" t="s">
        <v>691</v>
      </c>
      <c r="D15" s="186" t="s">
        <v>695</v>
      </c>
      <c r="E15" s="194">
        <v>149</v>
      </c>
      <c r="F15" s="194">
        <v>149</v>
      </c>
      <c r="G15" s="1708">
        <v>156</v>
      </c>
      <c r="H15" s="1709"/>
      <c r="I15" s="487"/>
      <c r="J15" s="184" t="s">
        <v>692</v>
      </c>
      <c r="K15" s="186" t="s">
        <v>693</v>
      </c>
      <c r="L15" s="194"/>
      <c r="M15" s="194"/>
      <c r="N15" s="194"/>
    </row>
    <row r="16" spans="1:14" ht="10.5" customHeight="1">
      <c r="A16" s="194"/>
      <c r="B16" s="487"/>
      <c r="C16" s="184" t="s">
        <v>694</v>
      </c>
      <c r="D16" s="186" t="s">
        <v>4056</v>
      </c>
      <c r="E16" s="194"/>
      <c r="F16" s="194"/>
      <c r="G16" s="1708">
        <v>58</v>
      </c>
      <c r="H16" s="1709"/>
      <c r="I16" s="487"/>
      <c r="J16" s="184" t="s">
        <v>696</v>
      </c>
      <c r="K16" s="186" t="s">
        <v>3724</v>
      </c>
      <c r="L16" s="194"/>
      <c r="M16" s="194"/>
      <c r="N16" s="194"/>
    </row>
    <row r="17" spans="1:14" ht="12" customHeight="1">
      <c r="A17" s="194"/>
      <c r="B17" s="487"/>
      <c r="C17" s="184" t="s">
        <v>698</v>
      </c>
      <c r="D17" s="186" t="s">
        <v>4058</v>
      </c>
      <c r="E17" s="194">
        <v>550</v>
      </c>
      <c r="F17" s="194">
        <v>550</v>
      </c>
      <c r="G17" s="1708">
        <v>859</v>
      </c>
      <c r="H17" s="1709"/>
      <c r="I17" s="487"/>
      <c r="J17" s="184" t="s">
        <v>699</v>
      </c>
      <c r="K17" s="186" t="s">
        <v>700</v>
      </c>
      <c r="L17" s="194"/>
      <c r="M17" s="194"/>
      <c r="N17" s="194"/>
    </row>
    <row r="18" spans="1:14" ht="12" customHeight="1">
      <c r="A18" s="194"/>
      <c r="B18" s="185" t="s">
        <v>4041</v>
      </c>
      <c r="C18" s="1980" t="s">
        <v>704</v>
      </c>
      <c r="D18" s="1980"/>
      <c r="E18" s="194"/>
      <c r="F18" s="194"/>
      <c r="G18" s="1710"/>
      <c r="H18" s="487"/>
      <c r="I18" s="487"/>
      <c r="J18" s="184" t="s">
        <v>702</v>
      </c>
      <c r="K18" s="194" t="s">
        <v>703</v>
      </c>
      <c r="L18" s="194"/>
      <c r="M18" s="194"/>
      <c r="N18" s="194"/>
    </row>
    <row r="19" spans="1:14" ht="11.25" customHeight="1">
      <c r="A19" s="194"/>
      <c r="B19" s="185" t="s">
        <v>4166</v>
      </c>
      <c r="C19" s="1980" t="s">
        <v>706</v>
      </c>
      <c r="D19" s="1980"/>
      <c r="E19" s="194">
        <f>E20+E21+E22+E23</f>
        <v>0</v>
      </c>
      <c r="F19" s="194">
        <f>F20+F21+F22+F23</f>
        <v>0</v>
      </c>
      <c r="G19" s="194">
        <f>G20+G21+G22+G23</f>
        <v>0</v>
      </c>
      <c r="H19" s="487"/>
      <c r="I19" s="487"/>
      <c r="J19" s="487"/>
      <c r="K19" s="194"/>
      <c r="L19" s="194"/>
      <c r="M19" s="194"/>
      <c r="N19" s="194"/>
    </row>
    <row r="20" spans="1:14" ht="12.75" customHeight="1">
      <c r="A20" s="194"/>
      <c r="B20" s="487"/>
      <c r="C20" s="184" t="s">
        <v>708</v>
      </c>
      <c r="D20" s="186" t="s">
        <v>709</v>
      </c>
      <c r="E20" s="194"/>
      <c r="F20" s="194"/>
      <c r="G20" s="194"/>
      <c r="H20" s="487"/>
      <c r="I20" s="487"/>
      <c r="J20" s="487"/>
      <c r="K20" s="194"/>
      <c r="L20" s="194"/>
      <c r="M20" s="194"/>
      <c r="N20" s="194"/>
    </row>
    <row r="21" spans="1:14" ht="20.25" customHeight="1">
      <c r="A21" s="194"/>
      <c r="B21" s="487"/>
      <c r="C21" s="184" t="s">
        <v>710</v>
      </c>
      <c r="D21" s="1711" t="s">
        <v>3705</v>
      </c>
      <c r="E21" s="194"/>
      <c r="F21" s="194"/>
      <c r="G21" s="194"/>
      <c r="H21" s="487"/>
      <c r="I21" s="487"/>
      <c r="J21" s="487"/>
      <c r="K21" s="194"/>
      <c r="L21" s="194"/>
      <c r="M21" s="194"/>
      <c r="N21" s="194"/>
    </row>
    <row r="22" spans="1:14" ht="20.25" customHeight="1">
      <c r="A22" s="194"/>
      <c r="B22" s="487"/>
      <c r="C22" s="184" t="s">
        <v>712</v>
      </c>
      <c r="D22" s="1711" t="s">
        <v>3706</v>
      </c>
      <c r="E22" s="194"/>
      <c r="F22" s="194"/>
      <c r="G22" s="194"/>
      <c r="H22" s="487"/>
      <c r="I22" s="487"/>
      <c r="J22" s="487"/>
      <c r="K22" s="194"/>
      <c r="L22" s="194"/>
      <c r="M22" s="194"/>
      <c r="N22" s="194"/>
    </row>
    <row r="23" spans="1:14" ht="11.25" customHeight="1">
      <c r="A23" s="194"/>
      <c r="B23" s="487"/>
      <c r="C23" s="184" t="s">
        <v>714</v>
      </c>
      <c r="D23" s="1711" t="s">
        <v>3707</v>
      </c>
      <c r="E23" s="194"/>
      <c r="F23" s="194"/>
      <c r="G23" s="194"/>
      <c r="H23" s="487"/>
      <c r="I23" s="487"/>
      <c r="J23" s="487"/>
      <c r="K23" s="194"/>
      <c r="L23" s="194"/>
      <c r="M23" s="194"/>
      <c r="N23" s="194"/>
    </row>
    <row r="24" spans="1:14" ht="13.5" customHeight="1">
      <c r="A24" s="194"/>
      <c r="B24" s="487"/>
      <c r="C24" s="184" t="s">
        <v>716</v>
      </c>
      <c r="D24" s="186" t="s">
        <v>4068</v>
      </c>
      <c r="E24" s="194"/>
      <c r="F24" s="194"/>
      <c r="G24" s="194"/>
      <c r="H24" s="487"/>
      <c r="I24" s="487"/>
      <c r="J24" s="487"/>
      <c r="K24" s="194"/>
      <c r="L24" s="194"/>
      <c r="M24" s="194"/>
      <c r="N24" s="194"/>
    </row>
    <row r="25" spans="1:14" ht="12.75" customHeight="1">
      <c r="A25" s="194"/>
      <c r="B25" s="487"/>
      <c r="C25" s="184" t="s">
        <v>717</v>
      </c>
      <c r="D25" s="186" t="s">
        <v>4073</v>
      </c>
      <c r="E25" s="194"/>
      <c r="F25" s="194"/>
      <c r="G25" s="194"/>
      <c r="H25" s="487"/>
      <c r="I25" s="487"/>
      <c r="J25" s="487"/>
      <c r="K25" s="194"/>
      <c r="L25" s="194"/>
      <c r="M25" s="194"/>
      <c r="N25" s="194"/>
    </row>
    <row r="26" spans="1:14" ht="15" customHeight="1">
      <c r="A26" s="194"/>
      <c r="B26" s="185" t="s">
        <v>4061</v>
      </c>
      <c r="C26" s="1969" t="s">
        <v>718</v>
      </c>
      <c r="D26" s="1971"/>
      <c r="E26" s="194">
        <f>E27+E28+E29</f>
        <v>104737</v>
      </c>
      <c r="F26" s="194">
        <f>F27+F28+F29</f>
        <v>2650</v>
      </c>
      <c r="G26" s="194">
        <f>G27+G28+G29</f>
        <v>63</v>
      </c>
      <c r="H26" s="487"/>
      <c r="I26" s="487"/>
      <c r="J26" s="487"/>
      <c r="K26" s="194"/>
      <c r="L26" s="194"/>
      <c r="M26" s="194"/>
      <c r="N26" s="194"/>
    </row>
    <row r="27" spans="1:18" ht="10.5" customHeight="1">
      <c r="A27" s="194"/>
      <c r="B27" s="487"/>
      <c r="C27" s="184" t="s">
        <v>4063</v>
      </c>
      <c r="D27" s="186" t="s">
        <v>3708</v>
      </c>
      <c r="E27" s="194"/>
      <c r="F27" s="194"/>
      <c r="G27" s="194"/>
      <c r="H27" s="487"/>
      <c r="I27" s="487"/>
      <c r="J27" s="487"/>
      <c r="K27" s="194"/>
      <c r="L27" s="194"/>
      <c r="M27" s="194"/>
      <c r="N27" s="194"/>
      <c r="Q27" s="867">
        <f>G31-Q28</f>
        <v>82149</v>
      </c>
      <c r="R27" s="867" t="s">
        <v>3725</v>
      </c>
    </row>
    <row r="28" spans="1:17" ht="10.5" customHeight="1">
      <c r="A28" s="194"/>
      <c r="B28" s="487"/>
      <c r="C28" s="184" t="s">
        <v>4064</v>
      </c>
      <c r="D28" s="186" t="s">
        <v>720</v>
      </c>
      <c r="E28" s="194"/>
      <c r="F28" s="194"/>
      <c r="G28" s="194"/>
      <c r="H28" s="487"/>
      <c r="I28" s="487"/>
      <c r="J28" s="487"/>
      <c r="K28" s="194"/>
      <c r="L28" s="194"/>
      <c r="M28" s="194"/>
      <c r="N28" s="194"/>
      <c r="Q28" s="867">
        <f>90093</f>
        <v>90093</v>
      </c>
    </row>
    <row r="29" spans="1:14" ht="10.5" customHeight="1">
      <c r="A29" s="194"/>
      <c r="B29" s="487"/>
      <c r="C29" s="184" t="s">
        <v>4065</v>
      </c>
      <c r="D29" s="186" t="s">
        <v>721</v>
      </c>
      <c r="E29" s="194">
        <v>104737</v>
      </c>
      <c r="F29" s="194">
        <v>2650</v>
      </c>
      <c r="G29" s="194">
        <v>63</v>
      </c>
      <c r="H29" s="487"/>
      <c r="I29" s="487"/>
      <c r="J29" s="487"/>
      <c r="K29" s="194"/>
      <c r="L29" s="194"/>
      <c r="M29" s="194"/>
      <c r="N29" s="194"/>
    </row>
    <row r="30" spans="1:14" ht="10.5" customHeight="1">
      <c r="A30" s="194"/>
      <c r="B30" s="178" t="s">
        <v>4074</v>
      </c>
      <c r="C30" s="1980" t="s">
        <v>722</v>
      </c>
      <c r="D30" s="1980"/>
      <c r="E30" s="194"/>
      <c r="F30" s="194"/>
      <c r="G30" s="194">
        <v>503</v>
      </c>
      <c r="H30" s="487"/>
      <c r="I30" s="487"/>
      <c r="J30" s="487"/>
      <c r="K30" s="194"/>
      <c r="L30" s="194"/>
      <c r="M30" s="194"/>
      <c r="N30" s="194"/>
    </row>
    <row r="31" spans="1:17" ht="14.25" customHeight="1">
      <c r="A31" s="194"/>
      <c r="B31" s="193" t="s">
        <v>4195</v>
      </c>
      <c r="C31" s="1970" t="s">
        <v>723</v>
      </c>
      <c r="D31" s="1971"/>
      <c r="E31" s="194">
        <v>86976</v>
      </c>
      <c r="F31" s="194">
        <f>-1123+173365</f>
        <v>172242</v>
      </c>
      <c r="G31" s="194">
        <f>-1123+173365</f>
        <v>172242</v>
      </c>
      <c r="H31" s="487"/>
      <c r="I31" s="487"/>
      <c r="J31" s="487"/>
      <c r="K31" s="194"/>
      <c r="L31" s="194"/>
      <c r="M31" s="194"/>
      <c r="N31" s="194"/>
      <c r="P31" s="867">
        <f>G11+G26+G30</f>
        <v>1639</v>
      </c>
      <c r="Q31" s="867">
        <f>134992-400</f>
        <v>134592</v>
      </c>
    </row>
    <row r="32" spans="1:17" ht="14.25" customHeight="1">
      <c r="A32" s="1698" t="s">
        <v>725</v>
      </c>
      <c r="B32" s="1969" t="s">
        <v>726</v>
      </c>
      <c r="C32" s="1970"/>
      <c r="D32" s="1971"/>
      <c r="E32" s="1701">
        <f>E6+E11+E19+E26+E30+E18+E31</f>
        <v>192412</v>
      </c>
      <c r="F32" s="1701">
        <f>F6+F11+F19+F26+F30+F18+F31</f>
        <v>175591</v>
      </c>
      <c r="G32" s="1701">
        <f>G6+G11+G19+G26+G30+G18+G31</f>
        <v>173881</v>
      </c>
      <c r="H32" s="1696" t="s">
        <v>725</v>
      </c>
      <c r="I32" s="1980" t="s">
        <v>728</v>
      </c>
      <c r="J32" s="1980"/>
      <c r="K32" s="1980"/>
      <c r="L32" s="194">
        <f>SUM(L6:L10)</f>
        <v>192412</v>
      </c>
      <c r="M32" s="194">
        <f>SUM(M6:M10)</f>
        <v>176148</v>
      </c>
      <c r="N32" s="194">
        <f>SUM(N6:N10)</f>
        <v>173831</v>
      </c>
      <c r="Q32" s="867">
        <f>90093-497</f>
        <v>89596</v>
      </c>
    </row>
    <row r="33" spans="1:14" ht="11.25" customHeight="1">
      <c r="A33" s="1715" t="s">
        <v>729</v>
      </c>
      <c r="B33" s="1969" t="s">
        <v>730</v>
      </c>
      <c r="C33" s="1970"/>
      <c r="D33" s="1971"/>
      <c r="E33" s="1701">
        <f>E32-L32</f>
        <v>0</v>
      </c>
      <c r="F33" s="1701">
        <f>F32-M32</f>
        <v>-557</v>
      </c>
      <c r="G33" s="1701">
        <f>G32-N32</f>
        <v>50</v>
      </c>
      <c r="H33" s="1712" t="s">
        <v>729</v>
      </c>
      <c r="I33" s="1969" t="s">
        <v>730</v>
      </c>
      <c r="J33" s="1970"/>
      <c r="K33" s="1971"/>
      <c r="L33" s="194"/>
      <c r="M33" s="194"/>
      <c r="N33" s="194"/>
    </row>
    <row r="34" spans="1:14" ht="18.75" customHeight="1">
      <c r="A34" s="1715" t="s">
        <v>732</v>
      </c>
      <c r="B34" s="1969" t="s">
        <v>733</v>
      </c>
      <c r="C34" s="1970"/>
      <c r="D34" s="1971"/>
      <c r="E34" s="194"/>
      <c r="F34" s="194">
        <v>557</v>
      </c>
      <c r="G34" s="194">
        <v>557</v>
      </c>
      <c r="H34" s="1696" t="s">
        <v>732</v>
      </c>
      <c r="I34" s="2008" t="s">
        <v>3709</v>
      </c>
      <c r="J34" s="2009"/>
      <c r="K34" s="2010"/>
      <c r="L34" s="194"/>
      <c r="M34" s="194"/>
      <c r="N34" s="194"/>
    </row>
    <row r="35" spans="1:17" ht="11.25" customHeight="1">
      <c r="A35" s="1698" t="s">
        <v>734</v>
      </c>
      <c r="B35" s="2008" t="s">
        <v>4262</v>
      </c>
      <c r="C35" s="2009"/>
      <c r="D35" s="2010"/>
      <c r="E35" s="1701">
        <f>E32</f>
        <v>192412</v>
      </c>
      <c r="F35" s="1701">
        <f>F32+F34</f>
        <v>176148</v>
      </c>
      <c r="G35" s="1701">
        <f>G32+G34</f>
        <v>174438</v>
      </c>
      <c r="H35" s="1696" t="s">
        <v>734</v>
      </c>
      <c r="I35" s="2008" t="s">
        <v>4262</v>
      </c>
      <c r="J35" s="2009"/>
      <c r="K35" s="2010"/>
      <c r="L35" s="194">
        <f>L32</f>
        <v>192412</v>
      </c>
      <c r="M35" s="194">
        <f>M32</f>
        <v>176148</v>
      </c>
      <c r="N35" s="194">
        <f>N32</f>
        <v>173831</v>
      </c>
      <c r="Q35" s="867">
        <v>133358</v>
      </c>
    </row>
    <row r="36" spans="1:17" ht="15" customHeight="1">
      <c r="A36" s="2007" t="s">
        <v>669</v>
      </c>
      <c r="B36" s="2007"/>
      <c r="C36" s="2007"/>
      <c r="D36" s="2007"/>
      <c r="E36" s="2007"/>
      <c r="F36" s="2007"/>
      <c r="G36" s="2007"/>
      <c r="H36" s="2007" t="s">
        <v>670</v>
      </c>
      <c r="I36" s="2007"/>
      <c r="J36" s="2007"/>
      <c r="K36" s="2007"/>
      <c r="L36" s="2007"/>
      <c r="M36" s="2007"/>
      <c r="N36" s="2007"/>
      <c r="Q36" s="1713">
        <f>G32-Q35</f>
        <v>40523</v>
      </c>
    </row>
    <row r="37" spans="1:14" ht="29.25" customHeight="1">
      <c r="A37" s="2001" t="s">
        <v>671</v>
      </c>
      <c r="B37" s="2002"/>
      <c r="C37" s="2002"/>
      <c r="D37" s="2003"/>
      <c r="E37" s="1697" t="s">
        <v>672</v>
      </c>
      <c r="F37" s="1697" t="s">
        <v>673</v>
      </c>
      <c r="G37" s="1697" t="s">
        <v>4220</v>
      </c>
      <c r="H37" s="2001" t="s">
        <v>671</v>
      </c>
      <c r="I37" s="2002"/>
      <c r="J37" s="2002"/>
      <c r="K37" s="2003"/>
      <c r="L37" s="1697" t="s">
        <v>672</v>
      </c>
      <c r="M37" s="1697" t="s">
        <v>673</v>
      </c>
      <c r="N37" s="1697" t="s">
        <v>4220</v>
      </c>
    </row>
    <row r="38" spans="1:14" ht="15" customHeight="1">
      <c r="A38" s="196" t="s">
        <v>4264</v>
      </c>
      <c r="B38" s="1980" t="s">
        <v>4265</v>
      </c>
      <c r="C38" s="1980"/>
      <c r="D38" s="1980"/>
      <c r="E38" s="194"/>
      <c r="F38" s="194"/>
      <c r="G38" s="194"/>
      <c r="H38" s="196" t="s">
        <v>4264</v>
      </c>
      <c r="I38" s="1987" t="s">
        <v>4265</v>
      </c>
      <c r="J38" s="1987"/>
      <c r="K38" s="1987"/>
      <c r="L38" s="194"/>
      <c r="M38" s="194"/>
      <c r="N38" s="194"/>
    </row>
    <row r="39" spans="1:14" ht="15" customHeight="1">
      <c r="A39" s="194"/>
      <c r="B39" s="196" t="s">
        <v>4029</v>
      </c>
      <c r="C39" s="1987" t="s">
        <v>4266</v>
      </c>
      <c r="D39" s="1987"/>
      <c r="E39" s="194">
        <f>E40+E41+E42</f>
        <v>0</v>
      </c>
      <c r="F39" s="194">
        <f>F40+F41+F42</f>
        <v>0</v>
      </c>
      <c r="G39" s="194">
        <f>G40+G41+G42</f>
        <v>0</v>
      </c>
      <c r="H39" s="487"/>
      <c r="I39" s="194" t="s">
        <v>4029</v>
      </c>
      <c r="J39" s="1999" t="s">
        <v>4267</v>
      </c>
      <c r="K39" s="1999"/>
      <c r="L39" s="194">
        <v>400</v>
      </c>
      <c r="M39" s="194">
        <v>1123</v>
      </c>
      <c r="N39" s="194">
        <v>1124</v>
      </c>
    </row>
    <row r="40" spans="1:14" ht="15" customHeight="1">
      <c r="A40" s="194"/>
      <c r="B40" s="487"/>
      <c r="C40" s="197" t="s">
        <v>4268</v>
      </c>
      <c r="D40" s="186" t="s">
        <v>4068</v>
      </c>
      <c r="E40" s="194"/>
      <c r="F40" s="194"/>
      <c r="G40" s="194"/>
      <c r="H40" s="487"/>
      <c r="I40" s="194" t="s">
        <v>4031</v>
      </c>
      <c r="J40" s="1999" t="s">
        <v>4154</v>
      </c>
      <c r="K40" s="1999"/>
      <c r="L40" s="194"/>
      <c r="M40" s="194"/>
      <c r="N40" s="194"/>
    </row>
    <row r="41" spans="1:14" ht="15" customHeight="1">
      <c r="A41" s="194"/>
      <c r="B41" s="487"/>
      <c r="C41" s="197" t="s">
        <v>4269</v>
      </c>
      <c r="D41" s="186" t="s">
        <v>4070</v>
      </c>
      <c r="E41" s="194"/>
      <c r="F41" s="194"/>
      <c r="G41" s="194"/>
      <c r="H41" s="487"/>
      <c r="I41" s="194" t="s">
        <v>4041</v>
      </c>
      <c r="J41" s="1999" t="s">
        <v>4270</v>
      </c>
      <c r="K41" s="1999"/>
      <c r="L41" s="194">
        <f>L42+L43+L44+L45</f>
        <v>0</v>
      </c>
      <c r="M41" s="194">
        <f>M42+M43+M44+M45</f>
        <v>0</v>
      </c>
      <c r="N41" s="194">
        <f>N42+N43+N44+N45</f>
        <v>0</v>
      </c>
    </row>
    <row r="42" spans="1:14" ht="15" customHeight="1">
      <c r="A42" s="194"/>
      <c r="B42" s="487"/>
      <c r="C42" s="197" t="s">
        <v>679</v>
      </c>
      <c r="D42" s="186" t="s">
        <v>4271</v>
      </c>
      <c r="E42" s="194"/>
      <c r="F42" s="194"/>
      <c r="G42" s="194"/>
      <c r="H42" s="487"/>
      <c r="I42" s="487"/>
      <c r="J42" s="197" t="s">
        <v>4272</v>
      </c>
      <c r="K42" s="186" t="s">
        <v>4273</v>
      </c>
      <c r="L42" s="194"/>
      <c r="M42" s="194"/>
      <c r="N42" s="194"/>
    </row>
    <row r="43" spans="1:14" ht="24.75" customHeight="1">
      <c r="A43" s="194"/>
      <c r="B43" s="196" t="s">
        <v>4031</v>
      </c>
      <c r="C43" s="1980" t="s">
        <v>4274</v>
      </c>
      <c r="D43" s="1980"/>
      <c r="E43" s="194">
        <f>E44+E45</f>
        <v>0</v>
      </c>
      <c r="F43" s="194">
        <f>F44+F45</f>
        <v>0</v>
      </c>
      <c r="G43" s="194">
        <f>G44+G45</f>
        <v>0</v>
      </c>
      <c r="H43" s="487"/>
      <c r="I43" s="487"/>
      <c r="J43" s="197" t="s">
        <v>4275</v>
      </c>
      <c r="K43" s="198" t="s">
        <v>4276</v>
      </c>
      <c r="L43" s="194"/>
      <c r="M43" s="194"/>
      <c r="N43" s="194"/>
    </row>
    <row r="44" spans="1:14" ht="15" customHeight="1">
      <c r="A44" s="194"/>
      <c r="B44" s="487"/>
      <c r="C44" s="197" t="s">
        <v>684</v>
      </c>
      <c r="D44" s="186" t="s">
        <v>659</v>
      </c>
      <c r="E44" s="194"/>
      <c r="F44" s="194"/>
      <c r="G44" s="194"/>
      <c r="H44" s="487"/>
      <c r="I44" s="487"/>
      <c r="J44" s="197" t="s">
        <v>4277</v>
      </c>
      <c r="K44" s="187" t="s">
        <v>3684</v>
      </c>
      <c r="L44" s="194"/>
      <c r="M44" s="194"/>
      <c r="N44" s="194"/>
    </row>
    <row r="45" spans="1:14" ht="15" customHeight="1">
      <c r="A45" s="194"/>
      <c r="B45" s="487"/>
      <c r="C45" s="197" t="s">
        <v>687</v>
      </c>
      <c r="D45" s="186" t="s">
        <v>3685</v>
      </c>
      <c r="E45" s="194"/>
      <c r="F45" s="194"/>
      <c r="G45" s="194"/>
      <c r="H45" s="487"/>
      <c r="I45" s="487"/>
      <c r="J45" s="197" t="s">
        <v>3686</v>
      </c>
      <c r="K45" s="187" t="s">
        <v>3687</v>
      </c>
      <c r="L45" s="194"/>
      <c r="M45" s="194"/>
      <c r="N45" s="194"/>
    </row>
    <row r="46" spans="1:14" ht="15" customHeight="1">
      <c r="A46" s="194"/>
      <c r="B46" s="196">
        <v>3</v>
      </c>
      <c r="C46" s="1983" t="s">
        <v>3688</v>
      </c>
      <c r="D46" s="1983"/>
      <c r="E46" s="194">
        <f>E47+E48+E49</f>
        <v>0</v>
      </c>
      <c r="F46" s="194">
        <f>F47+F48+F49</f>
        <v>0</v>
      </c>
      <c r="G46" s="194">
        <f>G47+G48+G49</f>
        <v>0</v>
      </c>
      <c r="H46" s="487"/>
      <c r="I46" s="487"/>
      <c r="J46" s="487"/>
      <c r="K46" s="194"/>
      <c r="L46" s="194"/>
      <c r="M46" s="194"/>
      <c r="N46" s="194"/>
    </row>
    <row r="47" spans="1:14" ht="22.5" customHeight="1">
      <c r="A47" s="194"/>
      <c r="B47" s="487"/>
      <c r="C47" s="197" t="s">
        <v>4272</v>
      </c>
      <c r="D47" s="186" t="s">
        <v>4097</v>
      </c>
      <c r="E47" s="194"/>
      <c r="F47" s="194"/>
      <c r="G47" s="194"/>
      <c r="H47" s="487"/>
      <c r="I47" s="487"/>
      <c r="J47" s="487"/>
      <c r="K47" s="194"/>
      <c r="L47" s="194"/>
      <c r="M47" s="194"/>
      <c r="N47" s="194"/>
    </row>
    <row r="48" spans="1:14" ht="15" customHeight="1">
      <c r="A48" s="194"/>
      <c r="B48" s="487"/>
      <c r="C48" s="197" t="s">
        <v>4275</v>
      </c>
      <c r="D48" s="186" t="s">
        <v>3691</v>
      </c>
      <c r="E48" s="194"/>
      <c r="F48" s="194"/>
      <c r="G48" s="194"/>
      <c r="H48" s="487"/>
      <c r="I48" s="487"/>
      <c r="J48" s="487"/>
      <c r="K48" s="194"/>
      <c r="L48" s="194"/>
      <c r="M48" s="194"/>
      <c r="N48" s="194"/>
    </row>
    <row r="49" spans="1:14" ht="15" customHeight="1">
      <c r="A49" s="194"/>
      <c r="B49" s="487"/>
      <c r="C49" s="197" t="s">
        <v>4277</v>
      </c>
      <c r="D49" s="187" t="s">
        <v>3692</v>
      </c>
      <c r="E49" s="194"/>
      <c r="F49" s="194"/>
      <c r="G49" s="194"/>
      <c r="H49" s="487"/>
      <c r="I49" s="487"/>
      <c r="J49" s="487"/>
      <c r="K49" s="194"/>
      <c r="L49" s="194"/>
      <c r="M49" s="194"/>
      <c r="N49" s="194"/>
    </row>
    <row r="50" spans="1:14" ht="15" customHeight="1">
      <c r="A50" s="194"/>
      <c r="B50" s="185">
        <v>4</v>
      </c>
      <c r="C50" s="1980" t="s">
        <v>3693</v>
      </c>
      <c r="D50" s="1980"/>
      <c r="E50" s="194"/>
      <c r="F50" s="194"/>
      <c r="G50" s="194"/>
      <c r="H50" s="487"/>
      <c r="I50" s="487"/>
      <c r="J50" s="487"/>
      <c r="K50" s="194"/>
      <c r="L50" s="194"/>
      <c r="M50" s="194"/>
      <c r="N50" s="194"/>
    </row>
    <row r="51" spans="1:14" ht="15" customHeight="1">
      <c r="A51" s="194"/>
      <c r="B51" s="185" t="s">
        <v>4061</v>
      </c>
      <c r="C51" s="1969" t="s">
        <v>3694</v>
      </c>
      <c r="D51" s="1971"/>
      <c r="E51" s="194"/>
      <c r="F51" s="194"/>
      <c r="G51" s="194"/>
      <c r="H51" s="487"/>
      <c r="I51" s="185"/>
      <c r="J51" s="185"/>
      <c r="K51" s="185"/>
      <c r="L51" s="194"/>
      <c r="M51" s="194"/>
      <c r="N51" s="194"/>
    </row>
    <row r="52" spans="1:14" ht="15" customHeight="1">
      <c r="A52" s="194"/>
      <c r="B52" s="185"/>
      <c r="C52" s="197" t="s">
        <v>4063</v>
      </c>
      <c r="D52" s="192" t="s">
        <v>3695</v>
      </c>
      <c r="E52" s="194"/>
      <c r="F52" s="194"/>
      <c r="G52" s="194"/>
      <c r="H52" s="487"/>
      <c r="I52" s="185"/>
      <c r="J52" s="185"/>
      <c r="K52" s="185"/>
      <c r="L52" s="194"/>
      <c r="M52" s="194"/>
      <c r="N52" s="194"/>
    </row>
    <row r="53" spans="1:14" ht="15" customHeight="1">
      <c r="A53" s="194"/>
      <c r="B53" s="185">
        <v>6</v>
      </c>
      <c r="C53" s="1981" t="s">
        <v>3696</v>
      </c>
      <c r="D53" s="1982"/>
      <c r="E53" s="194">
        <v>400</v>
      </c>
      <c r="F53" s="194">
        <v>1123</v>
      </c>
      <c r="G53" s="194">
        <v>1123</v>
      </c>
      <c r="H53" s="487"/>
      <c r="I53" s="487"/>
      <c r="J53" s="487"/>
      <c r="K53" s="194"/>
      <c r="L53" s="194"/>
      <c r="M53" s="194"/>
      <c r="N53" s="194"/>
    </row>
    <row r="54" spans="1:14" ht="18" customHeight="1">
      <c r="A54" s="194" t="s">
        <v>3712</v>
      </c>
      <c r="B54" s="1969" t="s">
        <v>3697</v>
      </c>
      <c r="C54" s="1970"/>
      <c r="D54" s="1971"/>
      <c r="E54" s="194">
        <f>E39+E43+E46+E50+E53</f>
        <v>400</v>
      </c>
      <c r="F54" s="194">
        <f>F39+F43+F46+F50+F53</f>
        <v>1123</v>
      </c>
      <c r="G54" s="194">
        <f>G39+G43+G46+G50+G53</f>
        <v>1123</v>
      </c>
      <c r="H54" s="194" t="s">
        <v>3712</v>
      </c>
      <c r="I54" s="1980" t="s">
        <v>3713</v>
      </c>
      <c r="J54" s="1980"/>
      <c r="K54" s="1980"/>
      <c r="L54" s="194">
        <f>L39+L40+L41</f>
        <v>400</v>
      </c>
      <c r="M54" s="194">
        <f>M39+M40+M41</f>
        <v>1123</v>
      </c>
      <c r="N54" s="194">
        <f>N39+N40+N41</f>
        <v>1124</v>
      </c>
    </row>
    <row r="55" spans="1:14" ht="15" customHeight="1">
      <c r="A55" s="194" t="s">
        <v>3714</v>
      </c>
      <c r="B55" s="1969" t="s">
        <v>3698</v>
      </c>
      <c r="C55" s="1970"/>
      <c r="D55" s="1971"/>
      <c r="E55" s="194">
        <f>E54-L54</f>
        <v>0</v>
      </c>
      <c r="F55" s="194">
        <f>F54-M54</f>
        <v>0</v>
      </c>
      <c r="G55" s="194">
        <f>G54-N54</f>
        <v>-1</v>
      </c>
      <c r="H55" s="194" t="s">
        <v>3714</v>
      </c>
      <c r="I55" s="1980" t="s">
        <v>3698</v>
      </c>
      <c r="J55" s="1980"/>
      <c r="K55" s="1980"/>
      <c r="L55" s="194"/>
      <c r="M55" s="194"/>
      <c r="N55" s="194"/>
    </row>
    <row r="56" spans="1:14" ht="15" customHeight="1">
      <c r="A56" s="194" t="s">
        <v>3715</v>
      </c>
      <c r="B56" s="1969" t="s">
        <v>3716</v>
      </c>
      <c r="C56" s="1970"/>
      <c r="D56" s="1971"/>
      <c r="E56" s="194"/>
      <c r="F56" s="194"/>
      <c r="G56" s="194"/>
      <c r="H56" s="487"/>
      <c r="I56" s="487"/>
      <c r="J56" s="487"/>
      <c r="K56" s="194"/>
      <c r="L56" s="194"/>
      <c r="M56" s="194"/>
      <c r="N56" s="194"/>
    </row>
    <row r="57" spans="1:14" ht="15" customHeight="1">
      <c r="A57" s="194" t="s">
        <v>3717</v>
      </c>
      <c r="B57" s="1969" t="s">
        <v>3718</v>
      </c>
      <c r="C57" s="1970"/>
      <c r="D57" s="1971"/>
      <c r="E57" s="194"/>
      <c r="F57" s="194"/>
      <c r="G57" s="194"/>
      <c r="H57" s="487"/>
      <c r="I57" s="487"/>
      <c r="J57" s="487"/>
      <c r="K57" s="194"/>
      <c r="L57" s="194"/>
      <c r="M57" s="194"/>
      <c r="N57" s="194"/>
    </row>
    <row r="58" spans="1:14" ht="15" customHeight="1">
      <c r="A58" s="2011" t="s">
        <v>1191</v>
      </c>
      <c r="B58" s="2012"/>
      <c r="C58" s="2012"/>
      <c r="D58" s="2013"/>
      <c r="E58" s="1722">
        <f>E54+E35</f>
        <v>192812</v>
      </c>
      <c r="F58" s="1722">
        <f>F54+F35</f>
        <v>177271</v>
      </c>
      <c r="G58" s="1722">
        <f>G54+G35</f>
        <v>175561</v>
      </c>
      <c r="H58" s="2011" t="s">
        <v>1191</v>
      </c>
      <c r="I58" s="2012"/>
      <c r="J58" s="2012"/>
      <c r="K58" s="2013"/>
      <c r="L58" s="1721">
        <f>L54+L35</f>
        <v>192812</v>
      </c>
      <c r="M58" s="1721">
        <f>M54+M35</f>
        <v>177271</v>
      </c>
      <c r="N58" s="1721">
        <f>N54+N35</f>
        <v>174955</v>
      </c>
    </row>
    <row r="59" ht="15" customHeight="1">
      <c r="G59" s="1714"/>
    </row>
    <row r="60" ht="15" customHeight="1">
      <c r="O60" s="867">
        <f>N58-'bev-kia'!F146</f>
        <v>132</v>
      </c>
    </row>
    <row r="61" ht="15" customHeight="1">
      <c r="G61" s="1714"/>
    </row>
    <row r="62" ht="15" customHeight="1"/>
    <row r="63" ht="15" customHeight="1">
      <c r="G63" s="1713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51">
    <mergeCell ref="A58:D58"/>
    <mergeCell ref="H58:K58"/>
    <mergeCell ref="A1:N1"/>
    <mergeCell ref="A2:N2"/>
    <mergeCell ref="A3:G3"/>
    <mergeCell ref="H3:N3"/>
    <mergeCell ref="A4:D4"/>
    <mergeCell ref="H4:K4"/>
    <mergeCell ref="B5:D5"/>
    <mergeCell ref="I5:K5"/>
    <mergeCell ref="J9:K9"/>
    <mergeCell ref="J10:K10"/>
    <mergeCell ref="C11:D11"/>
    <mergeCell ref="C18:D18"/>
    <mergeCell ref="C6:D6"/>
    <mergeCell ref="J6:K6"/>
    <mergeCell ref="J7:K7"/>
    <mergeCell ref="J8:K8"/>
    <mergeCell ref="B32:D32"/>
    <mergeCell ref="I32:K32"/>
    <mergeCell ref="B33:D33"/>
    <mergeCell ref="I33:K33"/>
    <mergeCell ref="C19:D19"/>
    <mergeCell ref="C26:D26"/>
    <mergeCell ref="C30:D30"/>
    <mergeCell ref="C31:D31"/>
    <mergeCell ref="A36:G36"/>
    <mergeCell ref="H36:N36"/>
    <mergeCell ref="A37:D37"/>
    <mergeCell ref="H37:K37"/>
    <mergeCell ref="B34:D34"/>
    <mergeCell ref="I34:K34"/>
    <mergeCell ref="B35:D35"/>
    <mergeCell ref="I35:K35"/>
    <mergeCell ref="J40:K40"/>
    <mergeCell ref="J41:K41"/>
    <mergeCell ref="C43:D43"/>
    <mergeCell ref="C46:D46"/>
    <mergeCell ref="B38:D38"/>
    <mergeCell ref="I38:K38"/>
    <mergeCell ref="C39:D39"/>
    <mergeCell ref="J39:K39"/>
    <mergeCell ref="B57:D57"/>
    <mergeCell ref="I54:K54"/>
    <mergeCell ref="B55:D55"/>
    <mergeCell ref="I55:K55"/>
    <mergeCell ref="B56:D56"/>
    <mergeCell ref="C50:D50"/>
    <mergeCell ref="C51:D51"/>
    <mergeCell ref="C53:D53"/>
    <mergeCell ref="B54:D5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zoomScale="125" zoomScaleNormal="125" zoomScalePageLayoutView="0" workbookViewId="0" topLeftCell="A1">
      <selection activeCell="A1" sqref="A1:N1"/>
    </sheetView>
  </sheetViews>
  <sheetFormatPr defaultColWidth="9.00390625" defaultRowHeight="12.75"/>
  <cols>
    <col min="1" max="2" width="2.75390625" style="867" customWidth="1"/>
    <col min="3" max="3" width="3.625" style="867" customWidth="1"/>
    <col min="4" max="4" width="36.125" style="867" customWidth="1"/>
    <col min="5" max="5" width="8.00390625" style="867" customWidth="1"/>
    <col min="6" max="6" width="7.25390625" style="867" customWidth="1"/>
    <col min="7" max="7" width="6.375" style="867" customWidth="1"/>
    <col min="8" max="8" width="3.00390625" style="867" customWidth="1"/>
    <col min="9" max="9" width="3.875" style="867" customWidth="1"/>
    <col min="10" max="10" width="4.375" style="867" customWidth="1"/>
    <col min="11" max="11" width="30.00390625" style="867" customWidth="1"/>
    <col min="12" max="13" width="7.75390625" style="867" customWidth="1"/>
    <col min="14" max="14" width="7.625" style="867" customWidth="1"/>
    <col min="15" max="16384" width="9.125" style="867" customWidth="1"/>
  </cols>
  <sheetData>
    <row r="1" spans="1:14" ht="12.75">
      <c r="A1" s="2020" t="s">
        <v>5270</v>
      </c>
      <c r="B1" s="2020"/>
      <c r="C1" s="2020"/>
      <c r="D1" s="2020"/>
      <c r="E1" s="2020"/>
      <c r="F1" s="2020"/>
      <c r="G1" s="2020"/>
      <c r="H1" s="2020"/>
      <c r="I1" s="2020"/>
      <c r="J1" s="2020"/>
      <c r="K1" s="2020"/>
      <c r="L1" s="2020"/>
      <c r="M1" s="2020"/>
      <c r="N1" s="2020"/>
    </row>
    <row r="2" spans="1:14" ht="12.75">
      <c r="A2" s="2014" t="s">
        <v>2783</v>
      </c>
      <c r="B2" s="2014"/>
      <c r="C2" s="2014"/>
      <c r="D2" s="2014"/>
      <c r="E2" s="2014"/>
      <c r="F2" s="2014"/>
      <c r="G2" s="2014"/>
      <c r="H2" s="2014"/>
      <c r="I2" s="2014"/>
      <c r="J2" s="2014"/>
      <c r="K2" s="2014"/>
      <c r="L2" s="2014"/>
      <c r="M2" s="2014"/>
      <c r="N2" s="2014"/>
    </row>
    <row r="3" spans="1:14" ht="12.75">
      <c r="A3" s="2007" t="s">
        <v>669</v>
      </c>
      <c r="B3" s="2007"/>
      <c r="C3" s="2007"/>
      <c r="D3" s="2007"/>
      <c r="E3" s="2007"/>
      <c r="F3" s="2007"/>
      <c r="G3" s="2007"/>
      <c r="H3" s="2007" t="s">
        <v>670</v>
      </c>
      <c r="I3" s="2007"/>
      <c r="J3" s="2007"/>
      <c r="K3" s="2007"/>
      <c r="L3" s="2007"/>
      <c r="M3" s="2007"/>
      <c r="N3" s="2007"/>
    </row>
    <row r="4" spans="1:14" ht="18.75" customHeight="1">
      <c r="A4" s="2001" t="s">
        <v>671</v>
      </c>
      <c r="B4" s="2002"/>
      <c r="C4" s="2002"/>
      <c r="D4" s="2003"/>
      <c r="E4" s="1697" t="s">
        <v>672</v>
      </c>
      <c r="F4" s="1697" t="s">
        <v>673</v>
      </c>
      <c r="G4" s="1697" t="s">
        <v>4220</v>
      </c>
      <c r="H4" s="2001" t="s">
        <v>671</v>
      </c>
      <c r="I4" s="2002"/>
      <c r="J4" s="2002"/>
      <c r="K4" s="2003"/>
      <c r="L4" s="1697" t="s">
        <v>672</v>
      </c>
      <c r="M4" s="1697" t="s">
        <v>673</v>
      </c>
      <c r="N4" s="1697" t="s">
        <v>4220</v>
      </c>
    </row>
    <row r="5" spans="1:14" ht="10.5" customHeight="1">
      <c r="A5" s="1698" t="s">
        <v>675</v>
      </c>
      <c r="B5" s="1980" t="s">
        <v>676</v>
      </c>
      <c r="C5" s="1980"/>
      <c r="D5" s="1980"/>
      <c r="E5" s="194"/>
      <c r="F5" s="194"/>
      <c r="G5" s="194"/>
      <c r="H5" s="1696" t="s">
        <v>675</v>
      </c>
      <c r="I5" s="1987" t="s">
        <v>676</v>
      </c>
      <c r="J5" s="1987"/>
      <c r="K5" s="1987"/>
      <c r="L5" s="194"/>
      <c r="M5" s="194"/>
      <c r="N5" s="194"/>
    </row>
    <row r="6" spans="1:14" ht="11.25" customHeight="1">
      <c r="A6" s="1699"/>
      <c r="B6" s="1700">
        <v>1</v>
      </c>
      <c r="C6" s="1970" t="s">
        <v>677</v>
      </c>
      <c r="D6" s="1971"/>
      <c r="E6" s="1701">
        <f>E7+E8+E10+E9</f>
        <v>0</v>
      </c>
      <c r="F6" s="1701">
        <f>F7+F8+F10+F9</f>
        <v>0</v>
      </c>
      <c r="G6" s="1701">
        <f>G7+G8+G10+G9</f>
        <v>0</v>
      </c>
      <c r="H6" s="487"/>
      <c r="I6" s="178" t="s">
        <v>4029</v>
      </c>
      <c r="J6" s="1999" t="s">
        <v>4136</v>
      </c>
      <c r="K6" s="1999"/>
      <c r="L6" s="194">
        <v>44379</v>
      </c>
      <c r="M6" s="1716">
        <v>48606</v>
      </c>
      <c r="N6" s="1716">
        <v>48606</v>
      </c>
    </row>
    <row r="7" spans="1:14" ht="12.75" customHeight="1">
      <c r="A7" s="1699"/>
      <c r="B7" s="1703"/>
      <c r="C7" s="183" t="s">
        <v>4135</v>
      </c>
      <c r="D7" s="1704" t="s">
        <v>4034</v>
      </c>
      <c r="E7" s="194"/>
      <c r="F7" s="194"/>
      <c r="G7" s="194"/>
      <c r="H7" s="487"/>
      <c r="I7" s="178" t="s">
        <v>4031</v>
      </c>
      <c r="J7" s="1999" t="s">
        <v>4138</v>
      </c>
      <c r="K7" s="1999"/>
      <c r="L7" s="194">
        <v>11963</v>
      </c>
      <c r="M7" s="1716">
        <v>11900</v>
      </c>
      <c r="N7" s="1716">
        <v>11900</v>
      </c>
    </row>
    <row r="8" spans="1:14" ht="13.5" customHeight="1">
      <c r="A8" s="194"/>
      <c r="B8" s="487"/>
      <c r="C8" s="184" t="s">
        <v>4137</v>
      </c>
      <c r="D8" s="1704" t="s">
        <v>4036</v>
      </c>
      <c r="E8" s="194"/>
      <c r="F8" s="1705"/>
      <c r="G8" s="194"/>
      <c r="H8" s="487"/>
      <c r="I8" s="178" t="s">
        <v>4041</v>
      </c>
      <c r="J8" s="1999" t="s">
        <v>4140</v>
      </c>
      <c r="K8" s="1999"/>
      <c r="L8" s="194">
        <v>7248</v>
      </c>
      <c r="M8" s="1716">
        <v>7420</v>
      </c>
      <c r="N8" s="1716">
        <v>7412</v>
      </c>
    </row>
    <row r="9" spans="1:14" ht="11.25" customHeight="1">
      <c r="A9" s="194"/>
      <c r="B9" s="487"/>
      <c r="C9" s="184" t="s">
        <v>679</v>
      </c>
      <c r="D9" s="1704" t="s">
        <v>4038</v>
      </c>
      <c r="E9" s="194"/>
      <c r="F9" s="194"/>
      <c r="G9" s="194"/>
      <c r="H9" s="487"/>
      <c r="I9" s="178" t="s">
        <v>4166</v>
      </c>
      <c r="J9" s="1999" t="s">
        <v>4142</v>
      </c>
      <c r="K9" s="1999"/>
      <c r="L9" s="194"/>
      <c r="M9" s="194"/>
      <c r="N9" s="194"/>
    </row>
    <row r="10" spans="1:14" ht="10.5" customHeight="1">
      <c r="A10" s="194"/>
      <c r="B10" s="487"/>
      <c r="C10" s="184" t="s">
        <v>680</v>
      </c>
      <c r="D10" s="1704" t="s">
        <v>4040</v>
      </c>
      <c r="E10" s="1701"/>
      <c r="F10" s="194"/>
      <c r="G10" s="194"/>
      <c r="H10" s="487"/>
      <c r="I10" s="178" t="s">
        <v>4061</v>
      </c>
      <c r="J10" s="1999" t="s">
        <v>4144</v>
      </c>
      <c r="K10" s="1999"/>
      <c r="L10" s="194">
        <f>L11+L12+L13+L14+L16+L17+L15+L18</f>
        <v>0</v>
      </c>
      <c r="M10" s="194">
        <f>M11+M12+M13+M14+M16+M17+M15+M18</f>
        <v>0</v>
      </c>
      <c r="N10" s="194">
        <f>N11+N12+N13+N14+N16+N17+N15+N18</f>
        <v>0</v>
      </c>
    </row>
    <row r="11" spans="1:14" ht="15" customHeight="1">
      <c r="A11" s="194"/>
      <c r="B11" s="185" t="s">
        <v>4031</v>
      </c>
      <c r="C11" s="1980" t="s">
        <v>682</v>
      </c>
      <c r="D11" s="1980"/>
      <c r="E11" s="194">
        <f>SUM(E12:E17)</f>
        <v>0</v>
      </c>
      <c r="F11" s="194">
        <f>SUM(F12:F17)</f>
        <v>14</v>
      </c>
      <c r="G11" s="194">
        <f>SUM(G12:G17)</f>
        <v>14</v>
      </c>
      <c r="H11" s="487"/>
      <c r="I11" s="487"/>
      <c r="J11" s="184" t="s">
        <v>4063</v>
      </c>
      <c r="K11" s="186" t="s">
        <v>683</v>
      </c>
      <c r="L11" s="194"/>
      <c r="M11" s="194"/>
      <c r="N11" s="194"/>
    </row>
    <row r="12" spans="1:14" ht="11.25" customHeight="1">
      <c r="A12" s="194"/>
      <c r="B12" s="487"/>
      <c r="C12" s="184" t="s">
        <v>684</v>
      </c>
      <c r="D12" s="186" t="s">
        <v>4046</v>
      </c>
      <c r="E12" s="194"/>
      <c r="F12" s="194"/>
      <c r="G12" s="194"/>
      <c r="H12" s="487"/>
      <c r="I12" s="487"/>
      <c r="J12" s="184" t="s">
        <v>4064</v>
      </c>
      <c r="K12" s="187" t="s">
        <v>686</v>
      </c>
      <c r="L12" s="194"/>
      <c r="M12" s="194"/>
      <c r="N12" s="194"/>
    </row>
    <row r="13" spans="1:14" ht="12" customHeight="1">
      <c r="A13" s="194"/>
      <c r="B13" s="487"/>
      <c r="C13" s="184" t="s">
        <v>687</v>
      </c>
      <c r="D13" s="186" t="s">
        <v>4048</v>
      </c>
      <c r="E13" s="194"/>
      <c r="F13" s="194"/>
      <c r="G13" s="194"/>
      <c r="H13" s="487"/>
      <c r="I13" s="487"/>
      <c r="J13" s="184" t="s">
        <v>4065</v>
      </c>
      <c r="K13" s="188" t="s">
        <v>688</v>
      </c>
      <c r="L13" s="194"/>
      <c r="M13" s="194"/>
      <c r="N13" s="194"/>
    </row>
    <row r="14" spans="1:14" ht="15" customHeight="1">
      <c r="A14" s="194"/>
      <c r="B14" s="487"/>
      <c r="C14" s="184" t="s">
        <v>689</v>
      </c>
      <c r="D14" s="186" t="s">
        <v>4050</v>
      </c>
      <c r="E14" s="194"/>
      <c r="F14" s="194"/>
      <c r="G14" s="194"/>
      <c r="H14" s="487"/>
      <c r="I14" s="487"/>
      <c r="J14" s="184" t="s">
        <v>4066</v>
      </c>
      <c r="K14" s="186" t="s">
        <v>3703</v>
      </c>
      <c r="L14" s="194"/>
      <c r="M14" s="194"/>
      <c r="N14" s="194"/>
    </row>
    <row r="15" spans="1:14" ht="11.25" customHeight="1">
      <c r="A15" s="194"/>
      <c r="B15" s="487"/>
      <c r="C15" s="184" t="s">
        <v>691</v>
      </c>
      <c r="D15" s="186" t="s">
        <v>695</v>
      </c>
      <c r="E15" s="194"/>
      <c r="F15" s="194"/>
      <c r="G15" s="194"/>
      <c r="H15" s="487"/>
      <c r="I15" s="487"/>
      <c r="J15" s="184" t="s">
        <v>692</v>
      </c>
      <c r="K15" s="186" t="s">
        <v>693</v>
      </c>
      <c r="L15" s="194"/>
      <c r="M15" s="194"/>
      <c r="N15" s="194"/>
    </row>
    <row r="16" spans="1:14" ht="12" customHeight="1">
      <c r="A16" s="194"/>
      <c r="B16" s="487"/>
      <c r="C16" s="184" t="s">
        <v>694</v>
      </c>
      <c r="D16" s="186" t="s">
        <v>4056</v>
      </c>
      <c r="E16" s="194"/>
      <c r="F16" s="194">
        <v>14</v>
      </c>
      <c r="G16" s="194">
        <v>14</v>
      </c>
      <c r="H16" s="487"/>
      <c r="I16" s="487"/>
      <c r="J16" s="184" t="s">
        <v>696</v>
      </c>
      <c r="K16" s="186" t="s">
        <v>3724</v>
      </c>
      <c r="L16" s="194"/>
      <c r="M16" s="194"/>
      <c r="N16" s="194"/>
    </row>
    <row r="17" spans="1:14" ht="15" customHeight="1">
      <c r="A17" s="194"/>
      <c r="B17" s="487"/>
      <c r="C17" s="184" t="s">
        <v>698</v>
      </c>
      <c r="D17" s="186" t="s">
        <v>4058</v>
      </c>
      <c r="E17" s="194"/>
      <c r="F17" s="194"/>
      <c r="G17" s="194"/>
      <c r="H17" s="487"/>
      <c r="I17" s="487"/>
      <c r="J17" s="184" t="s">
        <v>699</v>
      </c>
      <c r="K17" s="186" t="s">
        <v>700</v>
      </c>
      <c r="L17" s="194"/>
      <c r="M17" s="194"/>
      <c r="N17" s="194"/>
    </row>
    <row r="18" spans="1:14" ht="10.5" customHeight="1">
      <c r="A18" s="194"/>
      <c r="B18" s="185" t="s">
        <v>4041</v>
      </c>
      <c r="C18" s="1980" t="s">
        <v>704</v>
      </c>
      <c r="D18" s="1980"/>
      <c r="E18" s="194"/>
      <c r="F18" s="194"/>
      <c r="G18" s="194"/>
      <c r="H18" s="487"/>
      <c r="I18" s="487"/>
      <c r="J18" s="184" t="s">
        <v>702</v>
      </c>
      <c r="K18" s="194" t="s">
        <v>703</v>
      </c>
      <c r="L18" s="194"/>
      <c r="M18" s="194"/>
      <c r="N18" s="194"/>
    </row>
    <row r="19" spans="1:14" ht="12" customHeight="1">
      <c r="A19" s="194"/>
      <c r="B19" s="185" t="s">
        <v>4166</v>
      </c>
      <c r="C19" s="1980" t="s">
        <v>706</v>
      </c>
      <c r="D19" s="1980"/>
      <c r="E19" s="194">
        <f>E20+E21+E22+E23</f>
        <v>0</v>
      </c>
      <c r="F19" s="194">
        <f>F20+F21+F22+F23</f>
        <v>0</v>
      </c>
      <c r="G19" s="194">
        <f>G20+G21+G22+G23</f>
        <v>0</v>
      </c>
      <c r="H19" s="487"/>
      <c r="I19" s="487"/>
      <c r="J19" s="2018"/>
      <c r="K19" s="2019"/>
      <c r="L19" s="194"/>
      <c r="M19" s="194"/>
      <c r="N19" s="194"/>
    </row>
    <row r="20" spans="1:14" ht="12" customHeight="1">
      <c r="A20" s="194"/>
      <c r="B20" s="487"/>
      <c r="C20" s="184" t="s">
        <v>708</v>
      </c>
      <c r="D20" s="186" t="s">
        <v>709</v>
      </c>
      <c r="E20" s="194"/>
      <c r="F20" s="194"/>
      <c r="G20" s="194"/>
      <c r="H20" s="487"/>
      <c r="I20" s="487"/>
      <c r="J20" s="487"/>
      <c r="K20" s="194"/>
      <c r="L20" s="194"/>
      <c r="M20" s="194"/>
      <c r="N20" s="194"/>
    </row>
    <row r="21" spans="1:14" ht="23.25" customHeight="1">
      <c r="A21" s="194"/>
      <c r="B21" s="487"/>
      <c r="C21" s="184" t="s">
        <v>710</v>
      </c>
      <c r="D21" s="1711" t="s">
        <v>3705</v>
      </c>
      <c r="E21" s="194"/>
      <c r="F21" s="194"/>
      <c r="G21" s="194"/>
      <c r="H21" s="487"/>
      <c r="I21" s="487"/>
      <c r="J21" s="487"/>
      <c r="K21" s="194"/>
      <c r="L21" s="194"/>
      <c r="M21" s="194"/>
      <c r="N21" s="194"/>
    </row>
    <row r="22" spans="1:14" ht="22.5" customHeight="1">
      <c r="A22" s="194"/>
      <c r="B22" s="487"/>
      <c r="C22" s="184" t="s">
        <v>712</v>
      </c>
      <c r="D22" s="1711" t="s">
        <v>3706</v>
      </c>
      <c r="E22" s="194"/>
      <c r="F22" s="194"/>
      <c r="G22" s="194"/>
      <c r="H22" s="487"/>
      <c r="I22" s="487"/>
      <c r="J22" s="487"/>
      <c r="K22" s="194"/>
      <c r="L22" s="194"/>
      <c r="M22" s="194"/>
      <c r="N22" s="194"/>
    </row>
    <row r="23" spans="1:14" ht="11.25" customHeight="1">
      <c r="A23" s="194"/>
      <c r="B23" s="487"/>
      <c r="C23" s="184" t="s">
        <v>714</v>
      </c>
      <c r="D23" s="1711" t="s">
        <v>3707</v>
      </c>
      <c r="E23" s="194"/>
      <c r="F23" s="194"/>
      <c r="G23" s="194"/>
      <c r="H23" s="487"/>
      <c r="I23" s="487"/>
      <c r="J23" s="487"/>
      <c r="K23" s="194"/>
      <c r="L23" s="194"/>
      <c r="M23" s="194"/>
      <c r="N23" s="194"/>
    </row>
    <row r="24" spans="1:14" ht="12" customHeight="1">
      <c r="A24" s="194"/>
      <c r="B24" s="487"/>
      <c r="C24" s="184" t="s">
        <v>716</v>
      </c>
      <c r="D24" s="186" t="s">
        <v>4068</v>
      </c>
      <c r="E24" s="194"/>
      <c r="F24" s="194"/>
      <c r="G24" s="194"/>
      <c r="H24" s="487"/>
      <c r="I24" s="487"/>
      <c r="J24" s="487"/>
      <c r="K24" s="194"/>
      <c r="L24" s="194"/>
      <c r="M24" s="194"/>
      <c r="N24" s="194"/>
    </row>
    <row r="25" spans="1:14" ht="10.5" customHeight="1">
      <c r="A25" s="194"/>
      <c r="B25" s="487"/>
      <c r="C25" s="184" t="s">
        <v>717</v>
      </c>
      <c r="D25" s="186" t="s">
        <v>4073</v>
      </c>
      <c r="E25" s="194"/>
      <c r="F25" s="194"/>
      <c r="G25" s="194"/>
      <c r="H25" s="487"/>
      <c r="I25" s="487"/>
      <c r="J25" s="487"/>
      <c r="K25" s="194"/>
      <c r="L25" s="194"/>
      <c r="M25" s="194"/>
      <c r="N25" s="194"/>
    </row>
    <row r="26" spans="1:14" ht="12" customHeight="1">
      <c r="A26" s="194"/>
      <c r="B26" s="185" t="s">
        <v>4061</v>
      </c>
      <c r="C26" s="1969" t="s">
        <v>718</v>
      </c>
      <c r="D26" s="1971"/>
      <c r="E26" s="194">
        <f>E27+E28+E29</f>
        <v>0</v>
      </c>
      <c r="F26" s="194">
        <f>F27+F28+F29</f>
        <v>0</v>
      </c>
      <c r="G26" s="194">
        <f>G27+G28+G29</f>
        <v>0</v>
      </c>
      <c r="H26" s="487"/>
      <c r="I26" s="487"/>
      <c r="J26" s="487"/>
      <c r="K26" s="194"/>
      <c r="L26" s="194"/>
      <c r="M26" s="194"/>
      <c r="N26" s="194"/>
    </row>
    <row r="27" spans="1:14" ht="15" customHeight="1">
      <c r="A27" s="194"/>
      <c r="B27" s="487"/>
      <c r="C27" s="184" t="s">
        <v>4063</v>
      </c>
      <c r="D27" s="186" t="s">
        <v>3708</v>
      </c>
      <c r="E27" s="194"/>
      <c r="F27" s="194"/>
      <c r="G27" s="194"/>
      <c r="H27" s="487"/>
      <c r="I27" s="487"/>
      <c r="J27" s="487"/>
      <c r="K27" s="194"/>
      <c r="L27" s="194"/>
      <c r="M27" s="194"/>
      <c r="N27" s="194"/>
    </row>
    <row r="28" spans="1:14" ht="15" customHeight="1">
      <c r="A28" s="194"/>
      <c r="B28" s="487"/>
      <c r="C28" s="184" t="s">
        <v>4064</v>
      </c>
      <c r="D28" s="186" t="s">
        <v>720</v>
      </c>
      <c r="E28" s="194"/>
      <c r="F28" s="194"/>
      <c r="G28" s="194"/>
      <c r="H28" s="487"/>
      <c r="I28" s="487"/>
      <c r="J28" s="487"/>
      <c r="K28" s="194"/>
      <c r="L28" s="194"/>
      <c r="M28" s="194"/>
      <c r="N28" s="194"/>
    </row>
    <row r="29" spans="1:14" ht="15" customHeight="1">
      <c r="A29" s="194"/>
      <c r="B29" s="487"/>
      <c r="C29" s="184" t="s">
        <v>4065</v>
      </c>
      <c r="D29" s="186" t="s">
        <v>721</v>
      </c>
      <c r="E29" s="194"/>
      <c r="F29" s="194"/>
      <c r="G29" s="194"/>
      <c r="H29" s="487"/>
      <c r="I29" s="487"/>
      <c r="J29" s="487"/>
      <c r="K29" s="194"/>
      <c r="L29" s="194"/>
      <c r="M29" s="194"/>
      <c r="N29" s="194"/>
    </row>
    <row r="30" spans="1:14" ht="15" customHeight="1">
      <c r="A30" s="194"/>
      <c r="B30" s="178" t="s">
        <v>4074</v>
      </c>
      <c r="C30" s="1980" t="s">
        <v>722</v>
      </c>
      <c r="D30" s="1980"/>
      <c r="E30" s="194"/>
      <c r="F30" s="194">
        <v>179</v>
      </c>
      <c r="G30" s="194">
        <v>179</v>
      </c>
      <c r="H30" s="487"/>
      <c r="I30" s="487"/>
      <c r="J30" s="487"/>
      <c r="K30" s="194"/>
      <c r="L30" s="194"/>
      <c r="M30" s="194"/>
      <c r="N30" s="194"/>
    </row>
    <row r="31" spans="1:14" ht="10.5" customHeight="1">
      <c r="A31" s="194"/>
      <c r="B31" s="193" t="s">
        <v>4195</v>
      </c>
      <c r="C31" s="1970" t="s">
        <v>723</v>
      </c>
      <c r="D31" s="1971"/>
      <c r="E31" s="194">
        <v>63590</v>
      </c>
      <c r="F31" s="194">
        <v>68468</v>
      </c>
      <c r="G31" s="194">
        <v>68468</v>
      </c>
      <c r="H31" s="487"/>
      <c r="I31" s="487"/>
      <c r="J31" s="487"/>
      <c r="K31" s="194"/>
      <c r="L31" s="194"/>
      <c r="M31" s="194"/>
      <c r="N31" s="194"/>
    </row>
    <row r="32" spans="1:14" ht="16.5" customHeight="1">
      <c r="A32" s="1698" t="s">
        <v>725</v>
      </c>
      <c r="B32" s="1969" t="s">
        <v>726</v>
      </c>
      <c r="C32" s="1970"/>
      <c r="D32" s="1971"/>
      <c r="E32" s="1701">
        <f>E6+E11+E19+E26+E30+E18+E31</f>
        <v>63590</v>
      </c>
      <c r="F32" s="1701">
        <f>F6+F11+F19+F26+F30+F18+F31</f>
        <v>68661</v>
      </c>
      <c r="G32" s="1701">
        <f>G6+G11+G19+G26+G30+G18+G31</f>
        <v>68661</v>
      </c>
      <c r="H32" s="1696" t="s">
        <v>725</v>
      </c>
      <c r="I32" s="1980" t="s">
        <v>728</v>
      </c>
      <c r="J32" s="1980"/>
      <c r="K32" s="1980"/>
      <c r="L32" s="194">
        <f>SUM(L6:L10)</f>
        <v>63590</v>
      </c>
      <c r="M32" s="194">
        <f>SUM(M6:M10)</f>
        <v>67926</v>
      </c>
      <c r="N32" s="194">
        <f>SUM(N6:N19)</f>
        <v>67918</v>
      </c>
    </row>
    <row r="33" spans="1:14" ht="15" customHeight="1">
      <c r="A33" s="1698" t="s">
        <v>729</v>
      </c>
      <c r="B33" s="1980" t="s">
        <v>730</v>
      </c>
      <c r="C33" s="1980"/>
      <c r="D33" s="1980"/>
      <c r="E33" s="1701">
        <f>E32-L32</f>
        <v>0</v>
      </c>
      <c r="F33" s="1701">
        <f>F32-M32</f>
        <v>735</v>
      </c>
      <c r="G33" s="1701">
        <f>G32-N32</f>
        <v>743</v>
      </c>
      <c r="H33" s="1696" t="s">
        <v>729</v>
      </c>
      <c r="I33" s="1980" t="s">
        <v>730</v>
      </c>
      <c r="J33" s="1980"/>
      <c r="K33" s="1980"/>
      <c r="L33" s="194"/>
      <c r="M33" s="194"/>
      <c r="N33" s="194"/>
    </row>
    <row r="34" spans="1:14" ht="19.5" customHeight="1">
      <c r="A34" s="1698" t="s">
        <v>732</v>
      </c>
      <c r="B34" s="1980" t="s">
        <v>733</v>
      </c>
      <c r="C34" s="1980"/>
      <c r="D34" s="1980"/>
      <c r="E34" s="194"/>
      <c r="F34" s="194">
        <v>10</v>
      </c>
      <c r="G34" s="194">
        <v>10</v>
      </c>
      <c r="H34" s="1696" t="s">
        <v>732</v>
      </c>
      <c r="I34" s="2017" t="s">
        <v>3709</v>
      </c>
      <c r="J34" s="2017"/>
      <c r="K34" s="2017"/>
      <c r="L34" s="194"/>
      <c r="M34" s="194"/>
      <c r="N34" s="194"/>
    </row>
    <row r="35" spans="1:14" ht="15" customHeight="1">
      <c r="A35" s="1717"/>
      <c r="B35" s="1718"/>
      <c r="C35" s="1718"/>
      <c r="D35" s="1717"/>
      <c r="E35" s="1717"/>
      <c r="F35" s="1717"/>
      <c r="G35" s="1719"/>
      <c r="H35" s="1718"/>
      <c r="I35" s="1718"/>
      <c r="J35" s="1718"/>
      <c r="K35" s="1717"/>
      <c r="L35" s="1717"/>
      <c r="M35" s="1717"/>
      <c r="N35" s="1717"/>
    </row>
    <row r="36" spans="1:14" ht="15" customHeight="1">
      <c r="A36" s="2007" t="s">
        <v>669</v>
      </c>
      <c r="B36" s="2007"/>
      <c r="C36" s="2007"/>
      <c r="D36" s="2007"/>
      <c r="E36" s="2007"/>
      <c r="F36" s="2007"/>
      <c r="G36" s="2007"/>
      <c r="H36" s="2007" t="s">
        <v>670</v>
      </c>
      <c r="I36" s="2007"/>
      <c r="J36" s="2007"/>
      <c r="K36" s="2007"/>
      <c r="L36" s="2007"/>
      <c r="M36" s="2007"/>
      <c r="N36" s="2007"/>
    </row>
    <row r="37" spans="1:14" ht="28.5" customHeight="1">
      <c r="A37" s="2001" t="s">
        <v>671</v>
      </c>
      <c r="B37" s="2002"/>
      <c r="C37" s="2002"/>
      <c r="D37" s="2003"/>
      <c r="E37" s="1697" t="s">
        <v>672</v>
      </c>
      <c r="F37" s="1697" t="s">
        <v>673</v>
      </c>
      <c r="G37" s="1697" t="s">
        <v>4220</v>
      </c>
      <c r="H37" s="2001" t="s">
        <v>671</v>
      </c>
      <c r="I37" s="2002"/>
      <c r="J37" s="2002"/>
      <c r="K37" s="2003"/>
      <c r="L37" s="1697" t="s">
        <v>672</v>
      </c>
      <c r="M37" s="1697" t="s">
        <v>673</v>
      </c>
      <c r="N37" s="1697" t="s">
        <v>4220</v>
      </c>
    </row>
    <row r="38" spans="1:14" ht="15" customHeight="1">
      <c r="A38" s="196" t="s">
        <v>4264</v>
      </c>
      <c r="B38" s="1980" t="s">
        <v>4265</v>
      </c>
      <c r="C38" s="1980"/>
      <c r="D38" s="1980"/>
      <c r="E38" s="194"/>
      <c r="F38" s="194"/>
      <c r="G38" s="194"/>
      <c r="H38" s="196" t="s">
        <v>4264</v>
      </c>
      <c r="I38" s="1987" t="s">
        <v>4265</v>
      </c>
      <c r="J38" s="1987"/>
      <c r="K38" s="1987"/>
      <c r="L38" s="194"/>
      <c r="M38" s="194"/>
      <c r="N38" s="194"/>
    </row>
    <row r="39" spans="1:14" ht="15" customHeight="1">
      <c r="A39" s="194"/>
      <c r="B39" s="196" t="s">
        <v>4029</v>
      </c>
      <c r="C39" s="1987" t="s">
        <v>4266</v>
      </c>
      <c r="D39" s="1987"/>
      <c r="E39" s="194">
        <f>E40+E41+E42</f>
        <v>0</v>
      </c>
      <c r="F39" s="194">
        <f>F40+F41+F42</f>
        <v>0</v>
      </c>
      <c r="G39" s="194">
        <f>G40+G41+G42</f>
        <v>0</v>
      </c>
      <c r="H39" s="487"/>
      <c r="I39" s="194" t="s">
        <v>4029</v>
      </c>
      <c r="J39" s="1999" t="s">
        <v>4267</v>
      </c>
      <c r="K39" s="1999"/>
      <c r="L39" s="194"/>
      <c r="M39" s="194">
        <v>245</v>
      </c>
      <c r="N39" s="194">
        <v>245</v>
      </c>
    </row>
    <row r="40" spans="1:14" ht="15" customHeight="1">
      <c r="A40" s="194"/>
      <c r="B40" s="487"/>
      <c r="C40" s="197" t="s">
        <v>4268</v>
      </c>
      <c r="D40" s="186" t="s">
        <v>4068</v>
      </c>
      <c r="E40" s="194"/>
      <c r="F40" s="194"/>
      <c r="G40" s="194"/>
      <c r="H40" s="487"/>
      <c r="I40" s="194" t="s">
        <v>4031</v>
      </c>
      <c r="J40" s="1999" t="s">
        <v>4154</v>
      </c>
      <c r="K40" s="1999"/>
      <c r="L40" s="194"/>
      <c r="M40" s="194">
        <v>500</v>
      </c>
      <c r="N40" s="194"/>
    </row>
    <row r="41" spans="1:14" ht="15" customHeight="1">
      <c r="A41" s="194"/>
      <c r="B41" s="487"/>
      <c r="C41" s="197" t="s">
        <v>4269</v>
      </c>
      <c r="D41" s="186" t="s">
        <v>4070</v>
      </c>
      <c r="E41" s="194"/>
      <c r="F41" s="194"/>
      <c r="G41" s="194"/>
      <c r="H41" s="487"/>
      <c r="I41" s="194" t="s">
        <v>4041</v>
      </c>
      <c r="J41" s="1999" t="s">
        <v>4270</v>
      </c>
      <c r="K41" s="1999"/>
      <c r="L41" s="194">
        <f>L42+L43+L44+L45</f>
        <v>0</v>
      </c>
      <c r="M41" s="194">
        <f>M42+M43+M44+M45</f>
        <v>0</v>
      </c>
      <c r="N41" s="194">
        <f>N42+N43+N44+N45</f>
        <v>0</v>
      </c>
    </row>
    <row r="42" spans="1:14" ht="15" customHeight="1">
      <c r="A42" s="194"/>
      <c r="B42" s="487"/>
      <c r="C42" s="197" t="s">
        <v>679</v>
      </c>
      <c r="D42" s="186" t="s">
        <v>4271</v>
      </c>
      <c r="E42" s="194"/>
      <c r="F42" s="194"/>
      <c r="G42" s="194"/>
      <c r="H42" s="487"/>
      <c r="I42" s="487"/>
      <c r="J42" s="197" t="s">
        <v>4272</v>
      </c>
      <c r="K42" s="186" t="s">
        <v>4273</v>
      </c>
      <c r="L42" s="194"/>
      <c r="M42" s="194"/>
      <c r="N42" s="194"/>
    </row>
    <row r="43" spans="1:14" ht="22.5" customHeight="1">
      <c r="A43" s="194"/>
      <c r="B43" s="196" t="s">
        <v>4031</v>
      </c>
      <c r="C43" s="1980" t="s">
        <v>4274</v>
      </c>
      <c r="D43" s="1980"/>
      <c r="E43" s="194">
        <f>E44+E45</f>
        <v>0</v>
      </c>
      <c r="F43" s="194">
        <f>F44+F45</f>
        <v>0</v>
      </c>
      <c r="G43" s="194">
        <f>G44+G45</f>
        <v>0</v>
      </c>
      <c r="H43" s="487"/>
      <c r="I43" s="487"/>
      <c r="J43" s="197" t="s">
        <v>4275</v>
      </c>
      <c r="K43" s="198" t="s">
        <v>4276</v>
      </c>
      <c r="L43" s="194"/>
      <c r="M43" s="194"/>
      <c r="N43" s="194"/>
    </row>
    <row r="44" spans="1:14" ht="15" customHeight="1">
      <c r="A44" s="194"/>
      <c r="B44" s="487"/>
      <c r="C44" s="197" t="s">
        <v>684</v>
      </c>
      <c r="D44" s="186" t="s">
        <v>659</v>
      </c>
      <c r="E44" s="194"/>
      <c r="F44" s="194"/>
      <c r="G44" s="194"/>
      <c r="H44" s="487"/>
      <c r="I44" s="487"/>
      <c r="J44" s="197" t="s">
        <v>4277</v>
      </c>
      <c r="K44" s="187" t="s">
        <v>3684</v>
      </c>
      <c r="L44" s="194"/>
      <c r="M44" s="194"/>
      <c r="N44" s="194"/>
    </row>
    <row r="45" spans="1:14" ht="15" customHeight="1">
      <c r="A45" s="194"/>
      <c r="B45" s="487"/>
      <c r="C45" s="197" t="s">
        <v>687</v>
      </c>
      <c r="D45" s="186" t="s">
        <v>3685</v>
      </c>
      <c r="E45" s="194"/>
      <c r="F45" s="194"/>
      <c r="G45" s="194"/>
      <c r="H45" s="487"/>
      <c r="I45" s="487"/>
      <c r="J45" s="197" t="s">
        <v>3686</v>
      </c>
      <c r="K45" s="187" t="s">
        <v>3687</v>
      </c>
      <c r="L45" s="194"/>
      <c r="M45" s="194"/>
      <c r="N45" s="194"/>
    </row>
    <row r="46" spans="1:14" ht="15" customHeight="1">
      <c r="A46" s="194"/>
      <c r="B46" s="196">
        <v>3</v>
      </c>
      <c r="C46" s="1983" t="s">
        <v>3688</v>
      </c>
      <c r="D46" s="1983"/>
      <c r="E46" s="194">
        <f>E47+E48+E49</f>
        <v>0</v>
      </c>
      <c r="F46" s="194">
        <f>F47+F48+F49</f>
        <v>0</v>
      </c>
      <c r="G46" s="194">
        <f>G47+G48+G49</f>
        <v>0</v>
      </c>
      <c r="H46" s="487"/>
      <c r="I46" s="487"/>
      <c r="J46" s="487"/>
      <c r="K46" s="194"/>
      <c r="L46" s="194"/>
      <c r="M46" s="194"/>
      <c r="N46" s="194"/>
    </row>
    <row r="47" spans="1:14" ht="21.75" customHeight="1">
      <c r="A47" s="194"/>
      <c r="B47" s="487"/>
      <c r="C47" s="197" t="s">
        <v>4272</v>
      </c>
      <c r="D47" s="186" t="s">
        <v>4097</v>
      </c>
      <c r="E47" s="194"/>
      <c r="F47" s="194"/>
      <c r="G47" s="194"/>
      <c r="H47" s="487"/>
      <c r="I47" s="487"/>
      <c r="J47" s="487"/>
      <c r="K47" s="194"/>
      <c r="L47" s="194"/>
      <c r="M47" s="194"/>
      <c r="N47" s="194"/>
    </row>
    <row r="48" spans="1:14" ht="15" customHeight="1">
      <c r="A48" s="194"/>
      <c r="B48" s="487"/>
      <c r="C48" s="197" t="s">
        <v>4275</v>
      </c>
      <c r="D48" s="186" t="s">
        <v>3691</v>
      </c>
      <c r="E48" s="194"/>
      <c r="F48" s="194"/>
      <c r="G48" s="194"/>
      <c r="H48" s="487"/>
      <c r="I48" s="487"/>
      <c r="J48" s="487"/>
      <c r="K48" s="194"/>
      <c r="L48" s="194"/>
      <c r="M48" s="194"/>
      <c r="N48" s="194"/>
    </row>
    <row r="49" spans="1:14" ht="15" customHeight="1">
      <c r="A49" s="194"/>
      <c r="B49" s="487"/>
      <c r="C49" s="197" t="s">
        <v>4277</v>
      </c>
      <c r="D49" s="187" t="s">
        <v>3692</v>
      </c>
      <c r="E49" s="194"/>
      <c r="F49" s="194"/>
      <c r="G49" s="194"/>
      <c r="H49" s="487"/>
      <c r="I49" s="487"/>
      <c r="J49" s="487"/>
      <c r="K49" s="194"/>
      <c r="L49" s="194"/>
      <c r="M49" s="194"/>
      <c r="N49" s="194"/>
    </row>
    <row r="50" spans="1:14" ht="15" customHeight="1">
      <c r="A50" s="194"/>
      <c r="B50" s="185">
        <v>4</v>
      </c>
      <c r="C50" s="1980" t="s">
        <v>3693</v>
      </c>
      <c r="D50" s="1980"/>
      <c r="E50" s="194"/>
      <c r="F50" s="194"/>
      <c r="G50" s="194"/>
      <c r="H50" s="487"/>
      <c r="I50" s="487"/>
      <c r="J50" s="487"/>
      <c r="K50" s="194"/>
      <c r="L50" s="194"/>
      <c r="M50" s="194"/>
      <c r="N50" s="194"/>
    </row>
    <row r="51" spans="1:14" ht="15" customHeight="1">
      <c r="A51" s="194"/>
      <c r="B51" s="185" t="s">
        <v>4061</v>
      </c>
      <c r="C51" s="1969" t="s">
        <v>3694</v>
      </c>
      <c r="D51" s="1971"/>
      <c r="E51" s="194"/>
      <c r="F51" s="194"/>
      <c r="G51" s="194"/>
      <c r="H51" s="487"/>
      <c r="I51" s="185"/>
      <c r="J51" s="185"/>
      <c r="K51" s="185"/>
      <c r="L51" s="194"/>
      <c r="M51" s="194"/>
      <c r="N51" s="194"/>
    </row>
    <row r="52" spans="1:14" ht="15" customHeight="1">
      <c r="A52" s="194"/>
      <c r="B52" s="185"/>
      <c r="C52" s="197" t="s">
        <v>4063</v>
      </c>
      <c r="D52" s="192" t="s">
        <v>3695</v>
      </c>
      <c r="E52" s="194"/>
      <c r="F52" s="194"/>
      <c r="G52" s="194"/>
      <c r="H52" s="487"/>
      <c r="I52" s="185"/>
      <c r="J52" s="185"/>
      <c r="K52" s="185"/>
      <c r="L52" s="194"/>
      <c r="M52" s="194"/>
      <c r="N52" s="194"/>
    </row>
    <row r="53" spans="1:14" ht="15" customHeight="1">
      <c r="A53" s="194"/>
      <c r="B53" s="185" t="s">
        <v>4074</v>
      </c>
      <c r="C53" s="2016" t="s">
        <v>3696</v>
      </c>
      <c r="D53" s="2016"/>
      <c r="E53" s="194"/>
      <c r="F53" s="194"/>
      <c r="G53" s="194"/>
      <c r="H53" s="487"/>
      <c r="I53" s="487"/>
      <c r="J53" s="487"/>
      <c r="K53" s="194"/>
      <c r="L53" s="194"/>
      <c r="M53" s="194"/>
      <c r="N53" s="194"/>
    </row>
    <row r="54" spans="1:14" ht="21.75" customHeight="1">
      <c r="A54" s="194" t="s">
        <v>3712</v>
      </c>
      <c r="B54" s="1980" t="s">
        <v>3697</v>
      </c>
      <c r="C54" s="1980"/>
      <c r="D54" s="1980"/>
      <c r="E54" s="194">
        <f>E39+E43+E46+E50+E53</f>
        <v>0</v>
      </c>
      <c r="F54" s="194">
        <f>F39+F43+F46+F50</f>
        <v>0</v>
      </c>
      <c r="G54" s="194">
        <f>G39+G43+G46+G50</f>
        <v>0</v>
      </c>
      <c r="H54" s="487"/>
      <c r="I54" s="1980" t="s">
        <v>3713</v>
      </c>
      <c r="J54" s="1980"/>
      <c r="K54" s="1980"/>
      <c r="L54" s="194">
        <f>L39+L40+L41</f>
        <v>0</v>
      </c>
      <c r="M54" s="194">
        <f>M39+M40</f>
        <v>745</v>
      </c>
      <c r="N54" s="194">
        <f>N39+N40</f>
        <v>245</v>
      </c>
    </row>
    <row r="55" spans="1:14" ht="15" customHeight="1">
      <c r="A55" s="194" t="s">
        <v>3714</v>
      </c>
      <c r="B55" s="1980" t="s">
        <v>3698</v>
      </c>
      <c r="C55" s="1980"/>
      <c r="D55" s="1980"/>
      <c r="E55" s="194">
        <f>E54-L54</f>
        <v>0</v>
      </c>
      <c r="F55" s="194">
        <f>F54-M54</f>
        <v>-745</v>
      </c>
      <c r="G55" s="194">
        <f>G54-N54</f>
        <v>-245</v>
      </c>
      <c r="H55" s="487"/>
      <c r="I55" s="1980" t="s">
        <v>3698</v>
      </c>
      <c r="J55" s="1980"/>
      <c r="K55" s="1980"/>
      <c r="L55" s="194"/>
      <c r="M55" s="194"/>
      <c r="N55" s="194"/>
    </row>
    <row r="56" spans="1:14" ht="15" customHeight="1">
      <c r="A56" s="194" t="s">
        <v>3715</v>
      </c>
      <c r="B56" s="1980" t="s">
        <v>3716</v>
      </c>
      <c r="C56" s="1980"/>
      <c r="D56" s="1980"/>
      <c r="E56" s="194"/>
      <c r="F56" s="194"/>
      <c r="G56" s="194"/>
      <c r="H56" s="487"/>
      <c r="I56" s="487"/>
      <c r="J56" s="487"/>
      <c r="K56" s="194"/>
      <c r="L56" s="194"/>
      <c r="M56" s="194"/>
      <c r="N56" s="194"/>
    </row>
    <row r="57" spans="1:14" ht="15" customHeight="1">
      <c r="A57" s="194" t="s">
        <v>3717</v>
      </c>
      <c r="B57" s="1980" t="s">
        <v>3718</v>
      </c>
      <c r="C57" s="1980"/>
      <c r="D57" s="1980"/>
      <c r="E57" s="194"/>
      <c r="F57" s="194"/>
      <c r="G57" s="194"/>
      <c r="H57" s="487"/>
      <c r="I57" s="487"/>
      <c r="J57" s="487"/>
      <c r="K57" s="194"/>
      <c r="L57" s="194"/>
      <c r="M57" s="194"/>
      <c r="N57" s="194"/>
    </row>
    <row r="58" spans="1:14" ht="15" customHeight="1">
      <c r="A58" s="2011" t="s">
        <v>1191</v>
      </c>
      <c r="B58" s="2012"/>
      <c r="C58" s="2012"/>
      <c r="D58" s="2013"/>
      <c r="E58" s="1720">
        <f>E54+E32</f>
        <v>63590</v>
      </c>
      <c r="F58" s="1720">
        <f>F54+F32+F34</f>
        <v>68671</v>
      </c>
      <c r="G58" s="1720">
        <f>G54+G32+G34</f>
        <v>68671</v>
      </c>
      <c r="H58" s="1696"/>
      <c r="I58" s="2011" t="s">
        <v>1191</v>
      </c>
      <c r="J58" s="2012"/>
      <c r="K58" s="2013"/>
      <c r="L58" s="1698">
        <f>L54+L32</f>
        <v>63590</v>
      </c>
      <c r="M58" s="1698">
        <f>M54+M32</f>
        <v>68671</v>
      </c>
      <c r="N58" s="1698">
        <f>N54+N32</f>
        <v>68163</v>
      </c>
    </row>
    <row r="59" ht="15" customHeight="1"/>
    <row r="61" ht="12.75">
      <c r="F61" s="1713"/>
    </row>
  </sheetData>
  <sheetProtection/>
  <mergeCells count="50">
    <mergeCell ref="A58:D58"/>
    <mergeCell ref="I58:K58"/>
    <mergeCell ref="A1:N1"/>
    <mergeCell ref="A2:N2"/>
    <mergeCell ref="A3:G3"/>
    <mergeCell ref="H3:N3"/>
    <mergeCell ref="A4:D4"/>
    <mergeCell ref="H4:K4"/>
    <mergeCell ref="B5:D5"/>
    <mergeCell ref="I5:K5"/>
    <mergeCell ref="J9:K9"/>
    <mergeCell ref="J10:K10"/>
    <mergeCell ref="C11:D11"/>
    <mergeCell ref="C18:D18"/>
    <mergeCell ref="C6:D6"/>
    <mergeCell ref="J6:K6"/>
    <mergeCell ref="J7:K7"/>
    <mergeCell ref="J8:K8"/>
    <mergeCell ref="C31:D31"/>
    <mergeCell ref="B32:D32"/>
    <mergeCell ref="I32:K32"/>
    <mergeCell ref="B33:D33"/>
    <mergeCell ref="I33:K33"/>
    <mergeCell ref="C19:D19"/>
    <mergeCell ref="J19:K19"/>
    <mergeCell ref="C26:D26"/>
    <mergeCell ref="C30:D30"/>
    <mergeCell ref="A37:D37"/>
    <mergeCell ref="H37:K37"/>
    <mergeCell ref="B38:D38"/>
    <mergeCell ref="I38:K38"/>
    <mergeCell ref="B34:D34"/>
    <mergeCell ref="I34:K34"/>
    <mergeCell ref="A36:G36"/>
    <mergeCell ref="H36:N36"/>
    <mergeCell ref="C43:D43"/>
    <mergeCell ref="C46:D46"/>
    <mergeCell ref="C50:D50"/>
    <mergeCell ref="C51:D51"/>
    <mergeCell ref="C39:D39"/>
    <mergeCell ref="J39:K39"/>
    <mergeCell ref="J40:K40"/>
    <mergeCell ref="J41:K41"/>
    <mergeCell ref="B56:D56"/>
    <mergeCell ref="B57:D57"/>
    <mergeCell ref="C53:D53"/>
    <mergeCell ref="B54:D54"/>
    <mergeCell ref="I54:K54"/>
    <mergeCell ref="B55:D55"/>
    <mergeCell ref="I55:K5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3"/>
  <sheetViews>
    <sheetView zoomScale="125" zoomScaleNormal="125" zoomScalePageLayoutView="0" workbookViewId="0" topLeftCell="A1">
      <selection activeCell="A1" sqref="A1:N1"/>
    </sheetView>
  </sheetViews>
  <sheetFormatPr defaultColWidth="9.00390625" defaultRowHeight="12.75"/>
  <cols>
    <col min="1" max="1" width="2.75390625" style="169" customWidth="1"/>
    <col min="2" max="2" width="4.00390625" style="169" customWidth="1"/>
    <col min="3" max="3" width="3.625" style="169" customWidth="1"/>
    <col min="4" max="4" width="33.00390625" style="169" customWidth="1"/>
    <col min="5" max="5" width="7.00390625" style="169" customWidth="1"/>
    <col min="6" max="6" width="7.125" style="169" customWidth="1"/>
    <col min="7" max="7" width="6.625" style="489" customWidth="1"/>
    <col min="8" max="8" width="5.75390625" style="169" customWidth="1"/>
    <col min="9" max="10" width="3.00390625" style="169" customWidth="1"/>
    <col min="11" max="11" width="32.125" style="169" customWidth="1"/>
    <col min="12" max="12" width="8.00390625" style="169" customWidth="1"/>
    <col min="13" max="13" width="7.125" style="169" customWidth="1"/>
    <col min="14" max="14" width="7.625" style="169" customWidth="1"/>
    <col min="15" max="15" width="6.875" style="169" customWidth="1"/>
    <col min="16" max="16384" width="9.125" style="169" customWidth="1"/>
  </cols>
  <sheetData>
    <row r="1" spans="1:14" ht="12.75">
      <c r="A1" s="2020" t="s">
        <v>5271</v>
      </c>
      <c r="B1" s="2020"/>
      <c r="C1" s="2020"/>
      <c r="D1" s="2020"/>
      <c r="E1" s="2020"/>
      <c r="F1" s="2020"/>
      <c r="G1" s="2020"/>
      <c r="H1" s="2020"/>
      <c r="I1" s="2020"/>
      <c r="J1" s="2020"/>
      <c r="K1" s="2020"/>
      <c r="L1" s="2020"/>
      <c r="M1" s="2020"/>
      <c r="N1" s="2020"/>
    </row>
    <row r="2" spans="1:14" ht="12.75">
      <c r="A2" s="2005" t="s">
        <v>2785</v>
      </c>
      <c r="B2" s="2005"/>
      <c r="C2" s="2005"/>
      <c r="D2" s="2005"/>
      <c r="E2" s="2005"/>
      <c r="F2" s="2005"/>
      <c r="G2" s="2005"/>
      <c r="H2" s="2005"/>
      <c r="I2" s="2005"/>
      <c r="J2" s="2005"/>
      <c r="K2" s="2005"/>
      <c r="L2" s="2005"/>
      <c r="M2" s="2005"/>
      <c r="N2" s="2005"/>
    </row>
    <row r="3" spans="1:14" ht="12.75">
      <c r="A3" s="2005" t="s">
        <v>669</v>
      </c>
      <c r="B3" s="2005"/>
      <c r="C3" s="2005"/>
      <c r="D3" s="2005"/>
      <c r="E3" s="2005"/>
      <c r="F3" s="2005"/>
      <c r="G3" s="2005"/>
      <c r="H3" s="2005" t="s">
        <v>670</v>
      </c>
      <c r="I3" s="2005"/>
      <c r="J3" s="2005"/>
      <c r="K3" s="2005"/>
      <c r="L3" s="2005"/>
      <c r="M3" s="2005"/>
      <c r="N3" s="2005"/>
    </row>
    <row r="4" spans="1:14" ht="21" customHeight="1">
      <c r="A4" s="2001" t="s">
        <v>671</v>
      </c>
      <c r="B4" s="2002"/>
      <c r="C4" s="2002"/>
      <c r="D4" s="2003"/>
      <c r="E4" s="1697" t="s">
        <v>672</v>
      </c>
      <c r="F4" s="1697" t="s">
        <v>673</v>
      </c>
      <c r="G4" s="1724" t="s">
        <v>4220</v>
      </c>
      <c r="H4" s="2001" t="s">
        <v>671</v>
      </c>
      <c r="I4" s="2002"/>
      <c r="J4" s="2002"/>
      <c r="K4" s="2003"/>
      <c r="L4" s="1697" t="s">
        <v>672</v>
      </c>
      <c r="M4" s="1697" t="s">
        <v>673</v>
      </c>
      <c r="N4" s="1697" t="s">
        <v>4220</v>
      </c>
    </row>
    <row r="5" spans="1:14" ht="15" customHeight="1">
      <c r="A5" s="171" t="s">
        <v>675</v>
      </c>
      <c r="B5" s="1980" t="s">
        <v>676</v>
      </c>
      <c r="C5" s="1980"/>
      <c r="D5" s="1980"/>
      <c r="E5" s="1725"/>
      <c r="F5" s="1725"/>
      <c r="G5" s="1725"/>
      <c r="H5" s="173" t="s">
        <v>675</v>
      </c>
      <c r="I5" s="1987" t="s">
        <v>676</v>
      </c>
      <c r="J5" s="1987"/>
      <c r="K5" s="1987"/>
      <c r="L5" s="179"/>
      <c r="M5" s="179"/>
      <c r="N5" s="179"/>
    </row>
    <row r="6" spans="1:14" ht="12" customHeight="1">
      <c r="A6" s="174"/>
      <c r="B6" s="175">
        <v>1</v>
      </c>
      <c r="C6" s="1970" t="s">
        <v>677</v>
      </c>
      <c r="D6" s="1971"/>
      <c r="E6" s="1725">
        <f>E7+E8+E10+E9</f>
        <v>0</v>
      </c>
      <c r="F6" s="1725">
        <f>F7+F8+F10+F9</f>
        <v>0</v>
      </c>
      <c r="G6" s="1725">
        <f>G7+G8+G10+G9</f>
        <v>0</v>
      </c>
      <c r="H6" s="177"/>
      <c r="I6" s="178" t="s">
        <v>4029</v>
      </c>
      <c r="J6" s="1999" t="s">
        <v>4136</v>
      </c>
      <c r="K6" s="1999"/>
      <c r="L6" s="1725">
        <v>33671</v>
      </c>
      <c r="M6" s="1732">
        <f>141146-'[4]gamesz műk.felh önként'!M6</f>
        <v>140147</v>
      </c>
      <c r="N6" s="1732">
        <f>139871-'[4]gamesz műk.felh önként'!N6</f>
        <v>138897</v>
      </c>
    </row>
    <row r="7" spans="1:14" ht="12" customHeight="1">
      <c r="A7" s="172"/>
      <c r="B7" s="177"/>
      <c r="C7" s="184" t="s">
        <v>4135</v>
      </c>
      <c r="D7" s="199" t="s">
        <v>4034</v>
      </c>
      <c r="E7" s="1725"/>
      <c r="F7" s="1725"/>
      <c r="G7" s="1725"/>
      <c r="H7" s="177"/>
      <c r="I7" s="178" t="s">
        <v>4031</v>
      </c>
      <c r="J7" s="1999" t="s">
        <v>4138</v>
      </c>
      <c r="K7" s="1999"/>
      <c r="L7" s="1725">
        <v>8659</v>
      </c>
      <c r="M7" s="1732">
        <f>22491-'[4]gamesz műk.felh önként'!M7</f>
        <v>22221</v>
      </c>
      <c r="N7" s="1732">
        <f>22412-'[4]gamesz műk.felh önként'!N7</f>
        <v>22149</v>
      </c>
    </row>
    <row r="8" spans="1:14" ht="11.25" customHeight="1">
      <c r="A8" s="172"/>
      <c r="B8" s="177"/>
      <c r="C8" s="184" t="s">
        <v>4137</v>
      </c>
      <c r="D8" s="199" t="s">
        <v>4036</v>
      </c>
      <c r="E8" s="1725"/>
      <c r="F8" s="1725"/>
      <c r="G8" s="1725"/>
      <c r="H8" s="177"/>
      <c r="I8" s="178" t="s">
        <v>4041</v>
      </c>
      <c r="J8" s="1999" t="s">
        <v>4140</v>
      </c>
      <c r="K8" s="1999"/>
      <c r="L8" s="1725">
        <f>39045-3772-5844-554</f>
        <v>28875</v>
      </c>
      <c r="M8" s="1732">
        <f>57812-'[4]gamesz műk.felh önként'!M8</f>
        <v>55086</v>
      </c>
      <c r="N8" s="1732">
        <f>54725-'[4]gamesz műk.felh önként'!N8</f>
        <v>51978</v>
      </c>
    </row>
    <row r="9" spans="1:14" ht="10.5" customHeight="1">
      <c r="A9" s="172"/>
      <c r="B9" s="177"/>
      <c r="C9" s="184" t="s">
        <v>679</v>
      </c>
      <c r="D9" s="199" t="s">
        <v>4038</v>
      </c>
      <c r="E9" s="1725"/>
      <c r="F9" s="1725"/>
      <c r="G9" s="1725"/>
      <c r="H9" s="177"/>
      <c r="I9" s="178" t="s">
        <v>4166</v>
      </c>
      <c r="J9" s="1999" t="s">
        <v>4142</v>
      </c>
      <c r="K9" s="1999"/>
      <c r="L9" s="1725"/>
      <c r="M9" s="1725"/>
      <c r="N9" s="1725"/>
    </row>
    <row r="10" spans="1:14" ht="11.25" customHeight="1">
      <c r="A10" s="172"/>
      <c r="B10" s="177"/>
      <c r="C10" s="184" t="s">
        <v>680</v>
      </c>
      <c r="D10" s="199" t="s">
        <v>4040</v>
      </c>
      <c r="E10" s="1725"/>
      <c r="F10" s="1725"/>
      <c r="G10" s="1725"/>
      <c r="H10" s="177"/>
      <c r="I10" s="178" t="s">
        <v>4061</v>
      </c>
      <c r="J10" s="1999" t="s">
        <v>4144</v>
      </c>
      <c r="K10" s="1999"/>
      <c r="L10" s="1725">
        <f>L11+L12+L14+L15+L17+L18+L16+L19</f>
        <v>0</v>
      </c>
      <c r="M10" s="1725">
        <f>M11+M12+M14+M15+M17+M18+M16+M19</f>
        <v>0</v>
      </c>
      <c r="N10" s="1725">
        <f>N11+N12+N14+N15+N17+N18+N16+N19</f>
        <v>0</v>
      </c>
    </row>
    <row r="11" spans="1:14" ht="15" customHeight="1">
      <c r="A11" s="172"/>
      <c r="B11" s="185" t="s">
        <v>4031</v>
      </c>
      <c r="C11" s="1980" t="s">
        <v>682</v>
      </c>
      <c r="D11" s="2021"/>
      <c r="E11" s="1733">
        <f>SUM(E12:E18)</f>
        <v>2070</v>
      </c>
      <c r="F11" s="1733">
        <f>SUM(F12:F18)</f>
        <v>8836</v>
      </c>
      <c r="G11" s="1733">
        <f>SUM(G12:G18)</f>
        <v>8787</v>
      </c>
      <c r="H11" s="953"/>
      <c r="I11" s="177"/>
      <c r="J11" s="184" t="s">
        <v>4063</v>
      </c>
      <c r="K11" s="186" t="s">
        <v>683</v>
      </c>
      <c r="L11" s="1725"/>
      <c r="M11" s="1725"/>
      <c r="N11" s="1725"/>
    </row>
    <row r="12" spans="1:14" ht="12.75">
      <c r="A12" s="172"/>
      <c r="B12" s="177"/>
      <c r="C12" s="184" t="s">
        <v>684</v>
      </c>
      <c r="D12" s="954" t="s">
        <v>4044</v>
      </c>
      <c r="E12" s="1734"/>
      <c r="F12" s="1735">
        <v>3783</v>
      </c>
      <c r="G12" s="1735">
        <v>3762</v>
      </c>
      <c r="H12" s="177"/>
      <c r="I12" s="177"/>
      <c r="J12" s="184" t="s">
        <v>4064</v>
      </c>
      <c r="K12" s="187" t="s">
        <v>686</v>
      </c>
      <c r="L12" s="1725"/>
      <c r="M12" s="1725"/>
      <c r="N12" s="1725"/>
    </row>
    <row r="13" spans="1:14" ht="12.75">
      <c r="A13" s="172"/>
      <c r="B13" s="177"/>
      <c r="C13" s="184" t="s">
        <v>687</v>
      </c>
      <c r="D13" s="186" t="s">
        <v>4046</v>
      </c>
      <c r="E13" s="1734"/>
      <c r="F13" s="1735">
        <v>151</v>
      </c>
      <c r="G13" s="1735">
        <v>192</v>
      </c>
      <c r="H13" s="177"/>
      <c r="I13" s="177"/>
      <c r="J13" s="184"/>
      <c r="K13" s="187"/>
      <c r="L13" s="1725"/>
      <c r="M13" s="1725"/>
      <c r="N13" s="1725"/>
    </row>
    <row r="14" spans="1:14" ht="12.75">
      <c r="A14" s="172"/>
      <c r="B14" s="177"/>
      <c r="C14" s="184" t="s">
        <v>689</v>
      </c>
      <c r="D14" s="186" t="s">
        <v>4048</v>
      </c>
      <c r="E14" s="1734"/>
      <c r="F14" s="1734"/>
      <c r="G14" s="1734"/>
      <c r="H14" s="177"/>
      <c r="I14" s="177"/>
      <c r="J14" s="184" t="s">
        <v>4065</v>
      </c>
      <c r="K14" s="188" t="s">
        <v>688</v>
      </c>
      <c r="L14" s="179"/>
      <c r="M14" s="179"/>
      <c r="N14" s="179"/>
    </row>
    <row r="15" spans="1:14" ht="10.5" customHeight="1">
      <c r="A15" s="172"/>
      <c r="B15" s="177"/>
      <c r="C15" s="184" t="s">
        <v>691</v>
      </c>
      <c r="D15" s="186" t="s">
        <v>4050</v>
      </c>
      <c r="E15" s="1725"/>
      <c r="F15" s="1725"/>
      <c r="G15" s="1725"/>
      <c r="H15" s="177"/>
      <c r="I15" s="177"/>
      <c r="J15" s="184" t="s">
        <v>4066</v>
      </c>
      <c r="K15" s="186" t="s">
        <v>3703</v>
      </c>
      <c r="L15" s="179"/>
      <c r="M15" s="179"/>
      <c r="N15" s="179"/>
    </row>
    <row r="16" spans="1:14" ht="12.75">
      <c r="A16" s="172"/>
      <c r="B16" s="177"/>
      <c r="C16" s="184" t="s">
        <v>694</v>
      </c>
      <c r="D16" s="186" t="s">
        <v>695</v>
      </c>
      <c r="E16" s="1734">
        <v>360</v>
      </c>
      <c r="F16" s="1735">
        <f>1285-'[4]gamesz műk.felh önként'!F15</f>
        <v>1125</v>
      </c>
      <c r="G16" s="1735">
        <f>1259-'[4]gamesz műk.felh önként'!G15</f>
        <v>1100</v>
      </c>
      <c r="H16" s="177"/>
      <c r="I16" s="177"/>
      <c r="J16" s="184" t="s">
        <v>692</v>
      </c>
      <c r="K16" s="186" t="s">
        <v>693</v>
      </c>
      <c r="L16" s="179"/>
      <c r="M16" s="179"/>
      <c r="N16" s="179"/>
    </row>
    <row r="17" spans="1:14" ht="12.75">
      <c r="A17" s="172"/>
      <c r="B17" s="177"/>
      <c r="C17" s="184" t="s">
        <v>698</v>
      </c>
      <c r="D17" s="186" t="s">
        <v>4056</v>
      </c>
      <c r="E17" s="1734">
        <v>400</v>
      </c>
      <c r="F17" s="1735">
        <v>574</v>
      </c>
      <c r="G17" s="1735">
        <v>574</v>
      </c>
      <c r="H17" s="177"/>
      <c r="I17" s="177"/>
      <c r="J17" s="184" t="s">
        <v>696</v>
      </c>
      <c r="K17" s="186" t="s">
        <v>3724</v>
      </c>
      <c r="L17" s="179"/>
      <c r="M17" s="179"/>
      <c r="N17" s="179"/>
    </row>
    <row r="18" spans="1:14" ht="15" customHeight="1">
      <c r="A18" s="172"/>
      <c r="B18" s="177"/>
      <c r="C18" s="184" t="s">
        <v>701</v>
      </c>
      <c r="D18" s="186" t="s">
        <v>4058</v>
      </c>
      <c r="E18" s="1734">
        <v>1310</v>
      </c>
      <c r="F18" s="1734">
        <f>-'[4]gamesz műk.felh önként'!F17+3803</f>
        <v>3203</v>
      </c>
      <c r="G18" s="1734">
        <f>-'[4]gamesz műk.felh önként'!G17+3749</f>
        <v>3159</v>
      </c>
      <c r="H18" s="177"/>
      <c r="I18" s="177"/>
      <c r="J18" s="184" t="s">
        <v>699</v>
      </c>
      <c r="K18" s="186" t="s">
        <v>700</v>
      </c>
      <c r="L18" s="179"/>
      <c r="M18" s="179"/>
      <c r="N18" s="179"/>
    </row>
    <row r="19" spans="1:14" ht="10.5" customHeight="1">
      <c r="A19" s="172"/>
      <c r="B19" s="185" t="s">
        <v>4041</v>
      </c>
      <c r="C19" s="1980" t="s">
        <v>704</v>
      </c>
      <c r="D19" s="1980"/>
      <c r="E19" s="1734"/>
      <c r="F19" s="1734"/>
      <c r="G19" s="1734"/>
      <c r="H19" s="177"/>
      <c r="I19" s="177"/>
      <c r="J19" s="184" t="s">
        <v>702</v>
      </c>
      <c r="K19" s="172" t="s">
        <v>703</v>
      </c>
      <c r="L19" s="179"/>
      <c r="M19" s="179"/>
      <c r="N19" s="179"/>
    </row>
    <row r="20" spans="1:14" ht="12.75">
      <c r="A20" s="172"/>
      <c r="B20" s="185" t="s">
        <v>4166</v>
      </c>
      <c r="C20" s="1980" t="s">
        <v>706</v>
      </c>
      <c r="D20" s="1980"/>
      <c r="E20" s="1725">
        <f>E21+E22+E23+E24</f>
        <v>0</v>
      </c>
      <c r="F20" s="1725">
        <f>F21+F22+F23+F24</f>
        <v>0</v>
      </c>
      <c r="G20" s="1725">
        <f>G21+G22+G23+G24</f>
        <v>0</v>
      </c>
      <c r="H20" s="177"/>
      <c r="I20" s="177"/>
      <c r="J20" s="177"/>
      <c r="K20" s="172"/>
      <c r="L20" s="179"/>
      <c r="M20" s="179"/>
      <c r="N20" s="179"/>
    </row>
    <row r="21" spans="1:14" ht="11.25" customHeight="1">
      <c r="A21" s="172"/>
      <c r="B21" s="177"/>
      <c r="C21" s="184" t="s">
        <v>708</v>
      </c>
      <c r="D21" s="186" t="s">
        <v>709</v>
      </c>
      <c r="E21" s="1725"/>
      <c r="F21" s="1725"/>
      <c r="G21" s="1725"/>
      <c r="H21" s="177"/>
      <c r="I21" s="177"/>
      <c r="J21" s="177"/>
      <c r="K21" s="172"/>
      <c r="L21" s="179"/>
      <c r="M21" s="179"/>
      <c r="N21" s="179"/>
    </row>
    <row r="22" spans="1:14" ht="9.75" customHeight="1">
      <c r="A22" s="172"/>
      <c r="B22" s="177"/>
      <c r="C22" s="184" t="s">
        <v>710</v>
      </c>
      <c r="D22" s="191" t="s">
        <v>711</v>
      </c>
      <c r="E22" s="1725"/>
      <c r="F22" s="1725"/>
      <c r="G22" s="1725"/>
      <c r="H22" s="177"/>
      <c r="I22" s="177"/>
      <c r="J22" s="177"/>
      <c r="K22" s="172"/>
      <c r="L22" s="179"/>
      <c r="M22" s="179"/>
      <c r="N22" s="179"/>
    </row>
    <row r="23" spans="1:14" ht="12.75">
      <c r="A23" s="172"/>
      <c r="B23" s="177"/>
      <c r="C23" s="184" t="s">
        <v>712</v>
      </c>
      <c r="D23" s="191" t="s">
        <v>713</v>
      </c>
      <c r="E23" s="1725"/>
      <c r="F23" s="1725"/>
      <c r="G23" s="1725"/>
      <c r="H23" s="177"/>
      <c r="I23" s="177"/>
      <c r="J23" s="177"/>
      <c r="K23" s="172"/>
      <c r="L23" s="179"/>
      <c r="M23" s="179"/>
      <c r="N23" s="179"/>
    </row>
    <row r="24" spans="1:14" ht="12.75">
      <c r="A24" s="172"/>
      <c r="B24" s="177"/>
      <c r="C24" s="184" t="s">
        <v>714</v>
      </c>
      <c r="D24" s="191" t="s">
        <v>715</v>
      </c>
      <c r="E24" s="1725"/>
      <c r="F24" s="1725"/>
      <c r="G24" s="1725"/>
      <c r="H24" s="177"/>
      <c r="I24" s="177"/>
      <c r="J24" s="177"/>
      <c r="K24" s="172"/>
      <c r="L24" s="179"/>
      <c r="M24" s="179"/>
      <c r="N24" s="179"/>
    </row>
    <row r="25" spans="1:14" ht="12.75">
      <c r="A25" s="172"/>
      <c r="B25" s="177"/>
      <c r="C25" s="184" t="s">
        <v>716</v>
      </c>
      <c r="D25" s="186" t="s">
        <v>4068</v>
      </c>
      <c r="E25" s="1725"/>
      <c r="F25" s="1725"/>
      <c r="G25" s="1725"/>
      <c r="H25" s="177"/>
      <c r="I25" s="177"/>
      <c r="J25" s="177"/>
      <c r="K25" s="172"/>
      <c r="L25" s="179"/>
      <c r="M25" s="179"/>
      <c r="N25" s="179"/>
    </row>
    <row r="26" spans="1:14" ht="10.5" customHeight="1">
      <c r="A26" s="172"/>
      <c r="B26" s="177"/>
      <c r="C26" s="184" t="s">
        <v>717</v>
      </c>
      <c r="D26" s="186" t="s">
        <v>4073</v>
      </c>
      <c r="E26" s="1725"/>
      <c r="F26" s="1725"/>
      <c r="G26" s="1725"/>
      <c r="H26" s="177"/>
      <c r="I26" s="177"/>
      <c r="J26" s="177"/>
      <c r="K26" s="172"/>
      <c r="L26" s="179"/>
      <c r="M26" s="179"/>
      <c r="N26" s="179"/>
    </row>
    <row r="27" spans="1:14" ht="12.75">
      <c r="A27" s="172"/>
      <c r="B27" s="185" t="s">
        <v>4061</v>
      </c>
      <c r="C27" s="1969" t="s">
        <v>718</v>
      </c>
      <c r="D27" s="1971"/>
      <c r="E27" s="179">
        <f>E28+E29+E30</f>
        <v>11334</v>
      </c>
      <c r="F27" s="179">
        <f>F28+F29+F30</f>
        <v>140004</v>
      </c>
      <c r="G27" s="1725">
        <f>G28+G29+G30</f>
        <v>140004</v>
      </c>
      <c r="H27" s="177"/>
      <c r="I27" s="177"/>
      <c r="J27" s="177"/>
      <c r="K27" s="172"/>
      <c r="L27" s="179"/>
      <c r="M27" s="179"/>
      <c r="N27" s="179"/>
    </row>
    <row r="28" spans="1:14" ht="21">
      <c r="A28" s="172"/>
      <c r="B28" s="177"/>
      <c r="C28" s="184" t="s">
        <v>4063</v>
      </c>
      <c r="D28" s="186" t="s">
        <v>3708</v>
      </c>
      <c r="E28" s="179">
        <v>11334</v>
      </c>
      <c r="F28" s="179">
        <v>11776</v>
      </c>
      <c r="G28" s="1725">
        <v>11776</v>
      </c>
      <c r="H28" s="177"/>
      <c r="I28" s="177"/>
      <c r="J28" s="177"/>
      <c r="K28" s="172"/>
      <c r="L28" s="179"/>
      <c r="M28" s="179"/>
      <c r="N28" s="179"/>
    </row>
    <row r="29" spans="1:14" ht="12.75" customHeight="1">
      <c r="A29" s="172"/>
      <c r="B29" s="177"/>
      <c r="C29" s="184" t="s">
        <v>4064</v>
      </c>
      <c r="D29" s="186" t="s">
        <v>720</v>
      </c>
      <c r="E29" s="179"/>
      <c r="F29" s="179">
        <v>128228</v>
      </c>
      <c r="G29" s="1725">
        <v>128228</v>
      </c>
      <c r="H29" s="177"/>
      <c r="I29" s="177"/>
      <c r="J29" s="177"/>
      <c r="K29" s="172"/>
      <c r="L29" s="179"/>
      <c r="M29" s="179"/>
      <c r="N29" s="179"/>
    </row>
    <row r="30" spans="1:14" ht="11.25" customHeight="1">
      <c r="A30" s="172"/>
      <c r="B30" s="177"/>
      <c r="C30" s="184" t="s">
        <v>4065</v>
      </c>
      <c r="D30" s="186" t="s">
        <v>721</v>
      </c>
      <c r="E30" s="179"/>
      <c r="F30" s="179"/>
      <c r="G30" s="1725"/>
      <c r="H30" s="177"/>
      <c r="I30" s="177"/>
      <c r="J30" s="177"/>
      <c r="K30" s="172"/>
      <c r="L30" s="179"/>
      <c r="M30" s="179"/>
      <c r="N30" s="179"/>
    </row>
    <row r="31" spans="1:14" ht="19.5" customHeight="1">
      <c r="A31" s="172"/>
      <c r="B31" s="178" t="s">
        <v>4074</v>
      </c>
      <c r="C31" s="1980" t="s">
        <v>722</v>
      </c>
      <c r="D31" s="1980"/>
      <c r="E31" s="179"/>
      <c r="F31" s="179"/>
      <c r="G31" s="1725"/>
      <c r="H31" s="177"/>
      <c r="I31" s="177"/>
      <c r="J31" s="177"/>
      <c r="K31" s="172"/>
      <c r="L31" s="179"/>
      <c r="M31" s="179"/>
      <c r="N31" s="179"/>
    </row>
    <row r="32" spans="1:14" ht="12.75" customHeight="1">
      <c r="A32" s="172"/>
      <c r="B32" s="193" t="s">
        <v>4195</v>
      </c>
      <c r="C32" s="1970" t="s">
        <v>723</v>
      </c>
      <c r="D32" s="1971"/>
      <c r="E32" s="179">
        <f>-1208+55573</f>
        <v>54365</v>
      </c>
      <c r="F32" s="179">
        <f>-3235+65041</f>
        <v>61806</v>
      </c>
      <c r="G32" s="1725">
        <f>65042-3235</f>
        <v>61807</v>
      </c>
      <c r="H32" s="177"/>
      <c r="I32" s="177"/>
      <c r="J32" s="177"/>
      <c r="K32" s="172"/>
      <c r="L32" s="179"/>
      <c r="M32" s="179"/>
      <c r="N32" s="179"/>
    </row>
    <row r="33" spans="1:14" ht="12.75" customHeight="1">
      <c r="A33" s="171" t="s">
        <v>725</v>
      </c>
      <c r="B33" s="1969" t="s">
        <v>726</v>
      </c>
      <c r="C33" s="1970"/>
      <c r="D33" s="1971"/>
      <c r="E33" s="179">
        <f>E6+E11+E20+E27+E31+E19+E32</f>
        <v>67769</v>
      </c>
      <c r="F33" s="179">
        <f>F6+F11+F20+F27+F31+F19+F32</f>
        <v>210646</v>
      </c>
      <c r="G33" s="1725">
        <f>G6+G11+G20+G27+G31+G19+G32</f>
        <v>210598</v>
      </c>
      <c r="H33" s="173" t="s">
        <v>725</v>
      </c>
      <c r="I33" s="1980" t="s">
        <v>728</v>
      </c>
      <c r="J33" s="1980"/>
      <c r="K33" s="1980"/>
      <c r="L33" s="179">
        <f>SUM(L6:L10)</f>
        <v>71205</v>
      </c>
      <c r="M33" s="179">
        <f>SUM(M6:M10)</f>
        <v>217454</v>
      </c>
      <c r="N33" s="179">
        <f>SUM(N6:N10)</f>
        <v>213024</v>
      </c>
    </row>
    <row r="34" spans="1:14" ht="15" customHeight="1">
      <c r="A34" s="171" t="s">
        <v>729</v>
      </c>
      <c r="B34" s="1969" t="s">
        <v>730</v>
      </c>
      <c r="C34" s="1970"/>
      <c r="D34" s="1971"/>
      <c r="E34" s="179">
        <f>E33-L33</f>
        <v>-3436</v>
      </c>
      <c r="F34" s="179">
        <f>F33-M33</f>
        <v>-6808</v>
      </c>
      <c r="G34" s="1725">
        <f>G33-N33</f>
        <v>-2426</v>
      </c>
      <c r="H34" s="203" t="s">
        <v>729</v>
      </c>
      <c r="I34" s="1969" t="s">
        <v>730</v>
      </c>
      <c r="J34" s="1970"/>
      <c r="K34" s="1971"/>
      <c r="L34" s="179"/>
      <c r="M34" s="179"/>
      <c r="N34" s="179"/>
    </row>
    <row r="35" spans="1:14" ht="18" customHeight="1">
      <c r="A35" s="171" t="s">
        <v>732</v>
      </c>
      <c r="B35" s="1969" t="s">
        <v>733</v>
      </c>
      <c r="C35" s="1970"/>
      <c r="D35" s="1971"/>
      <c r="E35" s="179">
        <v>3436</v>
      </c>
      <c r="F35" s="179">
        <v>4139</v>
      </c>
      <c r="G35" s="1725">
        <v>4139</v>
      </c>
      <c r="H35" s="173" t="s">
        <v>732</v>
      </c>
      <c r="I35" s="1974" t="s">
        <v>3709</v>
      </c>
      <c r="J35" s="1975"/>
      <c r="K35" s="1976"/>
      <c r="L35" s="179"/>
      <c r="M35" s="179"/>
      <c r="N35" s="179"/>
    </row>
    <row r="36" spans="1:14" ht="13.5" customHeight="1">
      <c r="A36" s="2005" t="s">
        <v>669</v>
      </c>
      <c r="B36" s="2005"/>
      <c r="C36" s="2005"/>
      <c r="D36" s="2005"/>
      <c r="E36" s="2005"/>
      <c r="F36" s="2005"/>
      <c r="G36" s="2005"/>
      <c r="H36" s="2005" t="s">
        <v>670</v>
      </c>
      <c r="I36" s="2005"/>
      <c r="J36" s="2005"/>
      <c r="K36" s="2005"/>
      <c r="L36" s="2005"/>
      <c r="M36" s="2005"/>
      <c r="N36" s="2005"/>
    </row>
    <row r="37" spans="1:14" ht="21.75" customHeight="1">
      <c r="A37" s="2001" t="s">
        <v>671</v>
      </c>
      <c r="B37" s="2002"/>
      <c r="C37" s="2002"/>
      <c r="D37" s="2003"/>
      <c r="E37" s="1697" t="s">
        <v>672</v>
      </c>
      <c r="F37" s="1697" t="s">
        <v>673</v>
      </c>
      <c r="G37" s="1724" t="s">
        <v>4220</v>
      </c>
      <c r="H37" s="2001" t="s">
        <v>671</v>
      </c>
      <c r="I37" s="2002"/>
      <c r="J37" s="2002"/>
      <c r="K37" s="2003"/>
      <c r="L37" s="1697" t="s">
        <v>672</v>
      </c>
      <c r="M37" s="1697" t="s">
        <v>673</v>
      </c>
      <c r="N37" s="1697" t="s">
        <v>4220</v>
      </c>
    </row>
    <row r="38" spans="1:14" ht="15" customHeight="1">
      <c r="A38" s="196" t="s">
        <v>4264</v>
      </c>
      <c r="B38" s="1980" t="s">
        <v>4265</v>
      </c>
      <c r="C38" s="1980"/>
      <c r="D38" s="1980"/>
      <c r="E38" s="179"/>
      <c r="F38" s="179"/>
      <c r="G38" s="1725"/>
      <c r="H38" s="196" t="s">
        <v>4264</v>
      </c>
      <c r="I38" s="1987" t="s">
        <v>4265</v>
      </c>
      <c r="J38" s="1987"/>
      <c r="K38" s="1987"/>
      <c r="L38" s="179"/>
      <c r="M38" s="179"/>
      <c r="N38" s="179"/>
    </row>
    <row r="39" spans="1:14" ht="15" customHeight="1">
      <c r="A39" s="172"/>
      <c r="B39" s="196" t="s">
        <v>4029</v>
      </c>
      <c r="C39" s="1987" t="s">
        <v>4266</v>
      </c>
      <c r="D39" s="1987"/>
      <c r="E39" s="179">
        <f>E40+E41+E42</f>
        <v>0</v>
      </c>
      <c r="F39" s="179">
        <f>F40+F41+F42</f>
        <v>0</v>
      </c>
      <c r="G39" s="1725">
        <f>G40+G41+G42</f>
        <v>0</v>
      </c>
      <c r="H39" s="177"/>
      <c r="I39" s="172" t="s">
        <v>4029</v>
      </c>
      <c r="J39" s="1999" t="s">
        <v>4267</v>
      </c>
      <c r="K39" s="1999"/>
      <c r="L39" s="179">
        <v>573</v>
      </c>
      <c r="M39" s="179">
        <v>23683</v>
      </c>
      <c r="N39" s="179">
        <v>23683</v>
      </c>
    </row>
    <row r="40" spans="1:14" ht="15" customHeight="1">
      <c r="A40" s="172"/>
      <c r="B40" s="177"/>
      <c r="C40" s="197" t="s">
        <v>4268</v>
      </c>
      <c r="D40" s="186" t="s">
        <v>4068</v>
      </c>
      <c r="E40" s="179"/>
      <c r="F40" s="179"/>
      <c r="G40" s="1725"/>
      <c r="H40" s="177"/>
      <c r="I40" s="172" t="s">
        <v>4031</v>
      </c>
      <c r="J40" s="1999" t="s">
        <v>4154</v>
      </c>
      <c r="K40" s="1999"/>
      <c r="L40" s="179"/>
      <c r="M40" s="179"/>
      <c r="N40" s="179"/>
    </row>
    <row r="41" spans="1:14" ht="12.75">
      <c r="A41" s="172"/>
      <c r="B41" s="177"/>
      <c r="C41" s="197" t="s">
        <v>4269</v>
      </c>
      <c r="D41" s="186" t="s">
        <v>4070</v>
      </c>
      <c r="E41" s="179"/>
      <c r="F41" s="179"/>
      <c r="G41" s="1725"/>
      <c r="H41" s="177"/>
      <c r="I41" s="172" t="s">
        <v>4041</v>
      </c>
      <c r="J41" s="1999" t="s">
        <v>4270</v>
      </c>
      <c r="K41" s="1999"/>
      <c r="L41" s="179">
        <f>L42+L43+L44+L45</f>
        <v>0</v>
      </c>
      <c r="M41" s="179">
        <f>M42+M43+M44+M45</f>
        <v>0</v>
      </c>
      <c r="N41" s="179">
        <f>N42+N43+N44+N45</f>
        <v>0</v>
      </c>
    </row>
    <row r="42" spans="1:14" ht="15" customHeight="1">
      <c r="A42" s="172"/>
      <c r="B42" s="177"/>
      <c r="C42" s="197" t="s">
        <v>679</v>
      </c>
      <c r="D42" s="186" t="s">
        <v>4271</v>
      </c>
      <c r="E42" s="179"/>
      <c r="F42" s="179"/>
      <c r="G42" s="1725"/>
      <c r="H42" s="177"/>
      <c r="I42" s="177"/>
      <c r="J42" s="197" t="s">
        <v>4272</v>
      </c>
      <c r="K42" s="186" t="s">
        <v>4273</v>
      </c>
      <c r="L42" s="179"/>
      <c r="M42" s="179"/>
      <c r="N42" s="179"/>
    </row>
    <row r="43" spans="1:14" ht="21">
      <c r="A43" s="172"/>
      <c r="B43" s="196" t="s">
        <v>4031</v>
      </c>
      <c r="C43" s="1980" t="s">
        <v>4274</v>
      </c>
      <c r="D43" s="1980"/>
      <c r="E43" s="179">
        <f>E44+E45</f>
        <v>0</v>
      </c>
      <c r="F43" s="179">
        <f>F44+F45</f>
        <v>25902</v>
      </c>
      <c r="G43" s="1725">
        <f>G44+G45</f>
        <v>25902</v>
      </c>
      <c r="H43" s="177"/>
      <c r="I43" s="177"/>
      <c r="J43" s="197" t="s">
        <v>4275</v>
      </c>
      <c r="K43" s="198" t="s">
        <v>4276</v>
      </c>
      <c r="L43" s="179"/>
      <c r="M43" s="179"/>
      <c r="N43" s="179"/>
    </row>
    <row r="44" spans="1:14" ht="12.75">
      <c r="A44" s="172"/>
      <c r="B44" s="177"/>
      <c r="C44" s="197" t="s">
        <v>684</v>
      </c>
      <c r="D44" s="186" t="s">
        <v>659</v>
      </c>
      <c r="E44" s="179"/>
      <c r="F44" s="179"/>
      <c r="G44" s="1725"/>
      <c r="H44" s="177"/>
      <c r="I44" s="177"/>
      <c r="J44" s="197" t="s">
        <v>4277</v>
      </c>
      <c r="K44" s="187" t="s">
        <v>3684</v>
      </c>
      <c r="L44" s="179"/>
      <c r="M44" s="179"/>
      <c r="N44" s="179"/>
    </row>
    <row r="45" spans="1:14" ht="15" customHeight="1">
      <c r="A45" s="172"/>
      <c r="B45" s="177"/>
      <c r="C45" s="197" t="s">
        <v>687</v>
      </c>
      <c r="D45" s="186" t="s">
        <v>3685</v>
      </c>
      <c r="E45" s="179"/>
      <c r="F45" s="179">
        <v>25902</v>
      </c>
      <c r="G45" s="1725">
        <v>25902</v>
      </c>
      <c r="H45" s="177"/>
      <c r="I45" s="177"/>
      <c r="J45" s="197" t="s">
        <v>3686</v>
      </c>
      <c r="K45" s="187" t="s">
        <v>3687</v>
      </c>
      <c r="L45" s="179"/>
      <c r="M45" s="179"/>
      <c r="N45" s="179"/>
    </row>
    <row r="46" spans="1:14" ht="12.75">
      <c r="A46" s="172"/>
      <c r="B46" s="196">
        <v>3</v>
      </c>
      <c r="C46" s="1983" t="s">
        <v>3688</v>
      </c>
      <c r="D46" s="1983"/>
      <c r="E46" s="179">
        <f>E47+E48+E49</f>
        <v>0</v>
      </c>
      <c r="F46" s="179">
        <f>F47+F48+F49</f>
        <v>0</v>
      </c>
      <c r="G46" s="1725">
        <f>G47+G48+G49</f>
        <v>0</v>
      </c>
      <c r="H46" s="177"/>
      <c r="I46" s="177"/>
      <c r="J46" s="177"/>
      <c r="K46" s="172"/>
      <c r="L46" s="179"/>
      <c r="M46" s="179"/>
      <c r="N46" s="179"/>
    </row>
    <row r="47" spans="1:14" ht="21">
      <c r="A47" s="172"/>
      <c r="B47" s="177"/>
      <c r="C47" s="197" t="s">
        <v>4272</v>
      </c>
      <c r="D47" s="186" t="s">
        <v>4097</v>
      </c>
      <c r="E47" s="179"/>
      <c r="F47" s="179"/>
      <c r="G47" s="1725"/>
      <c r="H47" s="177"/>
      <c r="I47" s="177"/>
      <c r="J47" s="177"/>
      <c r="K47" s="172"/>
      <c r="L47" s="179"/>
      <c r="M47" s="179"/>
      <c r="N47" s="179"/>
    </row>
    <row r="48" spans="1:14" ht="12.75">
      <c r="A48" s="172"/>
      <c r="B48" s="177"/>
      <c r="C48" s="197" t="s">
        <v>4275</v>
      </c>
      <c r="D48" s="186" t="s">
        <v>3691</v>
      </c>
      <c r="E48" s="179"/>
      <c r="F48" s="179"/>
      <c r="G48" s="1725"/>
      <c r="H48" s="177"/>
      <c r="I48" s="177"/>
      <c r="J48" s="177"/>
      <c r="K48" s="172"/>
      <c r="L48" s="179"/>
      <c r="M48" s="179"/>
      <c r="N48" s="179"/>
    </row>
    <row r="49" spans="1:14" ht="15" customHeight="1">
      <c r="A49" s="172"/>
      <c r="B49" s="177"/>
      <c r="C49" s="197" t="s">
        <v>4277</v>
      </c>
      <c r="D49" s="187" t="s">
        <v>3692</v>
      </c>
      <c r="E49" s="179"/>
      <c r="F49" s="179"/>
      <c r="G49" s="1725"/>
      <c r="H49" s="177"/>
      <c r="I49" s="177"/>
      <c r="J49" s="177"/>
      <c r="K49" s="172"/>
      <c r="L49" s="179"/>
      <c r="M49" s="179"/>
      <c r="N49" s="179"/>
    </row>
    <row r="50" spans="1:14" ht="19.5" customHeight="1">
      <c r="A50" s="172"/>
      <c r="B50" s="185">
        <v>4</v>
      </c>
      <c r="C50" s="1980" t="s">
        <v>3693</v>
      </c>
      <c r="D50" s="1980"/>
      <c r="E50" s="179"/>
      <c r="F50" s="179"/>
      <c r="G50" s="1725"/>
      <c r="H50" s="177"/>
      <c r="I50" s="177"/>
      <c r="J50" s="177"/>
      <c r="K50" s="172"/>
      <c r="L50" s="179"/>
      <c r="M50" s="179"/>
      <c r="N50" s="179"/>
    </row>
    <row r="51" spans="1:14" ht="12.75">
      <c r="A51" s="172"/>
      <c r="B51" s="185" t="s">
        <v>4061</v>
      </c>
      <c r="C51" s="1969" t="s">
        <v>3694</v>
      </c>
      <c r="D51" s="1971"/>
      <c r="E51" s="179"/>
      <c r="F51" s="179"/>
      <c r="G51" s="1725"/>
      <c r="H51" s="177"/>
      <c r="I51" s="185"/>
      <c r="J51" s="185"/>
      <c r="K51" s="185"/>
      <c r="L51" s="179"/>
      <c r="M51" s="179"/>
      <c r="N51" s="179"/>
    </row>
    <row r="52" spans="1:14" ht="15" customHeight="1">
      <c r="A52" s="172"/>
      <c r="B52" s="185"/>
      <c r="C52" s="197" t="s">
        <v>4063</v>
      </c>
      <c r="D52" s="192" t="s">
        <v>3695</v>
      </c>
      <c r="E52" s="179"/>
      <c r="F52" s="179"/>
      <c r="G52" s="1725"/>
      <c r="H52" s="177"/>
      <c r="I52" s="185"/>
      <c r="J52" s="185"/>
      <c r="K52" s="185"/>
      <c r="L52" s="179"/>
      <c r="M52" s="179"/>
      <c r="N52" s="179"/>
    </row>
    <row r="53" spans="1:14" ht="15" customHeight="1">
      <c r="A53" s="172"/>
      <c r="B53" s="185" t="s">
        <v>4074</v>
      </c>
      <c r="C53" s="1981" t="s">
        <v>3696</v>
      </c>
      <c r="D53" s="1982"/>
      <c r="E53" s="179">
        <v>573</v>
      </c>
      <c r="F53" s="179">
        <v>450</v>
      </c>
      <c r="G53" s="1725">
        <v>449</v>
      </c>
      <c r="H53" s="177"/>
      <c r="I53" s="177"/>
      <c r="J53" s="177"/>
      <c r="K53" s="172"/>
      <c r="L53" s="179"/>
      <c r="M53" s="179"/>
      <c r="N53" s="179"/>
    </row>
    <row r="54" spans="1:14" ht="19.5" customHeight="1">
      <c r="A54" s="172" t="s">
        <v>3712</v>
      </c>
      <c r="B54" s="1980" t="s">
        <v>3697</v>
      </c>
      <c r="C54" s="1980"/>
      <c r="D54" s="1980"/>
      <c r="E54" s="179">
        <f>E39+E43+E46+E50+E53</f>
        <v>573</v>
      </c>
      <c r="F54" s="179">
        <f>F39+F43+F46+F50+F53</f>
        <v>26352</v>
      </c>
      <c r="G54" s="1725">
        <f>G39+G43+G46+G50+G53</f>
        <v>26351</v>
      </c>
      <c r="H54" s="177"/>
      <c r="I54" s="1980" t="s">
        <v>3713</v>
      </c>
      <c r="J54" s="1980"/>
      <c r="K54" s="1980"/>
      <c r="L54" s="179">
        <f>L39+L40+L41</f>
        <v>573</v>
      </c>
      <c r="M54" s="179">
        <f>M39+M40+M41</f>
        <v>23683</v>
      </c>
      <c r="N54" s="179">
        <f>N39+N40+N41</f>
        <v>23683</v>
      </c>
    </row>
    <row r="55" spans="1:14" ht="15" customHeight="1">
      <c r="A55" s="172" t="s">
        <v>3714</v>
      </c>
      <c r="B55" s="1980" t="s">
        <v>3698</v>
      </c>
      <c r="C55" s="1980"/>
      <c r="D55" s="1980"/>
      <c r="E55" s="179">
        <f>E54-L54</f>
        <v>0</v>
      </c>
      <c r="F55" s="179">
        <f>F54-M54</f>
        <v>2669</v>
      </c>
      <c r="G55" s="1725">
        <f>G54-N54</f>
        <v>2668</v>
      </c>
      <c r="H55" s="177"/>
      <c r="I55" s="1980" t="s">
        <v>3698</v>
      </c>
      <c r="J55" s="1980"/>
      <c r="K55" s="1980"/>
      <c r="L55" s="179"/>
      <c r="M55" s="179"/>
      <c r="N55" s="179"/>
    </row>
    <row r="56" spans="1:14" ht="15" customHeight="1">
      <c r="A56" s="172" t="s">
        <v>3715</v>
      </c>
      <c r="B56" s="1980" t="s">
        <v>3716</v>
      </c>
      <c r="C56" s="1980"/>
      <c r="D56" s="1980"/>
      <c r="E56" s="179"/>
      <c r="F56" s="179"/>
      <c r="G56" s="1725"/>
      <c r="H56" s="177"/>
      <c r="I56" s="177"/>
      <c r="J56" s="177"/>
      <c r="K56" s="172"/>
      <c r="L56" s="179"/>
      <c r="M56" s="179"/>
      <c r="N56" s="179"/>
    </row>
    <row r="57" spans="1:14" ht="12.75">
      <c r="A57" s="172" t="s">
        <v>3717</v>
      </c>
      <c r="B57" s="1980" t="s">
        <v>3718</v>
      </c>
      <c r="C57" s="1980"/>
      <c r="D57" s="1980"/>
      <c r="E57" s="179"/>
      <c r="F57" s="179"/>
      <c r="G57" s="1725"/>
      <c r="H57" s="177"/>
      <c r="I57" s="177"/>
      <c r="J57" s="177"/>
      <c r="K57" s="172"/>
      <c r="L57" s="179"/>
      <c r="M57" s="179"/>
      <c r="N57" s="179"/>
    </row>
    <row r="58" spans="1:14" ht="38.25" customHeight="1">
      <c r="A58" s="208"/>
      <c r="B58" s="209"/>
      <c r="C58" s="209"/>
      <c r="D58" s="208"/>
      <c r="E58" s="215"/>
      <c r="F58" s="215"/>
      <c r="G58" s="1726"/>
      <c r="H58" s="209"/>
      <c r="I58" s="209"/>
      <c r="J58" s="209"/>
      <c r="K58" s="208"/>
      <c r="L58" s="215"/>
      <c r="M58" s="215"/>
      <c r="N58" s="215"/>
    </row>
    <row r="59" spans="5:14" ht="26.25" customHeight="1">
      <c r="E59" s="180"/>
      <c r="F59" s="180"/>
      <c r="G59" s="1727"/>
      <c r="H59" s="180"/>
      <c r="I59" s="180"/>
      <c r="J59" s="180"/>
      <c r="K59" s="180"/>
      <c r="L59" s="180"/>
      <c r="M59" s="180"/>
      <c r="N59" s="180"/>
    </row>
    <row r="61" ht="33.75" customHeight="1"/>
    <row r="62" spans="1:14" ht="12.75">
      <c r="A62" s="2004"/>
      <c r="B62" s="2004"/>
      <c r="C62" s="2004"/>
      <c r="D62" s="2004"/>
      <c r="E62" s="2004"/>
      <c r="F62" s="2004"/>
      <c r="G62" s="2004"/>
      <c r="H62" s="2004"/>
      <c r="I62" s="2004"/>
      <c r="J62" s="2004"/>
      <c r="K62" s="2004"/>
      <c r="L62" s="2004"/>
      <c r="M62" s="2004"/>
      <c r="N62" s="2004"/>
    </row>
    <row r="63" spans="1:14" ht="12.75">
      <c r="A63" s="2005" t="s">
        <v>2786</v>
      </c>
      <c r="B63" s="2005"/>
      <c r="C63" s="2005"/>
      <c r="D63" s="2005"/>
      <c r="E63" s="2005"/>
      <c r="F63" s="2005"/>
      <c r="G63" s="2005"/>
      <c r="H63" s="2005"/>
      <c r="I63" s="2005"/>
      <c r="J63" s="2005"/>
      <c r="K63" s="2005"/>
      <c r="L63" s="2005"/>
      <c r="M63" s="2005"/>
      <c r="N63" s="2005"/>
    </row>
    <row r="64" spans="1:14" ht="12.75">
      <c r="A64" s="2005" t="s">
        <v>669</v>
      </c>
      <c r="B64" s="2005"/>
      <c r="C64" s="2005"/>
      <c r="D64" s="2005"/>
      <c r="E64" s="2005"/>
      <c r="F64" s="2005"/>
      <c r="G64" s="2005"/>
      <c r="H64" s="2005" t="s">
        <v>670</v>
      </c>
      <c r="I64" s="2005"/>
      <c r="J64" s="2005"/>
      <c r="K64" s="2005"/>
      <c r="L64" s="2005"/>
      <c r="M64" s="2005"/>
      <c r="N64" s="2005"/>
    </row>
    <row r="65" spans="1:14" ht="21" customHeight="1">
      <c r="A65" s="1984" t="s">
        <v>671</v>
      </c>
      <c r="B65" s="1985"/>
      <c r="C65" s="1985"/>
      <c r="D65" s="1986"/>
      <c r="E65" s="170" t="s">
        <v>3727</v>
      </c>
      <c r="F65" s="170" t="s">
        <v>3728</v>
      </c>
      <c r="G65" s="1728" t="s">
        <v>4220</v>
      </c>
      <c r="H65" s="1984" t="s">
        <v>671</v>
      </c>
      <c r="I65" s="1985"/>
      <c r="J65" s="1985"/>
      <c r="K65" s="1986"/>
      <c r="L65" s="170" t="s">
        <v>3727</v>
      </c>
      <c r="M65" s="170" t="s">
        <v>3728</v>
      </c>
      <c r="N65" s="170" t="s">
        <v>4220</v>
      </c>
    </row>
    <row r="66" spans="1:14" ht="15" customHeight="1">
      <c r="A66" s="171" t="s">
        <v>675</v>
      </c>
      <c r="B66" s="1980" t="s">
        <v>676</v>
      </c>
      <c r="C66" s="1980"/>
      <c r="D66" s="1980"/>
      <c r="E66" s="172"/>
      <c r="F66" s="172"/>
      <c r="G66" s="1729"/>
      <c r="H66" s="173" t="s">
        <v>675</v>
      </c>
      <c r="I66" s="1987" t="s">
        <v>676</v>
      </c>
      <c r="J66" s="1987"/>
      <c r="K66" s="1987"/>
      <c r="L66" s="172"/>
      <c r="M66" s="172"/>
      <c r="N66" s="172"/>
    </row>
    <row r="67" spans="1:14" ht="10.5" customHeight="1">
      <c r="A67" s="174"/>
      <c r="B67" s="175">
        <v>1</v>
      </c>
      <c r="C67" s="1970" t="s">
        <v>677</v>
      </c>
      <c r="D67" s="1971"/>
      <c r="E67" s="176">
        <f>E68+E69+E71+E70</f>
        <v>0</v>
      </c>
      <c r="F67" s="176">
        <f>F68+F69+F71+F70</f>
        <v>0</v>
      </c>
      <c r="G67" s="1730">
        <f>G68+G69+G71+G70</f>
        <v>0</v>
      </c>
      <c r="H67" s="177"/>
      <c r="I67" s="178" t="s">
        <v>4029</v>
      </c>
      <c r="J67" s="1999" t="s">
        <v>4136</v>
      </c>
      <c r="K67" s="1999"/>
      <c r="L67" s="172">
        <v>880</v>
      </c>
      <c r="M67" s="172">
        <v>999</v>
      </c>
      <c r="N67" s="172">
        <v>974</v>
      </c>
    </row>
    <row r="68" spans="1:14" ht="12.75" customHeight="1">
      <c r="A68" s="172"/>
      <c r="B68" s="177"/>
      <c r="C68" s="183" t="s">
        <v>4135</v>
      </c>
      <c r="D68" s="199" t="s">
        <v>4034</v>
      </c>
      <c r="E68" s="172"/>
      <c r="F68" s="172"/>
      <c r="G68" s="1729"/>
      <c r="H68" s="177"/>
      <c r="I68" s="178" t="s">
        <v>4031</v>
      </c>
      <c r="J68" s="1999" t="s">
        <v>4138</v>
      </c>
      <c r="K68" s="1999"/>
      <c r="L68" s="172">
        <v>237</v>
      </c>
      <c r="M68" s="172">
        <v>270</v>
      </c>
      <c r="N68" s="172">
        <v>263</v>
      </c>
    </row>
    <row r="69" spans="1:14" ht="15" customHeight="1">
      <c r="A69" s="172"/>
      <c r="B69" s="177"/>
      <c r="C69" s="184" t="s">
        <v>4137</v>
      </c>
      <c r="D69" s="199" t="s">
        <v>4036</v>
      </c>
      <c r="E69" s="200"/>
      <c r="F69" s="200"/>
      <c r="G69" s="1729"/>
      <c r="H69" s="177"/>
      <c r="I69" s="178" t="s">
        <v>4041</v>
      </c>
      <c r="J69" s="1999" t="s">
        <v>4140</v>
      </c>
      <c r="K69" s="1999"/>
      <c r="L69" s="172">
        <f>(-1722+3772)*1.27+0.5</f>
        <v>2604</v>
      </c>
      <c r="M69" s="172">
        <v>2726</v>
      </c>
      <c r="N69" s="172">
        <v>2747</v>
      </c>
    </row>
    <row r="70" spans="1:14" ht="15" customHeight="1">
      <c r="A70" s="172"/>
      <c r="B70" s="177"/>
      <c r="C70" s="184" t="s">
        <v>679</v>
      </c>
      <c r="D70" s="199" t="s">
        <v>4038</v>
      </c>
      <c r="E70" s="172"/>
      <c r="F70" s="172"/>
      <c r="G70" s="1729"/>
      <c r="H70" s="177"/>
      <c r="I70" s="178" t="s">
        <v>4166</v>
      </c>
      <c r="J70" s="1999" t="s">
        <v>4142</v>
      </c>
      <c r="K70" s="1999"/>
      <c r="L70" s="172"/>
      <c r="M70" s="172"/>
      <c r="N70" s="172"/>
    </row>
    <row r="71" spans="1:14" ht="12.75" customHeight="1">
      <c r="A71" s="172"/>
      <c r="B71" s="177"/>
      <c r="C71" s="184" t="s">
        <v>680</v>
      </c>
      <c r="D71" s="199" t="s">
        <v>4040</v>
      </c>
      <c r="E71" s="172"/>
      <c r="F71" s="172"/>
      <c r="G71" s="1729"/>
      <c r="H71" s="177"/>
      <c r="I71" s="178" t="s">
        <v>4061</v>
      </c>
      <c r="J71" s="1999" t="s">
        <v>4144</v>
      </c>
      <c r="K71" s="1999"/>
      <c r="L71" s="172">
        <f>L72+L73+L74+L75+L77+L78+L76+L79</f>
        <v>0</v>
      </c>
      <c r="M71" s="172">
        <f>M72+M73+M74+M75+M77+M78+M76+M79</f>
        <v>0</v>
      </c>
      <c r="N71" s="172">
        <f>N72+N73+N74+N75+N77+N78+N76+N79</f>
        <v>0</v>
      </c>
    </row>
    <row r="72" spans="1:14" ht="11.25" customHeight="1">
      <c r="A72" s="172"/>
      <c r="B72" s="185" t="s">
        <v>4031</v>
      </c>
      <c r="C72" s="1980" t="s">
        <v>682</v>
      </c>
      <c r="D72" s="1980"/>
      <c r="E72" s="172">
        <f>SUM(E73:E78)</f>
        <v>0</v>
      </c>
      <c r="F72" s="172">
        <f>SUM(F73:F78)</f>
        <v>760</v>
      </c>
      <c r="G72" s="1729">
        <f>SUM(G73:G78)</f>
        <v>749</v>
      </c>
      <c r="H72" s="177"/>
      <c r="I72" s="177"/>
      <c r="J72" s="184" t="s">
        <v>4063</v>
      </c>
      <c r="K72" s="186" t="s">
        <v>683</v>
      </c>
      <c r="L72" s="172"/>
      <c r="M72" s="172"/>
      <c r="N72" s="172"/>
    </row>
    <row r="73" spans="1:14" ht="12.75">
      <c r="A73" s="172"/>
      <c r="B73" s="177"/>
      <c r="C73" s="184" t="s">
        <v>684</v>
      </c>
      <c r="D73" s="186" t="s">
        <v>4046</v>
      </c>
      <c r="E73" s="172"/>
      <c r="F73" s="172"/>
      <c r="G73" s="1729"/>
      <c r="H73" s="177"/>
      <c r="I73" s="177"/>
      <c r="J73" s="184" t="s">
        <v>4064</v>
      </c>
      <c r="K73" s="187" t="s">
        <v>686</v>
      </c>
      <c r="L73" s="172"/>
      <c r="M73" s="172"/>
      <c r="N73" s="172"/>
    </row>
    <row r="74" spans="1:14" ht="12.75">
      <c r="A74" s="172"/>
      <c r="B74" s="177"/>
      <c r="C74" s="184" t="s">
        <v>687</v>
      </c>
      <c r="D74" s="186" t="s">
        <v>4048</v>
      </c>
      <c r="E74" s="172"/>
      <c r="F74" s="172"/>
      <c r="G74" s="1729"/>
      <c r="H74" s="177"/>
      <c r="I74" s="177"/>
      <c r="J74" s="184" t="s">
        <v>4065</v>
      </c>
      <c r="K74" s="188" t="s">
        <v>688</v>
      </c>
      <c r="L74" s="172"/>
      <c r="M74" s="172"/>
      <c r="N74" s="172"/>
    </row>
    <row r="75" spans="1:14" ht="12.75" customHeight="1">
      <c r="A75" s="172"/>
      <c r="B75" s="177"/>
      <c r="C75" s="184" t="s">
        <v>689</v>
      </c>
      <c r="D75" s="186" t="s">
        <v>4050</v>
      </c>
      <c r="E75" s="172"/>
      <c r="F75" s="172"/>
      <c r="G75" s="1729"/>
      <c r="H75" s="177"/>
      <c r="I75" s="177"/>
      <c r="J75" s="184" t="s">
        <v>4066</v>
      </c>
      <c r="K75" s="186" t="s">
        <v>3703</v>
      </c>
      <c r="L75" s="172"/>
      <c r="M75" s="172"/>
      <c r="N75" s="172"/>
    </row>
    <row r="76" spans="1:14" ht="14.25" customHeight="1">
      <c r="A76" s="172"/>
      <c r="B76" s="177"/>
      <c r="C76" s="184" t="s">
        <v>691</v>
      </c>
      <c r="D76" s="186" t="s">
        <v>695</v>
      </c>
      <c r="E76" s="172"/>
      <c r="F76" s="172">
        <v>160</v>
      </c>
      <c r="G76" s="1729">
        <v>159</v>
      </c>
      <c r="H76" s="177"/>
      <c r="I76" s="177"/>
      <c r="J76" s="184" t="s">
        <v>692</v>
      </c>
      <c r="K76" s="186" t="s">
        <v>693</v>
      </c>
      <c r="L76" s="172"/>
      <c r="M76" s="172"/>
      <c r="N76" s="172"/>
    </row>
    <row r="77" spans="1:14" ht="12.75">
      <c r="A77" s="172"/>
      <c r="B77" s="177"/>
      <c r="C77" s="184" t="s">
        <v>694</v>
      </c>
      <c r="D77" s="186" t="s">
        <v>4056</v>
      </c>
      <c r="E77" s="172"/>
      <c r="F77" s="172"/>
      <c r="G77" s="1729"/>
      <c r="H77" s="177"/>
      <c r="I77" s="177"/>
      <c r="J77" s="184" t="s">
        <v>696</v>
      </c>
      <c r="K77" s="186" t="s">
        <v>3724</v>
      </c>
      <c r="L77" s="172"/>
      <c r="M77" s="172"/>
      <c r="N77" s="172"/>
    </row>
    <row r="78" spans="1:14" ht="12.75">
      <c r="A78" s="172"/>
      <c r="B78" s="177"/>
      <c r="C78" s="184" t="s">
        <v>698</v>
      </c>
      <c r="D78" s="186" t="s">
        <v>4058</v>
      </c>
      <c r="E78" s="172"/>
      <c r="F78" s="172">
        <v>600</v>
      </c>
      <c r="G78" s="1729">
        <v>590</v>
      </c>
      <c r="H78" s="177"/>
      <c r="I78" s="177"/>
      <c r="J78" s="184" t="s">
        <v>699</v>
      </c>
      <c r="K78" s="186" t="s">
        <v>700</v>
      </c>
      <c r="L78" s="172"/>
      <c r="M78" s="172"/>
      <c r="N78" s="172"/>
    </row>
    <row r="79" spans="1:14" ht="12" customHeight="1">
      <c r="A79" s="172"/>
      <c r="B79" s="185" t="s">
        <v>4041</v>
      </c>
      <c r="C79" s="1980" t="s">
        <v>704</v>
      </c>
      <c r="D79" s="1980"/>
      <c r="E79" s="172"/>
      <c r="F79" s="172"/>
      <c r="G79" s="1729"/>
      <c r="H79" s="177"/>
      <c r="I79" s="177"/>
      <c r="J79" s="184" t="s">
        <v>702</v>
      </c>
      <c r="K79" s="172" t="s">
        <v>703</v>
      </c>
      <c r="L79" s="172"/>
      <c r="M79" s="172"/>
      <c r="N79" s="172"/>
    </row>
    <row r="80" spans="1:14" ht="15" customHeight="1">
      <c r="A80" s="172"/>
      <c r="B80" s="185" t="s">
        <v>4166</v>
      </c>
      <c r="C80" s="1980" t="s">
        <v>706</v>
      </c>
      <c r="D80" s="1980"/>
      <c r="E80" s="172">
        <f>E81+E82+E83+E84</f>
        <v>0</v>
      </c>
      <c r="F80" s="172">
        <f>F81+F82+F83+F84</f>
        <v>0</v>
      </c>
      <c r="G80" s="1729">
        <f>G81+G82+G83+G84</f>
        <v>0</v>
      </c>
      <c r="H80" s="177"/>
      <c r="I80" s="177"/>
      <c r="J80" s="177"/>
      <c r="K80" s="172"/>
      <c r="L80" s="172"/>
      <c r="M80" s="172"/>
      <c r="N80" s="172"/>
    </row>
    <row r="81" spans="1:14" ht="12.75">
      <c r="A81" s="172"/>
      <c r="B81" s="177"/>
      <c r="C81" s="184" t="s">
        <v>708</v>
      </c>
      <c r="D81" s="186" t="s">
        <v>709</v>
      </c>
      <c r="E81" s="172"/>
      <c r="F81" s="172"/>
      <c r="G81" s="1729"/>
      <c r="H81" s="177"/>
      <c r="I81" s="177"/>
      <c r="J81" s="177"/>
      <c r="K81" s="172"/>
      <c r="L81" s="172"/>
      <c r="M81" s="172"/>
      <c r="N81" s="172"/>
    </row>
    <row r="82" spans="1:14" ht="12" customHeight="1">
      <c r="A82" s="172"/>
      <c r="B82" s="177"/>
      <c r="C82" s="184" t="s">
        <v>710</v>
      </c>
      <c r="D82" s="191" t="s">
        <v>711</v>
      </c>
      <c r="E82" s="172"/>
      <c r="F82" s="172"/>
      <c r="G82" s="1729"/>
      <c r="H82" s="177"/>
      <c r="I82" s="177"/>
      <c r="J82" s="177"/>
      <c r="K82" s="172"/>
      <c r="L82" s="172"/>
      <c r="M82" s="172"/>
      <c r="N82" s="172"/>
    </row>
    <row r="83" spans="1:14" ht="12.75">
      <c r="A83" s="172"/>
      <c r="B83" s="177"/>
      <c r="C83" s="184" t="s">
        <v>712</v>
      </c>
      <c r="D83" s="191" t="s">
        <v>713</v>
      </c>
      <c r="E83" s="172"/>
      <c r="F83" s="172"/>
      <c r="G83" s="1729"/>
      <c r="H83" s="177"/>
      <c r="I83" s="177"/>
      <c r="J83" s="177"/>
      <c r="K83" s="172"/>
      <c r="L83" s="172"/>
      <c r="M83" s="172"/>
      <c r="N83" s="172"/>
    </row>
    <row r="84" spans="1:14" ht="12.75">
      <c r="A84" s="172"/>
      <c r="B84" s="177"/>
      <c r="C84" s="184" t="s">
        <v>714</v>
      </c>
      <c r="D84" s="191" t="s">
        <v>715</v>
      </c>
      <c r="E84" s="172"/>
      <c r="F84" s="172"/>
      <c r="G84" s="1729"/>
      <c r="H84" s="177"/>
      <c r="I84" s="177"/>
      <c r="J84" s="177"/>
      <c r="K84" s="172"/>
      <c r="L84" s="172"/>
      <c r="M84" s="172"/>
      <c r="N84" s="172"/>
    </row>
    <row r="85" spans="1:14" ht="12.75">
      <c r="A85" s="172"/>
      <c r="B85" s="177"/>
      <c r="C85" s="184" t="s">
        <v>716</v>
      </c>
      <c r="D85" s="186" t="s">
        <v>4068</v>
      </c>
      <c r="E85" s="172"/>
      <c r="F85" s="172"/>
      <c r="G85" s="1729"/>
      <c r="H85" s="177"/>
      <c r="I85" s="177"/>
      <c r="J85" s="177"/>
      <c r="K85" s="172"/>
      <c r="L85" s="172"/>
      <c r="M85" s="172"/>
      <c r="N85" s="172"/>
    </row>
    <row r="86" spans="1:14" ht="12.75">
      <c r="A86" s="172"/>
      <c r="B86" s="177"/>
      <c r="C86" s="184" t="s">
        <v>717</v>
      </c>
      <c r="D86" s="186" t="s">
        <v>4073</v>
      </c>
      <c r="E86" s="172"/>
      <c r="F86" s="172"/>
      <c r="G86" s="1729"/>
      <c r="H86" s="177"/>
      <c r="I86" s="177"/>
      <c r="J86" s="177"/>
      <c r="K86" s="172"/>
      <c r="L86" s="172"/>
      <c r="M86" s="172"/>
      <c r="N86" s="172"/>
    </row>
    <row r="87" spans="1:14" ht="15" customHeight="1">
      <c r="A87" s="172"/>
      <c r="B87" s="185" t="s">
        <v>4061</v>
      </c>
      <c r="C87" s="1969" t="s">
        <v>718</v>
      </c>
      <c r="D87" s="1971"/>
      <c r="E87" s="172">
        <f>E88+E89+E90</f>
        <v>0</v>
      </c>
      <c r="F87" s="172">
        <f>F88+F89+F90</f>
        <v>0</v>
      </c>
      <c r="G87" s="1729">
        <f>G88+G89+G90</f>
        <v>0</v>
      </c>
      <c r="H87" s="177"/>
      <c r="I87" s="177"/>
      <c r="J87" s="177"/>
      <c r="K87" s="172"/>
      <c r="L87" s="172"/>
      <c r="M87" s="172"/>
      <c r="N87" s="172"/>
    </row>
    <row r="88" spans="1:14" ht="21">
      <c r="A88" s="172"/>
      <c r="B88" s="177"/>
      <c r="C88" s="184" t="s">
        <v>4063</v>
      </c>
      <c r="D88" s="186" t="s">
        <v>3708</v>
      </c>
      <c r="E88" s="172"/>
      <c r="F88" s="172"/>
      <c r="G88" s="1729"/>
      <c r="H88" s="177"/>
      <c r="I88" s="177"/>
      <c r="J88" s="177"/>
      <c r="K88" s="172"/>
      <c r="L88" s="172"/>
      <c r="M88" s="172"/>
      <c r="N88" s="172"/>
    </row>
    <row r="89" spans="1:14" ht="13.5" customHeight="1">
      <c r="A89" s="172"/>
      <c r="B89" s="177"/>
      <c r="C89" s="184" t="s">
        <v>4064</v>
      </c>
      <c r="D89" s="186" t="s">
        <v>720</v>
      </c>
      <c r="E89" s="172"/>
      <c r="F89" s="172"/>
      <c r="G89" s="1729"/>
      <c r="H89" s="177"/>
      <c r="I89" s="177"/>
      <c r="J89" s="177"/>
      <c r="K89" s="172"/>
      <c r="L89" s="172"/>
      <c r="M89" s="172"/>
      <c r="N89" s="172"/>
    </row>
    <row r="90" spans="1:14" ht="15" customHeight="1">
      <c r="A90" s="172"/>
      <c r="B90" s="177"/>
      <c r="C90" s="184" t="s">
        <v>4065</v>
      </c>
      <c r="D90" s="186" t="s">
        <v>721</v>
      </c>
      <c r="E90" s="172"/>
      <c r="F90" s="172"/>
      <c r="G90" s="1729"/>
      <c r="H90" s="177"/>
      <c r="I90" s="177"/>
      <c r="J90" s="177"/>
      <c r="K90" s="172"/>
      <c r="L90" s="172"/>
      <c r="M90" s="172"/>
      <c r="N90" s="172"/>
    </row>
    <row r="91" spans="1:14" ht="15" customHeight="1">
      <c r="A91" s="172"/>
      <c r="B91" s="178" t="s">
        <v>4074</v>
      </c>
      <c r="C91" s="1980" t="s">
        <v>722</v>
      </c>
      <c r="D91" s="1980"/>
      <c r="E91" s="172"/>
      <c r="F91" s="172"/>
      <c r="G91" s="1729"/>
      <c r="H91" s="177"/>
      <c r="I91" s="177"/>
      <c r="J91" s="177"/>
      <c r="K91" s="172"/>
      <c r="L91" s="172"/>
      <c r="M91" s="172"/>
      <c r="N91" s="172"/>
    </row>
    <row r="92" spans="1:14" ht="10.5" customHeight="1">
      <c r="A92" s="172"/>
      <c r="B92" s="193" t="s">
        <v>4195</v>
      </c>
      <c r="C92" s="1970" t="s">
        <v>723</v>
      </c>
      <c r="D92" s="1971"/>
      <c r="E92" s="172">
        <v>3721</v>
      </c>
      <c r="F92" s="172">
        <v>3235</v>
      </c>
      <c r="G92" s="1729">
        <v>3235</v>
      </c>
      <c r="H92" s="177"/>
      <c r="I92" s="177"/>
      <c r="J92" s="177"/>
      <c r="K92" s="172"/>
      <c r="L92" s="172"/>
      <c r="M92" s="172"/>
      <c r="N92" s="172"/>
    </row>
    <row r="93" spans="1:14" ht="13.5" customHeight="1">
      <c r="A93" s="171" t="s">
        <v>725</v>
      </c>
      <c r="B93" s="1969" t="s">
        <v>726</v>
      </c>
      <c r="C93" s="1970"/>
      <c r="D93" s="1971"/>
      <c r="E93" s="176">
        <f>E67+E72+E80+E87+E91+E79+E92</f>
        <v>3721</v>
      </c>
      <c r="F93" s="176">
        <f>F67+F72+F80+F87+F91+F79+F92</f>
        <v>3995</v>
      </c>
      <c r="G93" s="1730">
        <f>G67+G72+G80+G87+G91+G79+G92</f>
        <v>3984</v>
      </c>
      <c r="H93" s="173" t="s">
        <v>725</v>
      </c>
      <c r="I93" s="1980" t="s">
        <v>728</v>
      </c>
      <c r="J93" s="1980"/>
      <c r="K93" s="1980"/>
      <c r="L93" s="172">
        <f>SUM(L67:L71)</f>
        <v>3721</v>
      </c>
      <c r="M93" s="172">
        <f>SUM(M67:M71)</f>
        <v>3995</v>
      </c>
      <c r="N93" s="172">
        <f>SUM(N67:N71)</f>
        <v>3984</v>
      </c>
    </row>
    <row r="94" spans="1:14" ht="15" customHeight="1">
      <c r="A94" s="171" t="s">
        <v>729</v>
      </c>
      <c r="B94" s="1969" t="s">
        <v>730</v>
      </c>
      <c r="C94" s="1970"/>
      <c r="D94" s="1971"/>
      <c r="E94" s="176">
        <f>E93-L93</f>
        <v>0</v>
      </c>
      <c r="F94" s="176">
        <f>F93-M93</f>
        <v>0</v>
      </c>
      <c r="G94" s="1730">
        <f>G93-N93</f>
        <v>0</v>
      </c>
      <c r="H94" s="203" t="s">
        <v>729</v>
      </c>
      <c r="I94" s="1969" t="s">
        <v>730</v>
      </c>
      <c r="J94" s="1970"/>
      <c r="K94" s="1971"/>
      <c r="L94" s="172"/>
      <c r="M94" s="172"/>
      <c r="N94" s="172"/>
    </row>
    <row r="95" spans="1:14" ht="18.75" customHeight="1">
      <c r="A95" s="171" t="s">
        <v>732</v>
      </c>
      <c r="B95" s="1969" t="s">
        <v>733</v>
      </c>
      <c r="C95" s="1970"/>
      <c r="D95" s="1971"/>
      <c r="E95" s="172"/>
      <c r="F95" s="172"/>
      <c r="G95" s="1729"/>
      <c r="H95" s="173" t="s">
        <v>732</v>
      </c>
      <c r="I95" s="1974" t="s">
        <v>3709</v>
      </c>
      <c r="J95" s="1975"/>
      <c r="K95" s="1976"/>
      <c r="L95" s="172"/>
      <c r="M95" s="172"/>
      <c r="N95" s="172"/>
    </row>
    <row r="96" spans="1:14" ht="12.75">
      <c r="A96" s="208"/>
      <c r="B96" s="209"/>
      <c r="C96" s="209"/>
      <c r="D96" s="208"/>
      <c r="E96" s="210"/>
      <c r="F96" s="210"/>
      <c r="G96" s="1731"/>
      <c r="H96" s="209"/>
      <c r="I96" s="209"/>
      <c r="J96" s="209"/>
      <c r="K96" s="208"/>
      <c r="L96" s="208"/>
      <c r="M96" s="208"/>
      <c r="N96" s="208"/>
    </row>
    <row r="97" spans="1:14" ht="12.75">
      <c r="A97" s="2005" t="s">
        <v>669</v>
      </c>
      <c r="B97" s="2005"/>
      <c r="C97" s="2005"/>
      <c r="D97" s="2005"/>
      <c r="E97" s="2005"/>
      <c r="F97" s="2005"/>
      <c r="G97" s="2005"/>
      <c r="H97" s="2005" t="s">
        <v>670</v>
      </c>
      <c r="I97" s="2005"/>
      <c r="J97" s="2005"/>
      <c r="K97" s="2005"/>
      <c r="L97" s="2005"/>
      <c r="M97" s="2005"/>
      <c r="N97" s="2005"/>
    </row>
    <row r="98" spans="1:14" ht="21" customHeight="1">
      <c r="A98" s="1984" t="s">
        <v>671</v>
      </c>
      <c r="B98" s="1985"/>
      <c r="C98" s="1985"/>
      <c r="D98" s="1986"/>
      <c r="E98" s="170" t="s">
        <v>3727</v>
      </c>
      <c r="F98" s="170" t="s">
        <v>3728</v>
      </c>
      <c r="G98" s="1728" t="s">
        <v>4220</v>
      </c>
      <c r="H98" s="1984" t="s">
        <v>671</v>
      </c>
      <c r="I98" s="1985"/>
      <c r="J98" s="1985"/>
      <c r="K98" s="1986"/>
      <c r="L98" s="170" t="s">
        <v>3727</v>
      </c>
      <c r="M98" s="170" t="s">
        <v>3728</v>
      </c>
      <c r="N98" s="170" t="s">
        <v>4220</v>
      </c>
    </row>
    <row r="99" spans="1:14" ht="15" customHeight="1">
      <c r="A99" s="196" t="s">
        <v>4264</v>
      </c>
      <c r="B99" s="1980" t="s">
        <v>4265</v>
      </c>
      <c r="C99" s="1980"/>
      <c r="D99" s="1980"/>
      <c r="E99" s="172"/>
      <c r="F99" s="172"/>
      <c r="G99" s="1729"/>
      <c r="H99" s="196" t="s">
        <v>4264</v>
      </c>
      <c r="I99" s="1987" t="s">
        <v>4265</v>
      </c>
      <c r="J99" s="1987"/>
      <c r="K99" s="1987"/>
      <c r="L99" s="172"/>
      <c r="M99" s="172"/>
      <c r="N99" s="172"/>
    </row>
    <row r="100" spans="1:14" ht="15" customHeight="1">
      <c r="A100" s="172"/>
      <c r="B100" s="196" t="s">
        <v>4029</v>
      </c>
      <c r="C100" s="1987" t="s">
        <v>4266</v>
      </c>
      <c r="D100" s="1987"/>
      <c r="E100" s="172">
        <f>E101+E102+E103</f>
        <v>0</v>
      </c>
      <c r="F100" s="172">
        <f>F101+F102+F103</f>
        <v>0</v>
      </c>
      <c r="G100" s="1729">
        <f>G101+G102+G103</f>
        <v>0</v>
      </c>
      <c r="H100" s="177"/>
      <c r="I100" s="172" t="s">
        <v>4029</v>
      </c>
      <c r="J100" s="1999" t="s">
        <v>4267</v>
      </c>
      <c r="K100" s="1999"/>
      <c r="L100" s="172"/>
      <c r="M100" s="172"/>
      <c r="N100" s="172"/>
    </row>
    <row r="101" spans="1:14" ht="15" customHeight="1">
      <c r="A101" s="172"/>
      <c r="B101" s="177"/>
      <c r="C101" s="197" t="s">
        <v>4268</v>
      </c>
      <c r="D101" s="186" t="s">
        <v>4068</v>
      </c>
      <c r="E101" s="172"/>
      <c r="F101" s="172"/>
      <c r="G101" s="1729"/>
      <c r="H101" s="177"/>
      <c r="I101" s="172" t="s">
        <v>4031</v>
      </c>
      <c r="J101" s="1999" t="s">
        <v>4154</v>
      </c>
      <c r="K101" s="1999"/>
      <c r="L101" s="172"/>
      <c r="M101" s="172"/>
      <c r="N101" s="172"/>
    </row>
    <row r="102" spans="1:14" ht="15" customHeight="1">
      <c r="A102" s="172"/>
      <c r="B102" s="177"/>
      <c r="C102" s="197" t="s">
        <v>4269</v>
      </c>
      <c r="D102" s="186" t="s">
        <v>4070</v>
      </c>
      <c r="E102" s="172"/>
      <c r="F102" s="172"/>
      <c r="G102" s="1729"/>
      <c r="H102" s="177"/>
      <c r="I102" s="172" t="s">
        <v>4041</v>
      </c>
      <c r="J102" s="1999" t="s">
        <v>4270</v>
      </c>
      <c r="K102" s="1999"/>
      <c r="L102" s="172">
        <f>L103+L104+L105+L106</f>
        <v>0</v>
      </c>
      <c r="M102" s="172">
        <f>M103+M104+M105+M106</f>
        <v>0</v>
      </c>
      <c r="N102" s="172">
        <f>N103+N104+N105+N106</f>
        <v>0</v>
      </c>
    </row>
    <row r="103" spans="1:14" ht="12.75">
      <c r="A103" s="172"/>
      <c r="B103" s="177"/>
      <c r="C103" s="197" t="s">
        <v>679</v>
      </c>
      <c r="D103" s="186" t="s">
        <v>4271</v>
      </c>
      <c r="E103" s="172"/>
      <c r="F103" s="172"/>
      <c r="G103" s="1729"/>
      <c r="H103" s="177"/>
      <c r="I103" s="177"/>
      <c r="J103" s="197" t="s">
        <v>4272</v>
      </c>
      <c r="K103" s="186" t="s">
        <v>4273</v>
      </c>
      <c r="L103" s="172"/>
      <c r="M103" s="172"/>
      <c r="N103" s="172"/>
    </row>
    <row r="104" spans="1:14" ht="21.75" customHeight="1">
      <c r="A104" s="172"/>
      <c r="B104" s="196" t="s">
        <v>4031</v>
      </c>
      <c r="C104" s="1980" t="s">
        <v>4274</v>
      </c>
      <c r="D104" s="1980"/>
      <c r="E104" s="172">
        <f>E105+E106</f>
        <v>0</v>
      </c>
      <c r="F104" s="172">
        <f>F105+F106</f>
        <v>0</v>
      </c>
      <c r="G104" s="1729">
        <f>G105+G106</f>
        <v>0</v>
      </c>
      <c r="H104" s="177"/>
      <c r="I104" s="177"/>
      <c r="J104" s="197" t="s">
        <v>4275</v>
      </c>
      <c r="K104" s="198" t="s">
        <v>4276</v>
      </c>
      <c r="L104" s="172"/>
      <c r="M104" s="172"/>
      <c r="N104" s="172"/>
    </row>
    <row r="105" spans="1:14" ht="12.75">
      <c r="A105" s="172"/>
      <c r="B105" s="177"/>
      <c r="C105" s="197" t="s">
        <v>684</v>
      </c>
      <c r="D105" s="186" t="s">
        <v>659</v>
      </c>
      <c r="E105" s="172"/>
      <c r="F105" s="172"/>
      <c r="G105" s="1729"/>
      <c r="H105" s="177"/>
      <c r="I105" s="177"/>
      <c r="J105" s="197" t="s">
        <v>4277</v>
      </c>
      <c r="K105" s="187" t="s">
        <v>3684</v>
      </c>
      <c r="L105" s="172"/>
      <c r="M105" s="172"/>
      <c r="N105" s="172"/>
    </row>
    <row r="106" spans="1:14" ht="12.75">
      <c r="A106" s="172"/>
      <c r="B106" s="177"/>
      <c r="C106" s="197" t="s">
        <v>687</v>
      </c>
      <c r="D106" s="186" t="s">
        <v>3685</v>
      </c>
      <c r="E106" s="172"/>
      <c r="F106" s="172"/>
      <c r="G106" s="1729"/>
      <c r="H106" s="177"/>
      <c r="I106" s="177"/>
      <c r="J106" s="197" t="s">
        <v>3686</v>
      </c>
      <c r="K106" s="187" t="s">
        <v>3687</v>
      </c>
      <c r="L106" s="172"/>
      <c r="M106" s="172"/>
      <c r="N106" s="172"/>
    </row>
    <row r="107" spans="1:14" ht="15" customHeight="1">
      <c r="A107" s="172"/>
      <c r="B107" s="196">
        <v>3</v>
      </c>
      <c r="C107" s="1983" t="s">
        <v>3688</v>
      </c>
      <c r="D107" s="1983"/>
      <c r="E107" s="172">
        <f>E108+E109+E110</f>
        <v>0</v>
      </c>
      <c r="F107" s="172">
        <f>F108+F109+F110</f>
        <v>0</v>
      </c>
      <c r="G107" s="1729">
        <f>G108+G109+G110</f>
        <v>0</v>
      </c>
      <c r="H107" s="177"/>
      <c r="I107" s="177"/>
      <c r="J107" s="177"/>
      <c r="K107" s="172"/>
      <c r="L107" s="172"/>
      <c r="M107" s="172"/>
      <c r="N107" s="172"/>
    </row>
    <row r="108" spans="1:14" ht="21">
      <c r="A108" s="172"/>
      <c r="B108" s="177"/>
      <c r="C108" s="197" t="s">
        <v>4272</v>
      </c>
      <c r="D108" s="186" t="s">
        <v>4097</v>
      </c>
      <c r="E108" s="172"/>
      <c r="F108" s="172"/>
      <c r="G108" s="1729"/>
      <c r="H108" s="177"/>
      <c r="I108" s="177"/>
      <c r="J108" s="177"/>
      <c r="K108" s="172"/>
      <c r="L108" s="172"/>
      <c r="M108" s="172"/>
      <c r="N108" s="172"/>
    </row>
    <row r="109" spans="1:14" ht="12.75">
      <c r="A109" s="172"/>
      <c r="B109" s="177"/>
      <c r="C109" s="197" t="s">
        <v>4275</v>
      </c>
      <c r="D109" s="186" t="s">
        <v>3691</v>
      </c>
      <c r="E109" s="172"/>
      <c r="F109" s="172"/>
      <c r="G109" s="1729"/>
      <c r="H109" s="177"/>
      <c r="I109" s="177"/>
      <c r="J109" s="177"/>
      <c r="K109" s="172"/>
      <c r="L109" s="172"/>
      <c r="M109" s="172"/>
      <c r="N109" s="172"/>
    </row>
    <row r="110" spans="1:14" ht="12.75">
      <c r="A110" s="172"/>
      <c r="B110" s="177"/>
      <c r="C110" s="197" t="s">
        <v>4277</v>
      </c>
      <c r="D110" s="187" t="s">
        <v>3692</v>
      </c>
      <c r="E110" s="172"/>
      <c r="F110" s="172"/>
      <c r="G110" s="1729"/>
      <c r="H110" s="177"/>
      <c r="I110" s="177"/>
      <c r="J110" s="177"/>
      <c r="K110" s="172"/>
      <c r="L110" s="172"/>
      <c r="M110" s="172"/>
      <c r="N110" s="172"/>
    </row>
    <row r="111" spans="1:14" ht="15" customHeight="1">
      <c r="A111" s="172"/>
      <c r="B111" s="185">
        <v>4</v>
      </c>
      <c r="C111" s="1980" t="s">
        <v>3693</v>
      </c>
      <c r="D111" s="1980"/>
      <c r="E111" s="172"/>
      <c r="F111" s="172"/>
      <c r="G111" s="1729"/>
      <c r="H111" s="177"/>
      <c r="I111" s="177"/>
      <c r="J111" s="177"/>
      <c r="K111" s="172"/>
      <c r="L111" s="172"/>
      <c r="M111" s="172"/>
      <c r="N111" s="172"/>
    </row>
    <row r="112" spans="1:14" ht="15" customHeight="1">
      <c r="A112" s="172"/>
      <c r="B112" s="185" t="s">
        <v>4061</v>
      </c>
      <c r="C112" s="1969" t="s">
        <v>3694</v>
      </c>
      <c r="D112" s="1971"/>
      <c r="E112" s="172"/>
      <c r="F112" s="172"/>
      <c r="G112" s="1729"/>
      <c r="H112" s="177"/>
      <c r="I112" s="185"/>
      <c r="J112" s="185"/>
      <c r="K112" s="185"/>
      <c r="L112" s="172"/>
      <c r="M112" s="172"/>
      <c r="N112" s="172"/>
    </row>
    <row r="113" spans="1:14" ht="12.75">
      <c r="A113" s="172"/>
      <c r="B113" s="185"/>
      <c r="C113" s="197" t="s">
        <v>4063</v>
      </c>
      <c r="D113" s="192" t="s">
        <v>3695</v>
      </c>
      <c r="E113" s="172"/>
      <c r="F113" s="172"/>
      <c r="G113" s="1729"/>
      <c r="H113" s="177"/>
      <c r="I113" s="185"/>
      <c r="J113" s="185"/>
      <c r="K113" s="185"/>
      <c r="L113" s="172"/>
      <c r="M113" s="172"/>
      <c r="N113" s="172"/>
    </row>
    <row r="114" spans="1:14" ht="15" customHeight="1">
      <c r="A114" s="172"/>
      <c r="B114" s="185" t="s">
        <v>4074</v>
      </c>
      <c r="C114" s="1981" t="s">
        <v>3696</v>
      </c>
      <c r="D114" s="1982"/>
      <c r="E114" s="172"/>
      <c r="F114" s="172"/>
      <c r="G114" s="1729"/>
      <c r="H114" s="177"/>
      <c r="I114" s="177"/>
      <c r="J114" s="177"/>
      <c r="K114" s="172"/>
      <c r="L114" s="172"/>
      <c r="M114" s="172"/>
      <c r="N114" s="172"/>
    </row>
    <row r="115" spans="1:14" ht="20.25" customHeight="1">
      <c r="A115" s="172" t="s">
        <v>3712</v>
      </c>
      <c r="B115" s="1980" t="s">
        <v>3697</v>
      </c>
      <c r="C115" s="1980"/>
      <c r="D115" s="1980"/>
      <c r="E115" s="172">
        <f>E100+E104+E107+E111</f>
        <v>0</v>
      </c>
      <c r="F115" s="172">
        <f>F100+F104+F107+F111</f>
        <v>0</v>
      </c>
      <c r="G115" s="1729">
        <f>G100+G104+G107+G111</f>
        <v>0</v>
      </c>
      <c r="H115" s="177"/>
      <c r="I115" s="1980" t="s">
        <v>3713</v>
      </c>
      <c r="J115" s="1980"/>
      <c r="K115" s="1980"/>
      <c r="L115" s="172"/>
      <c r="M115" s="172"/>
      <c r="N115" s="172"/>
    </row>
    <row r="116" spans="1:14" ht="15" customHeight="1">
      <c r="A116" s="172" t="s">
        <v>3714</v>
      </c>
      <c r="B116" s="1980" t="s">
        <v>3698</v>
      </c>
      <c r="C116" s="1980"/>
      <c r="D116" s="1980"/>
      <c r="E116" s="172">
        <f>E115-L115</f>
        <v>0</v>
      </c>
      <c r="F116" s="172">
        <f>F115-M115</f>
        <v>0</v>
      </c>
      <c r="G116" s="1729">
        <f>G115-N115</f>
        <v>0</v>
      </c>
      <c r="H116" s="177"/>
      <c r="I116" s="1980" t="s">
        <v>3698</v>
      </c>
      <c r="J116" s="1980"/>
      <c r="K116" s="1980"/>
      <c r="L116" s="172"/>
      <c r="M116" s="172"/>
      <c r="N116" s="172"/>
    </row>
    <row r="117" spans="1:14" ht="15" customHeight="1">
      <c r="A117" s="172" t="s">
        <v>3715</v>
      </c>
      <c r="B117" s="1980" t="s">
        <v>3716</v>
      </c>
      <c r="C117" s="1980"/>
      <c r="D117" s="1980"/>
      <c r="E117" s="172"/>
      <c r="F117" s="172"/>
      <c r="G117" s="1729"/>
      <c r="H117" s="177"/>
      <c r="I117" s="177"/>
      <c r="J117" s="177"/>
      <c r="K117" s="172"/>
      <c r="L117" s="172"/>
      <c r="M117" s="172"/>
      <c r="N117" s="172"/>
    </row>
    <row r="118" spans="1:14" ht="15" customHeight="1">
      <c r="A118" s="172" t="s">
        <v>3717</v>
      </c>
      <c r="B118" s="1980" t="s">
        <v>3718</v>
      </c>
      <c r="C118" s="1980"/>
      <c r="D118" s="1980"/>
      <c r="E118" s="172"/>
      <c r="F118" s="172"/>
      <c r="G118" s="1729"/>
      <c r="H118" s="177"/>
      <c r="I118" s="177"/>
      <c r="J118" s="177"/>
      <c r="K118" s="172"/>
      <c r="L118" s="172"/>
      <c r="M118" s="172"/>
      <c r="N118" s="172"/>
    </row>
    <row r="119" spans="1:14" ht="12.75">
      <c r="A119" s="2006" t="s">
        <v>1191</v>
      </c>
      <c r="B119" s="1988"/>
      <c r="C119" s="1988"/>
      <c r="D119" s="1989"/>
      <c r="E119" s="176">
        <f>E33+E35+E54+E93+E115</f>
        <v>75499</v>
      </c>
      <c r="F119" s="176">
        <f>F33+F35+F54+F93+F115</f>
        <v>245132</v>
      </c>
      <c r="G119" s="176">
        <f>G33+G35+G54+G93+G115</f>
        <v>245072</v>
      </c>
      <c r="H119" s="482"/>
      <c r="I119" s="482"/>
      <c r="J119" s="482"/>
      <c r="K119" s="1736" t="s">
        <v>1191</v>
      </c>
      <c r="L119" s="1734">
        <f>L33+L54+L93+L115</f>
        <v>75499</v>
      </c>
      <c r="M119" s="1734">
        <f>M33+M54+M93+M115</f>
        <v>245132</v>
      </c>
      <c r="N119" s="1734">
        <f>N33+N54+N93+N115</f>
        <v>240691</v>
      </c>
    </row>
    <row r="122" ht="12.75">
      <c r="F122" s="181"/>
    </row>
    <row r="123" ht="12.75">
      <c r="K123" s="1737"/>
    </row>
  </sheetData>
  <sheetProtection/>
  <mergeCells count="95">
    <mergeCell ref="I54:K54"/>
    <mergeCell ref="C53:D53"/>
    <mergeCell ref="B55:D55"/>
    <mergeCell ref="A1:N1"/>
    <mergeCell ref="A2:N2"/>
    <mergeCell ref="A3:G3"/>
    <mergeCell ref="H3:N3"/>
    <mergeCell ref="A119:D119"/>
    <mergeCell ref="J41:K41"/>
    <mergeCell ref="C43:D43"/>
    <mergeCell ref="C46:D46"/>
    <mergeCell ref="C51:D51"/>
    <mergeCell ref="C50:D50"/>
    <mergeCell ref="C6:D6"/>
    <mergeCell ref="J6:K6"/>
    <mergeCell ref="J7:K7"/>
    <mergeCell ref="J8:K8"/>
    <mergeCell ref="A4:D4"/>
    <mergeCell ref="H4:K4"/>
    <mergeCell ref="B5:D5"/>
    <mergeCell ref="I5:K5"/>
    <mergeCell ref="C31:D31"/>
    <mergeCell ref="C20:D20"/>
    <mergeCell ref="C27:D27"/>
    <mergeCell ref="B33:D33"/>
    <mergeCell ref="J9:K9"/>
    <mergeCell ref="J10:K10"/>
    <mergeCell ref="C11:D11"/>
    <mergeCell ref="C19:D19"/>
    <mergeCell ref="B35:D35"/>
    <mergeCell ref="I35:K35"/>
    <mergeCell ref="A36:G36"/>
    <mergeCell ref="H36:N36"/>
    <mergeCell ref="I33:K33"/>
    <mergeCell ref="C32:D32"/>
    <mergeCell ref="B34:D34"/>
    <mergeCell ref="I34:K34"/>
    <mergeCell ref="I55:K55"/>
    <mergeCell ref="B57:D57"/>
    <mergeCell ref="A37:D37"/>
    <mergeCell ref="H37:K37"/>
    <mergeCell ref="J39:K39"/>
    <mergeCell ref="J40:K40"/>
    <mergeCell ref="B38:D38"/>
    <mergeCell ref="I38:K38"/>
    <mergeCell ref="C39:D39"/>
    <mergeCell ref="B54:D54"/>
    <mergeCell ref="A64:G64"/>
    <mergeCell ref="H64:N64"/>
    <mergeCell ref="A65:D65"/>
    <mergeCell ref="H65:K65"/>
    <mergeCell ref="B56:D56"/>
    <mergeCell ref="A62:N62"/>
    <mergeCell ref="A63:N63"/>
    <mergeCell ref="J68:K68"/>
    <mergeCell ref="J69:K69"/>
    <mergeCell ref="J70:K70"/>
    <mergeCell ref="J71:K71"/>
    <mergeCell ref="B66:D66"/>
    <mergeCell ref="I66:K66"/>
    <mergeCell ref="C67:D67"/>
    <mergeCell ref="J67:K67"/>
    <mergeCell ref="C91:D91"/>
    <mergeCell ref="C92:D92"/>
    <mergeCell ref="B93:D93"/>
    <mergeCell ref="I93:K93"/>
    <mergeCell ref="C72:D72"/>
    <mergeCell ref="C79:D79"/>
    <mergeCell ref="C80:D80"/>
    <mergeCell ref="C87:D87"/>
    <mergeCell ref="A97:G97"/>
    <mergeCell ref="H97:N97"/>
    <mergeCell ref="A98:D98"/>
    <mergeCell ref="H98:K98"/>
    <mergeCell ref="B94:D94"/>
    <mergeCell ref="I94:K94"/>
    <mergeCell ref="B95:D95"/>
    <mergeCell ref="I95:K95"/>
    <mergeCell ref="J101:K101"/>
    <mergeCell ref="J102:K102"/>
    <mergeCell ref="C104:D104"/>
    <mergeCell ref="C107:D107"/>
    <mergeCell ref="B99:D99"/>
    <mergeCell ref="I99:K99"/>
    <mergeCell ref="C100:D100"/>
    <mergeCell ref="J100:K100"/>
    <mergeCell ref="B118:D118"/>
    <mergeCell ref="I115:K115"/>
    <mergeCell ref="B116:D116"/>
    <mergeCell ref="I116:K116"/>
    <mergeCell ref="B117:D117"/>
    <mergeCell ref="C111:D111"/>
    <mergeCell ref="C112:D112"/>
    <mergeCell ref="C114:D114"/>
    <mergeCell ref="B115:D1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"/>
  <sheetViews>
    <sheetView zoomScale="125" zoomScaleNormal="125" zoomScalePageLayoutView="0" workbookViewId="0" topLeftCell="A1">
      <selection activeCell="A1" sqref="A1:N1"/>
    </sheetView>
  </sheetViews>
  <sheetFormatPr defaultColWidth="9.00390625" defaultRowHeight="12.75"/>
  <cols>
    <col min="1" max="1" width="3.00390625" style="169" customWidth="1"/>
    <col min="2" max="2" width="3.75390625" style="169" customWidth="1"/>
    <col min="3" max="3" width="3.375" style="169" customWidth="1"/>
    <col min="4" max="4" width="34.25390625" style="169" customWidth="1"/>
    <col min="5" max="5" width="7.875" style="169" customWidth="1"/>
    <col min="6" max="6" width="7.75390625" style="169" customWidth="1"/>
    <col min="7" max="7" width="7.25390625" style="169" customWidth="1"/>
    <col min="8" max="8" width="3.125" style="169" customWidth="1"/>
    <col min="9" max="9" width="3.00390625" style="169" customWidth="1"/>
    <col min="10" max="10" width="3.25390625" style="169" customWidth="1"/>
    <col min="11" max="11" width="30.25390625" style="169" customWidth="1"/>
    <col min="12" max="12" width="7.875" style="169" customWidth="1"/>
    <col min="13" max="13" width="7.625" style="169" customWidth="1"/>
    <col min="14" max="14" width="7.125" style="169" customWidth="1"/>
    <col min="15" max="16384" width="9.125" style="169" customWidth="1"/>
  </cols>
  <sheetData>
    <row r="1" spans="1:14" ht="12" customHeight="1">
      <c r="A1" s="2020" t="s">
        <v>5272</v>
      </c>
      <c r="B1" s="2020"/>
      <c r="C1" s="2020"/>
      <c r="D1" s="2020"/>
      <c r="E1" s="2020"/>
      <c r="F1" s="2020"/>
      <c r="G1" s="2020"/>
      <c r="H1" s="2020"/>
      <c r="I1" s="2020"/>
      <c r="J1" s="2020"/>
      <c r="K1" s="2020"/>
      <c r="L1" s="2020"/>
      <c r="M1" s="2020"/>
      <c r="N1" s="2020"/>
    </row>
    <row r="2" spans="1:14" ht="12" customHeight="1">
      <c r="A2" s="2005" t="s">
        <v>2784</v>
      </c>
      <c r="B2" s="2005"/>
      <c r="C2" s="2005"/>
      <c r="D2" s="2005"/>
      <c r="E2" s="2005"/>
      <c r="F2" s="2005"/>
      <c r="G2" s="2005"/>
      <c r="H2" s="2005"/>
      <c r="I2" s="2005"/>
      <c r="J2" s="2005"/>
      <c r="K2" s="2005"/>
      <c r="L2" s="2005"/>
      <c r="M2" s="2005"/>
      <c r="N2" s="2005"/>
    </row>
    <row r="3" spans="1:14" ht="10.5" customHeight="1">
      <c r="A3" s="2005" t="s">
        <v>669</v>
      </c>
      <c r="B3" s="2005"/>
      <c r="C3" s="2005"/>
      <c r="D3" s="2005"/>
      <c r="E3" s="2005"/>
      <c r="F3" s="2005"/>
      <c r="G3" s="2005"/>
      <c r="H3" s="2005" t="s">
        <v>670</v>
      </c>
      <c r="I3" s="2005"/>
      <c r="J3" s="2005"/>
      <c r="K3" s="2005"/>
      <c r="L3" s="2005"/>
      <c r="M3" s="2005"/>
      <c r="N3" s="2005"/>
    </row>
    <row r="4" spans="1:14" ht="19.5" customHeight="1">
      <c r="A4" s="2001" t="s">
        <v>671</v>
      </c>
      <c r="B4" s="2002"/>
      <c r="C4" s="2002"/>
      <c r="D4" s="2003"/>
      <c r="E4" s="1697" t="s">
        <v>672</v>
      </c>
      <c r="F4" s="1697" t="s">
        <v>673</v>
      </c>
      <c r="G4" s="1724" t="s">
        <v>4220</v>
      </c>
      <c r="H4" s="2001" t="s">
        <v>671</v>
      </c>
      <c r="I4" s="2002"/>
      <c r="J4" s="2002"/>
      <c r="K4" s="2003"/>
      <c r="L4" s="1697" t="s">
        <v>672</v>
      </c>
      <c r="M4" s="1697" t="s">
        <v>673</v>
      </c>
      <c r="N4" s="1697" t="s">
        <v>4220</v>
      </c>
    </row>
    <row r="5" spans="1:14" ht="13.5" customHeight="1">
      <c r="A5" s="171" t="s">
        <v>675</v>
      </c>
      <c r="B5" s="1980" t="s">
        <v>676</v>
      </c>
      <c r="C5" s="1980"/>
      <c r="D5" s="1980"/>
      <c r="E5" s="179"/>
      <c r="F5" s="179"/>
      <c r="G5" s="179"/>
      <c r="H5" s="173" t="s">
        <v>675</v>
      </c>
      <c r="I5" s="1987" t="s">
        <v>676</v>
      </c>
      <c r="J5" s="1987"/>
      <c r="K5" s="1987"/>
      <c r="L5" s="179"/>
      <c r="M5" s="179"/>
      <c r="N5" s="179"/>
    </row>
    <row r="6" spans="1:14" ht="12.75" customHeight="1">
      <c r="A6" s="174"/>
      <c r="B6" s="175">
        <v>1</v>
      </c>
      <c r="C6" s="1970" t="s">
        <v>677</v>
      </c>
      <c r="D6" s="1971"/>
      <c r="E6" s="179">
        <f>E7+E8+E10+E9</f>
        <v>0</v>
      </c>
      <c r="F6" s="179">
        <f>F7+F8+F10+F9</f>
        <v>0</v>
      </c>
      <c r="G6" s="179">
        <f>G7+G8+G10+G9</f>
        <v>0</v>
      </c>
      <c r="H6" s="177"/>
      <c r="I6" s="178" t="s">
        <v>4029</v>
      </c>
      <c r="J6" s="1999" t="s">
        <v>4136</v>
      </c>
      <c r="K6" s="1999"/>
      <c r="L6" s="179">
        <f>24546+33221</f>
        <v>57767</v>
      </c>
      <c r="M6" s="956">
        <v>58255</v>
      </c>
      <c r="N6" s="956">
        <v>58118</v>
      </c>
    </row>
    <row r="7" spans="1:14" ht="12.75" customHeight="1">
      <c r="A7" s="174"/>
      <c r="B7" s="182"/>
      <c r="C7" s="183" t="s">
        <v>4135</v>
      </c>
      <c r="D7" s="199" t="s">
        <v>4034</v>
      </c>
      <c r="E7" s="179"/>
      <c r="F7" s="179"/>
      <c r="G7" s="179"/>
      <c r="H7" s="177"/>
      <c r="I7" s="178" t="s">
        <v>4031</v>
      </c>
      <c r="J7" s="1999" t="s">
        <v>3729</v>
      </c>
      <c r="K7" s="1999"/>
      <c r="L7" s="179">
        <f>6620+8925</f>
        <v>15545</v>
      </c>
      <c r="M7" s="956">
        <v>14153</v>
      </c>
      <c r="N7" s="956">
        <v>13862</v>
      </c>
    </row>
    <row r="8" spans="1:14" ht="12" customHeight="1">
      <c r="A8" s="172"/>
      <c r="B8" s="177"/>
      <c r="C8" s="184" t="s">
        <v>4137</v>
      </c>
      <c r="D8" s="199" t="s">
        <v>4036</v>
      </c>
      <c r="E8" s="179"/>
      <c r="F8" s="179"/>
      <c r="G8" s="179"/>
      <c r="H8" s="177"/>
      <c r="I8" s="178" t="s">
        <v>4041</v>
      </c>
      <c r="J8" s="1999" t="s">
        <v>4140</v>
      </c>
      <c r="K8" s="1999"/>
      <c r="L8" s="179">
        <f>22329+67040</f>
        <v>89369</v>
      </c>
      <c r="M8" s="956">
        <v>92085</v>
      </c>
      <c r="N8" s="956">
        <v>91454</v>
      </c>
    </row>
    <row r="9" spans="1:14" ht="12.75" customHeight="1">
      <c r="A9" s="172"/>
      <c r="B9" s="177"/>
      <c r="C9" s="184" t="s">
        <v>679</v>
      </c>
      <c r="D9" s="199" t="s">
        <v>4038</v>
      </c>
      <c r="E9" s="179"/>
      <c r="F9" s="179"/>
      <c r="G9" s="179"/>
      <c r="H9" s="177"/>
      <c r="I9" s="178" t="s">
        <v>4166</v>
      </c>
      <c r="J9" s="1999" t="s">
        <v>4142</v>
      </c>
      <c r="K9" s="1999"/>
      <c r="L9" s="179"/>
      <c r="M9" s="179"/>
      <c r="N9" s="179"/>
    </row>
    <row r="10" spans="1:14" ht="12" customHeight="1">
      <c r="A10" s="172"/>
      <c r="B10" s="177"/>
      <c r="C10" s="184" t="s">
        <v>680</v>
      </c>
      <c r="D10" s="199" t="s">
        <v>3730</v>
      </c>
      <c r="E10" s="179"/>
      <c r="F10" s="179"/>
      <c r="G10" s="179"/>
      <c r="H10" s="177"/>
      <c r="I10" s="178" t="s">
        <v>4061</v>
      </c>
      <c r="J10" s="1999" t="s">
        <v>4144</v>
      </c>
      <c r="K10" s="1999"/>
      <c r="L10" s="179">
        <f>L11+L12+L13+L14+L16+L17+L15+L18</f>
        <v>0</v>
      </c>
      <c r="M10" s="179">
        <f>M11+M12+M13+M14+M16+M17+M15+M18</f>
        <v>0</v>
      </c>
      <c r="N10" s="179">
        <f>N11+N12+N13+N14+N16+N17+N15+N18</f>
        <v>0</v>
      </c>
    </row>
    <row r="11" spans="1:14" ht="12" customHeight="1">
      <c r="A11" s="172"/>
      <c r="B11" s="185" t="s">
        <v>4031</v>
      </c>
      <c r="C11" s="1980" t="s">
        <v>682</v>
      </c>
      <c r="D11" s="1980"/>
      <c r="E11" s="179">
        <f>SUM(E12:E17)</f>
        <v>51456</v>
      </c>
      <c r="F11" s="179">
        <f>SUM(F12:F17)</f>
        <v>51323</v>
      </c>
      <c r="G11" s="179">
        <f>SUM(G12:G17)</f>
        <v>51327</v>
      </c>
      <c r="H11" s="177"/>
      <c r="I11" s="177"/>
      <c r="J11" s="184" t="s">
        <v>4063</v>
      </c>
      <c r="K11" s="186" t="s">
        <v>683</v>
      </c>
      <c r="L11" s="179"/>
      <c r="M11" s="179"/>
      <c r="N11" s="179"/>
    </row>
    <row r="12" spans="1:14" ht="15" customHeight="1">
      <c r="A12" s="172"/>
      <c r="B12" s="177"/>
      <c r="C12" s="184" t="s">
        <v>684</v>
      </c>
      <c r="D12" s="186" t="s">
        <v>4046</v>
      </c>
      <c r="E12" s="179"/>
      <c r="F12" s="179">
        <v>4757</v>
      </c>
      <c r="G12" s="179">
        <v>4766</v>
      </c>
      <c r="H12" s="177"/>
      <c r="I12" s="177"/>
      <c r="J12" s="184" t="s">
        <v>4064</v>
      </c>
      <c r="K12" s="187" t="s">
        <v>686</v>
      </c>
      <c r="L12" s="179"/>
      <c r="M12" s="179"/>
      <c r="N12" s="179"/>
    </row>
    <row r="13" spans="1:14" ht="12" customHeight="1">
      <c r="A13" s="172"/>
      <c r="B13" s="177"/>
      <c r="C13" s="184" t="s">
        <v>687</v>
      </c>
      <c r="D13" s="186" t="s">
        <v>4048</v>
      </c>
      <c r="E13" s="179"/>
      <c r="F13" s="179"/>
      <c r="G13" s="179"/>
      <c r="H13" s="177"/>
      <c r="I13" s="177"/>
      <c r="J13" s="184" t="s">
        <v>4065</v>
      </c>
      <c r="K13" s="188" t="s">
        <v>688</v>
      </c>
      <c r="L13" s="179"/>
      <c r="M13" s="179"/>
      <c r="N13" s="179"/>
    </row>
    <row r="14" spans="1:14" ht="12.75" customHeight="1">
      <c r="A14" s="172"/>
      <c r="B14" s="177"/>
      <c r="C14" s="184" t="s">
        <v>689</v>
      </c>
      <c r="D14" s="186" t="s">
        <v>4050</v>
      </c>
      <c r="E14" s="179">
        <v>26000</v>
      </c>
      <c r="F14" s="179">
        <v>41153</v>
      </c>
      <c r="G14" s="179">
        <v>41209</v>
      </c>
      <c r="H14" s="177"/>
      <c r="I14" s="177"/>
      <c r="J14" s="184" t="s">
        <v>4066</v>
      </c>
      <c r="K14" s="186" t="s">
        <v>3703</v>
      </c>
      <c r="L14" s="179"/>
      <c r="M14" s="179"/>
      <c r="N14" s="179"/>
    </row>
    <row r="15" spans="1:14" ht="12.75" customHeight="1">
      <c r="A15" s="172"/>
      <c r="B15" s="177"/>
      <c r="C15" s="184" t="s">
        <v>691</v>
      </c>
      <c r="D15" s="186" t="s">
        <v>695</v>
      </c>
      <c r="E15" s="179"/>
      <c r="F15" s="179">
        <v>5102</v>
      </c>
      <c r="G15" s="179">
        <v>5101</v>
      </c>
      <c r="H15" s="177"/>
      <c r="I15" s="177"/>
      <c r="J15" s="184" t="s">
        <v>692</v>
      </c>
      <c r="K15" s="186" t="s">
        <v>693</v>
      </c>
      <c r="L15" s="179"/>
      <c r="M15" s="179"/>
      <c r="N15" s="179"/>
    </row>
    <row r="16" spans="1:14" ht="13.5" customHeight="1">
      <c r="A16" s="172"/>
      <c r="B16" s="177"/>
      <c r="C16" s="184" t="s">
        <v>694</v>
      </c>
      <c r="D16" s="186" t="s">
        <v>4056</v>
      </c>
      <c r="E16" s="179"/>
      <c r="F16" s="179">
        <v>25</v>
      </c>
      <c r="G16" s="179">
        <v>25</v>
      </c>
      <c r="H16" s="177"/>
      <c r="I16" s="177"/>
      <c r="J16" s="184" t="s">
        <v>696</v>
      </c>
      <c r="K16" s="186" t="s">
        <v>3724</v>
      </c>
      <c r="L16" s="179"/>
      <c r="M16" s="179"/>
      <c r="N16" s="179"/>
    </row>
    <row r="17" spans="1:14" ht="9" customHeight="1">
      <c r="A17" s="172"/>
      <c r="B17" s="177"/>
      <c r="C17" s="184" t="s">
        <v>698</v>
      </c>
      <c r="D17" s="186" t="s">
        <v>4058</v>
      </c>
      <c r="E17" s="179">
        <v>25456</v>
      </c>
      <c r="F17" s="179">
        <v>286</v>
      </c>
      <c r="G17" s="179">
        <v>226</v>
      </c>
      <c r="H17" s="177"/>
      <c r="I17" s="177"/>
      <c r="J17" s="184" t="s">
        <v>699</v>
      </c>
      <c r="K17" s="186" t="s">
        <v>700</v>
      </c>
      <c r="L17" s="179"/>
      <c r="M17" s="179"/>
      <c r="N17" s="179"/>
    </row>
    <row r="18" spans="1:14" ht="12" customHeight="1">
      <c r="A18" s="172"/>
      <c r="B18" s="185" t="s">
        <v>4041</v>
      </c>
      <c r="C18" s="1980" t="s">
        <v>704</v>
      </c>
      <c r="D18" s="1980"/>
      <c r="E18" s="179"/>
      <c r="F18" s="179"/>
      <c r="G18" s="179"/>
      <c r="H18" s="177"/>
      <c r="I18" s="177"/>
      <c r="J18" s="184" t="s">
        <v>702</v>
      </c>
      <c r="K18" s="172" t="s">
        <v>703</v>
      </c>
      <c r="L18" s="179"/>
      <c r="M18" s="179"/>
      <c r="N18" s="179"/>
    </row>
    <row r="19" spans="1:14" ht="12.75" customHeight="1">
      <c r="A19" s="172"/>
      <c r="B19" s="185" t="s">
        <v>4166</v>
      </c>
      <c r="C19" s="1980" t="s">
        <v>706</v>
      </c>
      <c r="D19" s="1980"/>
      <c r="E19" s="179">
        <f>E20+E21+E22+E23</f>
        <v>0</v>
      </c>
      <c r="F19" s="179">
        <f>F20+F21+F22+F23</f>
        <v>0</v>
      </c>
      <c r="G19" s="179">
        <f>G20+G21+G22+G23</f>
        <v>0</v>
      </c>
      <c r="H19" s="177"/>
      <c r="I19" s="177"/>
      <c r="J19" s="177"/>
      <c r="K19" s="172"/>
      <c r="L19" s="179"/>
      <c r="M19" s="179"/>
      <c r="N19" s="179"/>
    </row>
    <row r="20" spans="1:14" ht="12.75" customHeight="1">
      <c r="A20" s="172"/>
      <c r="B20" s="177"/>
      <c r="C20" s="184" t="s">
        <v>708</v>
      </c>
      <c r="D20" s="186" t="s">
        <v>709</v>
      </c>
      <c r="E20" s="179"/>
      <c r="F20" s="179"/>
      <c r="G20" s="179"/>
      <c r="H20" s="177"/>
      <c r="I20" s="177"/>
      <c r="J20" s="177"/>
      <c r="K20" s="172"/>
      <c r="L20" s="179"/>
      <c r="M20" s="179"/>
      <c r="N20" s="179"/>
    </row>
    <row r="21" spans="1:14" ht="14.25" customHeight="1">
      <c r="A21" s="172"/>
      <c r="B21" s="177"/>
      <c r="C21" s="184" t="s">
        <v>710</v>
      </c>
      <c r="D21" s="191" t="s">
        <v>711</v>
      </c>
      <c r="E21" s="179"/>
      <c r="F21" s="179"/>
      <c r="G21" s="179"/>
      <c r="H21" s="177"/>
      <c r="I21" s="177"/>
      <c r="J21" s="177"/>
      <c r="K21" s="172"/>
      <c r="L21" s="179"/>
      <c r="M21" s="179"/>
      <c r="N21" s="179"/>
    </row>
    <row r="22" spans="1:14" ht="12" customHeight="1">
      <c r="A22" s="172"/>
      <c r="B22" s="177"/>
      <c r="C22" s="184" t="s">
        <v>712</v>
      </c>
      <c r="D22" s="191" t="s">
        <v>713</v>
      </c>
      <c r="E22" s="179"/>
      <c r="F22" s="179"/>
      <c r="G22" s="179"/>
      <c r="H22" s="177"/>
      <c r="I22" s="177"/>
      <c r="J22" s="177"/>
      <c r="K22" s="172"/>
      <c r="L22" s="179"/>
      <c r="M22" s="179"/>
      <c r="N22" s="179"/>
    </row>
    <row r="23" spans="1:14" ht="12" customHeight="1">
      <c r="A23" s="172"/>
      <c r="B23" s="177"/>
      <c r="C23" s="184" t="s">
        <v>714</v>
      </c>
      <c r="D23" s="191" t="s">
        <v>715</v>
      </c>
      <c r="E23" s="179"/>
      <c r="F23" s="179"/>
      <c r="G23" s="179"/>
      <c r="H23" s="177"/>
      <c r="I23" s="177"/>
      <c r="J23" s="177"/>
      <c r="K23" s="172"/>
      <c r="L23" s="179"/>
      <c r="M23" s="179"/>
      <c r="N23" s="179"/>
    </row>
    <row r="24" spans="1:14" ht="15" customHeight="1">
      <c r="A24" s="172"/>
      <c r="B24" s="177"/>
      <c r="C24" s="184" t="s">
        <v>716</v>
      </c>
      <c r="D24" s="186" t="s">
        <v>4068</v>
      </c>
      <c r="E24" s="179"/>
      <c r="F24" s="179"/>
      <c r="G24" s="179"/>
      <c r="H24" s="177"/>
      <c r="I24" s="177"/>
      <c r="J24" s="177"/>
      <c r="K24" s="172"/>
      <c r="L24" s="179"/>
      <c r="M24" s="179"/>
      <c r="N24" s="179"/>
    </row>
    <row r="25" spans="1:14" ht="12" customHeight="1">
      <c r="A25" s="172"/>
      <c r="B25" s="177"/>
      <c r="C25" s="184" t="s">
        <v>717</v>
      </c>
      <c r="D25" s="186" t="s">
        <v>4073</v>
      </c>
      <c r="E25" s="179"/>
      <c r="F25" s="179"/>
      <c r="G25" s="179"/>
      <c r="H25" s="177"/>
      <c r="I25" s="177"/>
      <c r="J25" s="177"/>
      <c r="K25" s="172"/>
      <c r="L25" s="179"/>
      <c r="M25" s="179"/>
      <c r="N25" s="179"/>
    </row>
    <row r="26" spans="1:14" ht="12.75" customHeight="1">
      <c r="A26" s="172"/>
      <c r="B26" s="185" t="s">
        <v>4061</v>
      </c>
      <c r="C26" s="1969" t="s">
        <v>718</v>
      </c>
      <c r="D26" s="1971"/>
      <c r="E26" s="179">
        <f>E27+E28+E29</f>
        <v>0</v>
      </c>
      <c r="F26" s="179">
        <f>F27+F28+F29</f>
        <v>0</v>
      </c>
      <c r="G26" s="179">
        <f>G27+G28+G29</f>
        <v>0</v>
      </c>
      <c r="H26" s="177"/>
      <c r="I26" s="177"/>
      <c r="J26" s="177"/>
      <c r="K26" s="172"/>
      <c r="L26" s="179"/>
      <c r="M26" s="179"/>
      <c r="N26" s="179"/>
    </row>
    <row r="27" spans="1:14" ht="19.5" customHeight="1">
      <c r="A27" s="172"/>
      <c r="B27" s="177"/>
      <c r="C27" s="184" t="s">
        <v>4063</v>
      </c>
      <c r="D27" s="186" t="s">
        <v>3708</v>
      </c>
      <c r="E27" s="179"/>
      <c r="F27" s="179"/>
      <c r="G27" s="179"/>
      <c r="H27" s="177"/>
      <c r="I27" s="177"/>
      <c r="J27" s="177"/>
      <c r="K27" s="172"/>
      <c r="L27" s="179"/>
      <c r="M27" s="179"/>
      <c r="N27" s="179"/>
    </row>
    <row r="28" spans="1:14" ht="12" customHeight="1">
      <c r="A28" s="172"/>
      <c r="B28" s="177"/>
      <c r="C28" s="184" t="s">
        <v>4064</v>
      </c>
      <c r="D28" s="186" t="s">
        <v>720</v>
      </c>
      <c r="E28" s="179"/>
      <c r="F28" s="179"/>
      <c r="G28" s="179"/>
      <c r="H28" s="177"/>
      <c r="I28" s="177"/>
      <c r="J28" s="177"/>
      <c r="K28" s="172"/>
      <c r="L28" s="179"/>
      <c r="M28" s="179"/>
      <c r="N28" s="179"/>
    </row>
    <row r="29" spans="1:14" ht="14.25" customHeight="1">
      <c r="A29" s="172"/>
      <c r="B29" s="177"/>
      <c r="C29" s="184" t="s">
        <v>4065</v>
      </c>
      <c r="D29" s="186" t="s">
        <v>721</v>
      </c>
      <c r="E29" s="179"/>
      <c r="F29" s="179"/>
      <c r="G29" s="179"/>
      <c r="H29" s="177"/>
      <c r="I29" s="177"/>
      <c r="J29" s="177"/>
      <c r="K29" s="172"/>
      <c r="L29" s="179"/>
      <c r="M29" s="179"/>
      <c r="N29" s="179"/>
    </row>
    <row r="30" spans="1:14" ht="10.5" customHeight="1">
      <c r="A30" s="172"/>
      <c r="B30" s="178" t="s">
        <v>4074</v>
      </c>
      <c r="C30" s="1980" t="s">
        <v>722</v>
      </c>
      <c r="D30" s="1980"/>
      <c r="E30" s="179"/>
      <c r="F30" s="179"/>
      <c r="G30" s="179"/>
      <c r="H30" s="177"/>
      <c r="I30" s="177"/>
      <c r="J30" s="177"/>
      <c r="K30" s="172"/>
      <c r="L30" s="179"/>
      <c r="M30" s="179"/>
      <c r="N30" s="179"/>
    </row>
    <row r="31" spans="1:14" ht="12" customHeight="1">
      <c r="A31" s="172"/>
      <c r="B31" s="193" t="s">
        <v>4195</v>
      </c>
      <c r="C31" s="1970" t="s">
        <v>723</v>
      </c>
      <c r="D31" s="1971"/>
      <c r="E31" s="179">
        <f>111225-305</f>
        <v>110920</v>
      </c>
      <c r="F31" s="179">
        <v>112852</v>
      </c>
      <c r="G31" s="179">
        <v>112852</v>
      </c>
      <c r="H31" s="177"/>
      <c r="I31" s="177"/>
      <c r="J31" s="177"/>
      <c r="K31" s="172"/>
      <c r="L31" s="179"/>
      <c r="M31" s="179"/>
      <c r="N31" s="179"/>
    </row>
    <row r="32" spans="1:14" ht="12" customHeight="1">
      <c r="A32" s="171" t="s">
        <v>725</v>
      </c>
      <c r="B32" s="1969" t="s">
        <v>726</v>
      </c>
      <c r="C32" s="1970"/>
      <c r="D32" s="1971"/>
      <c r="E32" s="179">
        <f>E6+E11+E19+E26+E30+E18+E31</f>
        <v>162376</v>
      </c>
      <c r="F32" s="179">
        <f>F6+F11+F19+F26+F30+F18+F31</f>
        <v>164175</v>
      </c>
      <c r="G32" s="179">
        <f>G6+G11+G19+G26+G30+G18+G31</f>
        <v>164179</v>
      </c>
      <c r="H32" s="173" t="s">
        <v>725</v>
      </c>
      <c r="I32" s="1980" t="s">
        <v>728</v>
      </c>
      <c r="J32" s="1980"/>
      <c r="K32" s="1980"/>
      <c r="L32" s="179">
        <f>SUM(L6:L10)</f>
        <v>162681</v>
      </c>
      <c r="M32" s="179">
        <f>SUM(M6:M10)</f>
        <v>164493</v>
      </c>
      <c r="N32" s="179">
        <f>SUM(N6:N10)</f>
        <v>163434</v>
      </c>
    </row>
    <row r="33" spans="1:14" ht="11.25" customHeight="1">
      <c r="A33" s="171" t="s">
        <v>729</v>
      </c>
      <c r="B33" s="1980" t="s">
        <v>730</v>
      </c>
      <c r="C33" s="1980"/>
      <c r="D33" s="1980"/>
      <c r="E33" s="179">
        <f>E32-L32</f>
        <v>-305</v>
      </c>
      <c r="F33" s="179">
        <f>F32-M32</f>
        <v>-318</v>
      </c>
      <c r="G33" s="179">
        <f>G32-N32</f>
        <v>745</v>
      </c>
      <c r="H33" s="173" t="s">
        <v>729</v>
      </c>
      <c r="I33" s="1980" t="s">
        <v>730</v>
      </c>
      <c r="J33" s="1980"/>
      <c r="K33" s="1980"/>
      <c r="L33" s="179"/>
      <c r="M33" s="179"/>
      <c r="N33" s="179"/>
    </row>
    <row r="34" spans="1:14" ht="19.5" customHeight="1">
      <c r="A34" s="171" t="s">
        <v>732</v>
      </c>
      <c r="B34" s="1980" t="s">
        <v>733</v>
      </c>
      <c r="C34" s="1980"/>
      <c r="D34" s="1980"/>
      <c r="E34" s="179">
        <v>305</v>
      </c>
      <c r="F34" s="179">
        <v>318</v>
      </c>
      <c r="G34" s="179">
        <v>318</v>
      </c>
      <c r="H34" s="173" t="s">
        <v>732</v>
      </c>
      <c r="I34" s="1996" t="s">
        <v>3709</v>
      </c>
      <c r="J34" s="1996"/>
      <c r="K34" s="1996"/>
      <c r="L34" s="179"/>
      <c r="M34" s="179"/>
      <c r="N34" s="179"/>
    </row>
    <row r="35" spans="1:14" ht="19.5" customHeight="1">
      <c r="A35" s="208"/>
      <c r="B35" s="209"/>
      <c r="C35" s="209"/>
      <c r="D35" s="208"/>
      <c r="E35" s="215"/>
      <c r="F35" s="215"/>
      <c r="G35" s="215"/>
      <c r="H35" s="209"/>
      <c r="I35" s="209"/>
      <c r="J35" s="209"/>
      <c r="K35" s="208"/>
      <c r="L35" s="215"/>
      <c r="M35" s="215"/>
      <c r="N35" s="215"/>
    </row>
    <row r="36" spans="1:14" ht="19.5" customHeight="1">
      <c r="A36" s="1990" t="s">
        <v>669</v>
      </c>
      <c r="B36" s="1990"/>
      <c r="C36" s="1990"/>
      <c r="D36" s="1990"/>
      <c r="E36" s="1990"/>
      <c r="F36" s="1990"/>
      <c r="G36" s="1990"/>
      <c r="H36" s="1990" t="s">
        <v>670</v>
      </c>
      <c r="I36" s="1990"/>
      <c r="J36" s="1990"/>
      <c r="K36" s="1990"/>
      <c r="L36" s="1990"/>
      <c r="M36" s="1990"/>
      <c r="N36" s="1990"/>
    </row>
    <row r="37" spans="1:14" ht="19.5" customHeight="1">
      <c r="A37" s="2001" t="s">
        <v>671</v>
      </c>
      <c r="B37" s="2002"/>
      <c r="C37" s="2002"/>
      <c r="D37" s="2003"/>
      <c r="E37" s="1697" t="s">
        <v>672</v>
      </c>
      <c r="F37" s="1697" t="s">
        <v>673</v>
      </c>
      <c r="G37" s="1724" t="s">
        <v>4220</v>
      </c>
      <c r="H37" s="2001" t="s">
        <v>671</v>
      </c>
      <c r="I37" s="2002"/>
      <c r="J37" s="2002"/>
      <c r="K37" s="2003"/>
      <c r="L37" s="1697" t="s">
        <v>672</v>
      </c>
      <c r="M37" s="1697" t="s">
        <v>673</v>
      </c>
      <c r="N37" s="1697" t="s">
        <v>4220</v>
      </c>
    </row>
    <row r="38" spans="1:14" ht="19.5" customHeight="1">
      <c r="A38" s="196" t="s">
        <v>4264</v>
      </c>
      <c r="B38" s="1980" t="s">
        <v>4265</v>
      </c>
      <c r="C38" s="1980"/>
      <c r="D38" s="1980"/>
      <c r="E38" s="179"/>
      <c r="F38" s="179"/>
      <c r="G38" s="179"/>
      <c r="H38" s="196" t="s">
        <v>4264</v>
      </c>
      <c r="I38" s="1987" t="s">
        <v>4265</v>
      </c>
      <c r="J38" s="1987"/>
      <c r="K38" s="1987"/>
      <c r="L38" s="179"/>
      <c r="M38" s="179"/>
      <c r="N38" s="179"/>
    </row>
    <row r="39" spans="1:14" ht="19.5" customHeight="1">
      <c r="A39" s="172"/>
      <c r="B39" s="196" t="s">
        <v>4029</v>
      </c>
      <c r="C39" s="1987" t="s">
        <v>4266</v>
      </c>
      <c r="D39" s="1987"/>
      <c r="E39" s="179">
        <f>E40+E41+E42</f>
        <v>0</v>
      </c>
      <c r="F39" s="179">
        <f>F40+F41+F42</f>
        <v>0</v>
      </c>
      <c r="G39" s="179">
        <f>G40+G41+G42</f>
        <v>0</v>
      </c>
      <c r="H39" s="177"/>
      <c r="I39" s="172" t="s">
        <v>4029</v>
      </c>
      <c r="J39" s="1999" t="s">
        <v>4267</v>
      </c>
      <c r="K39" s="1999"/>
      <c r="L39" s="179">
        <v>889</v>
      </c>
      <c r="M39" s="179">
        <v>331</v>
      </c>
      <c r="N39" s="179">
        <v>331</v>
      </c>
    </row>
    <row r="40" spans="1:14" ht="15" customHeight="1">
      <c r="A40" s="172"/>
      <c r="B40" s="177"/>
      <c r="C40" s="197" t="s">
        <v>4268</v>
      </c>
      <c r="D40" s="186" t="s">
        <v>4068</v>
      </c>
      <c r="E40" s="179"/>
      <c r="F40" s="179"/>
      <c r="G40" s="179"/>
      <c r="H40" s="177"/>
      <c r="I40" s="172" t="s">
        <v>4031</v>
      </c>
      <c r="J40" s="1999" t="s">
        <v>4154</v>
      </c>
      <c r="K40" s="1999"/>
      <c r="L40" s="179"/>
      <c r="M40" s="179"/>
      <c r="N40" s="179"/>
    </row>
    <row r="41" spans="1:14" ht="13.5" customHeight="1">
      <c r="A41" s="172"/>
      <c r="B41" s="177"/>
      <c r="C41" s="197" t="s">
        <v>4269</v>
      </c>
      <c r="D41" s="186" t="s">
        <v>4070</v>
      </c>
      <c r="E41" s="179"/>
      <c r="F41" s="179"/>
      <c r="G41" s="179"/>
      <c r="H41" s="177"/>
      <c r="I41" s="172" t="s">
        <v>4041</v>
      </c>
      <c r="J41" s="1999" t="s">
        <v>4270</v>
      </c>
      <c r="K41" s="1999"/>
      <c r="L41" s="179">
        <f>L42+L43+L44+L45</f>
        <v>0</v>
      </c>
      <c r="M41" s="179">
        <f>M42+M43+M44+M45</f>
        <v>0</v>
      </c>
      <c r="N41" s="179">
        <f>N42+N43+N44+N45</f>
        <v>0</v>
      </c>
    </row>
    <row r="42" spans="1:14" ht="13.5" customHeight="1">
      <c r="A42" s="172"/>
      <c r="B42" s="177"/>
      <c r="C42" s="197" t="s">
        <v>679</v>
      </c>
      <c r="D42" s="186" t="s">
        <v>4271</v>
      </c>
      <c r="E42" s="179"/>
      <c r="F42" s="179"/>
      <c r="G42" s="179"/>
      <c r="H42" s="177"/>
      <c r="I42" s="177"/>
      <c r="J42" s="197" t="s">
        <v>4272</v>
      </c>
      <c r="K42" s="186" t="s">
        <v>3731</v>
      </c>
      <c r="L42" s="179"/>
      <c r="M42" s="179"/>
      <c r="N42" s="179"/>
    </row>
    <row r="43" spans="1:14" ht="19.5" customHeight="1">
      <c r="A43" s="172"/>
      <c r="B43" s="196" t="s">
        <v>4031</v>
      </c>
      <c r="C43" s="1980" t="s">
        <v>4274</v>
      </c>
      <c r="D43" s="1980"/>
      <c r="E43" s="179">
        <f>E44+E45</f>
        <v>0</v>
      </c>
      <c r="F43" s="179">
        <f>F44+F45</f>
        <v>0</v>
      </c>
      <c r="G43" s="179">
        <f>G44+G45</f>
        <v>0</v>
      </c>
      <c r="H43" s="177"/>
      <c r="I43" s="177"/>
      <c r="J43" s="197" t="s">
        <v>4275</v>
      </c>
      <c r="K43" s="198" t="s">
        <v>4276</v>
      </c>
      <c r="L43" s="179"/>
      <c r="M43" s="179"/>
      <c r="N43" s="179"/>
    </row>
    <row r="44" spans="1:14" ht="12" customHeight="1">
      <c r="A44" s="172"/>
      <c r="B44" s="177"/>
      <c r="C44" s="197" t="s">
        <v>684</v>
      </c>
      <c r="D44" s="186" t="s">
        <v>659</v>
      </c>
      <c r="E44" s="179"/>
      <c r="F44" s="179"/>
      <c r="G44" s="179"/>
      <c r="H44" s="177"/>
      <c r="I44" s="177"/>
      <c r="J44" s="197" t="s">
        <v>4277</v>
      </c>
      <c r="K44" s="187" t="s">
        <v>3684</v>
      </c>
      <c r="L44" s="179"/>
      <c r="M44" s="179"/>
      <c r="N44" s="179"/>
    </row>
    <row r="45" spans="1:14" ht="12.75" customHeight="1">
      <c r="A45" s="172"/>
      <c r="B45" s="177"/>
      <c r="C45" s="197" t="s">
        <v>687</v>
      </c>
      <c r="D45" s="186" t="s">
        <v>3685</v>
      </c>
      <c r="E45" s="179"/>
      <c r="F45" s="179"/>
      <c r="G45" s="179"/>
      <c r="H45" s="177"/>
      <c r="I45" s="177"/>
      <c r="J45" s="197" t="s">
        <v>3686</v>
      </c>
      <c r="K45" s="187" t="s">
        <v>3687</v>
      </c>
      <c r="L45" s="179"/>
      <c r="M45" s="179"/>
      <c r="N45" s="179"/>
    </row>
    <row r="46" spans="1:14" ht="15.75" customHeight="1">
      <c r="A46" s="172"/>
      <c r="B46" s="196">
        <v>3</v>
      </c>
      <c r="C46" s="1983" t="s">
        <v>3688</v>
      </c>
      <c r="D46" s="1983"/>
      <c r="E46" s="179">
        <f>E47+E48+E49</f>
        <v>0</v>
      </c>
      <c r="F46" s="179">
        <f>F47+F48+F49</f>
        <v>0</v>
      </c>
      <c r="G46" s="179">
        <f>G47+G48+G49</f>
        <v>0</v>
      </c>
      <c r="H46" s="177"/>
      <c r="I46" s="177"/>
      <c r="J46" s="177"/>
      <c r="K46" s="172"/>
      <c r="L46" s="179"/>
      <c r="M46" s="179"/>
      <c r="N46" s="179"/>
    </row>
    <row r="47" spans="1:14" ht="19.5" customHeight="1">
      <c r="A47" s="172"/>
      <c r="B47" s="177"/>
      <c r="C47" s="197" t="s">
        <v>4272</v>
      </c>
      <c r="D47" s="186" t="s">
        <v>4097</v>
      </c>
      <c r="E47" s="179"/>
      <c r="F47" s="179"/>
      <c r="G47" s="179"/>
      <c r="H47" s="177"/>
      <c r="I47" s="177"/>
      <c r="J47" s="177"/>
      <c r="K47" s="172"/>
      <c r="L47" s="179"/>
      <c r="M47" s="179"/>
      <c r="N47" s="179"/>
    </row>
    <row r="48" spans="1:14" ht="19.5" customHeight="1">
      <c r="A48" s="172"/>
      <c r="B48" s="177"/>
      <c r="C48" s="197" t="s">
        <v>4275</v>
      </c>
      <c r="D48" s="186" t="s">
        <v>3691</v>
      </c>
      <c r="E48" s="179"/>
      <c r="F48" s="179"/>
      <c r="G48" s="179"/>
      <c r="H48" s="177"/>
      <c r="I48" s="177"/>
      <c r="J48" s="177"/>
      <c r="K48" s="172"/>
      <c r="L48" s="179"/>
      <c r="M48" s="179"/>
      <c r="N48" s="179"/>
    </row>
    <row r="49" spans="1:14" ht="19.5" customHeight="1">
      <c r="A49" s="172"/>
      <c r="B49" s="177"/>
      <c r="C49" s="197" t="s">
        <v>4277</v>
      </c>
      <c r="D49" s="187" t="s">
        <v>3692</v>
      </c>
      <c r="E49" s="179"/>
      <c r="F49" s="179"/>
      <c r="G49" s="179"/>
      <c r="H49" s="177"/>
      <c r="I49" s="177"/>
      <c r="J49" s="177"/>
      <c r="K49" s="172"/>
      <c r="L49" s="179"/>
      <c r="M49" s="179"/>
      <c r="N49" s="179"/>
    </row>
    <row r="50" spans="1:14" ht="19.5" customHeight="1">
      <c r="A50" s="172"/>
      <c r="B50" s="185">
        <v>4</v>
      </c>
      <c r="C50" s="1980" t="s">
        <v>3693</v>
      </c>
      <c r="D50" s="1980"/>
      <c r="E50" s="179"/>
      <c r="F50" s="179"/>
      <c r="G50" s="179"/>
      <c r="H50" s="177"/>
      <c r="I50" s="177"/>
      <c r="J50" s="177"/>
      <c r="K50" s="172"/>
      <c r="L50" s="179"/>
      <c r="M50" s="179"/>
      <c r="N50" s="179"/>
    </row>
    <row r="51" spans="1:14" ht="19.5" customHeight="1">
      <c r="A51" s="172"/>
      <c r="B51" s="185" t="s">
        <v>4061</v>
      </c>
      <c r="C51" s="1980" t="s">
        <v>3694</v>
      </c>
      <c r="D51" s="1980"/>
      <c r="E51" s="179"/>
      <c r="F51" s="179"/>
      <c r="G51" s="179"/>
      <c r="H51" s="177"/>
      <c r="I51" s="185"/>
      <c r="J51" s="185"/>
      <c r="K51" s="185"/>
      <c r="L51" s="179"/>
      <c r="M51" s="179"/>
      <c r="N51" s="179"/>
    </row>
    <row r="52" spans="1:14" ht="19.5" customHeight="1">
      <c r="A52" s="172"/>
      <c r="B52" s="185"/>
      <c r="C52" s="197" t="s">
        <v>4063</v>
      </c>
      <c r="D52" s="185" t="s">
        <v>3695</v>
      </c>
      <c r="E52" s="179"/>
      <c r="F52" s="179"/>
      <c r="G52" s="179"/>
      <c r="H52" s="177"/>
      <c r="I52" s="185"/>
      <c r="J52" s="185"/>
      <c r="K52" s="185"/>
      <c r="L52" s="179"/>
      <c r="M52" s="179"/>
      <c r="N52" s="179"/>
    </row>
    <row r="53" spans="1:14" ht="19.5" customHeight="1">
      <c r="A53" s="172"/>
      <c r="B53" s="185" t="s">
        <v>4074</v>
      </c>
      <c r="C53" s="1980" t="s">
        <v>3732</v>
      </c>
      <c r="D53" s="1980"/>
      <c r="E53" s="179">
        <v>889</v>
      </c>
      <c r="F53" s="179">
        <v>331</v>
      </c>
      <c r="G53" s="179">
        <v>331</v>
      </c>
      <c r="H53" s="177"/>
      <c r="I53" s="177"/>
      <c r="J53" s="177"/>
      <c r="K53" s="172"/>
      <c r="L53" s="179"/>
      <c r="M53" s="179"/>
      <c r="N53" s="179"/>
    </row>
    <row r="54" spans="1:14" ht="19.5" customHeight="1">
      <c r="A54" s="172" t="s">
        <v>3712</v>
      </c>
      <c r="B54" s="1980" t="s">
        <v>3697</v>
      </c>
      <c r="C54" s="1980"/>
      <c r="D54" s="1980"/>
      <c r="E54" s="179">
        <f>E39+E43+E46+E50+E53</f>
        <v>889</v>
      </c>
      <c r="F54" s="179">
        <f>F39+F43+F46+F50+F53</f>
        <v>331</v>
      </c>
      <c r="G54" s="179">
        <f>G39+G43+G46+G50+G53</f>
        <v>331</v>
      </c>
      <c r="H54" s="177"/>
      <c r="I54" s="1980" t="s">
        <v>3713</v>
      </c>
      <c r="J54" s="1980"/>
      <c r="K54" s="1980"/>
      <c r="L54" s="179">
        <f>L39+L40+L41</f>
        <v>889</v>
      </c>
      <c r="M54" s="179">
        <f>M39+M40+M41</f>
        <v>331</v>
      </c>
      <c r="N54" s="179">
        <f>N39+N40+N41</f>
        <v>331</v>
      </c>
    </row>
    <row r="55" spans="1:14" ht="19.5" customHeight="1">
      <c r="A55" s="172" t="s">
        <v>3714</v>
      </c>
      <c r="B55" s="1980" t="s">
        <v>3698</v>
      </c>
      <c r="C55" s="1980"/>
      <c r="D55" s="1980"/>
      <c r="E55" s="179">
        <f>E54-L54</f>
        <v>0</v>
      </c>
      <c r="F55" s="179">
        <f>F54-M54</f>
        <v>0</v>
      </c>
      <c r="G55" s="179">
        <f>G54-N54</f>
        <v>0</v>
      </c>
      <c r="H55" s="177"/>
      <c r="I55" s="1980" t="s">
        <v>3698</v>
      </c>
      <c r="J55" s="1980"/>
      <c r="K55" s="1980"/>
      <c r="L55" s="179"/>
      <c r="M55" s="179"/>
      <c r="N55" s="179"/>
    </row>
    <row r="56" spans="1:14" ht="19.5" customHeight="1">
      <c r="A56" s="172" t="s">
        <v>3715</v>
      </c>
      <c r="B56" s="1980" t="s">
        <v>3716</v>
      </c>
      <c r="C56" s="1980"/>
      <c r="D56" s="1980"/>
      <c r="E56" s="179"/>
      <c r="F56" s="179"/>
      <c r="G56" s="179"/>
      <c r="H56" s="177"/>
      <c r="I56" s="177"/>
      <c r="J56" s="177"/>
      <c r="K56" s="172"/>
      <c r="L56" s="179"/>
      <c r="M56" s="179"/>
      <c r="N56" s="179"/>
    </row>
    <row r="57" spans="1:14" ht="19.5" customHeight="1">
      <c r="A57" s="172" t="s">
        <v>3717</v>
      </c>
      <c r="B57" s="1980" t="s">
        <v>3718</v>
      </c>
      <c r="C57" s="1980"/>
      <c r="D57" s="1980"/>
      <c r="E57" s="179"/>
      <c r="F57" s="179"/>
      <c r="G57" s="179"/>
      <c r="H57" s="177"/>
      <c r="I57" s="177"/>
      <c r="J57" s="177"/>
      <c r="K57" s="172"/>
      <c r="L57" s="179"/>
      <c r="M57" s="179"/>
      <c r="N57" s="179"/>
    </row>
    <row r="58" spans="1:14" ht="19.5" customHeight="1">
      <c r="A58" s="172"/>
      <c r="B58" s="177"/>
      <c r="C58" s="177"/>
      <c r="D58" s="171" t="s">
        <v>1191</v>
      </c>
      <c r="E58" s="1738">
        <f>E54+E32+E34</f>
        <v>163570</v>
      </c>
      <c r="F58" s="1738">
        <f>F54+F32+F34</f>
        <v>164824</v>
      </c>
      <c r="G58" s="1738">
        <f>G54+G32+G34</f>
        <v>164828</v>
      </c>
      <c r="H58" s="173"/>
      <c r="I58" s="173"/>
      <c r="J58" s="173"/>
      <c r="K58" s="171" t="s">
        <v>1191</v>
      </c>
      <c r="L58" s="1738">
        <f>SUM(L54,L32)</f>
        <v>163570</v>
      </c>
      <c r="M58" s="1738">
        <f>SUM(M54,M32)</f>
        <v>164824</v>
      </c>
      <c r="N58" s="1738">
        <f>SUM(N54,N32)</f>
        <v>163765</v>
      </c>
    </row>
    <row r="59" spans="5:14" ht="19.5" customHeight="1">
      <c r="E59" s="180"/>
      <c r="F59" s="180"/>
      <c r="G59" s="180"/>
      <c r="H59" s="180"/>
      <c r="I59" s="180"/>
      <c r="J59" s="180"/>
      <c r="K59" s="180"/>
      <c r="L59" s="180"/>
      <c r="M59" s="180"/>
      <c r="N59" s="180"/>
    </row>
    <row r="60" spans="5:14" ht="19.5" customHeight="1">
      <c r="E60" s="180"/>
      <c r="F60" s="180"/>
      <c r="G60" s="180"/>
      <c r="L60" s="180"/>
      <c r="M60" s="180"/>
      <c r="N60" s="180"/>
    </row>
    <row r="61" ht="19.5" customHeight="1"/>
    <row r="62" spans="1:14" ht="19.5" customHeight="1">
      <c r="A62" s="2004"/>
      <c r="B62" s="2004"/>
      <c r="C62" s="2004"/>
      <c r="D62" s="2004"/>
      <c r="E62" s="2004"/>
      <c r="F62" s="2004"/>
      <c r="G62" s="2004"/>
      <c r="H62" s="2004"/>
      <c r="I62" s="2004"/>
      <c r="J62" s="2004"/>
      <c r="K62" s="2004"/>
      <c r="L62" s="2004"/>
      <c r="M62" s="2004"/>
      <c r="N62" s="2004"/>
    </row>
  </sheetData>
  <sheetProtection/>
  <mergeCells count="48">
    <mergeCell ref="A4:D4"/>
    <mergeCell ref="H4:K4"/>
    <mergeCell ref="B5:D5"/>
    <mergeCell ref="I5:K5"/>
    <mergeCell ref="A1:N1"/>
    <mergeCell ref="A2:N2"/>
    <mergeCell ref="A3:G3"/>
    <mergeCell ref="H3:N3"/>
    <mergeCell ref="J9:K9"/>
    <mergeCell ref="J10:K10"/>
    <mergeCell ref="C11:D11"/>
    <mergeCell ref="C18:D18"/>
    <mergeCell ref="C6:D6"/>
    <mergeCell ref="J6:K6"/>
    <mergeCell ref="J7:K7"/>
    <mergeCell ref="J8:K8"/>
    <mergeCell ref="B32:D32"/>
    <mergeCell ref="I32:K32"/>
    <mergeCell ref="B33:D33"/>
    <mergeCell ref="I33:K33"/>
    <mergeCell ref="C19:D19"/>
    <mergeCell ref="C26:D26"/>
    <mergeCell ref="C30:D30"/>
    <mergeCell ref="C31:D31"/>
    <mergeCell ref="A37:D37"/>
    <mergeCell ref="H37:K37"/>
    <mergeCell ref="B38:D38"/>
    <mergeCell ref="I38:K38"/>
    <mergeCell ref="B34:D34"/>
    <mergeCell ref="I34:K34"/>
    <mergeCell ref="A36:G36"/>
    <mergeCell ref="H36:N36"/>
    <mergeCell ref="C43:D43"/>
    <mergeCell ref="C46:D46"/>
    <mergeCell ref="C50:D50"/>
    <mergeCell ref="C51:D51"/>
    <mergeCell ref="C39:D39"/>
    <mergeCell ref="J39:K39"/>
    <mergeCell ref="J40:K40"/>
    <mergeCell ref="J41:K41"/>
    <mergeCell ref="B56:D56"/>
    <mergeCell ref="B57:D57"/>
    <mergeCell ref="A62:N62"/>
    <mergeCell ref="C53:D53"/>
    <mergeCell ref="B54:D54"/>
    <mergeCell ref="I54:K54"/>
    <mergeCell ref="B55:D55"/>
    <mergeCell ref="I55:K5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6"/>
  <sheetViews>
    <sheetView zoomScale="125" zoomScaleNormal="125" zoomScalePageLayoutView="0" workbookViewId="0" topLeftCell="A1">
      <selection activeCell="A1" sqref="A1:N1"/>
    </sheetView>
  </sheetViews>
  <sheetFormatPr defaultColWidth="9.00390625" defaultRowHeight="19.5" customHeight="1"/>
  <cols>
    <col min="1" max="1" width="3.125" style="169" customWidth="1"/>
    <col min="2" max="2" width="3.375" style="169" customWidth="1"/>
    <col min="3" max="3" width="3.25390625" style="169" customWidth="1"/>
    <col min="4" max="4" width="30.125" style="169" customWidth="1"/>
    <col min="5" max="5" width="6.00390625" style="169" customWidth="1"/>
    <col min="6" max="6" width="6.875" style="169" customWidth="1"/>
    <col min="7" max="7" width="6.375" style="169" customWidth="1"/>
    <col min="8" max="8" width="3.125" style="169" customWidth="1"/>
    <col min="9" max="9" width="3.75390625" style="169" customWidth="1"/>
    <col min="10" max="10" width="5.25390625" style="169" customWidth="1"/>
    <col min="11" max="11" width="29.875" style="169" customWidth="1"/>
    <col min="12" max="12" width="10.00390625" style="169" customWidth="1"/>
    <col min="13" max="16384" width="9.125" style="169" customWidth="1"/>
  </cols>
  <sheetData>
    <row r="1" spans="1:14" ht="12" customHeight="1">
      <c r="A1" s="2020" t="s">
        <v>5273</v>
      </c>
      <c r="B1" s="2020"/>
      <c r="C1" s="2020"/>
      <c r="D1" s="2020"/>
      <c r="E1" s="2020"/>
      <c r="F1" s="2020"/>
      <c r="G1" s="2020"/>
      <c r="H1" s="2020"/>
      <c r="I1" s="2020"/>
      <c r="J1" s="2020"/>
      <c r="K1" s="2020"/>
      <c r="L1" s="2020"/>
      <c r="M1" s="2020"/>
      <c r="N1" s="2020"/>
    </row>
    <row r="2" spans="1:14" ht="9" customHeight="1">
      <c r="A2" s="2005" t="s">
        <v>2787</v>
      </c>
      <c r="B2" s="2005"/>
      <c r="C2" s="2005"/>
      <c r="D2" s="2005"/>
      <c r="E2" s="2005"/>
      <c r="F2" s="2005"/>
      <c r="G2" s="2005"/>
      <c r="H2" s="2005"/>
      <c r="I2" s="2005"/>
      <c r="J2" s="2005"/>
      <c r="K2" s="2005"/>
      <c r="L2" s="2005"/>
      <c r="M2" s="2005"/>
      <c r="N2" s="2005"/>
    </row>
    <row r="3" spans="1:14" ht="10.5" customHeight="1">
      <c r="A3" s="2005" t="s">
        <v>669</v>
      </c>
      <c r="B3" s="2005"/>
      <c r="C3" s="2005"/>
      <c r="D3" s="2005"/>
      <c r="E3" s="2005"/>
      <c r="F3" s="2005"/>
      <c r="G3" s="2005"/>
      <c r="H3" s="2005" t="s">
        <v>670</v>
      </c>
      <c r="I3" s="2005"/>
      <c r="J3" s="2005"/>
      <c r="K3" s="2005"/>
      <c r="L3" s="2005"/>
      <c r="M3" s="2005"/>
      <c r="N3" s="2005"/>
    </row>
    <row r="4" spans="1:14" ht="19.5" customHeight="1">
      <c r="A4" s="2001" t="s">
        <v>671</v>
      </c>
      <c r="B4" s="2002"/>
      <c r="C4" s="2002"/>
      <c r="D4" s="2003"/>
      <c r="E4" s="1697" t="s">
        <v>672</v>
      </c>
      <c r="F4" s="1697" t="s">
        <v>673</v>
      </c>
      <c r="G4" s="1724" t="s">
        <v>4220</v>
      </c>
      <c r="H4" s="2001" t="s">
        <v>671</v>
      </c>
      <c r="I4" s="2002"/>
      <c r="J4" s="2002"/>
      <c r="K4" s="2003"/>
      <c r="L4" s="1697" t="s">
        <v>672</v>
      </c>
      <c r="M4" s="1697" t="s">
        <v>673</v>
      </c>
      <c r="N4" s="1697" t="s">
        <v>4220</v>
      </c>
    </row>
    <row r="5" spans="1:14" ht="12" customHeight="1">
      <c r="A5" s="957" t="s">
        <v>675</v>
      </c>
      <c r="B5" s="1980" t="s">
        <v>676</v>
      </c>
      <c r="C5" s="1980"/>
      <c r="D5" s="1980"/>
      <c r="E5" s="172"/>
      <c r="F5" s="172"/>
      <c r="G5" s="172"/>
      <c r="H5" s="173" t="s">
        <v>675</v>
      </c>
      <c r="I5" s="1987" t="s">
        <v>676</v>
      </c>
      <c r="J5" s="1987"/>
      <c r="K5" s="1987"/>
      <c r="L5" s="172"/>
      <c r="M5" s="172"/>
      <c r="N5" s="207"/>
    </row>
    <row r="6" spans="1:14" ht="12" customHeight="1">
      <c r="A6" s="174"/>
      <c r="B6" s="173">
        <v>1</v>
      </c>
      <c r="C6" s="1980" t="s">
        <v>677</v>
      </c>
      <c r="D6" s="1980"/>
      <c r="E6" s="176">
        <f>E7+E8+E10+E9</f>
        <v>0</v>
      </c>
      <c r="F6" s="176">
        <f>F7+F8+F10+F9</f>
        <v>0</v>
      </c>
      <c r="G6" s="176">
        <f>G7+G8+G10+G9</f>
        <v>0</v>
      </c>
      <c r="H6" s="177"/>
      <c r="I6" s="178" t="s">
        <v>4029</v>
      </c>
      <c r="J6" s="1999" t="s">
        <v>4136</v>
      </c>
      <c r="K6" s="1999"/>
      <c r="L6" s="172">
        <f>-247+17820</f>
        <v>17573</v>
      </c>
      <c r="M6" s="958">
        <f>19167-880</f>
        <v>18287</v>
      </c>
      <c r="N6" s="958">
        <f>-871+19137</f>
        <v>18266</v>
      </c>
    </row>
    <row r="7" spans="1:14" ht="12.75">
      <c r="A7" s="174"/>
      <c r="B7" s="177"/>
      <c r="C7" s="184" t="s">
        <v>4135</v>
      </c>
      <c r="D7" s="1739" t="s">
        <v>4034</v>
      </c>
      <c r="E7" s="172"/>
      <c r="F7" s="172"/>
      <c r="G7" s="172"/>
      <c r="H7" s="177"/>
      <c r="I7" s="178" t="s">
        <v>4031</v>
      </c>
      <c r="J7" s="1999" t="s">
        <v>4138</v>
      </c>
      <c r="K7" s="1999"/>
      <c r="L7" s="172">
        <f>14+4744</f>
        <v>4758</v>
      </c>
      <c r="M7" s="958">
        <f>-238+4655</f>
        <v>4417</v>
      </c>
      <c r="N7" s="958">
        <f>-235+4655</f>
        <v>4420</v>
      </c>
    </row>
    <row r="8" spans="1:14" ht="12" customHeight="1">
      <c r="A8" s="174"/>
      <c r="B8" s="177"/>
      <c r="C8" s="184" t="s">
        <v>4137</v>
      </c>
      <c r="D8" s="1739" t="s">
        <v>4036</v>
      </c>
      <c r="E8" s="172"/>
      <c r="F8" s="200"/>
      <c r="G8" s="172"/>
      <c r="H8" s="177"/>
      <c r="I8" s="178" t="s">
        <v>4041</v>
      </c>
      <c r="J8" s="1999" t="s">
        <v>4140</v>
      </c>
      <c r="K8" s="1999"/>
      <c r="L8" s="172">
        <f>-3274+17278</f>
        <v>14004</v>
      </c>
      <c r="M8" s="958">
        <f>-1023+18171</f>
        <v>17148</v>
      </c>
      <c r="N8" s="958">
        <f>-915+17827</f>
        <v>16912</v>
      </c>
    </row>
    <row r="9" spans="1:14" ht="12" customHeight="1">
      <c r="A9" s="174"/>
      <c r="B9" s="177"/>
      <c r="C9" s="184" t="s">
        <v>679</v>
      </c>
      <c r="D9" s="1739" t="s">
        <v>4038</v>
      </c>
      <c r="E9" s="172"/>
      <c r="F9" s="172"/>
      <c r="G9" s="172"/>
      <c r="H9" s="177"/>
      <c r="I9" s="178" t="s">
        <v>4166</v>
      </c>
      <c r="J9" s="1999" t="s">
        <v>4142</v>
      </c>
      <c r="K9" s="1999"/>
      <c r="L9" s="172"/>
      <c r="M9" s="172"/>
      <c r="N9" s="207"/>
    </row>
    <row r="10" spans="1:14" ht="10.5" customHeight="1">
      <c r="A10" s="174"/>
      <c r="B10" s="177"/>
      <c r="C10" s="184" t="s">
        <v>680</v>
      </c>
      <c r="D10" s="1739" t="s">
        <v>3730</v>
      </c>
      <c r="E10" s="176"/>
      <c r="F10" s="172"/>
      <c r="G10" s="172"/>
      <c r="H10" s="177"/>
      <c r="I10" s="178" t="s">
        <v>4061</v>
      </c>
      <c r="J10" s="1999" t="s">
        <v>4144</v>
      </c>
      <c r="K10" s="1999"/>
      <c r="L10" s="172">
        <f>L11+L12+L13+L14+L16+L17+L15+L18</f>
        <v>0</v>
      </c>
      <c r="M10" s="172">
        <f>M11+M12+M13+M14+M16+M17+M15+M18</f>
        <v>0</v>
      </c>
      <c r="N10" s="207">
        <f>N11+N12+N13+N14+N16+N17+N15+N18</f>
        <v>0</v>
      </c>
    </row>
    <row r="11" spans="1:14" ht="12" customHeight="1">
      <c r="A11" s="174"/>
      <c r="B11" s="185" t="s">
        <v>4031</v>
      </c>
      <c r="C11" s="1980" t="s">
        <v>682</v>
      </c>
      <c r="D11" s="1980"/>
      <c r="E11" s="172">
        <f>SUM(E12:E17)</f>
        <v>3069</v>
      </c>
      <c r="F11" s="172">
        <f>SUM(F12:F17)</f>
        <v>4261</v>
      </c>
      <c r="G11" s="172">
        <f>SUM(G12:G17)</f>
        <v>4238</v>
      </c>
      <c r="H11" s="177"/>
      <c r="I11" s="177"/>
      <c r="J11" s="184" t="s">
        <v>4063</v>
      </c>
      <c r="K11" s="186" t="s">
        <v>683</v>
      </c>
      <c r="L11" s="172"/>
      <c r="M11" s="172"/>
      <c r="N11" s="207"/>
    </row>
    <row r="12" spans="1:14" ht="13.5" customHeight="1">
      <c r="A12" s="174"/>
      <c r="B12" s="177"/>
      <c r="C12" s="184" t="s">
        <v>684</v>
      </c>
      <c r="D12" s="186" t="s">
        <v>4046</v>
      </c>
      <c r="E12" s="172"/>
      <c r="F12" s="955">
        <v>1126</v>
      </c>
      <c r="G12" s="955">
        <v>1122</v>
      </c>
      <c r="H12" s="177"/>
      <c r="I12" s="177"/>
      <c r="J12" s="184" t="s">
        <v>4064</v>
      </c>
      <c r="K12" s="187" t="s">
        <v>686</v>
      </c>
      <c r="L12" s="172"/>
      <c r="M12" s="172"/>
      <c r="N12" s="207"/>
    </row>
    <row r="13" spans="1:14" ht="11.25" customHeight="1">
      <c r="A13" s="174"/>
      <c r="B13" s="177"/>
      <c r="C13" s="184" t="s">
        <v>687</v>
      </c>
      <c r="D13" s="186" t="s">
        <v>4048</v>
      </c>
      <c r="E13" s="172"/>
      <c r="F13" s="955">
        <v>1738</v>
      </c>
      <c r="G13" s="955">
        <v>1734</v>
      </c>
      <c r="H13" s="177"/>
      <c r="I13" s="177"/>
      <c r="J13" s="184" t="s">
        <v>4065</v>
      </c>
      <c r="K13" s="188" t="s">
        <v>688</v>
      </c>
      <c r="L13" s="172"/>
      <c r="M13" s="172"/>
      <c r="N13" s="207"/>
    </row>
    <row r="14" spans="1:14" ht="12.75" customHeight="1">
      <c r="A14" s="174"/>
      <c r="B14" s="177"/>
      <c r="C14" s="184" t="s">
        <v>689</v>
      </c>
      <c r="D14" s="186" t="s">
        <v>4050</v>
      </c>
      <c r="E14" s="172"/>
      <c r="F14" s="172"/>
      <c r="G14" s="172"/>
      <c r="H14" s="177"/>
      <c r="I14" s="177"/>
      <c r="J14" s="184" t="s">
        <v>4066</v>
      </c>
      <c r="K14" s="186" t="s">
        <v>3703</v>
      </c>
      <c r="L14" s="172"/>
      <c r="M14" s="172"/>
      <c r="N14" s="207"/>
    </row>
    <row r="15" spans="1:14" ht="12.75" customHeight="1">
      <c r="A15" s="174"/>
      <c r="B15" s="177"/>
      <c r="C15" s="184" t="s">
        <v>691</v>
      </c>
      <c r="D15" s="186" t="s">
        <v>695</v>
      </c>
      <c r="E15" s="172">
        <v>359</v>
      </c>
      <c r="F15" s="955">
        <f>513-45</f>
        <v>468</v>
      </c>
      <c r="G15" s="955">
        <f>-45+567</f>
        <v>522</v>
      </c>
      <c r="H15" s="177"/>
      <c r="I15" s="177"/>
      <c r="J15" s="184" t="s">
        <v>692</v>
      </c>
      <c r="K15" s="186" t="s">
        <v>693</v>
      </c>
      <c r="L15" s="172"/>
      <c r="M15" s="172"/>
      <c r="N15" s="207"/>
    </row>
    <row r="16" spans="1:14" ht="12" customHeight="1">
      <c r="A16" s="174"/>
      <c r="B16" s="177"/>
      <c r="C16" s="184" t="s">
        <v>694</v>
      </c>
      <c r="D16" s="186" t="s">
        <v>4056</v>
      </c>
      <c r="E16" s="172"/>
      <c r="F16" s="955">
        <v>8</v>
      </c>
      <c r="G16" s="955">
        <v>8</v>
      </c>
      <c r="H16" s="177"/>
      <c r="I16" s="177"/>
      <c r="J16" s="184" t="s">
        <v>696</v>
      </c>
      <c r="K16" s="186" t="s">
        <v>3724</v>
      </c>
      <c r="L16" s="172"/>
      <c r="M16" s="172"/>
      <c r="N16" s="207"/>
    </row>
    <row r="17" spans="1:14" ht="9.75" customHeight="1">
      <c r="A17" s="174"/>
      <c r="B17" s="177"/>
      <c r="C17" s="184" t="s">
        <v>698</v>
      </c>
      <c r="D17" s="186" t="s">
        <v>4058</v>
      </c>
      <c r="E17" s="172">
        <v>2710</v>
      </c>
      <c r="F17" s="955">
        <f>1087-166</f>
        <v>921</v>
      </c>
      <c r="G17" s="955">
        <f>-166+1018</f>
        <v>852</v>
      </c>
      <c r="H17" s="177"/>
      <c r="I17" s="177"/>
      <c r="J17" s="184" t="s">
        <v>699</v>
      </c>
      <c r="K17" s="186" t="s">
        <v>700</v>
      </c>
      <c r="L17" s="172"/>
      <c r="M17" s="172"/>
      <c r="N17" s="207"/>
    </row>
    <row r="18" spans="1:14" ht="14.25" customHeight="1">
      <c r="A18" s="174"/>
      <c r="B18" s="185" t="s">
        <v>4041</v>
      </c>
      <c r="C18" s="1980" t="s">
        <v>704</v>
      </c>
      <c r="D18" s="1980"/>
      <c r="E18" s="172"/>
      <c r="F18" s="172"/>
      <c r="G18" s="172"/>
      <c r="H18" s="177"/>
      <c r="I18" s="177"/>
      <c r="J18" s="184" t="s">
        <v>702</v>
      </c>
      <c r="K18" s="172" t="s">
        <v>703</v>
      </c>
      <c r="L18" s="172"/>
      <c r="M18" s="172"/>
      <c r="N18" s="207"/>
    </row>
    <row r="19" spans="1:14" ht="12" customHeight="1">
      <c r="A19" s="172"/>
      <c r="B19" s="185" t="s">
        <v>4166</v>
      </c>
      <c r="C19" s="1980" t="s">
        <v>706</v>
      </c>
      <c r="D19" s="1980"/>
      <c r="E19" s="172">
        <f>E20+E21+E22+E23</f>
        <v>0</v>
      </c>
      <c r="F19" s="172">
        <f>F20+F21+F22+F23</f>
        <v>0</v>
      </c>
      <c r="G19" s="172">
        <f>G20+G21+G22+G23</f>
        <v>0</v>
      </c>
      <c r="H19" s="177"/>
      <c r="I19" s="177"/>
      <c r="J19" s="177"/>
      <c r="K19" s="172"/>
      <c r="L19" s="172"/>
      <c r="M19" s="172"/>
      <c r="N19" s="172"/>
    </row>
    <row r="20" spans="1:14" ht="12" customHeight="1">
      <c r="A20" s="172"/>
      <c r="B20" s="177"/>
      <c r="C20" s="184" t="s">
        <v>708</v>
      </c>
      <c r="D20" s="186" t="s">
        <v>709</v>
      </c>
      <c r="E20" s="172"/>
      <c r="F20" s="172"/>
      <c r="G20" s="172"/>
      <c r="H20" s="177"/>
      <c r="I20" s="177"/>
      <c r="J20" s="177"/>
      <c r="K20" s="172"/>
      <c r="L20" s="172"/>
      <c r="M20" s="172"/>
      <c r="N20" s="172"/>
    </row>
    <row r="21" spans="1:14" ht="11.25" customHeight="1">
      <c r="A21" s="172"/>
      <c r="B21" s="177"/>
      <c r="C21" s="184" t="s">
        <v>710</v>
      </c>
      <c r="D21" s="191" t="s">
        <v>711</v>
      </c>
      <c r="E21" s="172"/>
      <c r="F21" s="172"/>
      <c r="G21" s="172"/>
      <c r="H21" s="177"/>
      <c r="I21" s="177"/>
      <c r="J21" s="177"/>
      <c r="K21" s="172"/>
      <c r="L21" s="172"/>
      <c r="M21" s="172"/>
      <c r="N21" s="172"/>
    </row>
    <row r="22" spans="1:14" ht="11.25" customHeight="1">
      <c r="A22" s="172"/>
      <c r="B22" s="177"/>
      <c r="C22" s="184" t="s">
        <v>712</v>
      </c>
      <c r="D22" s="191" t="s">
        <v>713</v>
      </c>
      <c r="E22" s="172"/>
      <c r="F22" s="172"/>
      <c r="G22" s="172"/>
      <c r="H22" s="177"/>
      <c r="I22" s="177"/>
      <c r="J22" s="177"/>
      <c r="K22" s="172"/>
      <c r="L22" s="172"/>
      <c r="M22" s="172"/>
      <c r="N22" s="172"/>
    </row>
    <row r="23" spans="1:14" ht="11.25" customHeight="1">
      <c r="A23" s="172"/>
      <c r="B23" s="177"/>
      <c r="C23" s="184" t="s">
        <v>714</v>
      </c>
      <c r="D23" s="191" t="s">
        <v>715</v>
      </c>
      <c r="E23" s="172"/>
      <c r="F23" s="172"/>
      <c r="G23" s="172"/>
      <c r="H23" s="177"/>
      <c r="I23" s="177"/>
      <c r="J23" s="177"/>
      <c r="K23" s="172"/>
      <c r="L23" s="172"/>
      <c r="M23" s="172"/>
      <c r="N23" s="172"/>
    </row>
    <row r="24" spans="1:14" ht="14.25" customHeight="1">
      <c r="A24" s="172"/>
      <c r="B24" s="177"/>
      <c r="C24" s="184" t="s">
        <v>716</v>
      </c>
      <c r="D24" s="186" t="s">
        <v>4068</v>
      </c>
      <c r="E24" s="172"/>
      <c r="F24" s="172"/>
      <c r="G24" s="172"/>
      <c r="H24" s="177"/>
      <c r="I24" s="177"/>
      <c r="J24" s="177"/>
      <c r="K24" s="172"/>
      <c r="L24" s="172"/>
      <c r="M24" s="172"/>
      <c r="N24" s="172"/>
    </row>
    <row r="25" spans="1:14" ht="12" customHeight="1">
      <c r="A25" s="172"/>
      <c r="B25" s="177"/>
      <c r="C25" s="184" t="s">
        <v>717</v>
      </c>
      <c r="D25" s="186" t="s">
        <v>4073</v>
      </c>
      <c r="E25" s="172"/>
      <c r="F25" s="172"/>
      <c r="G25" s="172"/>
      <c r="H25" s="177"/>
      <c r="I25" s="177"/>
      <c r="J25" s="177"/>
      <c r="K25" s="172"/>
      <c r="L25" s="172"/>
      <c r="M25" s="172"/>
      <c r="N25" s="172"/>
    </row>
    <row r="26" spans="1:14" ht="12" customHeight="1">
      <c r="A26" s="172"/>
      <c r="B26" s="185" t="s">
        <v>4061</v>
      </c>
      <c r="C26" s="1969" t="s">
        <v>718</v>
      </c>
      <c r="D26" s="1971"/>
      <c r="E26" s="172">
        <f>E27+E28+E29</f>
        <v>0</v>
      </c>
      <c r="F26" s="172">
        <f>F27+F28+F29</f>
        <v>0</v>
      </c>
      <c r="G26" s="172">
        <f>G27+G28+G29</f>
        <v>0</v>
      </c>
      <c r="H26" s="177"/>
      <c r="I26" s="177"/>
      <c r="J26" s="177"/>
      <c r="K26" s="172"/>
      <c r="L26" s="172"/>
      <c r="M26" s="172"/>
      <c r="N26" s="172"/>
    </row>
    <row r="27" spans="1:14" ht="19.5" customHeight="1">
      <c r="A27" s="172"/>
      <c r="B27" s="177"/>
      <c r="C27" s="184" t="s">
        <v>4063</v>
      </c>
      <c r="D27" s="186" t="s">
        <v>3708</v>
      </c>
      <c r="E27" s="172"/>
      <c r="F27" s="172"/>
      <c r="G27" s="172"/>
      <c r="H27" s="177"/>
      <c r="I27" s="177"/>
      <c r="J27" s="177"/>
      <c r="K27" s="172"/>
      <c r="L27" s="172"/>
      <c r="M27" s="172"/>
      <c r="N27" s="172"/>
    </row>
    <row r="28" spans="1:14" ht="19.5" customHeight="1">
      <c r="A28" s="172"/>
      <c r="B28" s="177"/>
      <c r="C28" s="184" t="s">
        <v>4064</v>
      </c>
      <c r="D28" s="186" t="s">
        <v>720</v>
      </c>
      <c r="E28" s="172"/>
      <c r="F28" s="172"/>
      <c r="G28" s="172"/>
      <c r="H28" s="177"/>
      <c r="I28" s="177"/>
      <c r="J28" s="177"/>
      <c r="K28" s="172"/>
      <c r="L28" s="172"/>
      <c r="M28" s="172"/>
      <c r="N28" s="172"/>
    </row>
    <row r="29" spans="1:14" ht="19.5" customHeight="1">
      <c r="A29" s="172"/>
      <c r="B29" s="177"/>
      <c r="C29" s="184" t="s">
        <v>4065</v>
      </c>
      <c r="D29" s="186" t="s">
        <v>721</v>
      </c>
      <c r="E29" s="172"/>
      <c r="F29" s="172"/>
      <c r="G29" s="172"/>
      <c r="H29" s="177"/>
      <c r="I29" s="177"/>
      <c r="J29" s="177"/>
      <c r="K29" s="172"/>
      <c r="L29" s="172"/>
      <c r="M29" s="172"/>
      <c r="N29" s="172"/>
    </row>
    <row r="30" spans="1:14" ht="19.5" customHeight="1">
      <c r="A30" s="172"/>
      <c r="B30" s="178" t="s">
        <v>4074</v>
      </c>
      <c r="C30" s="1980" t="s">
        <v>722</v>
      </c>
      <c r="D30" s="1980"/>
      <c r="E30" s="172"/>
      <c r="F30" s="172"/>
      <c r="G30" s="172"/>
      <c r="H30" s="177"/>
      <c r="I30" s="177"/>
      <c r="J30" s="177"/>
      <c r="K30" s="172"/>
      <c r="L30" s="172"/>
      <c r="M30" s="172"/>
      <c r="N30" s="172"/>
    </row>
    <row r="31" spans="1:14" ht="12.75" customHeight="1">
      <c r="A31" s="172"/>
      <c r="B31" s="193" t="s">
        <v>4195</v>
      </c>
      <c r="C31" s="1970" t="s">
        <v>723</v>
      </c>
      <c r="D31" s="1971"/>
      <c r="E31" s="172">
        <v>33126</v>
      </c>
      <c r="F31" s="172">
        <f>-1930+37356</f>
        <v>35426</v>
      </c>
      <c r="G31" s="172">
        <f>-1810+37356</f>
        <v>35546</v>
      </c>
      <c r="H31" s="177"/>
      <c r="I31" s="177"/>
      <c r="J31" s="177"/>
      <c r="K31" s="172"/>
      <c r="L31" s="172"/>
      <c r="M31" s="172"/>
      <c r="N31" s="172"/>
    </row>
    <row r="32" spans="1:14" ht="19.5" customHeight="1">
      <c r="A32" s="171" t="s">
        <v>725</v>
      </c>
      <c r="B32" s="1969" t="s">
        <v>726</v>
      </c>
      <c r="C32" s="1970"/>
      <c r="D32" s="1971"/>
      <c r="E32" s="176">
        <f>E6+E11+E19+E26+E30+E18+E31</f>
        <v>36195</v>
      </c>
      <c r="F32" s="176">
        <f>F6+F11+F19+F26+F30+F18+F31</f>
        <v>39687</v>
      </c>
      <c r="G32" s="176">
        <f>G6+G11+G19+G26+G30+G18+G31</f>
        <v>39784</v>
      </c>
      <c r="H32" s="173" t="s">
        <v>725</v>
      </c>
      <c r="I32" s="1980" t="s">
        <v>728</v>
      </c>
      <c r="J32" s="1980"/>
      <c r="K32" s="1980"/>
      <c r="L32" s="172">
        <f>SUM(L6:L10)</f>
        <v>36335</v>
      </c>
      <c r="M32" s="172">
        <f>SUM(M6:M10)</f>
        <v>39852</v>
      </c>
      <c r="N32" s="172">
        <f>SUM(N6:N10)</f>
        <v>39598</v>
      </c>
    </row>
    <row r="33" spans="1:14" ht="11.25" customHeight="1">
      <c r="A33" s="171" t="s">
        <v>729</v>
      </c>
      <c r="B33" s="1969" t="s">
        <v>730</v>
      </c>
      <c r="C33" s="1970"/>
      <c r="D33" s="1971"/>
      <c r="E33" s="176">
        <f>E32-L32</f>
        <v>-140</v>
      </c>
      <c r="F33" s="176">
        <f>F32-M32</f>
        <v>-165</v>
      </c>
      <c r="G33" s="176">
        <f>G32-N32</f>
        <v>186</v>
      </c>
      <c r="H33" s="203" t="s">
        <v>729</v>
      </c>
      <c r="I33" s="1969" t="s">
        <v>730</v>
      </c>
      <c r="J33" s="1970"/>
      <c r="K33" s="1971"/>
      <c r="L33" s="172"/>
      <c r="M33" s="172"/>
      <c r="N33" s="172"/>
    </row>
    <row r="34" spans="1:14" ht="19.5" customHeight="1">
      <c r="A34" s="1741" t="s">
        <v>732</v>
      </c>
      <c r="B34" s="1969" t="s">
        <v>733</v>
      </c>
      <c r="C34" s="1970"/>
      <c r="D34" s="1971"/>
      <c r="E34" s="172">
        <v>140</v>
      </c>
      <c r="F34" s="172">
        <v>165</v>
      </c>
      <c r="G34" s="172">
        <v>165</v>
      </c>
      <c r="H34" s="173" t="s">
        <v>732</v>
      </c>
      <c r="I34" s="1974" t="s">
        <v>3709</v>
      </c>
      <c r="J34" s="1975"/>
      <c r="K34" s="1976"/>
      <c r="L34" s="172"/>
      <c r="M34" s="172"/>
      <c r="N34" s="172"/>
    </row>
    <row r="35" spans="1:14" ht="19.5" customHeight="1">
      <c r="A35" s="208"/>
      <c r="B35" s="209"/>
      <c r="C35" s="209"/>
      <c r="D35" s="208"/>
      <c r="E35" s="208"/>
      <c r="F35" s="208"/>
      <c r="G35" s="210"/>
      <c r="H35" s="209"/>
      <c r="I35" s="209"/>
      <c r="J35" s="209"/>
      <c r="K35" s="208"/>
      <c r="L35" s="208"/>
      <c r="M35" s="208"/>
      <c r="N35" s="208"/>
    </row>
    <row r="36" spans="1:14" ht="14.25" customHeight="1">
      <c r="A36" s="1990" t="s">
        <v>669</v>
      </c>
      <c r="B36" s="1990"/>
      <c r="C36" s="1990"/>
      <c r="D36" s="1990"/>
      <c r="E36" s="1990"/>
      <c r="F36" s="1990"/>
      <c r="G36" s="1990"/>
      <c r="H36" s="1990" t="s">
        <v>670</v>
      </c>
      <c r="I36" s="1990"/>
      <c r="J36" s="1990"/>
      <c r="K36" s="1990"/>
      <c r="L36" s="1990"/>
      <c r="M36" s="1990"/>
      <c r="N36" s="1990"/>
    </row>
    <row r="37" spans="1:14" ht="19.5" customHeight="1">
      <c r="A37" s="2001" t="s">
        <v>671</v>
      </c>
      <c r="B37" s="2002"/>
      <c r="C37" s="2002"/>
      <c r="D37" s="2003"/>
      <c r="E37" s="1697" t="s">
        <v>672</v>
      </c>
      <c r="F37" s="1697" t="s">
        <v>673</v>
      </c>
      <c r="G37" s="1724" t="s">
        <v>4220</v>
      </c>
      <c r="H37" s="2001" t="s">
        <v>671</v>
      </c>
      <c r="I37" s="2002"/>
      <c r="J37" s="2002"/>
      <c r="K37" s="2003"/>
      <c r="L37" s="1697" t="s">
        <v>672</v>
      </c>
      <c r="M37" s="1697" t="s">
        <v>673</v>
      </c>
      <c r="N37" s="1697" t="s">
        <v>4220</v>
      </c>
    </row>
    <row r="38" spans="1:14" ht="19.5" customHeight="1">
      <c r="A38" s="196" t="s">
        <v>4264</v>
      </c>
      <c r="B38" s="1980" t="s">
        <v>4265</v>
      </c>
      <c r="C38" s="1980"/>
      <c r="D38" s="1980"/>
      <c r="E38" s="172"/>
      <c r="F38" s="172"/>
      <c r="G38" s="172"/>
      <c r="H38" s="196" t="s">
        <v>4264</v>
      </c>
      <c r="I38" s="1987" t="s">
        <v>4265</v>
      </c>
      <c r="J38" s="1987"/>
      <c r="K38" s="1987"/>
      <c r="L38" s="172">
        <f>SUM(L39:L41)</f>
        <v>0</v>
      </c>
      <c r="M38" s="172">
        <f>SUM(M39:M41)</f>
        <v>500</v>
      </c>
      <c r="N38" s="172">
        <f>SUM(N39:N41)</f>
        <v>500</v>
      </c>
    </row>
    <row r="39" spans="1:14" ht="19.5" customHeight="1">
      <c r="A39" s="172"/>
      <c r="B39" s="196" t="s">
        <v>4029</v>
      </c>
      <c r="C39" s="1987" t="s">
        <v>4266</v>
      </c>
      <c r="D39" s="1987"/>
      <c r="E39" s="172">
        <f>E40+E41+E42</f>
        <v>0</v>
      </c>
      <c r="F39" s="172">
        <f>F40+F41+F42</f>
        <v>0</v>
      </c>
      <c r="G39" s="172">
        <f>G40+G41+G42</f>
        <v>0</v>
      </c>
      <c r="H39" s="177"/>
      <c r="I39" s="172" t="s">
        <v>4029</v>
      </c>
      <c r="J39" s="1999" t="s">
        <v>4267</v>
      </c>
      <c r="K39" s="1999"/>
      <c r="L39" s="172"/>
      <c r="M39" s="172"/>
      <c r="N39" s="172"/>
    </row>
    <row r="40" spans="1:14" ht="15" customHeight="1">
      <c r="A40" s="172"/>
      <c r="B40" s="177"/>
      <c r="C40" s="197" t="s">
        <v>4268</v>
      </c>
      <c r="D40" s="186" t="s">
        <v>4068</v>
      </c>
      <c r="E40" s="172"/>
      <c r="F40" s="172"/>
      <c r="G40" s="172"/>
      <c r="H40" s="177"/>
      <c r="I40" s="172" t="s">
        <v>4031</v>
      </c>
      <c r="J40" s="1999" t="s">
        <v>4154</v>
      </c>
      <c r="K40" s="1999"/>
      <c r="L40" s="172"/>
      <c r="M40" s="172">
        <v>500</v>
      </c>
      <c r="N40" s="172">
        <v>500</v>
      </c>
    </row>
    <row r="41" spans="1:14" ht="15" customHeight="1">
      <c r="A41" s="172"/>
      <c r="B41" s="177"/>
      <c r="C41" s="197" t="s">
        <v>4269</v>
      </c>
      <c r="D41" s="186" t="s">
        <v>4070</v>
      </c>
      <c r="E41" s="172"/>
      <c r="F41" s="172"/>
      <c r="G41" s="172"/>
      <c r="H41" s="177"/>
      <c r="I41" s="172" t="s">
        <v>4041</v>
      </c>
      <c r="J41" s="1999" t="s">
        <v>4270</v>
      </c>
      <c r="K41" s="1999"/>
      <c r="L41" s="172">
        <f>L42+L43+L44+L45</f>
        <v>0</v>
      </c>
      <c r="M41" s="172">
        <f>M42+M43+M44+M45</f>
        <v>0</v>
      </c>
      <c r="N41" s="172">
        <f>N42+N43+N44+N45</f>
        <v>0</v>
      </c>
    </row>
    <row r="42" spans="1:14" ht="19.5" customHeight="1">
      <c r="A42" s="172"/>
      <c r="B42" s="177"/>
      <c r="C42" s="197" t="s">
        <v>679</v>
      </c>
      <c r="D42" s="186" t="s">
        <v>4271</v>
      </c>
      <c r="E42" s="172"/>
      <c r="F42" s="172"/>
      <c r="G42" s="172"/>
      <c r="H42" s="177"/>
      <c r="I42" s="177"/>
      <c r="J42" s="197" t="s">
        <v>4272</v>
      </c>
      <c r="K42" s="186" t="s">
        <v>4273</v>
      </c>
      <c r="L42" s="172"/>
      <c r="M42" s="172"/>
      <c r="N42" s="172"/>
    </row>
    <row r="43" spans="1:14" ht="19.5" customHeight="1">
      <c r="A43" s="172"/>
      <c r="B43" s="196" t="s">
        <v>4031</v>
      </c>
      <c r="C43" s="1980" t="s">
        <v>2788</v>
      </c>
      <c r="D43" s="1980"/>
      <c r="E43" s="172">
        <f>E44+E45</f>
        <v>0</v>
      </c>
      <c r="F43" s="172">
        <f>F44+F45</f>
        <v>0</v>
      </c>
      <c r="G43" s="172">
        <f>G44+G45</f>
        <v>0</v>
      </c>
      <c r="H43" s="177"/>
      <c r="I43" s="177"/>
      <c r="J43" s="197" t="s">
        <v>4275</v>
      </c>
      <c r="K43" s="198" t="s">
        <v>4276</v>
      </c>
      <c r="L43" s="172"/>
      <c r="M43" s="172"/>
      <c r="N43" s="172"/>
    </row>
    <row r="44" spans="1:14" ht="13.5" customHeight="1">
      <c r="A44" s="172"/>
      <c r="B44" s="177"/>
      <c r="C44" s="197" t="s">
        <v>684</v>
      </c>
      <c r="D44" s="186" t="s">
        <v>659</v>
      </c>
      <c r="E44" s="172"/>
      <c r="F44" s="172"/>
      <c r="G44" s="172"/>
      <c r="H44" s="177"/>
      <c r="I44" s="177"/>
      <c r="J44" s="197" t="s">
        <v>4277</v>
      </c>
      <c r="K44" s="187" t="s">
        <v>3684</v>
      </c>
      <c r="L44" s="172"/>
      <c r="M44" s="172"/>
      <c r="N44" s="172"/>
    </row>
    <row r="45" spans="1:14" ht="15" customHeight="1">
      <c r="A45" s="172"/>
      <c r="B45" s="177"/>
      <c r="C45" s="197" t="s">
        <v>687</v>
      </c>
      <c r="D45" s="186" t="s">
        <v>3685</v>
      </c>
      <c r="E45" s="172"/>
      <c r="F45" s="172"/>
      <c r="G45" s="172"/>
      <c r="H45" s="177"/>
      <c r="I45" s="177"/>
      <c r="J45" s="197" t="s">
        <v>3686</v>
      </c>
      <c r="K45" s="187" t="s">
        <v>3687</v>
      </c>
      <c r="L45" s="172"/>
      <c r="M45" s="172"/>
      <c r="N45" s="172"/>
    </row>
    <row r="46" spans="1:14" ht="19.5" customHeight="1">
      <c r="A46" s="172"/>
      <c r="B46" s="196">
        <v>3</v>
      </c>
      <c r="C46" s="1983" t="s">
        <v>3688</v>
      </c>
      <c r="D46" s="1983"/>
      <c r="E46" s="172">
        <f>E47+E48+E49</f>
        <v>0</v>
      </c>
      <c r="F46" s="172">
        <f>F47+F48+F49</f>
        <v>0</v>
      </c>
      <c r="G46" s="172">
        <f>G47+G48+G49</f>
        <v>0</v>
      </c>
      <c r="H46" s="177"/>
      <c r="I46" s="177"/>
      <c r="J46" s="177"/>
      <c r="K46" s="172"/>
      <c r="L46" s="172"/>
      <c r="M46" s="172"/>
      <c r="N46" s="172"/>
    </row>
    <row r="47" spans="1:14" ht="19.5" customHeight="1">
      <c r="A47" s="172"/>
      <c r="B47" s="177"/>
      <c r="C47" s="197" t="s">
        <v>4272</v>
      </c>
      <c r="D47" s="186" t="s">
        <v>4097</v>
      </c>
      <c r="E47" s="172"/>
      <c r="F47" s="172"/>
      <c r="G47" s="172"/>
      <c r="H47" s="177"/>
      <c r="I47" s="177"/>
      <c r="J47" s="177"/>
      <c r="K47" s="172"/>
      <c r="L47" s="172"/>
      <c r="M47" s="172"/>
      <c r="N47" s="172"/>
    </row>
    <row r="48" spans="1:14" ht="15.75" customHeight="1">
      <c r="A48" s="172"/>
      <c r="B48" s="177"/>
      <c r="C48" s="197" t="s">
        <v>4275</v>
      </c>
      <c r="D48" s="186" t="s">
        <v>3691</v>
      </c>
      <c r="E48" s="172"/>
      <c r="F48" s="172"/>
      <c r="G48" s="172"/>
      <c r="H48" s="177"/>
      <c r="I48" s="177"/>
      <c r="J48" s="177"/>
      <c r="K48" s="172"/>
      <c r="L48" s="172"/>
      <c r="M48" s="172"/>
      <c r="N48" s="172"/>
    </row>
    <row r="49" spans="1:14" ht="12" customHeight="1">
      <c r="A49" s="172"/>
      <c r="B49" s="177"/>
      <c r="C49" s="197" t="s">
        <v>4277</v>
      </c>
      <c r="D49" s="187" t="s">
        <v>3692</v>
      </c>
      <c r="E49" s="172"/>
      <c r="F49" s="172"/>
      <c r="G49" s="172"/>
      <c r="H49" s="177"/>
      <c r="I49" s="177"/>
      <c r="J49" s="177"/>
      <c r="K49" s="172"/>
      <c r="L49" s="172"/>
      <c r="M49" s="172"/>
      <c r="N49" s="172"/>
    </row>
    <row r="50" spans="1:14" ht="19.5" customHeight="1">
      <c r="A50" s="172"/>
      <c r="B50" s="185">
        <v>4</v>
      </c>
      <c r="C50" s="1980" t="s">
        <v>3693</v>
      </c>
      <c r="D50" s="1980"/>
      <c r="E50" s="172"/>
      <c r="F50" s="172"/>
      <c r="G50" s="172"/>
      <c r="H50" s="177"/>
      <c r="I50" s="177"/>
      <c r="J50" s="177"/>
      <c r="K50" s="172"/>
      <c r="L50" s="172"/>
      <c r="M50" s="172"/>
      <c r="N50" s="172"/>
    </row>
    <row r="51" spans="1:14" ht="10.5" customHeight="1">
      <c r="A51" s="172"/>
      <c r="B51" s="185" t="s">
        <v>4061</v>
      </c>
      <c r="C51" s="1969" t="s">
        <v>3694</v>
      </c>
      <c r="D51" s="1971"/>
      <c r="E51" s="172"/>
      <c r="F51" s="172"/>
      <c r="G51" s="172"/>
      <c r="H51" s="177"/>
      <c r="I51" s="185"/>
      <c r="J51" s="185"/>
      <c r="K51" s="185"/>
      <c r="L51" s="172"/>
      <c r="M51" s="172"/>
      <c r="N51" s="172"/>
    </row>
    <row r="52" spans="1:14" ht="11.25" customHeight="1">
      <c r="A52" s="172"/>
      <c r="B52" s="185"/>
      <c r="C52" s="197" t="s">
        <v>4063</v>
      </c>
      <c r="D52" s="192" t="s">
        <v>3695</v>
      </c>
      <c r="E52" s="172"/>
      <c r="F52" s="172"/>
      <c r="G52" s="172"/>
      <c r="H52" s="177"/>
      <c r="I52" s="185"/>
      <c r="J52" s="185"/>
      <c r="K52" s="185"/>
      <c r="L52" s="172"/>
      <c r="M52" s="172"/>
      <c r="N52" s="172"/>
    </row>
    <row r="53" spans="1:14" ht="15" customHeight="1">
      <c r="A53" s="172"/>
      <c r="B53" s="185" t="s">
        <v>4061</v>
      </c>
      <c r="C53" s="1969" t="s">
        <v>3732</v>
      </c>
      <c r="D53" s="1971"/>
      <c r="E53" s="172"/>
      <c r="F53" s="172">
        <v>500</v>
      </c>
      <c r="G53" s="172">
        <v>500</v>
      </c>
      <c r="H53" s="177"/>
      <c r="I53" s="177"/>
      <c r="J53" s="177"/>
      <c r="K53" s="172"/>
      <c r="L53" s="172"/>
      <c r="M53" s="172"/>
      <c r="N53" s="172"/>
    </row>
    <row r="54" spans="1:14" ht="19.5" customHeight="1">
      <c r="A54" s="172" t="s">
        <v>3712</v>
      </c>
      <c r="B54" s="1969" t="s">
        <v>3697</v>
      </c>
      <c r="C54" s="1970"/>
      <c r="D54" s="1971"/>
      <c r="E54" s="172">
        <f>E39+E43+E46+E50+E53</f>
        <v>0</v>
      </c>
      <c r="F54" s="172">
        <f>F39+F43+F46+F50+F51+F53</f>
        <v>500</v>
      </c>
      <c r="G54" s="172">
        <f>G39+G43+G46+G50+G53</f>
        <v>500</v>
      </c>
      <c r="H54" s="177"/>
      <c r="I54" s="1980" t="s">
        <v>3713</v>
      </c>
      <c r="J54" s="1980"/>
      <c r="K54" s="1980"/>
      <c r="L54" s="172">
        <f>L39+L40+L41</f>
        <v>0</v>
      </c>
      <c r="M54" s="172">
        <f>M39+M40+M41</f>
        <v>500</v>
      </c>
      <c r="N54" s="172">
        <f>N39+N40+N41</f>
        <v>500</v>
      </c>
    </row>
    <row r="55" spans="1:14" ht="19.5" customHeight="1">
      <c r="A55" s="172" t="s">
        <v>3714</v>
      </c>
      <c r="B55" s="1969" t="s">
        <v>3698</v>
      </c>
      <c r="C55" s="1970"/>
      <c r="D55" s="1971"/>
      <c r="E55" s="172">
        <f>E54-L54</f>
        <v>0</v>
      </c>
      <c r="F55" s="172">
        <f>F54-M54</f>
        <v>0</v>
      </c>
      <c r="G55" s="172">
        <f>G54-N54</f>
        <v>0</v>
      </c>
      <c r="H55" s="177"/>
      <c r="I55" s="1980" t="s">
        <v>3698</v>
      </c>
      <c r="J55" s="1980"/>
      <c r="K55" s="1980"/>
      <c r="L55" s="172"/>
      <c r="M55" s="172"/>
      <c r="N55" s="172"/>
    </row>
    <row r="56" spans="1:14" ht="16.5" customHeight="1">
      <c r="A56" s="172" t="s">
        <v>3715</v>
      </c>
      <c r="B56" s="1969" t="s">
        <v>3716</v>
      </c>
      <c r="C56" s="1970"/>
      <c r="D56" s="1971"/>
      <c r="E56" s="172"/>
      <c r="F56" s="172"/>
      <c r="G56" s="172"/>
      <c r="H56" s="177"/>
      <c r="I56" s="177"/>
      <c r="J56" s="177"/>
      <c r="K56" s="172"/>
      <c r="L56" s="172"/>
      <c r="M56" s="172"/>
      <c r="N56" s="172"/>
    </row>
    <row r="57" spans="1:14" ht="19.5" customHeight="1">
      <c r="A57" s="172" t="s">
        <v>3717</v>
      </c>
      <c r="B57" s="1980" t="s">
        <v>3718</v>
      </c>
      <c r="C57" s="1980"/>
      <c r="D57" s="1980"/>
      <c r="E57" s="172"/>
      <c r="F57" s="172"/>
      <c r="G57" s="172"/>
      <c r="H57" s="177"/>
      <c r="I57" s="177"/>
      <c r="J57" s="177"/>
      <c r="K57" s="172"/>
      <c r="L57" s="172"/>
      <c r="M57" s="172"/>
      <c r="N57" s="172"/>
    </row>
    <row r="58" spans="1:14" ht="42" customHeight="1">
      <c r="A58" s="208"/>
      <c r="B58" s="209"/>
      <c r="C58" s="209"/>
      <c r="D58" s="208"/>
      <c r="E58" s="210"/>
      <c r="F58" s="210"/>
      <c r="G58" s="210"/>
      <c r="H58" s="210"/>
      <c r="I58" s="209"/>
      <c r="J58" s="209"/>
      <c r="K58" s="208"/>
      <c r="L58" s="208"/>
      <c r="M58" s="208"/>
      <c r="N58" s="208"/>
    </row>
    <row r="59" spans="5:14" ht="27.75" customHeight="1">
      <c r="E59" s="181"/>
      <c r="F59" s="181"/>
      <c r="G59" s="181"/>
      <c r="H59" s="181"/>
      <c r="I59" s="181"/>
      <c r="J59" s="181"/>
      <c r="K59" s="181"/>
      <c r="L59" s="181"/>
      <c r="M59" s="181"/>
      <c r="N59" s="181"/>
    </row>
    <row r="60" spans="1:14" ht="12" customHeight="1">
      <c r="A60" s="2005" t="s">
        <v>2789</v>
      </c>
      <c r="B60" s="2005"/>
      <c r="C60" s="2005"/>
      <c r="D60" s="2005"/>
      <c r="E60" s="2005"/>
      <c r="F60" s="2005"/>
      <c r="G60" s="2005"/>
      <c r="H60" s="2005"/>
      <c r="I60" s="2005"/>
      <c r="J60" s="2005"/>
      <c r="K60" s="2005"/>
      <c r="L60" s="2005"/>
      <c r="M60" s="2005"/>
      <c r="N60" s="2005"/>
    </row>
    <row r="61" spans="1:14" ht="13.5" customHeight="1">
      <c r="A61" s="2005" t="s">
        <v>669</v>
      </c>
      <c r="B61" s="2005"/>
      <c r="C61" s="2005"/>
      <c r="D61" s="2005"/>
      <c r="E61" s="2005"/>
      <c r="F61" s="2005"/>
      <c r="G61" s="2005"/>
      <c r="H61" s="2005" t="s">
        <v>670</v>
      </c>
      <c r="I61" s="2005"/>
      <c r="J61" s="2005"/>
      <c r="K61" s="2005"/>
      <c r="L61" s="2005"/>
      <c r="M61" s="2005"/>
      <c r="N61" s="2005"/>
    </row>
    <row r="62" spans="1:14" ht="19.5" customHeight="1">
      <c r="A62" s="2001" t="s">
        <v>671</v>
      </c>
      <c r="B62" s="2002"/>
      <c r="C62" s="2002"/>
      <c r="D62" s="2003"/>
      <c r="E62" s="1697" t="s">
        <v>672</v>
      </c>
      <c r="F62" s="1697" t="s">
        <v>673</v>
      </c>
      <c r="G62" s="1724" t="s">
        <v>4220</v>
      </c>
      <c r="H62" s="2001" t="s">
        <v>671</v>
      </c>
      <c r="I62" s="2002"/>
      <c r="J62" s="2002"/>
      <c r="K62" s="2003"/>
      <c r="L62" s="1697" t="s">
        <v>672</v>
      </c>
      <c r="M62" s="1697" t="s">
        <v>673</v>
      </c>
      <c r="N62" s="1697" t="s">
        <v>4220</v>
      </c>
    </row>
    <row r="63" spans="1:14" ht="15" customHeight="1">
      <c r="A63" s="171" t="s">
        <v>675</v>
      </c>
      <c r="B63" s="1980" t="s">
        <v>676</v>
      </c>
      <c r="C63" s="1980"/>
      <c r="D63" s="1980"/>
      <c r="E63" s="172"/>
      <c r="F63" s="172"/>
      <c r="G63" s="172"/>
      <c r="H63" s="173" t="s">
        <v>675</v>
      </c>
      <c r="I63" s="1987" t="s">
        <v>676</v>
      </c>
      <c r="J63" s="1987"/>
      <c r="K63" s="1987"/>
      <c r="L63" s="172"/>
      <c r="M63" s="172"/>
      <c r="N63" s="172"/>
    </row>
    <row r="64" spans="1:14" ht="12" customHeight="1">
      <c r="A64" s="174"/>
      <c r="B64" s="175">
        <v>1</v>
      </c>
      <c r="C64" s="1970" t="s">
        <v>677</v>
      </c>
      <c r="D64" s="1971"/>
      <c r="E64" s="176">
        <f>E65+E66+E68+E67</f>
        <v>0</v>
      </c>
      <c r="F64" s="176">
        <f>F65+F66+F68+F67</f>
        <v>0</v>
      </c>
      <c r="G64" s="176">
        <f>G65+G66+G68+G67</f>
        <v>0</v>
      </c>
      <c r="H64" s="177"/>
      <c r="I64" s="178" t="s">
        <v>4029</v>
      </c>
      <c r="J64" s="1999" t="s">
        <v>4136</v>
      </c>
      <c r="K64" s="1999"/>
      <c r="L64" s="172">
        <v>838</v>
      </c>
      <c r="M64" s="172">
        <v>880</v>
      </c>
      <c r="N64" s="172">
        <v>871</v>
      </c>
    </row>
    <row r="65" spans="1:14" ht="15" customHeight="1">
      <c r="A65" s="174"/>
      <c r="B65" s="182"/>
      <c r="C65" s="183" t="s">
        <v>4135</v>
      </c>
      <c r="D65" s="199" t="s">
        <v>4034</v>
      </c>
      <c r="E65" s="172"/>
      <c r="F65" s="172"/>
      <c r="G65" s="172"/>
      <c r="H65" s="177"/>
      <c r="I65" s="178" t="s">
        <v>4031</v>
      </c>
      <c r="J65" s="1999" t="s">
        <v>4138</v>
      </c>
      <c r="K65" s="1999"/>
      <c r="L65" s="172">
        <v>9</v>
      </c>
      <c r="M65" s="172">
        <v>238</v>
      </c>
      <c r="N65" s="172">
        <v>235</v>
      </c>
    </row>
    <row r="66" spans="1:14" ht="12.75" customHeight="1">
      <c r="A66" s="172"/>
      <c r="B66" s="177"/>
      <c r="C66" s="184" t="s">
        <v>4137</v>
      </c>
      <c r="D66" s="199" t="s">
        <v>4036</v>
      </c>
      <c r="E66" s="200"/>
      <c r="F66" s="200"/>
      <c r="G66" s="172"/>
      <c r="H66" s="177"/>
      <c r="I66" s="178" t="s">
        <v>4041</v>
      </c>
      <c r="J66" s="1999" t="s">
        <v>4140</v>
      </c>
      <c r="K66" s="1999"/>
      <c r="L66" s="172">
        <f>790+1463-1463-38</f>
        <v>752</v>
      </c>
      <c r="M66" s="172">
        <v>1023</v>
      </c>
      <c r="N66" s="172">
        <v>915</v>
      </c>
    </row>
    <row r="67" spans="1:14" ht="12.75" customHeight="1">
      <c r="A67" s="172"/>
      <c r="B67" s="177"/>
      <c r="C67" s="184" t="s">
        <v>679</v>
      </c>
      <c r="D67" s="199" t="s">
        <v>4038</v>
      </c>
      <c r="E67" s="172"/>
      <c r="F67" s="172"/>
      <c r="G67" s="172"/>
      <c r="H67" s="177"/>
      <c r="I67" s="178" t="s">
        <v>4166</v>
      </c>
      <c r="J67" s="1999" t="s">
        <v>4142</v>
      </c>
      <c r="K67" s="1999"/>
      <c r="L67" s="172"/>
      <c r="M67" s="172"/>
      <c r="N67" s="172"/>
    </row>
    <row r="68" spans="1:14" ht="15" customHeight="1">
      <c r="A68" s="172"/>
      <c r="B68" s="177"/>
      <c r="C68" s="184" t="s">
        <v>680</v>
      </c>
      <c r="D68" s="199" t="s">
        <v>3730</v>
      </c>
      <c r="E68" s="172"/>
      <c r="F68" s="172"/>
      <c r="G68" s="172"/>
      <c r="H68" s="177"/>
      <c r="I68" s="178" t="s">
        <v>4061</v>
      </c>
      <c r="J68" s="1999" t="s">
        <v>4144</v>
      </c>
      <c r="K68" s="1999"/>
      <c r="L68" s="172">
        <f>L69+L70+L71+L72+L74+L75+L73+L76</f>
        <v>0</v>
      </c>
      <c r="M68" s="172">
        <f>M69+M70+M71+M72+M74+M75+M73+M76</f>
        <v>0</v>
      </c>
      <c r="N68" s="172">
        <f>N69+N70+N71+N72+N74+N75+N73+N76</f>
        <v>0</v>
      </c>
    </row>
    <row r="69" spans="1:14" ht="11.25" customHeight="1">
      <c r="A69" s="172"/>
      <c r="B69" s="185" t="s">
        <v>4031</v>
      </c>
      <c r="C69" s="1980" t="s">
        <v>682</v>
      </c>
      <c r="D69" s="1980"/>
      <c r="E69" s="172">
        <f>SUM(E70:E75)</f>
        <v>0</v>
      </c>
      <c r="F69" s="172">
        <f>SUM(F70:F75)</f>
        <v>211</v>
      </c>
      <c r="G69" s="172">
        <f>SUM(G70:G75)</f>
        <v>211</v>
      </c>
      <c r="H69" s="177"/>
      <c r="I69" s="177"/>
      <c r="J69" s="184" t="s">
        <v>4063</v>
      </c>
      <c r="K69" s="186" t="s">
        <v>683</v>
      </c>
      <c r="L69" s="172"/>
      <c r="M69" s="172"/>
      <c r="N69" s="172"/>
    </row>
    <row r="70" spans="1:14" ht="14.25" customHeight="1">
      <c r="A70" s="172"/>
      <c r="B70" s="177"/>
      <c r="C70" s="184" t="s">
        <v>684</v>
      </c>
      <c r="D70" s="186" t="s">
        <v>4046</v>
      </c>
      <c r="E70" s="172"/>
      <c r="F70" s="172"/>
      <c r="G70" s="172"/>
      <c r="H70" s="177"/>
      <c r="I70" s="177"/>
      <c r="J70" s="184" t="s">
        <v>4064</v>
      </c>
      <c r="K70" s="187" t="s">
        <v>686</v>
      </c>
      <c r="L70" s="172"/>
      <c r="M70" s="172"/>
      <c r="N70" s="172"/>
    </row>
    <row r="71" spans="1:14" ht="12" customHeight="1">
      <c r="A71" s="172"/>
      <c r="B71" s="177"/>
      <c r="C71" s="184" t="s">
        <v>687</v>
      </c>
      <c r="D71" s="186" t="s">
        <v>4048</v>
      </c>
      <c r="E71" s="172"/>
      <c r="F71" s="172"/>
      <c r="G71" s="172"/>
      <c r="H71" s="177"/>
      <c r="I71" s="177"/>
      <c r="J71" s="184" t="s">
        <v>4065</v>
      </c>
      <c r="K71" s="188" t="s">
        <v>688</v>
      </c>
      <c r="L71" s="172"/>
      <c r="M71" s="172"/>
      <c r="N71" s="172"/>
    </row>
    <row r="72" spans="1:14" ht="12" customHeight="1">
      <c r="A72" s="172"/>
      <c r="B72" s="177"/>
      <c r="C72" s="184" t="s">
        <v>689</v>
      </c>
      <c r="D72" s="186" t="s">
        <v>4050</v>
      </c>
      <c r="E72" s="172"/>
      <c r="F72" s="172"/>
      <c r="G72" s="172"/>
      <c r="H72" s="177"/>
      <c r="I72" s="177"/>
      <c r="J72" s="184" t="s">
        <v>4066</v>
      </c>
      <c r="K72" s="186" t="s">
        <v>3703</v>
      </c>
      <c r="L72" s="172"/>
      <c r="M72" s="172"/>
      <c r="N72" s="172"/>
    </row>
    <row r="73" spans="1:14" ht="12.75" customHeight="1">
      <c r="A73" s="172"/>
      <c r="B73" s="177"/>
      <c r="C73" s="184" t="s">
        <v>691</v>
      </c>
      <c r="D73" s="186" t="s">
        <v>695</v>
      </c>
      <c r="E73" s="172"/>
      <c r="F73" s="172">
        <v>45</v>
      </c>
      <c r="G73" s="172">
        <v>45</v>
      </c>
      <c r="H73" s="177"/>
      <c r="I73" s="177"/>
      <c r="J73" s="184" t="s">
        <v>692</v>
      </c>
      <c r="K73" s="186" t="s">
        <v>693</v>
      </c>
      <c r="L73" s="172"/>
      <c r="M73" s="172"/>
      <c r="N73" s="172"/>
    </row>
    <row r="74" spans="1:14" ht="12" customHeight="1">
      <c r="A74" s="172"/>
      <c r="B74" s="177"/>
      <c r="C74" s="184" t="s">
        <v>694</v>
      </c>
      <c r="D74" s="186" t="s">
        <v>4056</v>
      </c>
      <c r="E74" s="172"/>
      <c r="F74" s="172"/>
      <c r="G74" s="172"/>
      <c r="H74" s="177"/>
      <c r="I74" s="177"/>
      <c r="J74" s="184" t="s">
        <v>696</v>
      </c>
      <c r="K74" s="186" t="s">
        <v>3724</v>
      </c>
      <c r="L74" s="172"/>
      <c r="M74" s="172"/>
      <c r="N74" s="172"/>
    </row>
    <row r="75" spans="1:14" ht="11.25" customHeight="1">
      <c r="A75" s="172"/>
      <c r="B75" s="177"/>
      <c r="C75" s="184" t="s">
        <v>698</v>
      </c>
      <c r="D75" s="186" t="s">
        <v>4058</v>
      </c>
      <c r="E75" s="172"/>
      <c r="F75" s="172">
        <v>166</v>
      </c>
      <c r="G75" s="172">
        <v>166</v>
      </c>
      <c r="H75" s="177"/>
      <c r="I75" s="177"/>
      <c r="J75" s="184" t="s">
        <v>699</v>
      </c>
      <c r="K75" s="186" t="s">
        <v>700</v>
      </c>
      <c r="L75" s="172"/>
      <c r="M75" s="172"/>
      <c r="N75" s="172"/>
    </row>
    <row r="76" spans="1:14" ht="12.75" customHeight="1">
      <c r="A76" s="172"/>
      <c r="B76" s="185" t="s">
        <v>4041</v>
      </c>
      <c r="C76" s="1980" t="s">
        <v>704</v>
      </c>
      <c r="D76" s="1980"/>
      <c r="E76" s="172"/>
      <c r="F76" s="172"/>
      <c r="G76" s="172"/>
      <c r="H76" s="177"/>
      <c r="I76" s="177"/>
      <c r="J76" s="184" t="s">
        <v>702</v>
      </c>
      <c r="K76" s="172" t="s">
        <v>703</v>
      </c>
      <c r="L76" s="172"/>
      <c r="M76" s="172"/>
      <c r="N76" s="172"/>
    </row>
    <row r="77" spans="1:14" ht="12" customHeight="1">
      <c r="A77" s="172"/>
      <c r="B77" s="185" t="s">
        <v>4166</v>
      </c>
      <c r="C77" s="1980" t="s">
        <v>706</v>
      </c>
      <c r="D77" s="1980"/>
      <c r="E77" s="172">
        <f>E78+E79+E80+E81</f>
        <v>0</v>
      </c>
      <c r="F77" s="172">
        <f>F78+F79+F80+F81</f>
        <v>0</v>
      </c>
      <c r="G77" s="172">
        <f>G78+G79+G80+G81</f>
        <v>0</v>
      </c>
      <c r="H77" s="177"/>
      <c r="I77" s="177"/>
      <c r="J77" s="177"/>
      <c r="K77" s="172"/>
      <c r="L77" s="172"/>
      <c r="M77" s="172"/>
      <c r="N77" s="172"/>
    </row>
    <row r="78" spans="1:14" ht="11.25" customHeight="1">
      <c r="A78" s="172"/>
      <c r="B78" s="177"/>
      <c r="C78" s="184" t="s">
        <v>708</v>
      </c>
      <c r="D78" s="186" t="s">
        <v>709</v>
      </c>
      <c r="E78" s="172"/>
      <c r="F78" s="172"/>
      <c r="G78" s="172"/>
      <c r="H78" s="177"/>
      <c r="I78" s="177"/>
      <c r="J78" s="177"/>
      <c r="K78" s="172"/>
      <c r="L78" s="172"/>
      <c r="M78" s="172"/>
      <c r="N78" s="172"/>
    </row>
    <row r="79" spans="1:14" ht="10.5" customHeight="1">
      <c r="A79" s="172"/>
      <c r="B79" s="177"/>
      <c r="C79" s="184" t="s">
        <v>710</v>
      </c>
      <c r="D79" s="191" t="s">
        <v>711</v>
      </c>
      <c r="E79" s="172"/>
      <c r="F79" s="172"/>
      <c r="G79" s="172"/>
      <c r="H79" s="177"/>
      <c r="I79" s="177"/>
      <c r="J79" s="177"/>
      <c r="K79" s="172"/>
      <c r="L79" s="172"/>
      <c r="M79" s="172"/>
      <c r="N79" s="172"/>
    </row>
    <row r="80" spans="1:14" ht="9.75" customHeight="1">
      <c r="A80" s="172"/>
      <c r="B80" s="177"/>
      <c r="C80" s="184" t="s">
        <v>712</v>
      </c>
      <c r="D80" s="191" t="s">
        <v>713</v>
      </c>
      <c r="E80" s="172"/>
      <c r="F80" s="172"/>
      <c r="G80" s="172"/>
      <c r="H80" s="177"/>
      <c r="I80" s="177"/>
      <c r="J80" s="177"/>
      <c r="K80" s="172"/>
      <c r="L80" s="172"/>
      <c r="M80" s="172"/>
      <c r="N80" s="172"/>
    </row>
    <row r="81" spans="1:14" ht="12" customHeight="1">
      <c r="A81" s="172"/>
      <c r="B81" s="177"/>
      <c r="C81" s="184" t="s">
        <v>714</v>
      </c>
      <c r="D81" s="191" t="s">
        <v>715</v>
      </c>
      <c r="E81" s="172"/>
      <c r="F81" s="172"/>
      <c r="G81" s="172"/>
      <c r="H81" s="177"/>
      <c r="I81" s="177"/>
      <c r="J81" s="177"/>
      <c r="K81" s="172"/>
      <c r="L81" s="172"/>
      <c r="M81" s="172"/>
      <c r="N81" s="172"/>
    </row>
    <row r="82" spans="1:14" ht="13.5" customHeight="1">
      <c r="A82" s="172"/>
      <c r="B82" s="177"/>
      <c r="C82" s="184" t="s">
        <v>716</v>
      </c>
      <c r="D82" s="186" t="s">
        <v>4068</v>
      </c>
      <c r="E82" s="172"/>
      <c r="F82" s="172"/>
      <c r="G82" s="172"/>
      <c r="H82" s="177"/>
      <c r="I82" s="177"/>
      <c r="J82" s="177"/>
      <c r="K82" s="172"/>
      <c r="L82" s="172"/>
      <c r="M82" s="172"/>
      <c r="N82" s="172"/>
    </row>
    <row r="83" spans="1:14" ht="12" customHeight="1">
      <c r="A83" s="172"/>
      <c r="B83" s="177"/>
      <c r="C83" s="184" t="s">
        <v>717</v>
      </c>
      <c r="D83" s="186" t="s">
        <v>4073</v>
      </c>
      <c r="E83" s="172"/>
      <c r="F83" s="172"/>
      <c r="G83" s="172"/>
      <c r="H83" s="177"/>
      <c r="I83" s="177"/>
      <c r="J83" s="177"/>
      <c r="K83" s="172"/>
      <c r="L83" s="172"/>
      <c r="M83" s="172"/>
      <c r="N83" s="172"/>
    </row>
    <row r="84" spans="1:14" ht="12.75" customHeight="1">
      <c r="A84" s="172"/>
      <c r="B84" s="185" t="s">
        <v>4061</v>
      </c>
      <c r="C84" s="1969" t="s">
        <v>718</v>
      </c>
      <c r="D84" s="1971"/>
      <c r="E84" s="172">
        <f>E85+E86+E87</f>
        <v>0</v>
      </c>
      <c r="F84" s="172">
        <f>F85+F86+F87</f>
        <v>0</v>
      </c>
      <c r="G84" s="172">
        <f>G85+G86+G87</f>
        <v>0</v>
      </c>
      <c r="H84" s="177"/>
      <c r="I84" s="177"/>
      <c r="J84" s="177"/>
      <c r="K84" s="172"/>
      <c r="L84" s="172"/>
      <c r="M84" s="172"/>
      <c r="N84" s="172"/>
    </row>
    <row r="85" spans="1:14" ht="19.5" customHeight="1">
      <c r="A85" s="172"/>
      <c r="B85" s="177"/>
      <c r="C85" s="184" t="s">
        <v>4063</v>
      </c>
      <c r="D85" s="186" t="s">
        <v>3708</v>
      </c>
      <c r="E85" s="172"/>
      <c r="F85" s="172"/>
      <c r="G85" s="172"/>
      <c r="H85" s="177"/>
      <c r="I85" s="177"/>
      <c r="J85" s="177"/>
      <c r="K85" s="172"/>
      <c r="L85" s="172"/>
      <c r="M85" s="172"/>
      <c r="N85" s="172"/>
    </row>
    <row r="86" spans="1:14" ht="12.75" customHeight="1">
      <c r="A86" s="172"/>
      <c r="B86" s="177"/>
      <c r="C86" s="184" t="s">
        <v>4064</v>
      </c>
      <c r="D86" s="186" t="s">
        <v>720</v>
      </c>
      <c r="E86" s="172"/>
      <c r="F86" s="172"/>
      <c r="G86" s="172"/>
      <c r="H86" s="177"/>
      <c r="I86" s="177"/>
      <c r="J86" s="177"/>
      <c r="K86" s="172"/>
      <c r="L86" s="172"/>
      <c r="M86" s="172"/>
      <c r="N86" s="172"/>
    </row>
    <row r="87" spans="1:14" ht="12" customHeight="1">
      <c r="A87" s="172"/>
      <c r="B87" s="177"/>
      <c r="C87" s="184" t="s">
        <v>4065</v>
      </c>
      <c r="D87" s="186" t="s">
        <v>721</v>
      </c>
      <c r="E87" s="172"/>
      <c r="F87" s="172"/>
      <c r="G87" s="172"/>
      <c r="H87" s="177"/>
      <c r="I87" s="177"/>
      <c r="J87" s="177"/>
      <c r="K87" s="172"/>
      <c r="L87" s="172"/>
      <c r="M87" s="172"/>
      <c r="N87" s="172"/>
    </row>
    <row r="88" spans="1:14" ht="19.5" customHeight="1">
      <c r="A88" s="172"/>
      <c r="B88" s="178" t="s">
        <v>4074</v>
      </c>
      <c r="C88" s="1980" t="s">
        <v>722</v>
      </c>
      <c r="D88" s="1980"/>
      <c r="E88" s="172"/>
      <c r="F88" s="172"/>
      <c r="G88" s="172"/>
      <c r="H88" s="177"/>
      <c r="I88" s="177"/>
      <c r="J88" s="177"/>
      <c r="K88" s="172"/>
      <c r="L88" s="172"/>
      <c r="M88" s="172"/>
      <c r="N88" s="172"/>
    </row>
    <row r="89" spans="1:14" ht="11.25" customHeight="1">
      <c r="A89" s="172"/>
      <c r="B89" s="193" t="s">
        <v>4195</v>
      </c>
      <c r="C89" s="1970" t="s">
        <v>723</v>
      </c>
      <c r="D89" s="1971"/>
      <c r="E89" s="172">
        <v>1599</v>
      </c>
      <c r="F89" s="172">
        <v>1930</v>
      </c>
      <c r="G89" s="172">
        <v>1810</v>
      </c>
      <c r="H89" s="177"/>
      <c r="I89" s="177"/>
      <c r="J89" s="177"/>
      <c r="K89" s="172"/>
      <c r="L89" s="172"/>
      <c r="M89" s="172"/>
      <c r="N89" s="172"/>
    </row>
    <row r="90" spans="1:14" ht="12" customHeight="1">
      <c r="A90" s="171" t="s">
        <v>725</v>
      </c>
      <c r="B90" s="1969" t="s">
        <v>726</v>
      </c>
      <c r="C90" s="1970"/>
      <c r="D90" s="1971"/>
      <c r="E90" s="176">
        <f>E64+E69+E77+E84+E88+E76+E89</f>
        <v>1599</v>
      </c>
      <c r="F90" s="176">
        <f>F64+F69+F77+F84+F88+F76+F89</f>
        <v>2141</v>
      </c>
      <c r="G90" s="176">
        <f>G64+G69+G77+G84+G88+G76+G89</f>
        <v>2021</v>
      </c>
      <c r="H90" s="173" t="s">
        <v>725</v>
      </c>
      <c r="I90" s="1980" t="s">
        <v>728</v>
      </c>
      <c r="J90" s="1980"/>
      <c r="K90" s="1980"/>
      <c r="L90" s="172">
        <f>SUM(L64:L68)</f>
        <v>1599</v>
      </c>
      <c r="M90" s="172">
        <f>SUM(M64:M68)</f>
        <v>2141</v>
      </c>
      <c r="N90" s="172">
        <f>SUM(N64:N68)</f>
        <v>2021</v>
      </c>
    </row>
    <row r="91" spans="1:14" ht="11.25" customHeight="1">
      <c r="A91" s="171" t="s">
        <v>729</v>
      </c>
      <c r="B91" s="1969" t="s">
        <v>730</v>
      </c>
      <c r="C91" s="1970"/>
      <c r="D91" s="1971"/>
      <c r="E91" s="176">
        <f>E90-L90</f>
        <v>0</v>
      </c>
      <c r="F91" s="176">
        <f>F90-M90</f>
        <v>0</v>
      </c>
      <c r="G91" s="176">
        <f>G90-N90</f>
        <v>0</v>
      </c>
      <c r="H91" s="203" t="s">
        <v>729</v>
      </c>
      <c r="I91" s="1969" t="s">
        <v>730</v>
      </c>
      <c r="J91" s="1970"/>
      <c r="K91" s="1971"/>
      <c r="L91" s="172"/>
      <c r="M91" s="172"/>
      <c r="N91" s="172"/>
    </row>
    <row r="92" spans="1:14" ht="18" customHeight="1">
      <c r="A92" s="171" t="s">
        <v>732</v>
      </c>
      <c r="B92" s="1969" t="s">
        <v>733</v>
      </c>
      <c r="C92" s="1970"/>
      <c r="D92" s="1971"/>
      <c r="E92" s="172"/>
      <c r="F92" s="172"/>
      <c r="G92" s="172"/>
      <c r="H92" s="173" t="s">
        <v>732</v>
      </c>
      <c r="I92" s="1974" t="s">
        <v>3709</v>
      </c>
      <c r="J92" s="1975"/>
      <c r="K92" s="1976"/>
      <c r="L92" s="172"/>
      <c r="M92" s="172"/>
      <c r="N92" s="172"/>
    </row>
    <row r="93" spans="1:14" ht="19.5" customHeight="1">
      <c r="A93" s="208"/>
      <c r="B93" s="209"/>
      <c r="C93" s="209"/>
      <c r="D93" s="208"/>
      <c r="E93" s="208"/>
      <c r="F93" s="208"/>
      <c r="G93" s="210"/>
      <c r="H93" s="209"/>
      <c r="I93" s="209"/>
      <c r="J93" s="209"/>
      <c r="K93" s="208"/>
      <c r="L93" s="208"/>
      <c r="M93" s="208"/>
      <c r="N93" s="208"/>
    </row>
    <row r="94" spans="1:14" ht="19.5" customHeight="1">
      <c r="A94" s="1990" t="s">
        <v>669</v>
      </c>
      <c r="B94" s="1990"/>
      <c r="C94" s="1990"/>
      <c r="D94" s="1990"/>
      <c r="E94" s="1990"/>
      <c r="F94" s="1990"/>
      <c r="G94" s="1990"/>
      <c r="H94" s="1990" t="s">
        <v>670</v>
      </c>
      <c r="I94" s="1990"/>
      <c r="J94" s="1990"/>
      <c r="K94" s="1990"/>
      <c r="L94" s="1990"/>
      <c r="M94" s="1990"/>
      <c r="N94" s="1990"/>
    </row>
    <row r="95" spans="1:14" ht="19.5" customHeight="1">
      <c r="A95" s="2001" t="s">
        <v>671</v>
      </c>
      <c r="B95" s="2002"/>
      <c r="C95" s="2002"/>
      <c r="D95" s="2003"/>
      <c r="E95" s="1697" t="s">
        <v>672</v>
      </c>
      <c r="F95" s="1697" t="s">
        <v>673</v>
      </c>
      <c r="G95" s="1724" t="s">
        <v>4220</v>
      </c>
      <c r="H95" s="2001" t="s">
        <v>671</v>
      </c>
      <c r="I95" s="2002"/>
      <c r="J95" s="2002"/>
      <c r="K95" s="2003"/>
      <c r="L95" s="1697" t="s">
        <v>672</v>
      </c>
      <c r="M95" s="1697" t="s">
        <v>673</v>
      </c>
      <c r="N95" s="1697" t="s">
        <v>4220</v>
      </c>
    </row>
    <row r="96" spans="1:14" ht="15.75" customHeight="1">
      <c r="A96" s="196" t="s">
        <v>4264</v>
      </c>
      <c r="B96" s="1980" t="s">
        <v>4265</v>
      </c>
      <c r="C96" s="1980"/>
      <c r="D96" s="1980"/>
      <c r="E96" s="172"/>
      <c r="F96" s="172"/>
      <c r="G96" s="172"/>
      <c r="H96" s="196" t="s">
        <v>4264</v>
      </c>
      <c r="I96" s="1987" t="s">
        <v>4265</v>
      </c>
      <c r="J96" s="1987"/>
      <c r="K96" s="1987"/>
      <c r="L96" s="172"/>
      <c r="M96" s="172"/>
      <c r="N96" s="172"/>
    </row>
    <row r="97" spans="1:14" ht="17.25" customHeight="1">
      <c r="A97" s="172"/>
      <c r="B97" s="196" t="s">
        <v>4029</v>
      </c>
      <c r="C97" s="1987" t="s">
        <v>4266</v>
      </c>
      <c r="D97" s="1987"/>
      <c r="E97" s="172">
        <f>E98+E99+E100</f>
        <v>0</v>
      </c>
      <c r="F97" s="172">
        <f>F98+F99+F100</f>
        <v>0</v>
      </c>
      <c r="G97" s="172">
        <f>G98+G99+G100</f>
        <v>0</v>
      </c>
      <c r="H97" s="177"/>
      <c r="I97" s="172" t="s">
        <v>4029</v>
      </c>
      <c r="J97" s="1999" t="s">
        <v>4267</v>
      </c>
      <c r="K97" s="1999"/>
      <c r="L97" s="172"/>
      <c r="M97" s="172"/>
      <c r="N97" s="172"/>
    </row>
    <row r="98" spans="1:14" ht="19.5" customHeight="1">
      <c r="A98" s="172"/>
      <c r="B98" s="177"/>
      <c r="C98" s="197" t="s">
        <v>4268</v>
      </c>
      <c r="D98" s="186" t="s">
        <v>4068</v>
      </c>
      <c r="E98" s="172"/>
      <c r="F98" s="172"/>
      <c r="G98" s="172"/>
      <c r="H98" s="177"/>
      <c r="I98" s="172" t="s">
        <v>4031</v>
      </c>
      <c r="J98" s="1999" t="s">
        <v>4154</v>
      </c>
      <c r="K98" s="1999"/>
      <c r="L98" s="172"/>
      <c r="M98" s="172"/>
      <c r="N98" s="172"/>
    </row>
    <row r="99" spans="1:14" ht="19.5" customHeight="1">
      <c r="A99" s="172"/>
      <c r="B99" s="177"/>
      <c r="C99" s="197" t="s">
        <v>4269</v>
      </c>
      <c r="D99" s="186" t="s">
        <v>4070</v>
      </c>
      <c r="E99" s="172"/>
      <c r="F99" s="172"/>
      <c r="G99" s="172"/>
      <c r="H99" s="177"/>
      <c r="I99" s="172" t="s">
        <v>4041</v>
      </c>
      <c r="J99" s="1999" t="s">
        <v>4270</v>
      </c>
      <c r="K99" s="1999"/>
      <c r="L99" s="172">
        <f>L100+L101+L102+L103</f>
        <v>0</v>
      </c>
      <c r="M99" s="172">
        <f>M100+M101+M102+M103</f>
        <v>0</v>
      </c>
      <c r="N99" s="172">
        <f>N100+N101+N102+N103</f>
        <v>0</v>
      </c>
    </row>
    <row r="100" spans="1:14" ht="15.75" customHeight="1">
      <c r="A100" s="172"/>
      <c r="B100" s="177"/>
      <c r="C100" s="197" t="s">
        <v>679</v>
      </c>
      <c r="D100" s="186" t="s">
        <v>4271</v>
      </c>
      <c r="E100" s="172"/>
      <c r="F100" s="172"/>
      <c r="G100" s="172"/>
      <c r="H100" s="177"/>
      <c r="I100" s="177"/>
      <c r="J100" s="197" t="s">
        <v>4272</v>
      </c>
      <c r="K100" s="186" t="s">
        <v>4273</v>
      </c>
      <c r="L100" s="172"/>
      <c r="M100" s="172"/>
      <c r="N100" s="172"/>
    </row>
    <row r="101" spans="1:14" ht="19.5" customHeight="1">
      <c r="A101" s="172"/>
      <c r="B101" s="196" t="s">
        <v>4031</v>
      </c>
      <c r="C101" s="1980" t="s">
        <v>4274</v>
      </c>
      <c r="D101" s="1980"/>
      <c r="E101" s="172">
        <f>E102+E103</f>
        <v>0</v>
      </c>
      <c r="F101" s="172">
        <f>F102+F103</f>
        <v>0</v>
      </c>
      <c r="G101" s="172">
        <f>G102+G103</f>
        <v>0</v>
      </c>
      <c r="H101" s="177"/>
      <c r="I101" s="177"/>
      <c r="J101" s="197" t="s">
        <v>4275</v>
      </c>
      <c r="K101" s="198" t="s">
        <v>4276</v>
      </c>
      <c r="L101" s="172"/>
      <c r="M101" s="172"/>
      <c r="N101" s="172"/>
    </row>
    <row r="102" spans="1:14" ht="19.5" customHeight="1">
      <c r="A102" s="172"/>
      <c r="B102" s="177"/>
      <c r="C102" s="197" t="s">
        <v>684</v>
      </c>
      <c r="D102" s="186" t="s">
        <v>659</v>
      </c>
      <c r="E102" s="172"/>
      <c r="F102" s="172"/>
      <c r="G102" s="172"/>
      <c r="H102" s="177"/>
      <c r="I102" s="177"/>
      <c r="J102" s="197" t="s">
        <v>4277</v>
      </c>
      <c r="K102" s="187" t="s">
        <v>3684</v>
      </c>
      <c r="L102" s="172"/>
      <c r="M102" s="172"/>
      <c r="N102" s="172"/>
    </row>
    <row r="103" spans="1:14" ht="14.25" customHeight="1">
      <c r="A103" s="172"/>
      <c r="B103" s="177"/>
      <c r="C103" s="197" t="s">
        <v>687</v>
      </c>
      <c r="D103" s="186" t="s">
        <v>3685</v>
      </c>
      <c r="E103" s="172"/>
      <c r="F103" s="172"/>
      <c r="G103" s="172"/>
      <c r="H103" s="177"/>
      <c r="I103" s="177"/>
      <c r="J103" s="197" t="s">
        <v>3686</v>
      </c>
      <c r="K103" s="187" t="s">
        <v>3687</v>
      </c>
      <c r="L103" s="172"/>
      <c r="M103" s="172"/>
      <c r="N103" s="172"/>
    </row>
    <row r="104" spans="1:14" ht="19.5" customHeight="1">
      <c r="A104" s="172"/>
      <c r="B104" s="196">
        <v>3</v>
      </c>
      <c r="C104" s="1983" t="s">
        <v>3688</v>
      </c>
      <c r="D104" s="1983"/>
      <c r="E104" s="172">
        <f>E105+E106+E107</f>
        <v>0</v>
      </c>
      <c r="F104" s="172">
        <f>F105+F106+F107</f>
        <v>0</v>
      </c>
      <c r="G104" s="172">
        <f>G105+G106+G107</f>
        <v>0</v>
      </c>
      <c r="H104" s="177"/>
      <c r="I104" s="177"/>
      <c r="J104" s="177"/>
      <c r="K104" s="172"/>
      <c r="L104" s="172"/>
      <c r="M104" s="172"/>
      <c r="N104" s="172"/>
    </row>
    <row r="105" spans="1:14" ht="19.5" customHeight="1">
      <c r="A105" s="172"/>
      <c r="B105" s="177"/>
      <c r="C105" s="197" t="s">
        <v>4272</v>
      </c>
      <c r="D105" s="186" t="s">
        <v>4097</v>
      </c>
      <c r="E105" s="172"/>
      <c r="F105" s="172"/>
      <c r="G105" s="172"/>
      <c r="H105" s="177"/>
      <c r="I105" s="177"/>
      <c r="J105" s="177"/>
      <c r="K105" s="172"/>
      <c r="L105" s="172"/>
      <c r="M105" s="172"/>
      <c r="N105" s="172"/>
    </row>
    <row r="106" spans="1:14" ht="19.5" customHeight="1">
      <c r="A106" s="172"/>
      <c r="B106" s="177"/>
      <c r="C106" s="197" t="s">
        <v>4275</v>
      </c>
      <c r="D106" s="186" t="s">
        <v>3691</v>
      </c>
      <c r="E106" s="172"/>
      <c r="F106" s="172"/>
      <c r="G106" s="172"/>
      <c r="H106" s="177"/>
      <c r="I106" s="177"/>
      <c r="J106" s="177"/>
      <c r="K106" s="172"/>
      <c r="L106" s="172"/>
      <c r="M106" s="172"/>
      <c r="N106" s="172"/>
    </row>
    <row r="107" spans="1:14" ht="12.75" customHeight="1">
      <c r="A107" s="172"/>
      <c r="B107" s="177"/>
      <c r="C107" s="197" t="s">
        <v>4277</v>
      </c>
      <c r="D107" s="187" t="s">
        <v>3692</v>
      </c>
      <c r="E107" s="172"/>
      <c r="F107" s="172"/>
      <c r="G107" s="172"/>
      <c r="H107" s="177"/>
      <c r="I107" s="177"/>
      <c r="J107" s="177"/>
      <c r="K107" s="172"/>
      <c r="L107" s="172"/>
      <c r="M107" s="172"/>
      <c r="N107" s="172"/>
    </row>
    <row r="108" spans="1:14" ht="19.5" customHeight="1">
      <c r="A108" s="172"/>
      <c r="B108" s="185">
        <v>4</v>
      </c>
      <c r="C108" s="1980" t="s">
        <v>3693</v>
      </c>
      <c r="D108" s="1980"/>
      <c r="E108" s="172"/>
      <c r="F108" s="172"/>
      <c r="G108" s="172"/>
      <c r="H108" s="177"/>
      <c r="I108" s="177"/>
      <c r="J108" s="177"/>
      <c r="K108" s="172"/>
      <c r="L108" s="172"/>
      <c r="M108" s="172"/>
      <c r="N108" s="172"/>
    </row>
    <row r="109" spans="1:14" ht="12.75" customHeight="1">
      <c r="A109" s="172"/>
      <c r="B109" s="185" t="s">
        <v>4061</v>
      </c>
      <c r="C109" s="1969" t="s">
        <v>3694</v>
      </c>
      <c r="D109" s="1971"/>
      <c r="E109" s="172"/>
      <c r="F109" s="172"/>
      <c r="G109" s="172"/>
      <c r="H109" s="177"/>
      <c r="I109" s="185"/>
      <c r="J109" s="185"/>
      <c r="K109" s="185"/>
      <c r="L109" s="172"/>
      <c r="M109" s="172"/>
      <c r="N109" s="172"/>
    </row>
    <row r="110" spans="1:14" ht="12.75" customHeight="1">
      <c r="A110" s="172"/>
      <c r="B110" s="185"/>
      <c r="C110" s="197" t="s">
        <v>4063</v>
      </c>
      <c r="D110" s="192" t="s">
        <v>3695</v>
      </c>
      <c r="E110" s="172"/>
      <c r="F110" s="172"/>
      <c r="G110" s="172"/>
      <c r="H110" s="177"/>
      <c r="I110" s="185"/>
      <c r="J110" s="185"/>
      <c r="K110" s="185"/>
      <c r="L110" s="172"/>
      <c r="M110" s="172"/>
      <c r="N110" s="172"/>
    </row>
    <row r="111" spans="1:14" ht="13.5" customHeight="1">
      <c r="A111" s="172"/>
      <c r="B111" s="185" t="s">
        <v>4061</v>
      </c>
      <c r="C111" s="1969" t="s">
        <v>3732</v>
      </c>
      <c r="D111" s="1971"/>
      <c r="E111" s="172"/>
      <c r="F111" s="172"/>
      <c r="G111" s="172"/>
      <c r="H111" s="177"/>
      <c r="I111" s="177"/>
      <c r="J111" s="177"/>
      <c r="K111" s="172"/>
      <c r="L111" s="172"/>
      <c r="M111" s="172"/>
      <c r="N111" s="172"/>
    </row>
    <row r="112" spans="1:14" ht="19.5" customHeight="1">
      <c r="A112" s="172" t="s">
        <v>3712</v>
      </c>
      <c r="B112" s="1969" t="s">
        <v>3697</v>
      </c>
      <c r="C112" s="1970"/>
      <c r="D112" s="1971"/>
      <c r="E112" s="172">
        <f>E97+E101+E104+E108</f>
        <v>0</v>
      </c>
      <c r="F112" s="172">
        <f>F97+F101+F104+F108</f>
        <v>0</v>
      </c>
      <c r="G112" s="172">
        <f>G97+G101+G104+G108</f>
        <v>0</v>
      </c>
      <c r="H112" s="177"/>
      <c r="I112" s="1980" t="s">
        <v>3713</v>
      </c>
      <c r="J112" s="1980"/>
      <c r="K112" s="1980"/>
      <c r="L112" s="172"/>
      <c r="M112" s="172"/>
      <c r="N112" s="172"/>
    </row>
    <row r="113" spans="1:14" ht="13.5" customHeight="1">
      <c r="A113" s="172" t="s">
        <v>3714</v>
      </c>
      <c r="B113" s="1969" t="s">
        <v>3698</v>
      </c>
      <c r="C113" s="1970"/>
      <c r="D113" s="1971"/>
      <c r="E113" s="172">
        <f>E112-L112</f>
        <v>0</v>
      </c>
      <c r="F113" s="172">
        <f>F112-M112</f>
        <v>0</v>
      </c>
      <c r="G113" s="172">
        <f>G112-N112</f>
        <v>0</v>
      </c>
      <c r="H113" s="177"/>
      <c r="I113" s="1980" t="s">
        <v>3698</v>
      </c>
      <c r="J113" s="1980"/>
      <c r="K113" s="1980"/>
      <c r="L113" s="172"/>
      <c r="M113" s="172"/>
      <c r="N113" s="172"/>
    </row>
    <row r="114" spans="1:14" ht="15" customHeight="1">
      <c r="A114" s="172" t="s">
        <v>3715</v>
      </c>
      <c r="B114" s="1969" t="s">
        <v>3716</v>
      </c>
      <c r="C114" s="1970"/>
      <c r="D114" s="1971"/>
      <c r="E114" s="172"/>
      <c r="F114" s="172"/>
      <c r="G114" s="172"/>
      <c r="H114" s="177"/>
      <c r="I114" s="177"/>
      <c r="J114" s="177"/>
      <c r="K114" s="172"/>
      <c r="L114" s="172"/>
      <c r="M114" s="172"/>
      <c r="N114" s="172"/>
    </row>
    <row r="115" spans="1:14" ht="15.75" customHeight="1">
      <c r="A115" s="172" t="s">
        <v>3717</v>
      </c>
      <c r="B115" s="1980" t="s">
        <v>3718</v>
      </c>
      <c r="C115" s="1980"/>
      <c r="D115" s="1980"/>
      <c r="E115" s="172"/>
      <c r="F115" s="172"/>
      <c r="G115" s="172"/>
      <c r="H115" s="177"/>
      <c r="I115" s="177"/>
      <c r="J115" s="177"/>
      <c r="K115" s="172"/>
      <c r="L115" s="172"/>
      <c r="M115" s="172"/>
      <c r="N115" s="172"/>
    </row>
    <row r="116" spans="1:14" ht="19.5" customHeight="1">
      <c r="A116" s="172"/>
      <c r="B116" s="2022" t="s">
        <v>1191</v>
      </c>
      <c r="C116" s="2023"/>
      <c r="D116" s="2024"/>
      <c r="E116" s="1740">
        <f>E32+E34+E54+E90+E112</f>
        <v>37934</v>
      </c>
      <c r="F116" s="1740">
        <f>F32+F34+F54+F90+F112</f>
        <v>42493</v>
      </c>
      <c r="G116" s="1740">
        <f>G32+G34+G54+G90+G112</f>
        <v>42470</v>
      </c>
      <c r="H116" s="173"/>
      <c r="I116" s="2022" t="s">
        <v>1191</v>
      </c>
      <c r="J116" s="2023"/>
      <c r="K116" s="2024"/>
      <c r="L116" s="171">
        <f>L32+L90</f>
        <v>37934</v>
      </c>
      <c r="M116" s="171">
        <f>M32+M90+M54</f>
        <v>42493</v>
      </c>
      <c r="N116" s="171">
        <f>N32+N90+N54</f>
        <v>42119</v>
      </c>
    </row>
  </sheetData>
  <sheetProtection/>
  <mergeCells count="95">
    <mergeCell ref="B116:D116"/>
    <mergeCell ref="I116:K116"/>
    <mergeCell ref="C6:D6"/>
    <mergeCell ref="I112:K112"/>
    <mergeCell ref="B113:D113"/>
    <mergeCell ref="I113:K113"/>
    <mergeCell ref="I90:K90"/>
    <mergeCell ref="B91:D91"/>
    <mergeCell ref="I91:K91"/>
    <mergeCell ref="A94:G94"/>
    <mergeCell ref="B5:D5"/>
    <mergeCell ref="I5:K5"/>
    <mergeCell ref="J6:K6"/>
    <mergeCell ref="J7:K7"/>
    <mergeCell ref="J8:K8"/>
    <mergeCell ref="J9:K9"/>
    <mergeCell ref="A1:N1"/>
    <mergeCell ref="A2:N2"/>
    <mergeCell ref="A3:G3"/>
    <mergeCell ref="H3:N3"/>
    <mergeCell ref="A4:D4"/>
    <mergeCell ref="H4:K4"/>
    <mergeCell ref="C26:D26"/>
    <mergeCell ref="C30:D30"/>
    <mergeCell ref="C31:D31"/>
    <mergeCell ref="B32:D32"/>
    <mergeCell ref="J10:K10"/>
    <mergeCell ref="C11:D11"/>
    <mergeCell ref="C18:D18"/>
    <mergeCell ref="C19:D19"/>
    <mergeCell ref="A36:G36"/>
    <mergeCell ref="H36:N36"/>
    <mergeCell ref="A37:D37"/>
    <mergeCell ref="H37:K37"/>
    <mergeCell ref="I32:K32"/>
    <mergeCell ref="B33:D33"/>
    <mergeCell ref="I33:K33"/>
    <mergeCell ref="B34:D34"/>
    <mergeCell ref="I34:K34"/>
    <mergeCell ref="J40:K40"/>
    <mergeCell ref="J41:K41"/>
    <mergeCell ref="C43:D43"/>
    <mergeCell ref="C46:D46"/>
    <mergeCell ref="B38:D38"/>
    <mergeCell ref="I38:K38"/>
    <mergeCell ref="C39:D39"/>
    <mergeCell ref="J39:K39"/>
    <mergeCell ref="I54:K54"/>
    <mergeCell ref="B55:D55"/>
    <mergeCell ref="I55:K55"/>
    <mergeCell ref="B56:D56"/>
    <mergeCell ref="C50:D50"/>
    <mergeCell ref="C51:D51"/>
    <mergeCell ref="C53:D53"/>
    <mergeCell ref="B54:D54"/>
    <mergeCell ref="B57:D57"/>
    <mergeCell ref="A61:G61"/>
    <mergeCell ref="H61:N61"/>
    <mergeCell ref="A62:D62"/>
    <mergeCell ref="H62:K62"/>
    <mergeCell ref="A60:N60"/>
    <mergeCell ref="J65:K65"/>
    <mergeCell ref="J66:K66"/>
    <mergeCell ref="J67:K67"/>
    <mergeCell ref="J68:K68"/>
    <mergeCell ref="B63:D63"/>
    <mergeCell ref="I63:K63"/>
    <mergeCell ref="C64:D64"/>
    <mergeCell ref="J64:K64"/>
    <mergeCell ref="H94:N94"/>
    <mergeCell ref="B90:D90"/>
    <mergeCell ref="C69:D69"/>
    <mergeCell ref="C76:D76"/>
    <mergeCell ref="C77:D77"/>
    <mergeCell ref="C84:D84"/>
    <mergeCell ref="B96:D96"/>
    <mergeCell ref="I96:K96"/>
    <mergeCell ref="C97:D97"/>
    <mergeCell ref="J97:K97"/>
    <mergeCell ref="C88:D88"/>
    <mergeCell ref="C89:D89"/>
    <mergeCell ref="A95:D95"/>
    <mergeCell ref="H95:K95"/>
    <mergeCell ref="I92:K92"/>
    <mergeCell ref="B92:D92"/>
    <mergeCell ref="J98:K98"/>
    <mergeCell ref="J99:K99"/>
    <mergeCell ref="C101:D101"/>
    <mergeCell ref="B115:D115"/>
    <mergeCell ref="C111:D111"/>
    <mergeCell ref="C104:D104"/>
    <mergeCell ref="C108:D108"/>
    <mergeCell ref="C109:D109"/>
    <mergeCell ref="B114:D114"/>
    <mergeCell ref="B112:D1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55.75390625" style="0" customWidth="1"/>
    <col min="3" max="3" width="11.75390625" style="542" customWidth="1"/>
    <col min="4" max="4" width="9.125" style="542" customWidth="1"/>
  </cols>
  <sheetData>
    <row r="1" spans="1:8" ht="12.75">
      <c r="A1" s="2020" t="s">
        <v>5274</v>
      </c>
      <c r="B1" s="2020"/>
      <c r="C1" s="2020"/>
      <c r="D1" s="2020"/>
      <c r="E1" s="1743"/>
      <c r="F1" s="1743"/>
      <c r="G1" s="1743"/>
      <c r="H1" s="1743"/>
    </row>
    <row r="2" spans="1:5" ht="12.75">
      <c r="A2" s="2004" t="s">
        <v>3733</v>
      </c>
      <c r="B2" s="2004"/>
      <c r="C2" s="2004"/>
      <c r="D2" s="940"/>
      <c r="E2" s="169"/>
    </row>
    <row r="3" spans="1:5" ht="22.5" customHeight="1">
      <c r="A3" s="208"/>
      <c r="B3" s="208"/>
      <c r="C3" s="421"/>
      <c r="D3" s="940"/>
      <c r="E3" s="169"/>
    </row>
    <row r="4" spans="1:5" ht="12.75">
      <c r="A4" s="216"/>
      <c r="B4" s="2025" t="s">
        <v>3734</v>
      </c>
      <c r="C4" s="2025"/>
      <c r="D4" s="2025"/>
      <c r="E4" s="169"/>
    </row>
    <row r="5" spans="1:5" ht="21">
      <c r="A5" s="217" t="s">
        <v>3735</v>
      </c>
      <c r="B5" s="218" t="s">
        <v>672</v>
      </c>
      <c r="C5" s="944" t="s">
        <v>4028</v>
      </c>
      <c r="D5" s="219" t="s">
        <v>4220</v>
      </c>
      <c r="E5" s="169"/>
    </row>
    <row r="6" spans="1:5" ht="12.75">
      <c r="A6" s="220">
        <v>1</v>
      </c>
      <c r="B6" s="221">
        <v>2</v>
      </c>
      <c r="C6" s="944">
        <v>3</v>
      </c>
      <c r="D6" s="222">
        <v>4</v>
      </c>
      <c r="E6" s="169"/>
    </row>
    <row r="7" spans="1:5" ht="21">
      <c r="A7" s="223" t="s">
        <v>935</v>
      </c>
      <c r="B7" s="224">
        <v>1058607</v>
      </c>
      <c r="C7" s="233">
        <v>1341</v>
      </c>
      <c r="D7" s="387">
        <v>764</v>
      </c>
      <c r="E7" s="169"/>
    </row>
    <row r="8" spans="1:5" ht="21">
      <c r="A8" s="223" t="s">
        <v>936</v>
      </c>
      <c r="B8" s="224">
        <f>B7*0.27-0.6+1</f>
        <v>285824.29000000004</v>
      </c>
      <c r="C8" s="233">
        <v>1172</v>
      </c>
      <c r="D8" s="387">
        <v>1145</v>
      </c>
      <c r="E8" s="169"/>
    </row>
    <row r="9" spans="1:5" ht="12.75">
      <c r="A9" s="223" t="s">
        <v>937</v>
      </c>
      <c r="B9" s="224"/>
      <c r="C9" s="945">
        <f>16405+4430</f>
        <v>20835</v>
      </c>
      <c r="D9" s="387">
        <f>16495+4453</f>
        <v>20948</v>
      </c>
      <c r="E9" s="169"/>
    </row>
    <row r="10" spans="1:5" ht="12.75">
      <c r="A10" s="223" t="s">
        <v>938</v>
      </c>
      <c r="B10" s="224">
        <v>1000</v>
      </c>
      <c r="C10" s="945">
        <v>1000</v>
      </c>
      <c r="D10" s="387">
        <f>D11+D12+D13</f>
        <v>157</v>
      </c>
      <c r="E10" s="169"/>
    </row>
    <row r="11" spans="1:5" ht="12.75">
      <c r="A11" s="191" t="s">
        <v>939</v>
      </c>
      <c r="B11" s="224"/>
      <c r="C11" s="945"/>
      <c r="D11" s="387">
        <f>53+18</f>
        <v>71</v>
      </c>
      <c r="E11" s="169"/>
    </row>
    <row r="12" spans="1:5" ht="12.75">
      <c r="A12" s="191" t="s">
        <v>940</v>
      </c>
      <c r="B12" s="224"/>
      <c r="C12" s="945"/>
      <c r="D12" s="387">
        <v>80</v>
      </c>
      <c r="E12" s="169"/>
    </row>
    <row r="13" spans="1:5" ht="12.75">
      <c r="A13" s="191" t="s">
        <v>4240</v>
      </c>
      <c r="B13" s="224"/>
      <c r="C13" s="945"/>
      <c r="D13" s="387">
        <v>6</v>
      </c>
      <c r="E13" s="169"/>
    </row>
    <row r="14" spans="1:5" ht="12.75">
      <c r="A14" s="223" t="s">
        <v>941</v>
      </c>
      <c r="B14" s="224"/>
      <c r="C14" s="945">
        <f>SUM(C15:C22)</f>
        <v>11973</v>
      </c>
      <c r="D14" s="158">
        <f>SUM(D15:D22)</f>
        <v>11957</v>
      </c>
      <c r="E14" s="169"/>
    </row>
    <row r="15" spans="1:5" ht="12.75">
      <c r="A15" s="191" t="s">
        <v>942</v>
      </c>
      <c r="B15" s="224"/>
      <c r="C15" s="945">
        <v>130</v>
      </c>
      <c r="D15" s="387">
        <v>130</v>
      </c>
      <c r="E15" s="169"/>
    </row>
    <row r="16" spans="1:5" ht="12.75">
      <c r="A16" s="191" t="s">
        <v>943</v>
      </c>
      <c r="B16" s="224"/>
      <c r="C16" s="945">
        <f>449+1662</f>
        <v>2111</v>
      </c>
      <c r="D16" s="387">
        <f>449+1662</f>
        <v>2111</v>
      </c>
      <c r="E16" s="169"/>
    </row>
    <row r="17" spans="1:5" ht="12.75">
      <c r="A17" s="191" t="s">
        <v>944</v>
      </c>
      <c r="B17" s="224"/>
      <c r="C17" s="945">
        <f>15+4342</f>
        <v>4357</v>
      </c>
      <c r="D17" s="387">
        <v>4341</v>
      </c>
      <c r="E17" s="169"/>
    </row>
    <row r="18" spans="1:5" ht="12.75">
      <c r="A18" s="191" t="s">
        <v>945</v>
      </c>
      <c r="B18" s="224"/>
      <c r="C18" s="945">
        <v>2135</v>
      </c>
      <c r="D18" s="387">
        <f>1681+454</f>
        <v>2135</v>
      </c>
      <c r="E18" s="169"/>
    </row>
    <row r="19" spans="1:5" ht="12.75">
      <c r="A19" s="191" t="s">
        <v>946</v>
      </c>
      <c r="B19" s="224"/>
      <c r="C19" s="945">
        <v>989</v>
      </c>
      <c r="D19" s="387">
        <f>779+210</f>
        <v>989</v>
      </c>
      <c r="E19" s="169"/>
    </row>
    <row r="20" spans="1:5" ht="12.75">
      <c r="A20" s="191" t="s">
        <v>947</v>
      </c>
      <c r="B20" s="224"/>
      <c r="C20" s="945">
        <v>775</v>
      </c>
      <c r="D20" s="387">
        <f>610+165</f>
        <v>775</v>
      </c>
      <c r="E20" s="169"/>
    </row>
    <row r="21" spans="1:5" ht="12.75">
      <c r="A21" s="191" t="s">
        <v>948</v>
      </c>
      <c r="B21" s="224"/>
      <c r="C21" s="945">
        <v>262</v>
      </c>
      <c r="D21" s="387">
        <f>206+56</f>
        <v>262</v>
      </c>
      <c r="E21" s="169"/>
    </row>
    <row r="22" spans="1:5" ht="12.75">
      <c r="A22" s="191" t="s">
        <v>949</v>
      </c>
      <c r="B22" s="224"/>
      <c r="C22" s="945">
        <v>1214</v>
      </c>
      <c r="D22" s="387">
        <f>956+258</f>
        <v>1214</v>
      </c>
      <c r="E22" s="169"/>
    </row>
    <row r="23" spans="1:5" ht="12.75">
      <c r="A23" s="223" t="s">
        <v>950</v>
      </c>
      <c r="B23" s="224"/>
      <c r="C23" s="945">
        <v>95</v>
      </c>
      <c r="D23" s="158">
        <v>95</v>
      </c>
      <c r="E23" s="214"/>
    </row>
    <row r="24" spans="1:5" ht="12.75">
      <c r="A24" s="223" t="s">
        <v>951</v>
      </c>
      <c r="B24" s="224">
        <f>15128+4085</f>
        <v>19213</v>
      </c>
      <c r="C24" s="945"/>
      <c r="D24" s="387"/>
      <c r="E24" s="169"/>
    </row>
    <row r="25" spans="1:5" ht="12.75">
      <c r="A25" s="223" t="s">
        <v>952</v>
      </c>
      <c r="B25" s="224">
        <v>83551</v>
      </c>
      <c r="C25" s="945">
        <v>250</v>
      </c>
      <c r="D25" s="387"/>
      <c r="E25" s="214"/>
    </row>
    <row r="26" spans="1:5" ht="12.75">
      <c r="A26" s="223" t="s">
        <v>953</v>
      </c>
      <c r="B26" s="224">
        <v>424</v>
      </c>
      <c r="C26" s="945">
        <v>424</v>
      </c>
      <c r="D26" s="387">
        <f>333+90</f>
        <v>423</v>
      </c>
      <c r="E26" s="169"/>
    </row>
    <row r="27" spans="1:5" ht="12.75">
      <c r="A27" s="1742" t="s">
        <v>954</v>
      </c>
      <c r="B27" s="1531"/>
      <c r="C27" s="945">
        <v>4635</v>
      </c>
      <c r="D27" s="158">
        <v>4710</v>
      </c>
      <c r="E27" s="169"/>
    </row>
    <row r="28" spans="1:5" ht="12.75">
      <c r="A28" s="223" t="s">
        <v>955</v>
      </c>
      <c r="B28" s="224"/>
      <c r="C28" s="945">
        <v>10327</v>
      </c>
      <c r="D28" s="158">
        <v>10498</v>
      </c>
      <c r="E28" s="169"/>
    </row>
    <row r="29" spans="1:5" ht="12.75">
      <c r="A29" s="223" t="s">
        <v>956</v>
      </c>
      <c r="B29" s="224"/>
      <c r="C29" s="945"/>
      <c r="D29" s="387">
        <v>40</v>
      </c>
      <c r="E29" s="169"/>
    </row>
    <row r="30" spans="1:5" ht="12.75">
      <c r="A30" s="223" t="s">
        <v>1053</v>
      </c>
      <c r="B30" s="224"/>
      <c r="C30" s="945"/>
      <c r="D30" s="387">
        <v>32</v>
      </c>
      <c r="E30" s="169"/>
    </row>
    <row r="31" spans="1:5" ht="12.75">
      <c r="A31" s="223" t="s">
        <v>958</v>
      </c>
      <c r="B31" s="224"/>
      <c r="C31" s="945">
        <v>152</v>
      </c>
      <c r="D31" s="387">
        <v>152</v>
      </c>
      <c r="E31" s="169"/>
    </row>
    <row r="32" spans="1:5" ht="12.75">
      <c r="A32" s="223" t="s">
        <v>4237</v>
      </c>
      <c r="B32" s="224"/>
      <c r="C32" s="945">
        <f>C33+C34</f>
        <v>6404.610000000001</v>
      </c>
      <c r="D32" s="387">
        <f>D33+D34</f>
        <v>6401</v>
      </c>
      <c r="E32" s="169"/>
    </row>
    <row r="33" spans="1:5" ht="12.75">
      <c r="A33" s="223" t="s">
        <v>4238</v>
      </c>
      <c r="B33" s="224"/>
      <c r="C33" s="945">
        <f>1662*1.27</f>
        <v>2110.7400000000002</v>
      </c>
      <c r="D33" s="387">
        <f>1662*1.27+0.26</f>
        <v>2111.0000000000005</v>
      </c>
      <c r="E33" s="169"/>
    </row>
    <row r="34" spans="1:5" ht="12.75">
      <c r="A34" s="223" t="s">
        <v>4239</v>
      </c>
      <c r="B34" s="224"/>
      <c r="C34" s="945">
        <f>3381*1.27</f>
        <v>4293.87</v>
      </c>
      <c r="D34" s="387">
        <f>3378*1.27-0.06</f>
        <v>4290</v>
      </c>
      <c r="E34" s="169"/>
    </row>
    <row r="35" spans="1:5" ht="12.75">
      <c r="A35" s="223" t="s">
        <v>4241</v>
      </c>
      <c r="B35" s="224"/>
      <c r="C35" s="945">
        <f>216+400</f>
        <v>616</v>
      </c>
      <c r="D35" s="387"/>
      <c r="E35" s="169"/>
    </row>
    <row r="36" spans="1:5" ht="12.75">
      <c r="A36" s="223" t="s">
        <v>4243</v>
      </c>
      <c r="B36" s="224"/>
      <c r="C36" s="945">
        <f>1651</f>
        <v>1651</v>
      </c>
      <c r="D36" s="387"/>
      <c r="E36" s="169"/>
    </row>
    <row r="37" spans="1:5" ht="12.75">
      <c r="A37" s="223" t="s">
        <v>4244</v>
      </c>
      <c r="B37" s="224"/>
      <c r="C37" s="945">
        <v>1000</v>
      </c>
      <c r="D37" s="387">
        <f>443+106</f>
        <v>549</v>
      </c>
      <c r="E37" s="169"/>
    </row>
    <row r="38" spans="1:5" ht="12.75">
      <c r="A38" s="223" t="s">
        <v>4245</v>
      </c>
      <c r="B38" s="224"/>
      <c r="C38" s="945"/>
      <c r="D38" s="387">
        <f>181+49</f>
        <v>230</v>
      </c>
      <c r="E38" s="169"/>
    </row>
    <row r="39" spans="1:5" ht="12.75">
      <c r="A39" s="223" t="s">
        <v>1054</v>
      </c>
      <c r="B39" s="224"/>
      <c r="C39" s="945">
        <f>78+22</f>
        <v>100</v>
      </c>
      <c r="D39" s="387"/>
      <c r="E39" s="169"/>
    </row>
    <row r="40" spans="1:5" ht="12.75">
      <c r="A40" s="223" t="s">
        <v>957</v>
      </c>
      <c r="B40" s="224"/>
      <c r="C40" s="945"/>
      <c r="D40" s="387">
        <v>1903</v>
      </c>
      <c r="E40" s="169"/>
    </row>
    <row r="41" spans="1:5" ht="12.75">
      <c r="A41" s="227" t="s">
        <v>959</v>
      </c>
      <c r="B41" s="226">
        <f>SUM(B7:B35)+0.1</f>
        <v>1448619.3900000001</v>
      </c>
      <c r="C41" s="234">
        <f>SUM(C7+C8+C9+C10+C14+C23+C25+C26+C27+C28+C31+C32+C35+C36+C37+C38+C39+C40)</f>
        <v>61975.61</v>
      </c>
      <c r="D41" s="234">
        <f>SUM(D7+D8+D9+D10+D14+D23+D25+D26+D27+D28+D31+D32+D35+D36+D37+D38+D39+D40+D29+D30)</f>
        <v>60004</v>
      </c>
      <c r="E41" s="169"/>
    </row>
    <row r="42" spans="1:5" ht="12.75">
      <c r="A42" s="191" t="s">
        <v>960</v>
      </c>
      <c r="B42" s="224">
        <v>400</v>
      </c>
      <c r="C42" s="945">
        <v>400</v>
      </c>
      <c r="D42" s="387"/>
      <c r="E42" s="169"/>
    </row>
    <row r="43" spans="1:5" ht="12.75">
      <c r="A43" s="191" t="s">
        <v>1055</v>
      </c>
      <c r="B43" s="224"/>
      <c r="C43" s="945"/>
      <c r="D43" s="387">
        <f>27+100</f>
        <v>127</v>
      </c>
      <c r="E43" s="169"/>
    </row>
    <row r="44" spans="1:5" ht="12.75">
      <c r="A44" s="191" t="s">
        <v>1056</v>
      </c>
      <c r="B44" s="224"/>
      <c r="C44" s="945"/>
      <c r="D44" s="387">
        <f>73+272</f>
        <v>345</v>
      </c>
      <c r="E44" s="169"/>
    </row>
    <row r="45" spans="1:5" ht="12.75">
      <c r="A45" s="191" t="s">
        <v>1057</v>
      </c>
      <c r="B45" s="224"/>
      <c r="C45" s="945"/>
      <c r="D45" s="387">
        <f>5+20</f>
        <v>25</v>
      </c>
      <c r="E45" s="169"/>
    </row>
    <row r="46" spans="1:5" ht="12.75">
      <c r="A46" s="227" t="s">
        <v>1058</v>
      </c>
      <c r="B46" s="226">
        <f>SUM(B42:B45)</f>
        <v>400</v>
      </c>
      <c r="C46" s="234">
        <f>SUM(C42:C45)</f>
        <v>400</v>
      </c>
      <c r="D46" s="234">
        <f>SUM(D42:D45)</f>
        <v>497</v>
      </c>
      <c r="E46" s="169"/>
    </row>
    <row r="47" spans="1:5" ht="99" customHeight="1">
      <c r="A47" s="1744"/>
      <c r="B47" s="1745"/>
      <c r="C47" s="1746"/>
      <c r="D47" s="1746"/>
      <c r="E47" s="169"/>
    </row>
    <row r="48" spans="1:5" ht="21">
      <c r="A48" s="217" t="s">
        <v>3735</v>
      </c>
      <c r="B48" s="218" t="s">
        <v>672</v>
      </c>
      <c r="C48" s="944" t="s">
        <v>4028</v>
      </c>
      <c r="D48" s="219" t="s">
        <v>4220</v>
      </c>
      <c r="E48" s="169"/>
    </row>
    <row r="49" spans="1:5" ht="12.75">
      <c r="A49" s="228" t="s">
        <v>960</v>
      </c>
      <c r="B49" s="224">
        <v>173</v>
      </c>
      <c r="C49" s="224">
        <v>173</v>
      </c>
      <c r="D49" s="224">
        <v>173</v>
      </c>
      <c r="E49" s="169"/>
    </row>
    <row r="50" spans="1:5" ht="12.75">
      <c r="A50" s="228" t="s">
        <v>1059</v>
      </c>
      <c r="B50" s="224">
        <v>400</v>
      </c>
      <c r="C50" s="224">
        <v>277</v>
      </c>
      <c r="D50" s="224">
        <v>277</v>
      </c>
      <c r="E50" s="169"/>
    </row>
    <row r="51" spans="1:5" ht="12.75">
      <c r="A51" s="228" t="s">
        <v>1060</v>
      </c>
      <c r="B51" s="224"/>
      <c r="C51" s="224">
        <v>1206</v>
      </c>
      <c r="D51" s="224">
        <v>1206</v>
      </c>
      <c r="E51" s="169"/>
    </row>
    <row r="52" spans="1:5" ht="12.75">
      <c r="A52" s="228" t="s">
        <v>1061</v>
      </c>
      <c r="B52" s="224"/>
      <c r="C52" s="224">
        <v>164</v>
      </c>
      <c r="D52" s="224">
        <v>164</v>
      </c>
      <c r="E52" s="169"/>
    </row>
    <row r="53" spans="1:5" ht="12.75">
      <c r="A53" s="228" t="s">
        <v>1062</v>
      </c>
      <c r="B53" s="224"/>
      <c r="C53" s="224">
        <v>3627</v>
      </c>
      <c r="D53" s="224">
        <v>3627</v>
      </c>
      <c r="E53" s="169"/>
    </row>
    <row r="54" spans="1:5" ht="12.75">
      <c r="A54" s="228" t="s">
        <v>1063</v>
      </c>
      <c r="B54" s="224"/>
      <c r="C54" s="224">
        <v>6731</v>
      </c>
      <c r="D54" s="224">
        <v>6731</v>
      </c>
      <c r="E54" s="169"/>
    </row>
    <row r="55" spans="1:5" ht="12.75">
      <c r="A55" s="228" t="s">
        <v>1064</v>
      </c>
      <c r="B55" s="224"/>
      <c r="C55" s="224">
        <v>587</v>
      </c>
      <c r="D55" s="224">
        <v>587</v>
      </c>
      <c r="E55" s="169"/>
    </row>
    <row r="56" spans="1:5" ht="12.75">
      <c r="A56" s="228" t="s">
        <v>1065</v>
      </c>
      <c r="B56" s="224"/>
      <c r="C56" s="224">
        <v>4234</v>
      </c>
      <c r="D56" s="224">
        <v>4234</v>
      </c>
      <c r="E56" s="169"/>
    </row>
    <row r="57" spans="1:5" ht="12.75">
      <c r="A57" s="228" t="s">
        <v>1066</v>
      </c>
      <c r="B57" s="224"/>
      <c r="C57" s="224">
        <v>3500</v>
      </c>
      <c r="D57" s="224">
        <v>3500</v>
      </c>
      <c r="E57" s="169"/>
    </row>
    <row r="58" spans="1:5" ht="12.75">
      <c r="A58" s="228" t="s">
        <v>1067</v>
      </c>
      <c r="B58" s="224"/>
      <c r="C58" s="224">
        <v>544</v>
      </c>
      <c r="D58" s="224">
        <v>544</v>
      </c>
      <c r="E58" s="169"/>
    </row>
    <row r="59" spans="1:5" ht="12.75">
      <c r="A59" s="228" t="s">
        <v>961</v>
      </c>
      <c r="B59" s="224"/>
      <c r="C59" s="224">
        <v>1016</v>
      </c>
      <c r="D59" s="224">
        <v>1016</v>
      </c>
      <c r="E59" s="169"/>
    </row>
    <row r="60" spans="1:5" ht="12.75">
      <c r="A60" s="228" t="s">
        <v>1068</v>
      </c>
      <c r="B60" s="224"/>
      <c r="C60" s="224">
        <v>1624</v>
      </c>
      <c r="D60" s="224">
        <v>1624</v>
      </c>
      <c r="E60" s="169"/>
    </row>
    <row r="61" spans="1:5" ht="12.75">
      <c r="A61" s="229" t="s">
        <v>1069</v>
      </c>
      <c r="B61" s="226">
        <f>SUM(B49:B60)</f>
        <v>573</v>
      </c>
      <c r="C61" s="226">
        <f>SUM(C49:C60)</f>
        <v>23683</v>
      </c>
      <c r="D61" s="226">
        <f>SUM(D49:D60)</f>
        <v>23683</v>
      </c>
      <c r="E61" s="169"/>
    </row>
    <row r="62" spans="1:5" ht="12.75">
      <c r="A62" s="228" t="s">
        <v>1070</v>
      </c>
      <c r="B62" s="224"/>
      <c r="C62" s="224">
        <v>331</v>
      </c>
      <c r="D62" s="224">
        <v>331</v>
      </c>
      <c r="E62" s="169"/>
    </row>
    <row r="63" spans="1:5" ht="12.75">
      <c r="A63" s="229" t="s">
        <v>1071</v>
      </c>
      <c r="B63" s="226">
        <f>SUM(B62:B62)</f>
        <v>0</v>
      </c>
      <c r="C63" s="226">
        <f>SUM(C62:C62)</f>
        <v>331</v>
      </c>
      <c r="D63" s="226">
        <f>SUM(D62:D62)</f>
        <v>331</v>
      </c>
      <c r="E63" s="169"/>
    </row>
    <row r="64" spans="1:5" ht="44.25" customHeight="1">
      <c r="A64" s="169"/>
      <c r="B64" s="169"/>
      <c r="C64" s="941"/>
      <c r="D64" s="941"/>
      <c r="E64" s="169"/>
    </row>
    <row r="65" spans="1:5" ht="24.75" customHeight="1">
      <c r="A65" s="2004" t="s">
        <v>2790</v>
      </c>
      <c r="B65" s="2004"/>
      <c r="C65" s="2004"/>
      <c r="D65" s="2004"/>
      <c r="E65" s="2004"/>
    </row>
    <row r="66" spans="1:5" ht="12.75">
      <c r="A66" s="2004" t="s">
        <v>1073</v>
      </c>
      <c r="B66" s="2004"/>
      <c r="C66" s="2004"/>
      <c r="D66" s="2004"/>
      <c r="E66" s="2004"/>
    </row>
    <row r="67" spans="1:5" ht="12.75">
      <c r="A67" s="208"/>
      <c r="B67" s="208"/>
      <c r="C67" s="421"/>
      <c r="D67" s="421"/>
      <c r="E67" s="208"/>
    </row>
    <row r="68" spans="1:5" ht="12.75">
      <c r="A68" s="208"/>
      <c r="B68" s="208"/>
      <c r="C68" s="421"/>
      <c r="D68" s="942" t="s">
        <v>1074</v>
      </c>
      <c r="E68" s="208"/>
    </row>
    <row r="69" spans="1:5" ht="21">
      <c r="A69" s="217" t="s">
        <v>3735</v>
      </c>
      <c r="B69" s="230" t="s">
        <v>672</v>
      </c>
      <c r="C69" s="943" t="s">
        <v>673</v>
      </c>
      <c r="D69" s="943" t="s">
        <v>1075</v>
      </c>
      <c r="E69" s="208"/>
    </row>
    <row r="70" spans="1:5" ht="12.75">
      <c r="A70" s="191" t="s">
        <v>1076</v>
      </c>
      <c r="B70" s="231">
        <v>15189</v>
      </c>
      <c r="C70" s="16">
        <v>15189</v>
      </c>
      <c r="D70" s="16">
        <f>8190</f>
        <v>8190</v>
      </c>
      <c r="E70" s="208"/>
    </row>
    <row r="71" spans="1:5" ht="12.75">
      <c r="A71" s="223" t="s">
        <v>4242</v>
      </c>
      <c r="B71" s="224"/>
      <c r="C71" s="945"/>
      <c r="D71" s="946">
        <f>94+729+102+1</f>
        <v>926</v>
      </c>
      <c r="E71" s="208"/>
    </row>
    <row r="72" spans="1:5" ht="12.75">
      <c r="A72" s="223" t="s">
        <v>4246</v>
      </c>
      <c r="B72" s="224"/>
      <c r="C72" s="945"/>
      <c r="D72" s="946">
        <f>15+118</f>
        <v>133</v>
      </c>
      <c r="E72" s="208"/>
    </row>
    <row r="73" spans="1:5" ht="12.75">
      <c r="A73" s="1748" t="s">
        <v>1077</v>
      </c>
      <c r="B73" s="232">
        <f>B70</f>
        <v>15189</v>
      </c>
      <c r="C73" s="232">
        <f>C70</f>
        <v>15189</v>
      </c>
      <c r="D73" s="232">
        <f>D70+D71+D72</f>
        <v>9249</v>
      </c>
      <c r="E73" s="169"/>
    </row>
    <row r="74" spans="1:5" ht="12.75">
      <c r="A74" s="228" t="s">
        <v>1072</v>
      </c>
      <c r="B74" s="233"/>
      <c r="C74" s="233">
        <v>500</v>
      </c>
      <c r="D74" s="233">
        <v>500</v>
      </c>
      <c r="E74" s="169"/>
    </row>
    <row r="75" spans="1:5" ht="15">
      <c r="A75" s="1747" t="s">
        <v>1078</v>
      </c>
      <c r="B75" s="234">
        <f>SUM(B74)</f>
        <v>0</v>
      </c>
      <c r="C75" s="233">
        <v>500</v>
      </c>
      <c r="D75" s="233">
        <v>500</v>
      </c>
      <c r="E75" s="235"/>
    </row>
    <row r="76" spans="1:5" ht="12.75">
      <c r="A76" s="1749" t="s">
        <v>1079</v>
      </c>
      <c r="B76" s="236">
        <f>B70</f>
        <v>15189</v>
      </c>
      <c r="C76" s="237">
        <f>C75+C73</f>
        <v>15689</v>
      </c>
      <c r="D76" s="237">
        <f>D75+D73</f>
        <v>9749</v>
      </c>
      <c r="E76" s="169"/>
    </row>
    <row r="77" spans="1:5" ht="12.75">
      <c r="A77" s="169"/>
      <c r="B77" s="169"/>
      <c r="C77" s="940"/>
      <c r="D77" s="940"/>
      <c r="E77" s="169"/>
    </row>
    <row r="78" spans="1:5" ht="12.75">
      <c r="A78" s="169"/>
      <c r="B78" s="169"/>
      <c r="C78" s="940"/>
      <c r="D78" s="940"/>
      <c r="E78" s="169"/>
    </row>
    <row r="79" spans="1:5" ht="12.75">
      <c r="A79" s="169"/>
      <c r="B79" s="169"/>
      <c r="C79" s="940"/>
      <c r="D79" s="940"/>
      <c r="E79" s="169"/>
    </row>
    <row r="80" spans="1:5" ht="12.75">
      <c r="A80" s="169"/>
      <c r="B80" s="169"/>
      <c r="C80" s="940"/>
      <c r="D80" s="940"/>
      <c r="E80" s="169"/>
    </row>
    <row r="81" spans="1:5" ht="12.75">
      <c r="A81" s="169"/>
      <c r="B81" s="169"/>
      <c r="C81" s="940"/>
      <c r="D81" s="940"/>
      <c r="E81" s="169"/>
    </row>
    <row r="82" spans="1:5" ht="12.75">
      <c r="A82" s="169"/>
      <c r="B82" s="169"/>
      <c r="C82" s="940"/>
      <c r="D82" s="940"/>
      <c r="E82" s="169"/>
    </row>
    <row r="83" spans="1:5" ht="12.75">
      <c r="A83" s="169"/>
      <c r="B83" s="169"/>
      <c r="C83" s="940"/>
      <c r="D83" s="940"/>
      <c r="E83" s="169"/>
    </row>
    <row r="84" spans="1:5" ht="12.75">
      <c r="A84" s="169"/>
      <c r="B84" s="169"/>
      <c r="C84" s="940"/>
      <c r="D84" s="940"/>
      <c r="E84" s="169"/>
    </row>
    <row r="85" spans="1:5" ht="12.75">
      <c r="A85" s="169"/>
      <c r="B85" s="169"/>
      <c r="C85" s="940"/>
      <c r="D85" s="940"/>
      <c r="E85" s="169"/>
    </row>
    <row r="86" spans="1:5" ht="12.75">
      <c r="A86" s="169"/>
      <c r="B86" s="169"/>
      <c r="C86" s="940"/>
      <c r="D86" s="940"/>
      <c r="E86" s="169"/>
    </row>
    <row r="87" spans="1:5" ht="12.75">
      <c r="A87" s="169"/>
      <c r="B87" s="169"/>
      <c r="C87" s="940"/>
      <c r="D87" s="940"/>
      <c r="E87" s="169"/>
    </row>
    <row r="88" spans="1:5" ht="12.75">
      <c r="A88" s="169"/>
      <c r="B88" s="169"/>
      <c r="C88" s="940"/>
      <c r="D88" s="940"/>
      <c r="E88" s="169"/>
    </row>
    <row r="89" spans="1:5" ht="12.75">
      <c r="A89" s="169"/>
      <c r="B89" s="169"/>
      <c r="C89" s="940"/>
      <c r="D89" s="940"/>
      <c r="E89" s="169"/>
    </row>
    <row r="90" spans="1:5" ht="12.75">
      <c r="A90" s="169"/>
      <c r="B90" s="169"/>
      <c r="C90" s="940"/>
      <c r="D90" s="940"/>
      <c r="E90" s="169"/>
    </row>
    <row r="91" spans="1:5" ht="12.75">
      <c r="A91" s="169"/>
      <c r="B91" s="169"/>
      <c r="C91" s="940"/>
      <c r="D91" s="940"/>
      <c r="E91" s="169"/>
    </row>
    <row r="92" spans="1:5" ht="12.75">
      <c r="A92" s="169"/>
      <c r="B92" s="169"/>
      <c r="C92" s="940"/>
      <c r="D92" s="940"/>
      <c r="E92" s="169"/>
    </row>
    <row r="93" spans="1:5" ht="12.75">
      <c r="A93" s="169"/>
      <c r="B93" s="169"/>
      <c r="C93" s="940"/>
      <c r="D93" s="940"/>
      <c r="E93" s="169"/>
    </row>
    <row r="94" spans="1:5" ht="12.75">
      <c r="A94" s="169"/>
      <c r="B94" s="169"/>
      <c r="C94" s="940"/>
      <c r="D94" s="940"/>
      <c r="E94" s="169"/>
    </row>
  </sheetData>
  <sheetProtection/>
  <mergeCells count="5">
    <mergeCell ref="A1:D1"/>
    <mergeCell ref="A66:E66"/>
    <mergeCell ref="A2:C2"/>
    <mergeCell ref="A65:E65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Felhasználó</cp:lastModifiedBy>
  <cp:lastPrinted>2014-04-17T05:50:50Z</cp:lastPrinted>
  <dcterms:created xsi:type="dcterms:W3CDTF">1997-01-17T14:02:09Z</dcterms:created>
  <dcterms:modified xsi:type="dcterms:W3CDTF">2014-05-15T14:06:54Z</dcterms:modified>
  <cp:category/>
  <cp:version/>
  <cp:contentType/>
  <cp:contentStatus/>
</cp:coreProperties>
</file>