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firstSheet="12" activeTab="18"/>
  </bookViews>
  <sheets>
    <sheet name="bor.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 - átadások" sheetId="7" r:id="rId7"/>
    <sheet name="7.mell. - ellátottak jutt." sheetId="8" r:id="rId8"/>
    <sheet name="8.mell. - beruházások" sheetId="9" r:id="rId9"/>
    <sheet name="9.mell.-felújítások" sheetId="10" r:id="rId10"/>
    <sheet name="10.mell. - közgazd.mérleg" sheetId="11" r:id="rId11"/>
    <sheet name="11.mell. -ei.felh.ütemt." sheetId="12" r:id="rId12"/>
    <sheet name="12.mell. -részesedések" sheetId="13" r:id="rId13"/>
    <sheet name="13.mell. -kezesség" sheetId="14" r:id="rId14"/>
    <sheet name="14.mell. - uniós" sheetId="15" r:id="rId15"/>
    <sheet name="15.mell.- közvetett" sheetId="16" r:id="rId16"/>
    <sheet name="16.mell.-középtávú" sheetId="17" r:id="rId17"/>
    <sheet name="17.mell." sheetId="18" r:id="rId18"/>
    <sheet name="18,mell." sheetId="19" r:id="rId19"/>
  </sheets>
  <definedNames>
    <definedName name="_xlnm.Print_Titles" localSheetId="2">'2.mell - bevétel'!$8:$10</definedName>
    <definedName name="_xlnm.Print_Area" localSheetId="2">'2.mell - bevétel'!$A$1:$I$113</definedName>
  </definedNames>
  <calcPr fullCalcOnLoad="1"/>
</workbook>
</file>

<file path=xl/sharedStrings.xml><?xml version="1.0" encoding="utf-8"?>
<sst xmlns="http://schemas.openxmlformats.org/spreadsheetml/2006/main" count="1121" uniqueCount="624">
  <si>
    <t>Megnevezés</t>
  </si>
  <si>
    <t>Ft</t>
  </si>
  <si>
    <t>Összesen:</t>
  </si>
  <si>
    <t>létszám</t>
  </si>
  <si>
    <t>Sitke község Önkormányzata</t>
  </si>
  <si>
    <t>( e Ft-ban)</t>
  </si>
  <si>
    <t>e Ft</t>
  </si>
  <si>
    <t>állandó</t>
  </si>
  <si>
    <t>juttatások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</si>
  <si>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</si>
  <si>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</si>
  <si>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</si>
  <si>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</si>
  <si>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</si>
  <si>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</si>
  <si>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</si>
  <si>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</si>
  <si>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</si>
  <si>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</si>
  <si>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</si>
  <si>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</si>
  <si>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</si>
  <si>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</si>
  <si>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részvényei, részesedései, értékpapírjai</t>
  </si>
  <si>
    <t>Citerazenekar támogatása</t>
  </si>
  <si>
    <t>2.</t>
  </si>
  <si>
    <t>Kistérségi tagsági díj</t>
  </si>
  <si>
    <t>Eseti társadalom, szociálpolitikai és egyéb társadalombiztosítási</t>
  </si>
  <si>
    <t>juttatások összesen:</t>
  </si>
  <si>
    <t>Működési célú szociális támogatások összesen:</t>
  </si>
  <si>
    <t>Társadalom-, szociálispolitikai és egyéb társadalom-</t>
  </si>
  <si>
    <t>biztosítási juttatások mindösszesen: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</si>
  <si>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</si>
  <si>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</si>
  <si>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</si>
  <si>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</si>
  <si>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</si>
  <si>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 xml:space="preserve">Sitke község Önkormányzata   </t>
  </si>
  <si>
    <t>Társadalom-, szociálpolitikai  és egyéb társadalombiztosítási kiadásai</t>
  </si>
  <si>
    <t>SITKE KÖZSÉG ÖNKORMÁNYZATA</t>
  </si>
  <si>
    <t>sor-</t>
  </si>
  <si>
    <t>szám</t>
  </si>
  <si>
    <t>1.</t>
  </si>
  <si>
    <t>3.</t>
  </si>
  <si>
    <t>TÁRGYÉVI BEVÉTELEK ÖSSZESEN:</t>
  </si>
  <si>
    <t xml:space="preserve">Tekeszakosztály 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</si>
  <si>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</si>
  <si>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</si>
  <si>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</si>
  <si>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</si>
  <si>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</si>
  <si>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</si>
  <si>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</si>
  <si>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</si>
  <si>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</si>
  <si>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</si>
  <si>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</si>
  <si>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</si>
  <si>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</si>
  <si>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</si>
  <si>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2018.                                     év</t>
  </si>
  <si>
    <t>2019.                                     év</t>
  </si>
  <si>
    <t>összesen</t>
  </si>
  <si>
    <t>Megnevezése, fajtája, száma</t>
  </si>
  <si>
    <t>Sitkei  Viziközmű Társulat által felvett hitel</t>
  </si>
  <si>
    <t>formája: készfizető kezsségvállalás</t>
  </si>
  <si>
    <t>devizaneme:       Ft</t>
  </si>
  <si>
    <t>futamideje:        2012-2019</t>
  </si>
  <si>
    <t>kezességvállalás összesen:</t>
  </si>
  <si>
    <t>KÖZHATALMI BEVÉTELEK ÖSSZESEN:</t>
  </si>
  <si>
    <t>vendégebéd térítési díja</t>
  </si>
  <si>
    <t>működési kiadások</t>
  </si>
  <si>
    <t>felhalmozási kiadások</t>
  </si>
  <si>
    <t>felújítások</t>
  </si>
  <si>
    <t>Labdarugó Szakosztály támogatása</t>
  </si>
  <si>
    <t xml:space="preserve">Tanévkezdési támogatás </t>
  </si>
  <si>
    <t xml:space="preserve">       - egyéb működési kiadások</t>
  </si>
  <si>
    <t xml:space="preserve">       - egyéb felhalmozási kiadások</t>
  </si>
  <si>
    <t>szociális étkeztetés térítési díja</t>
  </si>
  <si>
    <t>táborozás támogatása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</si>
  <si>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</si>
  <si>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</si>
  <si>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</si>
  <si>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</si>
  <si>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</si>
  <si>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</si>
  <si>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</si>
  <si>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</si>
  <si>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</si>
  <si>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</si>
  <si>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</si>
  <si>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</si>
  <si>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</si>
  <si>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</si>
  <si>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</si>
  <si>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</si>
  <si>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</si>
  <si>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</si>
  <si>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</si>
  <si>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</si>
  <si>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</si>
  <si>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</si>
  <si>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</si>
  <si>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</si>
  <si>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</si>
  <si>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</si>
  <si>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</si>
  <si>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üdülőhelyi feladatok támogatása</t>
  </si>
  <si>
    <t>Helyi önkormányzatok  működésének  általános támogatása összesen:</t>
  </si>
  <si>
    <t>MŰKÖDÉSI CÉLÚ TÁMOGATÁSOK ÁLLAMHÁZTARTÁSON BELÜLRŐL ÖSSZESEN:</t>
  </si>
  <si>
    <t>FELHALMOZÁSI CÉLÚ TÁMOGATÁSOK ÁLLAMHÁZTARTÁSON BELÜLRŐL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</si>
  <si>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</si>
  <si>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</si>
  <si>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</si>
  <si>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</si>
  <si>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</si>
  <si>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</si>
  <si>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</si>
  <si>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</si>
  <si>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</si>
  <si>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</si>
  <si>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</si>
  <si>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</si>
  <si>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</si>
  <si>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</si>
  <si>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</si>
  <si>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</si>
  <si>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</si>
  <si>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</si>
  <si>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</si>
  <si>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</si>
  <si>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</si>
  <si>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</si>
  <si>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</si>
  <si>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</si>
  <si>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</si>
  <si>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</si>
  <si>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</si>
  <si>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</si>
  <si>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</si>
  <si>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</si>
  <si>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</si>
  <si>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</si>
  <si>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</si>
  <si>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</si>
  <si>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</si>
  <si>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</si>
  <si>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</si>
  <si>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</si>
  <si>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</si>
  <si>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</si>
  <si>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</si>
  <si>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</si>
  <si>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</si>
  <si>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</si>
  <si>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</si>
  <si>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</si>
  <si>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</si>
  <si>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</si>
  <si>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</si>
  <si>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</si>
  <si>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</si>
  <si>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</si>
  <si>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</si>
  <si>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</si>
  <si>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</si>
  <si>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</si>
  <si>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</si>
  <si>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</si>
  <si>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</si>
  <si>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</si>
  <si>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</si>
  <si>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</si>
  <si>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</si>
  <si>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</si>
  <si>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</si>
  <si>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</si>
  <si>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</si>
  <si>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</si>
  <si>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</si>
  <si>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</si>
  <si>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</si>
  <si>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</si>
  <si>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</si>
  <si>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</si>
  <si>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</si>
  <si>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</si>
  <si>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</si>
  <si>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</si>
  <si>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</si>
  <si>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</si>
  <si>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</si>
  <si>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</si>
  <si>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</si>
  <si>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</si>
  <si>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</si>
  <si>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</si>
  <si>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</si>
  <si>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</si>
  <si>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</si>
  <si>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</si>
  <si>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</si>
  <si>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</si>
  <si>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</si>
  <si>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</si>
  <si>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</si>
  <si>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</si>
  <si>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</si>
  <si>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</si>
  <si>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</si>
  <si>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</si>
  <si>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</si>
  <si>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</si>
  <si>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</si>
  <si>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</si>
  <si>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</si>
  <si>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107051</t>
  </si>
  <si>
    <t>Házi segítségnyújtás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</si>
  <si>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</si>
  <si>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</si>
  <si>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</si>
  <si>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</si>
  <si>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</si>
  <si>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</si>
  <si>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</si>
  <si>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</si>
  <si>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</si>
  <si>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</si>
  <si>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</si>
  <si>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</si>
  <si>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</si>
  <si>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</si>
  <si>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</si>
  <si>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</si>
  <si>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</si>
  <si>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</si>
  <si>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</si>
  <si>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</si>
  <si>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</si>
  <si>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</si>
  <si>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</si>
  <si>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</si>
  <si>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</si>
  <si>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</si>
  <si>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működési célú visszatérítendő támogatások, kölcsönök nyújtása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</si>
  <si>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</si>
  <si>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</si>
  <si>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</si>
  <si>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</si>
  <si>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</si>
  <si>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</si>
  <si>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</si>
  <si>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</si>
  <si>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</si>
  <si>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</si>
  <si>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</si>
  <si>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</si>
  <si>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</si>
  <si>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</si>
  <si>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</si>
  <si>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</si>
  <si>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</si>
  <si>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</si>
  <si>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</si>
  <si>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</si>
  <si>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</si>
  <si>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</si>
  <si>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</si>
  <si>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</si>
  <si>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</si>
  <si>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</si>
  <si>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</si>
  <si>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</si>
  <si>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</si>
  <si>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</si>
  <si>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</si>
  <si>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</si>
  <si>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</si>
  <si>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Egyéb felhalmozási kiadások államháztartáson kívülre</t>
  </si>
  <si>
    <t>Első lakáshoz jutók lakásépítésének és -vásárlásnak viszza nem térítendő támogatása</t>
  </si>
  <si>
    <t>Egyéb felhalmozási kiadások államháztartáson kívülre összesen:</t>
  </si>
  <si>
    <t>Költségvetési (működési és felhalmozási ) mérlege</t>
  </si>
  <si>
    <t>Sitke község Önkormányzta</t>
  </si>
  <si>
    <t>Kezességvállalások állománya</t>
  </si>
  <si>
    <t>mértéke: lakossági érdekeltségi hozzájárulás együttes összegének 20 %-a,  induláskor 11.322.424 Ft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</si>
  <si>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</si>
  <si>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</si>
  <si>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</si>
  <si>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</si>
  <si>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</si>
  <si>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</si>
  <si>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</si>
  <si>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</si>
  <si>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</si>
  <si>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</si>
  <si>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</si>
  <si>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</si>
  <si>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</si>
  <si>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</si>
  <si>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</si>
  <si>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</si>
  <si>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</si>
  <si>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</si>
  <si>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</si>
  <si>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</si>
  <si>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</si>
  <si>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</si>
  <si>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</si>
  <si>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Előzetesen felszámított általános forgalmi adó</t>
  </si>
  <si>
    <t>BERUHÁZÁSOK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</si>
  <si>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</si>
  <si>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</si>
  <si>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</si>
  <si>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</si>
  <si>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</si>
  <si>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</si>
  <si>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</si>
  <si>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</si>
  <si>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</si>
  <si>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</si>
  <si>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</si>
  <si>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</si>
  <si>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</si>
  <si>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</si>
  <si>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</si>
  <si>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</si>
  <si>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</si>
  <si>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</si>
  <si>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</si>
  <si>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</si>
  <si>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</si>
  <si>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</si>
  <si>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</si>
  <si>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</si>
  <si>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</si>
  <si>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</si>
  <si>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</si>
  <si>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</si>
  <si>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</si>
  <si>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</si>
  <si>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</si>
  <si>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</si>
  <si>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</si>
  <si>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</si>
  <si>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</si>
  <si>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</si>
  <si>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</si>
  <si>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</si>
  <si>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</si>
  <si>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</si>
  <si>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</si>
  <si>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</si>
  <si>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107052</t>
  </si>
  <si>
    <t>Gyermekvédelmi pénzbeni és természetbeni ellátások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</si>
  <si>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</si>
  <si>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</si>
  <si>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</si>
  <si>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</si>
  <si>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 xml:space="preserve">EURÓPAI UNIÓS TÁMOGATÁSOKBÓL FINANSZÍROZOTT PROJEKTEK FORRÁSÖSSZETÉTELE </t>
  </si>
  <si>
    <t>Sor- szám</t>
  </si>
  <si>
    <t>Projekt  megnevezése</t>
  </si>
  <si>
    <t>támoga- tás mértéke  %</t>
  </si>
  <si>
    <t>saját erőforrás</t>
  </si>
  <si>
    <t>támogatás</t>
  </si>
  <si>
    <t>Mindösszesen</t>
  </si>
  <si>
    <t>saját erő</t>
  </si>
  <si>
    <t>bekerülési költség</t>
  </si>
  <si>
    <t>összesen:</t>
  </si>
  <si>
    <t>2014.</t>
  </si>
  <si>
    <t>2015.</t>
  </si>
  <si>
    <t>Mikrobusz beszerzése (vidéki gazdaság és lakosság számára nyújtott alapszolgáltatások fejlesztése)</t>
  </si>
  <si>
    <t>KÖZVETETT TÁMOGATÁSOK</t>
  </si>
  <si>
    <t>A. helyi adónál biztosított közvetett támogatások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</si>
  <si>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</si>
  <si>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</si>
  <si>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</si>
  <si>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</si>
  <si>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</si>
  <si>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</si>
  <si>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</si>
  <si>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</si>
  <si>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</si>
  <si>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</si>
  <si>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</si>
  <si>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</si>
  <si>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állandó lakás céljára ténylegesen használt ingatlan adóalanya</t>
  </si>
  <si>
    <t>magánsz. kommunális adója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</si>
  <si>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</si>
  <si>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</si>
  <si>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</si>
  <si>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</si>
  <si>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</si>
  <si>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</si>
  <si>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</si>
  <si>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</si>
  <si>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</si>
  <si>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</si>
  <si>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</si>
  <si>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</si>
  <si>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</si>
  <si>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</si>
  <si>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</si>
  <si>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</si>
  <si>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</si>
  <si>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</si>
  <si>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</si>
  <si>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</si>
  <si>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</si>
  <si>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</si>
  <si>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</si>
  <si>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</si>
  <si>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</si>
  <si>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Sitke község Önkormányzata saját bevételeinek, valamint az adósságot keletkeztető ügyleteiből eredő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</si>
  <si>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</si>
  <si>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</si>
  <si>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</si>
  <si>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</si>
  <si>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</si>
  <si>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</si>
  <si>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</si>
  <si>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</si>
  <si>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</si>
  <si>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</si>
  <si>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</si>
  <si>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</si>
  <si>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</si>
  <si>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</si>
  <si>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</si>
  <si>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</si>
  <si>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</si>
  <si>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</si>
  <si>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 xml:space="preserve">vissz visszavásárlási kötelezettség kikötésével megkötött adásvételi szerződés eladói félként történő megkötése avásárlási kötelezettség kikötésével megkötött adásvételi szerződés 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</si>
  <si>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</si>
  <si>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</si>
  <si>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költségvetése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</si>
  <si>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</si>
  <si>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</si>
  <si>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</si>
  <si>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</si>
  <si>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</si>
  <si>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Közművelődés - Amatőr művészetek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</si>
  <si>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</si>
  <si>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</si>
  <si>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</si>
  <si>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</si>
  <si>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0820093</t>
  </si>
  <si>
    <t>Közművelődés - amatőr művészetek</t>
  </si>
  <si>
    <t xml:space="preserve"> egyéb működési és felhalmozási kiadásai</t>
  </si>
  <si>
    <t>Egyéb gép, berendezés, felszerelés beszerzése</t>
  </si>
  <si>
    <t>082044Könyvtári szolgáltatások</t>
  </si>
  <si>
    <t>Könyvtári infrastruktúra fejlesztés támogatása, eszközbeszerzés</t>
  </si>
  <si>
    <t>Áht-n belüli megelőlegezések viszafizetése</t>
  </si>
  <si>
    <t xml:space="preserve">          Áht-n belüli megelőlegezések visszafizetése</t>
  </si>
  <si>
    <t>-Áht-n belüli megelőlegezések visszafizetése</t>
  </si>
  <si>
    <t>FELÚJÍTÁSI KIADÁSOK</t>
  </si>
  <si>
    <t xml:space="preserve">Összesen: </t>
  </si>
  <si>
    <t>FELÚJÍTÁSOK ÖSSZESEN:</t>
  </si>
  <si>
    <t>Felújítási célú előzetesen felszámított le nem vonható általános forgalmi adóra</t>
  </si>
  <si>
    <t>költségvetési szerv,társadalmi szervezet</t>
  </si>
  <si>
    <t>Gjt.5.§.a.-b. pont</t>
  </si>
  <si>
    <t>( Ft-ban)</t>
  </si>
  <si>
    <t>kiegészítés - I.1. jogcímhez kapcsolódóan</t>
  </si>
  <si>
    <t xml:space="preserve"> Ft</t>
  </si>
  <si>
    <t>sorszám</t>
  </si>
  <si>
    <t>(Ft-ban)</t>
  </si>
  <si>
    <t>018030</t>
  </si>
  <si>
    <t>Támogatási célú finanszírozási műveletek</t>
  </si>
  <si>
    <t>045160</t>
  </si>
  <si>
    <t>Közutak, hidak, alagutak üzemeltetése, fenntartása</t>
  </si>
  <si>
    <t>Egyéb különféle működési bevételek</t>
  </si>
  <si>
    <t>21.</t>
  </si>
  <si>
    <t>22.</t>
  </si>
  <si>
    <t>23.</t>
  </si>
  <si>
    <t>24.</t>
  </si>
  <si>
    <t>25.</t>
  </si>
  <si>
    <t>26.</t>
  </si>
  <si>
    <t>27.</t>
  </si>
  <si>
    <t>Sorszám</t>
  </si>
  <si>
    <t>(  Ft-ban)</t>
  </si>
  <si>
    <t>megelőlegezett állami támogatás igénybevétele</t>
  </si>
  <si>
    <t>1.1.</t>
  </si>
  <si>
    <t>1.1.1.</t>
  </si>
  <si>
    <t>1.1.2.</t>
  </si>
  <si>
    <t>1.2.</t>
  </si>
  <si>
    <t>1.3.</t>
  </si>
  <si>
    <t>1.4.</t>
  </si>
  <si>
    <t>1.5.</t>
  </si>
  <si>
    <t>1.6.</t>
  </si>
  <si>
    <t>1.6.1.</t>
  </si>
  <si>
    <t>1.7.</t>
  </si>
  <si>
    <t>1.7.1.</t>
  </si>
  <si>
    <t>1.7.2.</t>
  </si>
  <si>
    <t>3.1.</t>
  </si>
  <si>
    <t>3.1.1.</t>
  </si>
  <si>
    <t>3.1.2</t>
  </si>
  <si>
    <t>3.1.3.</t>
  </si>
  <si>
    <t>3.1.4.</t>
  </si>
  <si>
    <t>3.2</t>
  </si>
  <si>
    <t>3.2.2.</t>
  </si>
  <si>
    <t>3.2.3</t>
  </si>
  <si>
    <t>4.1.</t>
  </si>
  <si>
    <t>4.2.</t>
  </si>
  <si>
    <t>4.3.</t>
  </si>
  <si>
    <t>3.1.5.</t>
  </si>
  <si>
    <t>3.2.1.</t>
  </si>
  <si>
    <t>28.</t>
  </si>
  <si>
    <t>TÁRGYÉVI KÖLTSÉGVETÉS EGYENLEGE</t>
  </si>
  <si>
    <t>1. Magánszemélyek kommunális adója</t>
  </si>
  <si>
    <t>2016.</t>
  </si>
  <si>
    <t>Egyéb építmény felújítása</t>
  </si>
  <si>
    <t>(  Ft-ban )</t>
  </si>
  <si>
    <t xml:space="preserve"> 011130 Önkormányzatok és önk. hivatalok jogalkotó és ált. igaztatási tevékenysége</t>
  </si>
  <si>
    <t xml:space="preserve">       - Általános tartalék</t>
  </si>
  <si>
    <t>3.1.6.</t>
  </si>
  <si>
    <t>2.1.</t>
  </si>
  <si>
    <t>Bursa Hungarica ösztöndíj pályázat  támogatása</t>
  </si>
  <si>
    <t>2018. 01.01-től</t>
  </si>
  <si>
    <t>2021.</t>
  </si>
  <si>
    <t>Polgármesteri illetmény támogatása</t>
  </si>
  <si>
    <t>A finanszírozás szempontjából elismert dolgozók bértámogatása</t>
  </si>
  <si>
    <t>Gyermekétkeztetés üzemeltetési támogatása</t>
  </si>
  <si>
    <t>Gjt. 6.§.(2) bek.</t>
  </si>
  <si>
    <t>Gjt. 6.§.(4) bek.</t>
  </si>
  <si>
    <t>041233</t>
  </si>
  <si>
    <t>Hosszabb időtartamú közfoglalkoztatás</t>
  </si>
  <si>
    <t>Sitke Község Önkormányzat összesen</t>
  </si>
  <si>
    <t>29.</t>
  </si>
  <si>
    <t>30.</t>
  </si>
  <si>
    <t>Sitke Önkormányzati Konyha összesen:</t>
  </si>
  <si>
    <t>Mindösszesen:</t>
  </si>
  <si>
    <t>Sitke község önkormányzata összesen:</t>
  </si>
  <si>
    <t xml:space="preserve">Szociális étkeztetés </t>
  </si>
  <si>
    <t>Munkahelyi étkeztetés köznevelési int. (vendég)</t>
  </si>
  <si>
    <t>Házi segítség nyújtás ellátására Sárvár Város Önkormányzattal kötött szerződés alapján fizetendő támogatás</t>
  </si>
  <si>
    <t>1.1.4.</t>
  </si>
  <si>
    <t xml:space="preserve">SITKE KÖZSÉG ÖNKORMÁNYZATA  </t>
  </si>
  <si>
    <t>BEVÉTELEINEK KÖLTSÉGVETÉSI SZERVENKÉNTI ALAKULÁSA</t>
  </si>
  <si>
    <t xml:space="preserve"> Ft-ban </t>
  </si>
  <si>
    <t>SORSZÁM</t>
  </si>
  <si>
    <t xml:space="preserve"> bevételek összesen: </t>
  </si>
  <si>
    <t xml:space="preserve"> működési bevételek </t>
  </si>
  <si>
    <t xml:space="preserve"> felhalmozási bevételek </t>
  </si>
  <si>
    <t xml:space="preserve"> finanszírozási bevételek </t>
  </si>
  <si>
    <t xml:space="preserve"> működési támogatások államháztartáson belülről </t>
  </si>
  <si>
    <t xml:space="preserve"> közhatalmi bevételek </t>
  </si>
  <si>
    <t xml:space="preserve"> működési célú átvett pénz-    eszközök </t>
  </si>
  <si>
    <t xml:space="preserve"> működési bevételek összesen </t>
  </si>
  <si>
    <t xml:space="preserve"> felhalmozási támogatások államháztar- táson belülről </t>
  </si>
  <si>
    <t xml:space="preserve"> felhalmozási bevételek összesen </t>
  </si>
  <si>
    <t xml:space="preserve"> előző évi költségvetési  maradvány igénybevétele </t>
  </si>
  <si>
    <t xml:space="preserve"> központi, irányító szervi támogatás </t>
  </si>
  <si>
    <t>Sitke Község Önkormányzata</t>
  </si>
  <si>
    <t>Sitkei önkormányzati Konyha</t>
  </si>
  <si>
    <t>ÖSSZESEN:</t>
  </si>
  <si>
    <t>KÖLTSÉGVETÉSI SZERVEK KÖZPONTI KÖLTSÉGVETÉSI ÉS ÖNKORMÁNYZATI TÁMOGATÁSA</t>
  </si>
  <si>
    <t xml:space="preserve"> (  Ft-ban ) </t>
  </si>
  <si>
    <t>központi költségvetési támogatás</t>
  </si>
  <si>
    <t>önkormányzati támogatás</t>
  </si>
  <si>
    <t xml:space="preserve"> összes támogatás </t>
  </si>
  <si>
    <t xml:space="preserve">  Ft </t>
  </si>
  <si>
    <t>megoszlás    %-a</t>
  </si>
  <si>
    <t>megoszlás %-a</t>
  </si>
  <si>
    <t>Sitkei Önkormányzati Konyha</t>
  </si>
  <si>
    <t>Intézmény megnevezése</t>
  </si>
  <si>
    <t xml:space="preserve"> felhalmozási célú átvett pénzeszk. </t>
  </si>
  <si>
    <t xml:space="preserve"> előirányzat     (  Ft)</t>
  </si>
  <si>
    <t xml:space="preserve"> - egyéb működési célú támogatások </t>
  </si>
  <si>
    <t xml:space="preserve">Áht-n belüli megelőlegezések </t>
  </si>
  <si>
    <t>26..</t>
  </si>
  <si>
    <t>31.</t>
  </si>
  <si>
    <t>2019. év</t>
  </si>
  <si>
    <t>066020 Város - és községgazdálkodási egyéb szolgáltatások</t>
  </si>
  <si>
    <t>Műfüves pálya létesítéséhez önerő</t>
  </si>
  <si>
    <t>2022.</t>
  </si>
  <si>
    <t>felhalmozási célú visszatérítendő támogatások államháztartáson kívülről</t>
  </si>
  <si>
    <t xml:space="preserve">2. </t>
  </si>
  <si>
    <t>Felhalmozási célú egyéb átvett pénzeszközök (Kápolnáért Kultúrális és Sport Egyesület támogatása ( műfüves pálya önrészéhez)</t>
  </si>
  <si>
    <t xml:space="preserve">Sághegy Leader tagdíj </t>
  </si>
  <si>
    <t>Hímzőszakkör támogatása (2018-2019.)</t>
  </si>
  <si>
    <t>Nyugdíjas Klub ( előző évről 130.000 Ft)</t>
  </si>
  <si>
    <t>Arany János tehetséggondozó programban résztvevő támogatása</t>
  </si>
  <si>
    <t>időskorúak támogatása</t>
  </si>
  <si>
    <t>FELHALMOZÁSI CÉLÚ VISSZATÉRÍTENDŐ TÁMOGATÁSOK, KÖLCSÖNÖK NYÚJTÁSA ÁLLAMHÁZTARTÁSON KÍVÜLRE</t>
  </si>
  <si>
    <t>FELHALMOZÁSI CÉLÚ VISSZATÉRÍTENDŐ TÁMOGATÁSOK, KÖLCSÖNÖK NYÚJTÁSA ÁLLAMHÁZTARTÁSON KÍVÜLRE ÖSSZESEN:</t>
  </si>
  <si>
    <t xml:space="preserve">2020. évi </t>
  </si>
  <si>
    <t>2020. évre</t>
  </si>
  <si>
    <t>2020. év</t>
  </si>
  <si>
    <t>2020.évre</t>
  </si>
  <si>
    <t>2020.év</t>
  </si>
  <si>
    <t>(2019. december 31-i állapot szerint)</t>
  </si>
  <si>
    <t>2015-2020. év</t>
  </si>
  <si>
    <t>2021-2023. év</t>
  </si>
  <si>
    <t>Sitkei Citerazenekar Kulturális Egyesület eszközbeszerzés támogatása (pályázathoz önerő)</t>
  </si>
  <si>
    <t>Sitkei Citerazenekar Kulturális Egyesület eszközbeszerzés támogatása (pályázathoz visszatérítendő támogatás)</t>
  </si>
  <si>
    <t>Kistérséghez orvosi ügyeletre</t>
  </si>
  <si>
    <t>2023.</t>
  </si>
  <si>
    <t>Magyar Falu Program Óvodafejlesztés eszközbeszerzés</t>
  </si>
  <si>
    <t>3.2.</t>
  </si>
  <si>
    <t xml:space="preserve">Magyar Falu Program Óvodafejlesztés </t>
  </si>
  <si>
    <t>Magyar Falu Program Óvoda udvar</t>
  </si>
  <si>
    <t>1.1.3.</t>
  </si>
  <si>
    <t>TOP-2.1.-3-16 Belterületi csapadékvíz elvezetésével megvalósuló települési környezetvédelmi infrastuktúra fejlelsztése pályázathoz tervdokumentációk</t>
  </si>
  <si>
    <t>előző év költségvetési maradvány igénybevétele áthúzódó fejlesztési feladatokra</t>
  </si>
  <si>
    <t>2020. évi feladatokra</t>
  </si>
  <si>
    <t xml:space="preserve">ELŐZŐ ÉVEK KÖLTSÉGVETÉSI MARADVÁNY IGÉNYBEVÉTELE </t>
  </si>
  <si>
    <t>2019.ÉVBEN MEGELŐLEGEZETT ÁLLAMI TÁMOGATÁS</t>
  </si>
  <si>
    <t>1. melléklet  a  2/2020. (II.13.) önkormányzati rendelethez</t>
  </si>
  <si>
    <t>2. melléklet  a  2/2020. (II.13.) önkormányzati rendelethez</t>
  </si>
  <si>
    <t>3. melléklet  a  2/2020. (II.13.) önkormányzati rendelethez</t>
  </si>
  <si>
    <t>4. melléklet  a  2/2020. (II.13.) önkormányzati rendelethez</t>
  </si>
  <si>
    <t>5. melléklet  a 2/2020. (II.13.) önkormányzati rendelethez</t>
  </si>
  <si>
    <t>6. melléklet  a  2/2020. (II.13.) önkormányzati rendelethez</t>
  </si>
  <si>
    <t>7. melléklet  a  2/2020. (II.13.) önkormányzati rendelethez</t>
  </si>
  <si>
    <t>8. melléklet a 2/2020. (II.13.) önkormányzati rendelethez</t>
  </si>
  <si>
    <t>9. melléklet a 2/2020. (II.13.) sz. önkormányzati rendelethez</t>
  </si>
  <si>
    <t>10. melléklet a 2/2020. (II.13.)önkormányzati rendelethez</t>
  </si>
  <si>
    <t>11. melléklet a 2/2020. (II.13.) önkormányzati rendelethez</t>
  </si>
  <si>
    <t>12. melléklet a 2/2020. (II.13.) önkormányzati rendelethez</t>
  </si>
  <si>
    <t>13. melléklet a 2/2020. (II.13.) önkormányzati rendelethez</t>
  </si>
  <si>
    <t>14. melléklet  a  2/2020. (II.13.) önkormányzati rendelethez</t>
  </si>
  <si>
    <t>15. melléklet  a 2/2020. (II.13.) önkormányzati rendelethez</t>
  </si>
  <si>
    <t>16. melléklet  a  2/2020. (II.13.) önkormányzati rendelethez</t>
  </si>
  <si>
    <t xml:space="preserve"> 17. melléklet a 2/2020. (II.13.) önkormányzati rendelethez </t>
  </si>
  <si>
    <t xml:space="preserve"> 18. melléklet a 2/2020. (II.13.) önkormányzati rendelethez 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</si>
</sst>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  <numFmt numFmtId="179" formatCode="#,##0.0"/>
    <numFmt numFmtId="180" formatCode="[$¥€-2]\ #\ ##,000_);[Red]\([$€-2]\ #\ ##,000\)"/>
  </numFmts>
  <fonts count="74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thick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1" borderId="7" applyNumberFormat="0" applyFon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8" applyNumberFormat="0" applyAlignment="0" applyProtection="0"/>
    <xf numFmtId="0" fontId="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29" borderId="1" applyNumberFormat="0" applyAlignment="0" applyProtection="0"/>
    <xf numFmtId="9" fontId="0" fillId="0" borderId="0" applyFont="0" applyFill="0" applyBorder="0" applyAlignment="0" applyProtection="0"/>
  </cellStyleXfs>
  <cellXfs count="838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7" applyFont="1">
      <alignment/>
      <protection/>
    </xf>
    <xf numFmtId="0" fontId="6" fillId="0" borderId="0" xfId="57" applyFont="1">
      <alignment/>
      <protection/>
    </xf>
    <xf numFmtId="0" fontId="4" fillId="0" borderId="0" xfId="60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59" applyFont="1">
      <alignment/>
      <protection/>
    </xf>
    <xf numFmtId="0" fontId="12" fillId="0" borderId="0" xfId="60" applyFont="1">
      <alignment/>
      <protection/>
    </xf>
    <xf numFmtId="3" fontId="10" fillId="0" borderId="0" xfId="0" applyNumberFormat="1" applyFont="1" applyAlignment="1">
      <alignment/>
    </xf>
    <xf numFmtId="0" fontId="12" fillId="0" borderId="0" xfId="59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0" fontId="12" fillId="0" borderId="0" xfId="56" applyFont="1">
      <alignment/>
      <protection/>
    </xf>
    <xf numFmtId="0" fontId="4" fillId="0" borderId="0" xfId="56" applyFont="1">
      <alignment/>
      <protection/>
    </xf>
    <xf numFmtId="0" fontId="6" fillId="0" borderId="0" xfId="56" applyFont="1" applyAlignment="1">
      <alignment horizontal="centerContinuous"/>
      <protection/>
    </xf>
    <xf numFmtId="0" fontId="6" fillId="0" borderId="0" xfId="56" applyFont="1">
      <alignment/>
      <protection/>
    </xf>
    <xf numFmtId="0" fontId="14" fillId="0" borderId="0" xfId="56" applyFont="1" applyAlignment="1">
      <alignment/>
      <protection/>
    </xf>
    <xf numFmtId="41" fontId="6" fillId="0" borderId="0" xfId="56" applyNumberFormat="1" applyFont="1" applyAlignment="1">
      <alignment horizontal="centerContinuous"/>
      <protection/>
    </xf>
    <xf numFmtId="0" fontId="10" fillId="0" borderId="0" xfId="56" applyFont="1" applyAlignment="1">
      <alignment horizontal="centerContinuous"/>
      <protection/>
    </xf>
    <xf numFmtId="0" fontId="15" fillId="0" borderId="0" xfId="56" applyFont="1" applyAlignment="1">
      <alignment/>
      <protection/>
    </xf>
    <xf numFmtId="41" fontId="10" fillId="0" borderId="0" xfId="56" applyNumberFormat="1" applyFont="1" applyAlignment="1">
      <alignment horizontal="centerContinuous"/>
      <protection/>
    </xf>
    <xf numFmtId="0" fontId="11" fillId="0" borderId="0" xfId="56" applyFont="1">
      <alignment/>
      <protection/>
    </xf>
    <xf numFmtId="0" fontId="12" fillId="0" borderId="0" xfId="56" applyFont="1" applyAlignment="1">
      <alignment horizontal="right"/>
      <protection/>
    </xf>
    <xf numFmtId="41" fontId="13" fillId="0" borderId="0" xfId="56" applyNumberFormat="1" applyFont="1">
      <alignment/>
      <protection/>
    </xf>
    <xf numFmtId="41" fontId="6" fillId="0" borderId="0" xfId="56" applyNumberFormat="1" applyFont="1">
      <alignment/>
      <protection/>
    </xf>
    <xf numFmtId="0" fontId="11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10" fillId="0" borderId="10" xfId="59" applyFont="1" applyBorder="1" applyAlignment="1">
      <alignment horizontal="center"/>
      <protection/>
    </xf>
    <xf numFmtId="0" fontId="10" fillId="0" borderId="11" xfId="59" applyFont="1" applyBorder="1" applyAlignment="1">
      <alignment horizontal="center"/>
      <protection/>
    </xf>
    <xf numFmtId="0" fontId="10" fillId="0" borderId="12" xfId="59" applyFont="1" applyBorder="1" applyAlignment="1">
      <alignment horizontal="center"/>
      <protection/>
    </xf>
    <xf numFmtId="0" fontId="11" fillId="0" borderId="13" xfId="59" applyFont="1" applyBorder="1">
      <alignment/>
      <protection/>
    </xf>
    <xf numFmtId="0" fontId="10" fillId="0" borderId="14" xfId="59" applyFont="1" applyBorder="1" applyAlignment="1">
      <alignment horizontal="center"/>
      <protection/>
    </xf>
    <xf numFmtId="0" fontId="10" fillId="0" borderId="15" xfId="59" applyFont="1" applyBorder="1" applyAlignment="1">
      <alignment horizontal="center"/>
      <protection/>
    </xf>
    <xf numFmtId="0" fontId="10" fillId="0" borderId="0" xfId="59" applyFont="1">
      <alignment/>
      <protection/>
    </xf>
    <xf numFmtId="0" fontId="17" fillId="0" borderId="0" xfId="59" applyFont="1">
      <alignment/>
      <protection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1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57" applyFont="1">
      <alignment/>
      <protection/>
    </xf>
    <xf numFmtId="0" fontId="9" fillId="0" borderId="0" xfId="0" applyFont="1" applyAlignment="1">
      <alignment horizontal="center"/>
    </xf>
    <xf numFmtId="168" fontId="11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14" fontId="6" fillId="0" borderId="0" xfId="0" applyNumberFormat="1" applyFont="1" applyAlignment="1">
      <alignment/>
    </xf>
    <xf numFmtId="168" fontId="12" fillId="0" borderId="0" xfId="59" applyNumberFormat="1" applyFont="1" applyBorder="1">
      <alignment/>
      <protection/>
    </xf>
    <xf numFmtId="0" fontId="12" fillId="0" borderId="0" xfId="57" applyFont="1" applyAlignment="1">
      <alignment horizontal="center"/>
      <protection/>
    </xf>
    <xf numFmtId="0" fontId="6" fillId="0" borderId="0" xfId="57" applyFont="1" applyAlignment="1">
      <alignment/>
      <protection/>
    </xf>
    <xf numFmtId="0" fontId="12" fillId="0" borderId="0" xfId="57" applyFont="1" applyAlignment="1">
      <alignment/>
      <protection/>
    </xf>
    <xf numFmtId="0" fontId="12" fillId="0" borderId="0" xfId="57" applyFont="1" applyAlignment="1">
      <alignment horizontal="left"/>
      <protection/>
    </xf>
    <xf numFmtId="0" fontId="12" fillId="0" borderId="16" xfId="57" applyFont="1" applyBorder="1" applyAlignment="1">
      <alignment horizontal="left"/>
      <protection/>
    </xf>
    <xf numFmtId="0" fontId="12" fillId="0" borderId="16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0" fontId="12" fillId="0" borderId="13" xfId="57" applyFont="1" applyBorder="1" applyAlignment="1">
      <alignment horizontal="center"/>
      <protection/>
    </xf>
    <xf numFmtId="0" fontId="12" fillId="0" borderId="15" xfId="57" applyFont="1" applyBorder="1" applyAlignment="1">
      <alignment horizontal="center"/>
      <protection/>
    </xf>
    <xf numFmtId="0" fontId="21" fillId="0" borderId="0" xfId="57" applyFont="1">
      <alignment/>
      <protection/>
    </xf>
    <xf numFmtId="0" fontId="10" fillId="0" borderId="0" xfId="57" applyFont="1" applyAlignment="1">
      <alignment/>
      <protection/>
    </xf>
    <xf numFmtId="0" fontId="7" fillId="0" borderId="0" xfId="57" applyFont="1" applyAlignment="1">
      <alignment horizontal="centerContinuous"/>
      <protection/>
    </xf>
    <xf numFmtId="0" fontId="7" fillId="0" borderId="0" xfId="57" applyFont="1" applyAlignment="1">
      <alignment horizontal="center"/>
      <protection/>
    </xf>
    <xf numFmtId="0" fontId="4" fillId="0" borderId="17" xfId="57" applyFont="1" applyBorder="1" applyAlignment="1">
      <alignment/>
      <protection/>
    </xf>
    <xf numFmtId="0" fontId="4" fillId="0" borderId="18" xfId="57" applyFont="1" applyBorder="1" applyAlignment="1">
      <alignment horizontal="center"/>
      <protection/>
    </xf>
    <xf numFmtId="0" fontId="4" fillId="0" borderId="0" xfId="57" applyFont="1">
      <alignment/>
      <protection/>
    </xf>
    <xf numFmtId="0" fontId="4" fillId="0" borderId="19" xfId="57" applyFont="1" applyBorder="1">
      <alignment/>
      <protection/>
    </xf>
    <xf numFmtId="0" fontId="4" fillId="0" borderId="12" xfId="57" applyFont="1" applyBorder="1" applyAlignment="1">
      <alignment horizontal="center"/>
      <protection/>
    </xf>
    <xf numFmtId="0" fontId="4" fillId="0" borderId="20" xfId="57" applyFont="1" applyBorder="1">
      <alignment/>
      <protection/>
    </xf>
    <xf numFmtId="0" fontId="4" fillId="0" borderId="14" xfId="57" applyFont="1" applyBorder="1" applyAlignment="1">
      <alignment horizontal="center"/>
      <protection/>
    </xf>
    <xf numFmtId="0" fontId="4" fillId="0" borderId="21" xfId="57" applyFont="1" applyBorder="1" applyAlignment="1">
      <alignment horizontal="left" vertical="center" wrapText="1"/>
      <protection/>
    </xf>
    <xf numFmtId="0" fontId="4" fillId="0" borderId="21" xfId="57" applyFont="1" applyBorder="1" applyAlignment="1">
      <alignment horizontal="left"/>
      <protection/>
    </xf>
    <xf numFmtId="0" fontId="4" fillId="0" borderId="22" xfId="57" applyFont="1" applyBorder="1">
      <alignment/>
      <protection/>
    </xf>
    <xf numFmtId="0" fontId="7" fillId="0" borderId="23" xfId="57" applyFont="1" applyBorder="1" applyAlignment="1">
      <alignment horizontal="right"/>
      <protection/>
    </xf>
    <xf numFmtId="0" fontId="7" fillId="0" borderId="24" xfId="57" applyFont="1" applyBorder="1" applyAlignment="1">
      <alignment horizontal="left"/>
      <protection/>
    </xf>
    <xf numFmtId="168" fontId="7" fillId="0" borderId="24" xfId="40" applyNumberFormat="1" applyFont="1" applyBorder="1" applyAlignment="1">
      <alignment horizontal="right"/>
    </xf>
    <xf numFmtId="168" fontId="7" fillId="0" borderId="25" xfId="40" applyNumberFormat="1" applyFont="1" applyBorder="1" applyAlignment="1">
      <alignment horizontal="right"/>
    </xf>
    <xf numFmtId="168" fontId="7" fillId="0" borderId="0" xfId="57" applyNumberFormat="1" applyFont="1">
      <alignment/>
      <protection/>
    </xf>
    <xf numFmtId="0" fontId="7" fillId="0" borderId="0" xfId="57" applyFont="1">
      <alignment/>
      <protection/>
    </xf>
    <xf numFmtId="0" fontId="7" fillId="0" borderId="0" xfId="57" applyFont="1" applyBorder="1" applyAlignment="1">
      <alignment horizontal="center"/>
      <protection/>
    </xf>
    <xf numFmtId="0" fontId="7" fillId="0" borderId="0" xfId="57" applyFont="1" applyBorder="1">
      <alignment/>
      <protection/>
    </xf>
    <xf numFmtId="168" fontId="7" fillId="0" borderId="0" xfId="40" applyNumberFormat="1" applyFont="1" applyBorder="1" applyAlignment="1">
      <alignment horizontal="center" vertical="center"/>
    </xf>
    <xf numFmtId="0" fontId="12" fillId="0" borderId="0" xfId="56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 wrapText="1"/>
    </xf>
    <xf numFmtId="168" fontId="12" fillId="0" borderId="0" xfId="57" applyNumberFormat="1" applyFont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2" fillId="0" borderId="0" xfId="57" applyFont="1" applyBorder="1" applyAlignment="1">
      <alignment horizontal="center" vertical="center"/>
      <protection/>
    </xf>
    <xf numFmtId="168" fontId="12" fillId="0" borderId="13" xfId="4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57" applyFont="1" applyBorder="1" applyAlignment="1">
      <alignment horizontal="left" vertical="center"/>
      <protection/>
    </xf>
    <xf numFmtId="168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2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2" fillId="0" borderId="0" xfId="59" applyFont="1">
      <alignment/>
      <protection/>
    </xf>
    <xf numFmtId="168" fontId="7" fillId="0" borderId="0" xfId="40" applyNumberFormat="1" applyFont="1" applyAlignment="1">
      <alignment horizontal="right"/>
    </xf>
    <xf numFmtId="0" fontId="10" fillId="0" borderId="0" xfId="60" applyFont="1" applyAlignment="1">
      <alignment horizontal="center"/>
      <protection/>
    </xf>
    <xf numFmtId="0" fontId="11" fillId="0" borderId="0" xfId="60" applyFont="1">
      <alignment/>
      <protection/>
    </xf>
    <xf numFmtId="0" fontId="11" fillId="0" borderId="0" xfId="57" applyFont="1">
      <alignment/>
      <protection/>
    </xf>
    <xf numFmtId="0" fontId="11" fillId="0" borderId="26" xfId="59" applyFont="1" applyBorder="1" applyAlignment="1">
      <alignment horizontal="left" wrapText="1"/>
      <protection/>
    </xf>
    <xf numFmtId="0" fontId="11" fillId="0" borderId="27" xfId="59" applyFont="1" applyBorder="1" applyAlignment="1" quotePrefix="1">
      <alignment horizontal="center" vertical="center" wrapText="1"/>
      <protection/>
    </xf>
    <xf numFmtId="0" fontId="11" fillId="0" borderId="28" xfId="60" applyFont="1" applyBorder="1">
      <alignment/>
      <protection/>
    </xf>
    <xf numFmtId="0" fontId="11" fillId="0" borderId="26" xfId="60" applyFont="1" applyBorder="1">
      <alignment/>
      <protection/>
    </xf>
    <xf numFmtId="0" fontId="11" fillId="0" borderId="0" xfId="0" applyFont="1" applyAlignment="1">
      <alignment horizontal="right"/>
    </xf>
    <xf numFmtId="0" fontId="12" fillId="0" borderId="0" xfId="60" applyFont="1" applyAlignment="1">
      <alignment horizontal="center"/>
      <protection/>
    </xf>
    <xf numFmtId="0" fontId="11" fillId="0" borderId="29" xfId="59" applyFont="1" applyBorder="1" applyAlignment="1">
      <alignment horizontal="right"/>
      <protection/>
    </xf>
    <xf numFmtId="0" fontId="12" fillId="0" borderId="0" xfId="57" applyFont="1">
      <alignment/>
      <protection/>
    </xf>
    <xf numFmtId="0" fontId="18" fillId="0" borderId="0" xfId="57" applyFont="1">
      <alignment/>
      <protection/>
    </xf>
    <xf numFmtId="0" fontId="18" fillId="0" borderId="0" xfId="0" applyFont="1" applyAlignment="1">
      <alignment/>
    </xf>
    <xf numFmtId="0" fontId="6" fillId="0" borderId="11" xfId="57" applyFont="1" applyBorder="1" applyAlignment="1">
      <alignment horizontal="center"/>
      <protection/>
    </xf>
    <xf numFmtId="0" fontId="6" fillId="0" borderId="13" xfId="57" applyFont="1" applyBorder="1">
      <alignment/>
      <protection/>
    </xf>
    <xf numFmtId="0" fontId="6" fillId="0" borderId="13" xfId="57" applyFont="1" applyBorder="1" applyAlignment="1">
      <alignment horizontal="center"/>
      <protection/>
    </xf>
    <xf numFmtId="0" fontId="6" fillId="0" borderId="15" xfId="57" applyFont="1" applyBorder="1">
      <alignment/>
      <protection/>
    </xf>
    <xf numFmtId="168" fontId="18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0" fontId="12" fillId="0" borderId="0" xfId="57" applyFont="1" applyAlignment="1">
      <alignment horizontal="right"/>
      <protection/>
    </xf>
    <xf numFmtId="0" fontId="6" fillId="0" borderId="11" xfId="57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3" xfId="40" applyNumberFormat="1" applyFont="1" applyBorder="1" applyAlignment="1">
      <alignment horizontal="center"/>
    </xf>
    <xf numFmtId="0" fontId="6" fillId="0" borderId="15" xfId="57" applyFont="1" applyBorder="1" applyAlignment="1">
      <alignment horizontal="center"/>
      <protection/>
    </xf>
    <xf numFmtId="168" fontId="6" fillId="0" borderId="15" xfId="40" applyNumberFormat="1" applyFont="1" applyBorder="1" applyAlignment="1">
      <alignment horizontal="center"/>
    </xf>
    <xf numFmtId="0" fontId="12" fillId="0" borderId="0" xfId="57" applyFont="1" applyBorder="1" applyAlignment="1">
      <alignment horizontal="right"/>
      <protection/>
    </xf>
    <xf numFmtId="0" fontId="12" fillId="0" borderId="0" xfId="57" applyFont="1" applyBorder="1" applyAlignment="1">
      <alignment/>
      <protection/>
    </xf>
    <xf numFmtId="168" fontId="12" fillId="0" borderId="0" xfId="40" applyNumberFormat="1" applyFont="1" applyBorder="1" applyAlignment="1">
      <alignment/>
    </xf>
    <xf numFmtId="0" fontId="12" fillId="0" borderId="0" xfId="57" applyFont="1" applyBorder="1" applyAlignment="1">
      <alignment wrapText="1"/>
      <protection/>
    </xf>
    <xf numFmtId="0" fontId="12" fillId="0" borderId="29" xfId="57" applyFont="1" applyBorder="1" applyAlignment="1">
      <alignment horizontal="right"/>
      <protection/>
    </xf>
    <xf numFmtId="0" fontId="12" fillId="0" borderId="29" xfId="57" applyFont="1" applyBorder="1" applyAlignment="1">
      <alignment/>
      <protection/>
    </xf>
    <xf numFmtId="168" fontId="12" fillId="0" borderId="29" xfId="4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168" fontId="12" fillId="0" borderId="0" xfId="40" applyNumberFormat="1" applyFont="1" applyAlignment="1">
      <alignment horizontal="right"/>
    </xf>
    <xf numFmtId="168" fontId="6" fillId="0" borderId="0" xfId="57" applyNumberFormat="1" applyFont="1">
      <alignment/>
      <protection/>
    </xf>
    <xf numFmtId="0" fontId="6" fillId="0" borderId="30" xfId="57" applyFont="1" applyBorder="1" applyAlignment="1">
      <alignment horizontal="right"/>
      <protection/>
    </xf>
    <xf numFmtId="0" fontId="6" fillId="0" borderId="30" xfId="57" applyFont="1" applyBorder="1">
      <alignment/>
      <protection/>
    </xf>
    <xf numFmtId="168" fontId="6" fillId="0" borderId="30" xfId="40" applyNumberFormat="1" applyFont="1" applyBorder="1" applyAlignment="1">
      <alignment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2" fillId="0" borderId="0" xfId="58" applyFont="1">
      <alignment/>
      <protection/>
    </xf>
    <xf numFmtId="0" fontId="6" fillId="0" borderId="0" xfId="58" applyFont="1" applyBorder="1" applyAlignment="1">
      <alignment horizontal="center"/>
      <protection/>
    </xf>
    <xf numFmtId="0" fontId="25" fillId="0" borderId="29" xfId="0" applyFont="1" applyBorder="1" applyAlignment="1">
      <alignment/>
    </xf>
    <xf numFmtId="168" fontId="6" fillId="0" borderId="29" xfId="40" applyNumberFormat="1" applyFont="1" applyBorder="1" applyAlignment="1">
      <alignment/>
    </xf>
    <xf numFmtId="0" fontId="6" fillId="0" borderId="0" xfId="58" applyFont="1">
      <alignment/>
      <protection/>
    </xf>
    <xf numFmtId="0" fontId="6" fillId="0" borderId="30" xfId="58" applyFont="1" applyBorder="1" applyAlignment="1">
      <alignment horizontal="right"/>
      <protection/>
    </xf>
    <xf numFmtId="168" fontId="6" fillId="0" borderId="0" xfId="58" applyNumberFormat="1" applyFont="1">
      <alignment/>
      <protection/>
    </xf>
    <xf numFmtId="0" fontId="12" fillId="0" borderId="0" xfId="58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11" fillId="0" borderId="0" xfId="59" applyFont="1" applyAlignment="1">
      <alignment horizontal="left" wrapText="1"/>
      <protection/>
    </xf>
    <xf numFmtId="14" fontId="4" fillId="0" borderId="0" xfId="0" applyNumberFormat="1" applyFont="1" applyAlignment="1">
      <alignment/>
    </xf>
    <xf numFmtId="0" fontId="23" fillId="0" borderId="30" xfId="57" applyFont="1" applyBorder="1" applyAlignment="1">
      <alignment horizontal="center"/>
      <protection/>
    </xf>
    <xf numFmtId="0" fontId="7" fillId="0" borderId="30" xfId="57" applyFont="1" applyBorder="1" applyAlignment="1">
      <alignment horizontal="center"/>
      <protection/>
    </xf>
    <xf numFmtId="0" fontId="26" fillId="0" borderId="0" xfId="57" applyFont="1">
      <alignment/>
      <protection/>
    </xf>
    <xf numFmtId="0" fontId="26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168" fontId="10" fillId="0" borderId="0" xfId="40" applyNumberFormat="1" applyFont="1" applyAlignment="1">
      <alignment/>
    </xf>
    <xf numFmtId="0" fontId="23" fillId="0" borderId="0" xfId="57" applyFont="1" applyAlignment="1">
      <alignment horizontal="center"/>
      <protection/>
    </xf>
    <xf numFmtId="168" fontId="23" fillId="0" borderId="0" xfId="40" applyNumberFormat="1" applyFont="1" applyAlignment="1">
      <alignment horizontal="centerContinuous"/>
    </xf>
    <xf numFmtId="168" fontId="23" fillId="0" borderId="0" xfId="40" applyNumberFormat="1" applyFont="1" applyAlignment="1">
      <alignment/>
    </xf>
    <xf numFmtId="0" fontId="4" fillId="0" borderId="0" xfId="0" applyFont="1" applyAlignment="1">
      <alignment/>
    </xf>
    <xf numFmtId="0" fontId="11" fillId="0" borderId="0" xfId="59" applyFont="1" applyBorder="1" applyAlignment="1">
      <alignment horizontal="left" wrapText="1"/>
      <protection/>
    </xf>
    <xf numFmtId="168" fontId="4" fillId="0" borderId="22" xfId="40" applyNumberFormat="1" applyFont="1" applyBorder="1" applyAlignment="1">
      <alignment/>
    </xf>
    <xf numFmtId="168" fontId="4" fillId="0" borderId="31" xfId="40" applyNumberFormat="1" applyFont="1" applyBorder="1" applyAlignment="1">
      <alignment/>
    </xf>
    <xf numFmtId="168" fontId="4" fillId="0" borderId="29" xfId="40" applyNumberFormat="1" applyFont="1" applyBorder="1" applyAlignment="1">
      <alignment/>
    </xf>
    <xf numFmtId="168" fontId="4" fillId="0" borderId="32" xfId="40" applyNumberFormat="1" applyFont="1" applyBorder="1" applyAlignment="1">
      <alignment/>
    </xf>
    <xf numFmtId="0" fontId="4" fillId="0" borderId="30" xfId="0" applyFont="1" applyBorder="1" applyAlignment="1">
      <alignment/>
    </xf>
    <xf numFmtId="0" fontId="10" fillId="0" borderId="30" xfId="59" applyFont="1" applyBorder="1">
      <alignment/>
      <protection/>
    </xf>
    <xf numFmtId="0" fontId="22" fillId="0" borderId="0" xfId="59" applyFont="1">
      <alignment/>
      <protection/>
    </xf>
    <xf numFmtId="0" fontId="6" fillId="0" borderId="0" xfId="60" applyFont="1" applyAlignment="1">
      <alignment horizontal="centerContinuous"/>
      <protection/>
    </xf>
    <xf numFmtId="0" fontId="28" fillId="0" borderId="0" xfId="60" applyFont="1">
      <alignment/>
      <protection/>
    </xf>
    <xf numFmtId="0" fontId="6" fillId="0" borderId="11" xfId="60" applyFont="1" applyBorder="1">
      <alignment/>
      <protection/>
    </xf>
    <xf numFmtId="0" fontId="6" fillId="0" borderId="11" xfId="60" applyFont="1" applyBorder="1" applyAlignment="1">
      <alignment horizontal="center"/>
      <protection/>
    </xf>
    <xf numFmtId="0" fontId="6" fillId="0" borderId="13" xfId="60" applyFont="1" applyBorder="1" applyAlignment="1">
      <alignment horizontal="center"/>
      <protection/>
    </xf>
    <xf numFmtId="0" fontId="6" fillId="0" borderId="15" xfId="60" applyFont="1" applyBorder="1">
      <alignment/>
      <protection/>
    </xf>
    <xf numFmtId="0" fontId="6" fillId="0" borderId="15" xfId="60" applyFont="1" applyBorder="1" applyAlignment="1">
      <alignment horizontal="center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center"/>
      <protection/>
    </xf>
    <xf numFmtId="0" fontId="6" fillId="0" borderId="0" xfId="60" applyFont="1" applyBorder="1" applyAlignment="1">
      <alignment horizontal="right"/>
      <protection/>
    </xf>
    <xf numFmtId="168" fontId="12" fillId="0" borderId="0" xfId="40" applyNumberFormat="1" applyFont="1" applyBorder="1" applyAlignment="1">
      <alignment horizontal="right"/>
    </xf>
    <xf numFmtId="0" fontId="12" fillId="0" borderId="0" xfId="60" applyFont="1" applyBorder="1">
      <alignment/>
      <protection/>
    </xf>
    <xf numFmtId="168" fontId="6" fillId="0" borderId="0" xfId="40" applyNumberFormat="1" applyFont="1" applyBorder="1" applyAlignment="1">
      <alignment horizontal="right"/>
    </xf>
    <xf numFmtId="168" fontId="6" fillId="0" borderId="0" xfId="40" applyNumberFormat="1" applyFont="1" applyBorder="1" applyAlignment="1">
      <alignment/>
    </xf>
    <xf numFmtId="168" fontId="12" fillId="0" borderId="0" xfId="40" applyNumberFormat="1" applyFont="1" applyAlignment="1">
      <alignment horizont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33" xfId="40" applyNumberFormat="1" applyFont="1" applyBorder="1" applyAlignment="1">
      <alignment/>
    </xf>
    <xf numFmtId="168" fontId="6" fillId="0" borderId="34" xfId="40" applyNumberFormat="1" applyFont="1" applyBorder="1" applyAlignment="1">
      <alignment/>
    </xf>
    <xf numFmtId="168" fontId="6" fillId="0" borderId="35" xfId="40" applyNumberFormat="1" applyFont="1" applyBorder="1" applyAlignment="1">
      <alignment/>
    </xf>
    <xf numFmtId="168" fontId="12" fillId="0" borderId="35" xfId="40" applyNumberFormat="1" applyFont="1" applyBorder="1" applyAlignment="1">
      <alignment/>
    </xf>
    <xf numFmtId="168" fontId="12" fillId="0" borderId="34" xfId="40" applyNumberFormat="1" applyFont="1" applyBorder="1" applyAlignment="1">
      <alignment/>
    </xf>
    <xf numFmtId="168" fontId="12" fillId="0" borderId="11" xfId="4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168" fontId="12" fillId="0" borderId="36" xfId="40" applyNumberFormat="1" applyFont="1" applyBorder="1" applyAlignment="1">
      <alignment horizontal="center"/>
    </xf>
    <xf numFmtId="168" fontId="12" fillId="0" borderId="37" xfId="40" applyNumberFormat="1" applyFont="1" applyBorder="1" applyAlignment="1">
      <alignment horizontal="center"/>
    </xf>
    <xf numFmtId="168" fontId="12" fillId="0" borderId="21" xfId="4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168" fontId="12" fillId="0" borderId="15" xfId="40" applyNumberFormat="1" applyFont="1" applyBorder="1" applyAlignment="1">
      <alignment/>
    </xf>
    <xf numFmtId="168" fontId="12" fillId="0" borderId="38" xfId="40" applyNumberFormat="1" applyFont="1" applyBorder="1" applyAlignment="1">
      <alignment/>
    </xf>
    <xf numFmtId="168" fontId="12" fillId="0" borderId="39" xfId="40" applyNumberFormat="1" applyFont="1" applyBorder="1" applyAlignment="1">
      <alignment/>
    </xf>
    <xf numFmtId="168" fontId="12" fillId="0" borderId="40" xfId="40" applyNumberFormat="1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wrapText="1"/>
    </xf>
    <xf numFmtId="168" fontId="12" fillId="0" borderId="29" xfId="40" applyNumberFormat="1" applyFont="1" applyBorder="1" applyAlignment="1">
      <alignment/>
    </xf>
    <xf numFmtId="168" fontId="12" fillId="0" borderId="32" xfId="40" applyNumberFormat="1" applyFont="1" applyBorder="1" applyAlignment="1">
      <alignment/>
    </xf>
    <xf numFmtId="0" fontId="12" fillId="0" borderId="29" xfId="0" applyFont="1" applyBorder="1" applyAlignment="1">
      <alignment/>
    </xf>
    <xf numFmtId="168" fontId="12" fillId="0" borderId="29" xfId="40" applyNumberFormat="1" applyFont="1" applyBorder="1" applyAlignment="1">
      <alignment/>
    </xf>
    <xf numFmtId="168" fontId="29" fillId="0" borderId="29" xfId="40" applyNumberFormat="1" applyFont="1" applyFill="1" applyBorder="1" applyAlignment="1">
      <alignment/>
    </xf>
    <xf numFmtId="168" fontId="29" fillId="0" borderId="41" xfId="40" applyNumberFormat="1" applyFont="1" applyFill="1" applyBorder="1" applyAlignment="1">
      <alignment/>
    </xf>
    <xf numFmtId="168" fontId="12" fillId="0" borderId="29" xfId="40" applyNumberFormat="1" applyFont="1" applyFill="1" applyBorder="1" applyAlignment="1">
      <alignment/>
    </xf>
    <xf numFmtId="168" fontId="12" fillId="0" borderId="41" xfId="40" applyNumberFormat="1" applyFont="1" applyFill="1" applyBorder="1" applyAlignment="1">
      <alignment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/>
    </xf>
    <xf numFmtId="0" fontId="6" fillId="0" borderId="30" xfId="0" applyFont="1" applyBorder="1" applyAlignment="1">
      <alignment/>
    </xf>
    <xf numFmtId="168" fontId="6" fillId="0" borderId="44" xfId="40" applyNumberFormat="1" applyFont="1" applyBorder="1" applyAlignment="1">
      <alignment/>
    </xf>
    <xf numFmtId="168" fontId="6" fillId="0" borderId="30" xfId="40" applyNumberFormat="1" applyFont="1" applyBorder="1" applyAlignment="1">
      <alignment/>
    </xf>
    <xf numFmtId="0" fontId="12" fillId="0" borderId="45" xfId="0" applyFont="1" applyBorder="1" applyAlignment="1">
      <alignment horizontal="center"/>
    </xf>
    <xf numFmtId="0" fontId="6" fillId="0" borderId="22" xfId="0" applyFont="1" applyBorder="1" applyAlignment="1">
      <alignment/>
    </xf>
    <xf numFmtId="168" fontId="12" fillId="0" borderId="46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30" xfId="0" applyFont="1" applyBorder="1" applyAlignment="1">
      <alignment/>
    </xf>
    <xf numFmtId="0" fontId="6" fillId="0" borderId="47" xfId="0" applyFont="1" applyBorder="1" applyAlignment="1">
      <alignment/>
    </xf>
    <xf numFmtId="168" fontId="12" fillId="0" borderId="48" xfId="40" applyNumberFormat="1" applyFont="1" applyBorder="1" applyAlignment="1">
      <alignment/>
    </xf>
    <xf numFmtId="168" fontId="12" fillId="0" borderId="49" xfId="40" applyNumberFormat="1" applyFont="1" applyBorder="1" applyAlignment="1">
      <alignment/>
    </xf>
    <xf numFmtId="0" fontId="12" fillId="0" borderId="29" xfId="0" applyFont="1" applyBorder="1" applyAlignment="1">
      <alignment horizontal="left" wrapText="1"/>
    </xf>
    <xf numFmtId="169" fontId="12" fillId="0" borderId="0" xfId="40" applyNumberFormat="1" applyFont="1" applyAlignment="1">
      <alignment/>
    </xf>
    <xf numFmtId="168" fontId="1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31" fillId="0" borderId="0" xfId="40" applyNumberFormat="1" applyFont="1" applyAlignment="1">
      <alignment/>
    </xf>
    <xf numFmtId="0" fontId="12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2" fillId="0" borderId="0" xfId="40" applyNumberFormat="1" applyFont="1" applyAlignment="1">
      <alignment horizontal="center"/>
    </xf>
    <xf numFmtId="0" fontId="20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56" applyFont="1" applyAlignment="1">
      <alignment horizontal="center"/>
      <protection/>
    </xf>
    <xf numFmtId="0" fontId="12" fillId="0" borderId="0" xfId="56" applyFont="1" applyAlignment="1">
      <alignment horizontal="centerContinuous"/>
      <protection/>
    </xf>
    <xf numFmtId="0" fontId="6" fillId="0" borderId="11" xfId="56" applyFont="1" applyBorder="1" applyAlignment="1">
      <alignment horizontal="centerContinuous"/>
      <protection/>
    </xf>
    <xf numFmtId="0" fontId="6" fillId="0" borderId="13" xfId="56" applyFont="1" applyBorder="1" applyAlignment="1">
      <alignment horizontal="centerContinuous"/>
      <protection/>
    </xf>
    <xf numFmtId="0" fontId="6" fillId="0" borderId="30" xfId="56" applyFont="1" applyBorder="1" applyAlignment="1">
      <alignment horizontal="center"/>
      <protection/>
    </xf>
    <xf numFmtId="0" fontId="6" fillId="0" borderId="15" xfId="56" applyFont="1" applyBorder="1" applyAlignment="1">
      <alignment horizontal="centerContinuous"/>
      <protection/>
    </xf>
    <xf numFmtId="41" fontId="12" fillId="0" borderId="0" xfId="56" applyNumberFormat="1" applyFont="1">
      <alignment/>
      <protection/>
    </xf>
    <xf numFmtId="41" fontId="12" fillId="0" borderId="0" xfId="56" applyNumberFormat="1" applyFont="1" applyBorder="1" applyAlignment="1">
      <alignment horizontal="center"/>
      <protection/>
    </xf>
    <xf numFmtId="41" fontId="12" fillId="0" borderId="0" xfId="56" applyNumberFormat="1" applyFont="1" applyBorder="1">
      <alignment/>
      <protection/>
    </xf>
    <xf numFmtId="41" fontId="33" fillId="0" borderId="50" xfId="56" applyNumberFormat="1" applyFont="1" applyBorder="1" applyAlignment="1">
      <alignment horizontal="centerContinuous"/>
      <protection/>
    </xf>
    <xf numFmtId="0" fontId="21" fillId="0" borderId="0" xfId="56" applyFont="1" applyBorder="1" applyAlignment="1">
      <alignment horizontal="center"/>
      <protection/>
    </xf>
    <xf numFmtId="0" fontId="21" fillId="0" borderId="0" xfId="56" applyFont="1" applyBorder="1" applyAlignment="1">
      <alignment/>
      <protection/>
    </xf>
    <xf numFmtId="41" fontId="21" fillId="0" borderId="0" xfId="56" applyNumberFormat="1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5" fillId="0" borderId="0" xfId="56" applyFont="1" applyBorder="1" applyAlignment="1">
      <alignment horizontal="center"/>
      <protection/>
    </xf>
    <xf numFmtId="0" fontId="5" fillId="0" borderId="0" xfId="56" applyFont="1" applyBorder="1" applyAlignment="1">
      <alignment/>
      <protection/>
    </xf>
    <xf numFmtId="41" fontId="5" fillId="0" borderId="0" xfId="56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56" applyFont="1" applyBorder="1" applyAlignment="1">
      <alignment horizontal="center"/>
      <protection/>
    </xf>
    <xf numFmtId="0" fontId="12" fillId="0" borderId="0" xfId="56" applyFont="1" applyBorder="1" applyAlignment="1">
      <alignment wrapText="1"/>
      <protection/>
    </xf>
    <xf numFmtId="41" fontId="12" fillId="0" borderId="50" xfId="56" applyNumberFormat="1" applyFont="1" applyBorder="1">
      <alignment/>
      <protection/>
    </xf>
    <xf numFmtId="0" fontId="21" fillId="0" borderId="0" xfId="56" applyFont="1" applyBorder="1" applyAlignment="1">
      <alignment wrapText="1"/>
      <protection/>
    </xf>
    <xf numFmtId="41" fontId="21" fillId="0" borderId="0" xfId="56" applyNumberFormat="1" applyFont="1" applyBorder="1">
      <alignment/>
      <protection/>
    </xf>
    <xf numFmtId="0" fontId="5" fillId="0" borderId="0" xfId="56" applyFont="1" applyBorder="1" applyAlignment="1">
      <alignment wrapText="1"/>
      <protection/>
    </xf>
    <xf numFmtId="41" fontId="5" fillId="0" borderId="0" xfId="56" applyNumberFormat="1" applyFont="1" applyBorder="1" applyAlignment="1">
      <alignment/>
      <protection/>
    </xf>
    <xf numFmtId="0" fontId="28" fillId="0" borderId="0" xfId="0" applyFont="1" applyBorder="1" applyAlignment="1">
      <alignment/>
    </xf>
    <xf numFmtId="0" fontId="12" fillId="0" borderId="0" xfId="56" applyFont="1" applyBorder="1" applyAlignment="1">
      <alignment horizontal="right"/>
      <protection/>
    </xf>
    <xf numFmtId="0" fontId="12" fillId="0" borderId="0" xfId="56" applyFont="1" applyBorder="1">
      <alignment/>
      <protection/>
    </xf>
    <xf numFmtId="0" fontId="33" fillId="0" borderId="0" xfId="56" applyFont="1" applyBorder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4" fontId="20" fillId="0" borderId="0" xfId="0" applyNumberFormat="1" applyFont="1" applyAlignment="1">
      <alignment/>
    </xf>
    <xf numFmtId="0" fontId="12" fillId="0" borderId="0" xfId="57" applyFont="1" applyBorder="1" applyAlignment="1">
      <alignment horizontal="center"/>
      <protection/>
    </xf>
    <xf numFmtId="168" fontId="12" fillId="0" borderId="0" xfId="60" applyNumberFormat="1" applyFont="1" applyBorder="1" applyAlignment="1">
      <alignment horizontal="right"/>
      <protection/>
    </xf>
    <xf numFmtId="168" fontId="12" fillId="0" borderId="50" xfId="60" applyNumberFormat="1" applyFont="1" applyBorder="1" applyAlignment="1">
      <alignment horizontal="right"/>
      <protection/>
    </xf>
    <xf numFmtId="168" fontId="12" fillId="0" borderId="50" xfId="40" applyNumberFormat="1" applyFont="1" applyBorder="1" applyAlignment="1">
      <alignment horizontal="right"/>
    </xf>
    <xf numFmtId="0" fontId="6" fillId="0" borderId="0" xfId="57" applyFont="1" applyBorder="1" applyAlignment="1">
      <alignment horizontal="center"/>
      <protection/>
    </xf>
    <xf numFmtId="0" fontId="6" fillId="0" borderId="51" xfId="57" applyFont="1" applyBorder="1">
      <alignment/>
      <protection/>
    </xf>
    <xf numFmtId="0" fontId="6" fillId="0" borderId="51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0" fontId="12" fillId="0" borderId="29" xfId="0" applyFont="1" applyBorder="1" applyAlignment="1" quotePrefix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59" applyFont="1" applyBorder="1" applyAlignment="1">
      <alignment horizontal="right"/>
      <protection/>
    </xf>
    <xf numFmtId="0" fontId="22" fillId="0" borderId="0" xfId="59" applyFont="1" applyBorder="1">
      <alignment/>
      <protection/>
    </xf>
    <xf numFmtId="0" fontId="11" fillId="0" borderId="0" xfId="59" applyFont="1" applyBorder="1">
      <alignment/>
      <protection/>
    </xf>
    <xf numFmtId="3" fontId="12" fillId="0" borderId="0" xfId="57" applyNumberFormat="1" applyFont="1">
      <alignment/>
      <protection/>
    </xf>
    <xf numFmtId="3" fontId="12" fillId="0" borderId="0" xfId="57" applyNumberFormat="1" applyFont="1" applyAlignment="1">
      <alignment horizontal="right"/>
      <protection/>
    </xf>
    <xf numFmtId="3" fontId="18" fillId="0" borderId="0" xfId="57" applyNumberFormat="1" applyFont="1" applyAlignment="1">
      <alignment horizontal="right"/>
      <protection/>
    </xf>
    <xf numFmtId="3" fontId="18" fillId="0" borderId="0" xfId="40" applyNumberFormat="1" applyFont="1" applyAlignment="1">
      <alignment horizontal="right" wrapText="1"/>
    </xf>
    <xf numFmtId="3" fontId="18" fillId="0" borderId="0" xfId="40" applyNumberFormat="1" applyFont="1" applyAlignment="1">
      <alignment horizontal="right"/>
    </xf>
    <xf numFmtId="3" fontId="6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/>
    </xf>
    <xf numFmtId="3" fontId="12" fillId="0" borderId="0" xfId="40" applyNumberFormat="1" applyFont="1" applyBorder="1" applyAlignment="1">
      <alignment horizontal="right"/>
    </xf>
    <xf numFmtId="3" fontId="6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6" fillId="0" borderId="0" xfId="4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1" fillId="0" borderId="52" xfId="59" applyFont="1" applyBorder="1" applyAlignment="1" quotePrefix="1">
      <alignment horizontal="center" vertical="center" wrapText="1"/>
      <protection/>
    </xf>
    <xf numFmtId="0" fontId="11" fillId="0" borderId="53" xfId="59" applyFont="1" applyBorder="1" applyAlignment="1" quotePrefix="1">
      <alignment horizontal="center" vertical="center" wrapText="1"/>
      <protection/>
    </xf>
    <xf numFmtId="0" fontId="11" fillId="0" borderId="54" xfId="59" applyFont="1" applyBorder="1" applyAlignment="1" quotePrefix="1">
      <alignment horizontal="center" vertical="center" wrapText="1"/>
      <protection/>
    </xf>
    <xf numFmtId="0" fontId="4" fillId="0" borderId="27" xfId="0" applyFont="1" applyBorder="1" applyAlignment="1">
      <alignment/>
    </xf>
    <xf numFmtId="168" fontId="23" fillId="0" borderId="55" xfId="40" applyNumberFormat="1" applyFont="1" applyBorder="1" applyAlignment="1">
      <alignment horizontal="center" vertical="center"/>
    </xf>
    <xf numFmtId="168" fontId="23" fillId="0" borderId="11" xfId="40" applyNumberFormat="1" applyFont="1" applyBorder="1" applyAlignment="1">
      <alignment horizontal="center" vertical="center"/>
    </xf>
    <xf numFmtId="168" fontId="23" fillId="0" borderId="11" xfId="4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/>
    </xf>
    <xf numFmtId="3" fontId="11" fillId="0" borderId="28" xfId="59" applyNumberFormat="1" applyFont="1" applyBorder="1" applyAlignment="1">
      <alignment horizontal="right"/>
      <protection/>
    </xf>
    <xf numFmtId="3" fontId="11" fillId="0" borderId="29" xfId="59" applyNumberFormat="1" applyFont="1" applyBorder="1" applyAlignment="1">
      <alignment horizontal="right"/>
      <protection/>
    </xf>
    <xf numFmtId="3" fontId="22" fillId="0" borderId="29" xfId="59" applyNumberFormat="1" applyFont="1" applyBorder="1">
      <alignment/>
      <protection/>
    </xf>
    <xf numFmtId="3" fontId="11" fillId="0" borderId="29" xfId="59" applyNumberFormat="1" applyFont="1" applyBorder="1">
      <alignment/>
      <protection/>
    </xf>
    <xf numFmtId="3" fontId="22" fillId="0" borderId="41" xfId="59" applyNumberFormat="1" applyFont="1" applyBorder="1">
      <alignment/>
      <protection/>
    </xf>
    <xf numFmtId="3" fontId="11" fillId="0" borderId="41" xfId="59" applyNumberFormat="1" applyFont="1" applyBorder="1">
      <alignment/>
      <protection/>
    </xf>
    <xf numFmtId="3" fontId="11" fillId="0" borderId="32" xfId="59" applyNumberFormat="1" applyFont="1" applyBorder="1">
      <alignment/>
      <protection/>
    </xf>
    <xf numFmtId="3" fontId="10" fillId="0" borderId="47" xfId="59" applyNumberFormat="1" applyFont="1" applyBorder="1" applyAlignment="1">
      <alignment horizontal="right"/>
      <protection/>
    </xf>
    <xf numFmtId="3" fontId="10" fillId="0" borderId="57" xfId="59" applyNumberFormat="1" applyFont="1" applyBorder="1" applyAlignment="1">
      <alignment horizontal="right"/>
      <protection/>
    </xf>
    <xf numFmtId="0" fontId="12" fillId="0" borderId="0" xfId="57" applyFont="1" applyBorder="1" applyAlignment="1">
      <alignment horizontal="center" vertical="center"/>
      <protection/>
    </xf>
    <xf numFmtId="0" fontId="10" fillId="0" borderId="58" xfId="60" applyFont="1" applyBorder="1">
      <alignment/>
      <protection/>
    </xf>
    <xf numFmtId="0" fontId="12" fillId="0" borderId="0" xfId="0" applyFont="1" applyAlignment="1">
      <alignment horizontal="center"/>
    </xf>
    <xf numFmtId="0" fontId="12" fillId="0" borderId="0" xfId="57" applyFont="1" applyBorder="1">
      <alignment/>
      <protection/>
    </xf>
    <xf numFmtId="0" fontId="12" fillId="0" borderId="0" xfId="0" applyFont="1" applyAlignment="1">
      <alignment vertical="top"/>
    </xf>
    <xf numFmtId="49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52" xfId="59" applyFont="1" applyBorder="1" applyAlignment="1" quotePrefix="1">
      <alignment horizontal="center" vertical="center" wrapText="1"/>
      <protection/>
    </xf>
    <xf numFmtId="0" fontId="11" fillId="0" borderId="0" xfId="59" applyFont="1" applyBorder="1" applyAlignment="1">
      <alignment horizontal="left" wrapText="1"/>
      <protection/>
    </xf>
    <xf numFmtId="0" fontId="11" fillId="0" borderId="59" xfId="59" applyFont="1" applyBorder="1" applyAlignment="1" quotePrefix="1">
      <alignment horizontal="center" vertical="center" wrapText="1"/>
      <protection/>
    </xf>
    <xf numFmtId="0" fontId="11" fillId="0" borderId="58" xfId="59" applyFont="1" applyBorder="1" applyAlignment="1">
      <alignment horizontal="left" wrapText="1"/>
      <protection/>
    </xf>
    <xf numFmtId="168" fontId="4" fillId="0" borderId="48" xfId="40" applyNumberFormat="1" applyFont="1" applyBorder="1" applyAlignment="1">
      <alignment/>
    </xf>
    <xf numFmtId="168" fontId="4" fillId="0" borderId="60" xfId="40" applyNumberFormat="1" applyFont="1" applyBorder="1" applyAlignment="1">
      <alignment/>
    </xf>
    <xf numFmtId="0" fontId="11" fillId="0" borderId="32" xfId="59" applyFont="1" applyBorder="1" applyAlignment="1">
      <alignment horizontal="right"/>
      <protection/>
    </xf>
    <xf numFmtId="0" fontId="4" fillId="0" borderId="61" xfId="0" applyFont="1" applyBorder="1" applyAlignment="1">
      <alignment/>
    </xf>
    <xf numFmtId="0" fontId="10" fillId="0" borderId="47" xfId="60" applyFont="1" applyBorder="1">
      <alignment/>
      <protection/>
    </xf>
    <xf numFmtId="168" fontId="4" fillId="0" borderId="62" xfId="40" applyNumberFormat="1" applyFont="1" applyBorder="1" applyAlignment="1">
      <alignment/>
    </xf>
    <xf numFmtId="168" fontId="4" fillId="0" borderId="63" xfId="40" applyNumberFormat="1" applyFont="1" applyBorder="1" applyAlignment="1">
      <alignment/>
    </xf>
    <xf numFmtId="168" fontId="4" fillId="0" borderId="64" xfId="40" applyNumberFormat="1" applyFont="1" applyBorder="1" applyAlignment="1">
      <alignment/>
    </xf>
    <xf numFmtId="168" fontId="4" fillId="0" borderId="64" xfId="59" applyNumberFormat="1" applyFont="1" applyBorder="1" applyAlignment="1">
      <alignment/>
      <protection/>
    </xf>
    <xf numFmtId="168" fontId="4" fillId="0" borderId="64" xfId="59" applyNumberFormat="1" applyFont="1" applyBorder="1" applyAlignment="1">
      <alignment horizontal="right"/>
      <protection/>
    </xf>
    <xf numFmtId="168" fontId="7" fillId="0" borderId="30" xfId="40" applyNumberFormat="1" applyFont="1" applyBorder="1" applyAlignment="1">
      <alignment/>
    </xf>
    <xf numFmtId="168" fontId="7" fillId="0" borderId="56" xfId="40" applyNumberFormat="1" applyFont="1" applyBorder="1" applyAlignment="1">
      <alignment/>
    </xf>
    <xf numFmtId="168" fontId="7" fillId="0" borderId="27" xfId="40" applyNumberFormat="1" applyFont="1" applyBorder="1" applyAlignment="1">
      <alignment/>
    </xf>
    <xf numFmtId="0" fontId="6" fillId="0" borderId="29" xfId="57" applyFont="1" applyBorder="1" applyAlignment="1">
      <alignment horizontal="right"/>
      <protection/>
    </xf>
    <xf numFmtId="0" fontId="6" fillId="0" borderId="29" xfId="57" applyFont="1" applyBorder="1" applyAlignment="1">
      <alignment/>
      <protection/>
    </xf>
    <xf numFmtId="0" fontId="6" fillId="0" borderId="30" xfId="58" applyFont="1" applyBorder="1" applyAlignment="1">
      <alignment vertical="center"/>
      <protection/>
    </xf>
    <xf numFmtId="168" fontId="6" fillId="0" borderId="30" xfId="58" applyNumberFormat="1" applyFont="1" applyBorder="1" applyAlignment="1">
      <alignment vertical="center"/>
      <protection/>
    </xf>
    <xf numFmtId="49" fontId="0" fillId="0" borderId="0" xfId="0" applyNumberFormat="1" applyAlignment="1">
      <alignment/>
    </xf>
    <xf numFmtId="49" fontId="35" fillId="0" borderId="0" xfId="0" applyNumberFormat="1" applyFont="1" applyAlignment="1">
      <alignment/>
    </xf>
    <xf numFmtId="0" fontId="18" fillId="0" borderId="0" xfId="59" applyFont="1">
      <alignment/>
      <protection/>
    </xf>
    <xf numFmtId="0" fontId="14" fillId="0" borderId="0" xfId="59" applyFont="1" applyBorder="1" applyAlignment="1">
      <alignment horizontal="left" wrapText="1"/>
      <protection/>
    </xf>
    <xf numFmtId="0" fontId="14" fillId="0" borderId="0" xfId="59" applyFont="1" applyBorder="1" applyAlignment="1" quotePrefix="1">
      <alignment horizontal="left" wrapText="1"/>
      <protection/>
    </xf>
    <xf numFmtId="0" fontId="12" fillId="0" borderId="0" xfId="59" applyFont="1" applyBorder="1" applyAlignment="1" quotePrefix="1">
      <alignment horizontal="left" wrapText="1"/>
      <protection/>
    </xf>
    <xf numFmtId="0" fontId="11" fillId="0" borderId="65" xfId="59" applyFont="1" applyBorder="1" applyAlignment="1" quotePrefix="1">
      <alignment horizontal="center" vertical="center" wrapText="1"/>
      <protection/>
    </xf>
    <xf numFmtId="0" fontId="10" fillId="0" borderId="58" xfId="59" applyFont="1" applyBorder="1">
      <alignment/>
      <protection/>
    </xf>
    <xf numFmtId="0" fontId="11" fillId="0" borderId="29" xfId="60" applyFont="1" applyBorder="1">
      <alignment/>
      <protection/>
    </xf>
    <xf numFmtId="49" fontId="11" fillId="0" borderId="0" xfId="59" applyNumberFormat="1" applyFont="1">
      <alignment/>
      <protection/>
    </xf>
    <xf numFmtId="49" fontId="10" fillId="0" borderId="0" xfId="59" applyNumberFormat="1" applyFont="1">
      <alignment/>
      <protection/>
    </xf>
    <xf numFmtId="49" fontId="12" fillId="0" borderId="0" xfId="60" applyNumberFormat="1" applyFont="1">
      <alignment/>
      <protection/>
    </xf>
    <xf numFmtId="4" fontId="11" fillId="0" borderId="57" xfId="60" applyNumberFormat="1" applyFont="1" applyBorder="1">
      <alignment/>
      <protection/>
    </xf>
    <xf numFmtId="4" fontId="11" fillId="0" borderId="22" xfId="60" applyNumberFormat="1" applyFont="1" applyBorder="1">
      <alignment/>
      <protection/>
    </xf>
    <xf numFmtId="4" fontId="11" fillId="0" borderId="66" xfId="60" applyNumberFormat="1" applyFont="1" applyBorder="1">
      <alignment/>
      <protection/>
    </xf>
    <xf numFmtId="4" fontId="11" fillId="0" borderId="29" xfId="60" applyNumberFormat="1" applyFont="1" applyBorder="1">
      <alignment/>
      <protection/>
    </xf>
    <xf numFmtId="4" fontId="11" fillId="0" borderId="41" xfId="60" applyNumberFormat="1" applyFont="1" applyBorder="1">
      <alignment/>
      <protection/>
    </xf>
    <xf numFmtId="4" fontId="10" fillId="0" borderId="30" xfId="60" applyNumberFormat="1" applyFont="1" applyBorder="1">
      <alignment/>
      <protection/>
    </xf>
    <xf numFmtId="3" fontId="12" fillId="0" borderId="0" xfId="0" applyNumberFormat="1" applyFont="1" applyAlignment="1">
      <alignment wrapText="1"/>
    </xf>
    <xf numFmtId="0" fontId="12" fillId="0" borderId="29" xfId="0" applyFont="1" applyBorder="1" applyAlignment="1">
      <alignment horizontal="center"/>
    </xf>
    <xf numFmtId="3" fontId="72" fillId="0" borderId="0" xfId="57" applyNumberFormat="1" applyFont="1" applyAlignment="1">
      <alignment horizontal="right"/>
      <protection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3" fontId="11" fillId="0" borderId="64" xfId="59" applyNumberFormat="1" applyFont="1" applyBorder="1" applyAlignment="1">
      <alignment horizontal="right"/>
      <protection/>
    </xf>
    <xf numFmtId="3" fontId="10" fillId="0" borderId="29" xfId="59" applyNumberFormat="1" applyFont="1" applyBorder="1" applyAlignment="1">
      <alignment horizontal="right"/>
      <protection/>
    </xf>
    <xf numFmtId="3" fontId="10" fillId="0" borderId="22" xfId="59" applyNumberFormat="1" applyFont="1" applyBorder="1" applyAlignment="1">
      <alignment horizontal="right"/>
      <protection/>
    </xf>
    <xf numFmtId="0" fontId="11" fillId="0" borderId="43" xfId="60" applyFont="1" applyBorder="1">
      <alignment/>
      <protection/>
    </xf>
    <xf numFmtId="0" fontId="11" fillId="0" borderId="42" xfId="60" applyFont="1" applyBorder="1">
      <alignment/>
      <protection/>
    </xf>
    <xf numFmtId="3" fontId="10" fillId="0" borderId="21" xfId="59" applyNumberFormat="1" applyFont="1" applyBorder="1" applyAlignment="1">
      <alignment horizontal="right"/>
      <protection/>
    </xf>
    <xf numFmtId="3" fontId="11" fillId="0" borderId="67" xfId="59" applyNumberFormat="1" applyFont="1" applyBorder="1" applyAlignment="1">
      <alignment horizontal="right"/>
      <protection/>
    </xf>
    <xf numFmtId="3" fontId="11" fillId="0" borderId="43" xfId="59" applyNumberFormat="1" applyFont="1" applyBorder="1" applyAlignment="1">
      <alignment horizontal="right"/>
      <protection/>
    </xf>
    <xf numFmtId="3" fontId="22" fillId="0" borderId="43" xfId="59" applyNumberFormat="1" applyFont="1" applyBorder="1">
      <alignment/>
      <protection/>
    </xf>
    <xf numFmtId="3" fontId="11" fillId="0" borderId="43" xfId="59" applyNumberFormat="1" applyFont="1" applyBorder="1">
      <alignment/>
      <protection/>
    </xf>
    <xf numFmtId="3" fontId="22" fillId="0" borderId="66" xfId="59" applyNumberFormat="1" applyFont="1" applyBorder="1">
      <alignment/>
      <protection/>
    </xf>
    <xf numFmtId="3" fontId="11" fillId="0" borderId="66" xfId="59" applyNumberFormat="1" applyFont="1" applyBorder="1">
      <alignment/>
      <protection/>
    </xf>
    <xf numFmtId="3" fontId="11" fillId="0" borderId="68" xfId="59" applyNumberFormat="1" applyFont="1" applyBorder="1">
      <alignment/>
      <protection/>
    </xf>
    <xf numFmtId="4" fontId="11" fillId="0" borderId="43" xfId="60" applyNumberFormat="1" applyFont="1" applyBorder="1">
      <alignment/>
      <protection/>
    </xf>
    <xf numFmtId="0" fontId="4" fillId="0" borderId="30" xfId="60" applyFont="1" applyBorder="1">
      <alignment/>
      <protection/>
    </xf>
    <xf numFmtId="0" fontId="7" fillId="0" borderId="29" xfId="60" applyFont="1" applyBorder="1">
      <alignment/>
      <protection/>
    </xf>
    <xf numFmtId="0" fontId="7" fillId="0" borderId="30" xfId="60" applyFont="1" applyBorder="1">
      <alignment/>
      <protection/>
    </xf>
    <xf numFmtId="0" fontId="10" fillId="0" borderId="30" xfId="60" applyFont="1" applyBorder="1">
      <alignment/>
      <protection/>
    </xf>
    <xf numFmtId="0" fontId="6" fillId="0" borderId="30" xfId="60" applyFont="1" applyBorder="1">
      <alignment/>
      <protection/>
    </xf>
    <xf numFmtId="0" fontId="10" fillId="0" borderId="0" xfId="59" applyFont="1" applyBorder="1">
      <alignment/>
      <protection/>
    </xf>
    <xf numFmtId="3" fontId="10" fillId="0" borderId="0" xfId="59" applyNumberFormat="1" applyFont="1" applyBorder="1" applyAlignment="1">
      <alignment horizontal="right"/>
      <protection/>
    </xf>
    <xf numFmtId="4" fontId="10" fillId="0" borderId="0" xfId="60" applyNumberFormat="1" applyFont="1" applyBorder="1">
      <alignment/>
      <protection/>
    </xf>
    <xf numFmtId="3" fontId="10" fillId="0" borderId="30" xfId="60" applyNumberFormat="1" applyFont="1" applyBorder="1">
      <alignment/>
      <protection/>
    </xf>
    <xf numFmtId="3" fontId="4" fillId="0" borderId="0" xfId="60" applyNumberFormat="1" applyFont="1">
      <alignment/>
      <protection/>
    </xf>
    <xf numFmtId="0" fontId="4" fillId="0" borderId="69" xfId="0" applyFont="1" applyBorder="1" applyAlignment="1">
      <alignment/>
    </xf>
    <xf numFmtId="0" fontId="11" fillId="0" borderId="70" xfId="60" applyFont="1" applyBorder="1">
      <alignment/>
      <protection/>
    </xf>
    <xf numFmtId="168" fontId="7" fillId="0" borderId="69" xfId="40" applyNumberFormat="1" applyFont="1" applyBorder="1" applyAlignment="1">
      <alignment/>
    </xf>
    <xf numFmtId="168" fontId="4" fillId="0" borderId="67" xfId="40" applyNumberFormat="1" applyFont="1" applyBorder="1" applyAlignment="1">
      <alignment/>
    </xf>
    <xf numFmtId="168" fontId="4" fillId="0" borderId="43" xfId="40" applyNumberFormat="1" applyFont="1" applyBorder="1" applyAlignment="1">
      <alignment/>
    </xf>
    <xf numFmtId="168" fontId="4" fillId="0" borderId="68" xfId="40" applyNumberFormat="1" applyFont="1" applyBorder="1" applyAlignment="1">
      <alignment/>
    </xf>
    <xf numFmtId="0" fontId="10" fillId="0" borderId="30" xfId="0" applyFont="1" applyBorder="1" applyAlignment="1">
      <alignment/>
    </xf>
    <xf numFmtId="168" fontId="10" fillId="0" borderId="30" xfId="0" applyNumberFormat="1" applyFont="1" applyBorder="1" applyAlignment="1">
      <alignment/>
    </xf>
    <xf numFmtId="168" fontId="10" fillId="0" borderId="30" xfId="40" applyNumberFormat="1" applyFont="1" applyBorder="1" applyAlignment="1">
      <alignment/>
    </xf>
    <xf numFmtId="168" fontId="10" fillId="0" borderId="59" xfId="40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49" fontId="0" fillId="0" borderId="0" xfId="0" applyNumberFormat="1" applyAlignment="1" quotePrefix="1">
      <alignment/>
    </xf>
    <xf numFmtId="0" fontId="0" fillId="0" borderId="0" xfId="0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179" fontId="0" fillId="0" borderId="30" xfId="0" applyNumberFormat="1" applyBorder="1" applyAlignment="1">
      <alignment/>
    </xf>
    <xf numFmtId="0" fontId="19" fillId="0" borderId="0" xfId="0" applyFont="1" applyAlignment="1">
      <alignment/>
    </xf>
    <xf numFmtId="0" fontId="10" fillId="0" borderId="27" xfId="0" applyFont="1" applyBorder="1" applyAlignment="1">
      <alignment/>
    </xf>
    <xf numFmtId="0" fontId="10" fillId="0" borderId="59" xfId="0" applyFont="1" applyBorder="1" applyAlignment="1">
      <alignment/>
    </xf>
    <xf numFmtId="168" fontId="7" fillId="0" borderId="30" xfId="0" applyNumberFormat="1" applyFont="1" applyBorder="1" applyAlignment="1">
      <alignment/>
    </xf>
    <xf numFmtId="0" fontId="0" fillId="0" borderId="0" xfId="0" applyBorder="1" applyAlignment="1">
      <alignment horizontal="center" vertical="center" textRotation="45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" fontId="0" fillId="0" borderId="0" xfId="0" applyNumberFormat="1" applyAlignment="1" quotePrefix="1">
      <alignment/>
    </xf>
    <xf numFmtId="3" fontId="12" fillId="0" borderId="50" xfId="0" applyNumberFormat="1" applyFont="1" applyBorder="1" applyAlignment="1">
      <alignment/>
    </xf>
    <xf numFmtId="3" fontId="12" fillId="32" borderId="0" xfId="57" applyNumberFormat="1" applyFont="1" applyFill="1" applyAlignment="1">
      <alignment horizontal="right"/>
      <protection/>
    </xf>
    <xf numFmtId="3" fontId="6" fillId="0" borderId="0" xfId="40" applyNumberFormat="1" applyFont="1" applyBorder="1" applyAlignment="1">
      <alignment horizontal="right"/>
    </xf>
    <xf numFmtId="0" fontId="7" fillId="0" borderId="30" xfId="0" applyFont="1" applyBorder="1" applyAlignment="1">
      <alignment/>
    </xf>
    <xf numFmtId="168" fontId="12" fillId="0" borderId="29" xfId="40" applyNumberFormat="1" applyFont="1" applyBorder="1" applyAlignment="1">
      <alignment/>
    </xf>
    <xf numFmtId="4" fontId="10" fillId="0" borderId="30" xfId="60" applyNumberFormat="1" applyFont="1" applyBorder="1">
      <alignment/>
      <protection/>
    </xf>
    <xf numFmtId="0" fontId="7" fillId="0" borderId="43" xfId="60" applyFont="1" applyBorder="1">
      <alignment/>
      <protection/>
    </xf>
    <xf numFmtId="0" fontId="4" fillId="0" borderId="29" xfId="60" applyFont="1" applyBorder="1">
      <alignment/>
      <protection/>
    </xf>
    <xf numFmtId="3" fontId="11" fillId="0" borderId="29" xfId="59" applyNumberFormat="1" applyFont="1" applyBorder="1" applyAlignment="1">
      <alignment horizontal="right"/>
      <protection/>
    </xf>
    <xf numFmtId="4" fontId="11" fillId="0" borderId="29" xfId="60" applyNumberFormat="1" applyFont="1" applyBorder="1">
      <alignment/>
      <protection/>
    </xf>
    <xf numFmtId="4" fontId="73" fillId="0" borderId="41" xfId="60" applyNumberFormat="1" applyFont="1" applyBorder="1">
      <alignment/>
      <protection/>
    </xf>
    <xf numFmtId="4" fontId="73" fillId="0" borderId="29" xfId="60" applyNumberFormat="1" applyFont="1" applyBorder="1">
      <alignment/>
      <protection/>
    </xf>
    <xf numFmtId="0" fontId="4" fillId="0" borderId="29" xfId="0" applyFont="1" applyBorder="1" applyAlignment="1">
      <alignment/>
    </xf>
    <xf numFmtId="168" fontId="4" fillId="0" borderId="0" xfId="0" applyNumberFormat="1" applyFont="1" applyAlignment="1">
      <alignment/>
    </xf>
    <xf numFmtId="3" fontId="12" fillId="0" borderId="0" xfId="57" applyNumberFormat="1" applyFont="1" applyAlignment="1">
      <alignment horizontal="right"/>
      <protection/>
    </xf>
    <xf numFmtId="0" fontId="12" fillId="0" borderId="0" xfId="59" applyFont="1" applyBorder="1" applyAlignment="1">
      <alignment horizontal="center"/>
      <protection/>
    </xf>
    <xf numFmtId="0" fontId="73" fillId="0" borderId="29" xfId="60" applyFont="1" applyBorder="1">
      <alignment/>
      <protection/>
    </xf>
    <xf numFmtId="3" fontId="10" fillId="0" borderId="0" xfId="0" applyNumberFormat="1" applyFont="1" applyAlignment="1">
      <alignment horizontal="center" vertical="center"/>
    </xf>
    <xf numFmtId="49" fontId="12" fillId="0" borderId="0" xfId="59" applyNumberFormat="1" applyFont="1">
      <alignment/>
      <protection/>
    </xf>
    <xf numFmtId="0" fontId="6" fillId="0" borderId="0" xfId="59" applyFont="1">
      <alignment/>
      <protection/>
    </xf>
    <xf numFmtId="49" fontId="0" fillId="0" borderId="0" xfId="0" applyNumberFormat="1" applyAlignment="1" quotePrefix="1">
      <alignment vertical="center"/>
    </xf>
    <xf numFmtId="0" fontId="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 quotePrefix="1">
      <alignment horizontal="left" wrapText="1"/>
    </xf>
    <xf numFmtId="0" fontId="1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57" applyFont="1" applyBorder="1" applyAlignment="1">
      <alignment horizontal="left" vertical="center"/>
      <protection/>
    </xf>
    <xf numFmtId="0" fontId="12" fillId="0" borderId="0" xfId="57" applyFont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6" fillId="0" borderId="0" xfId="57" applyFont="1" applyAlignment="1">
      <alignment horizont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51" xfId="57" applyFont="1" applyBorder="1" applyAlignment="1">
      <alignment horizontal="center" vertical="center"/>
      <protection/>
    </xf>
    <xf numFmtId="0" fontId="6" fillId="0" borderId="55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71" xfId="57" applyFont="1" applyBorder="1" applyAlignment="1">
      <alignment horizontal="center" vertical="center"/>
      <protection/>
    </xf>
    <xf numFmtId="0" fontId="6" fillId="0" borderId="14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/>
      <protection/>
    </xf>
    <xf numFmtId="0" fontId="6" fillId="0" borderId="72" xfId="57" applyFont="1" applyBorder="1" applyAlignment="1">
      <alignment horizontal="center" vertical="center"/>
      <protection/>
    </xf>
    <xf numFmtId="0" fontId="6" fillId="0" borderId="0" xfId="57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18" fillId="0" borderId="0" xfId="0" applyFont="1" applyAlignment="1">
      <alignment horizontal="right"/>
    </xf>
    <xf numFmtId="0" fontId="10" fillId="0" borderId="0" xfId="57" applyFont="1" applyAlignment="1">
      <alignment horizontal="center" wrapText="1"/>
      <protection/>
    </xf>
    <xf numFmtId="0" fontId="4" fillId="0" borderId="11" xfId="57" applyFont="1" applyBorder="1" applyAlignment="1">
      <alignment horizontal="center" vertical="center" textRotation="255"/>
      <protection/>
    </xf>
    <xf numFmtId="0" fontId="4" fillId="0" borderId="13" xfId="57" applyFont="1" applyBorder="1" applyAlignment="1">
      <alignment horizontal="center" vertical="center" textRotation="255"/>
      <protection/>
    </xf>
    <xf numFmtId="0" fontId="4" fillId="0" borderId="15" xfId="57" applyFont="1" applyBorder="1" applyAlignment="1">
      <alignment horizontal="center" vertical="center" textRotation="255"/>
      <protection/>
    </xf>
    <xf numFmtId="0" fontId="11" fillId="0" borderId="55" xfId="59" applyFont="1" applyBorder="1" applyAlignment="1">
      <alignment horizontal="center" vertical="center" wrapText="1"/>
      <protection/>
    </xf>
    <xf numFmtId="0" fontId="11" fillId="0" borderId="71" xfId="59" applyFont="1" applyBorder="1" applyAlignment="1">
      <alignment horizontal="center" vertical="center" wrapText="1"/>
      <protection/>
    </xf>
    <xf numFmtId="0" fontId="11" fillId="0" borderId="72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 vertical="center"/>
      <protection/>
    </xf>
    <xf numFmtId="0" fontId="11" fillId="0" borderId="15" xfId="59" applyFont="1" applyBorder="1" applyAlignment="1">
      <alignment horizontal="center" vertical="center"/>
      <protection/>
    </xf>
    <xf numFmtId="0" fontId="23" fillId="0" borderId="11" xfId="57" applyFont="1" applyBorder="1" applyAlignment="1">
      <alignment horizontal="center" vertical="center" wrapText="1"/>
      <protection/>
    </xf>
    <xf numFmtId="0" fontId="23" fillId="0" borderId="13" xfId="57" applyFont="1" applyBorder="1" applyAlignment="1">
      <alignment horizontal="center" vertical="center" wrapText="1"/>
      <protection/>
    </xf>
    <xf numFmtId="0" fontId="23" fillId="0" borderId="15" xfId="57" applyFont="1" applyBorder="1" applyAlignment="1">
      <alignment horizontal="center" vertical="center" wrapText="1"/>
      <protection/>
    </xf>
    <xf numFmtId="168" fontId="23" fillId="0" borderId="58" xfId="40" applyNumberFormat="1" applyFont="1" applyBorder="1" applyAlignment="1">
      <alignment horizontal="center" vertical="center"/>
    </xf>
    <xf numFmtId="168" fontId="23" fillId="0" borderId="59" xfId="40" applyNumberFormat="1" applyFont="1" applyBorder="1" applyAlignment="1">
      <alignment horizontal="center" vertical="center"/>
    </xf>
    <xf numFmtId="168" fontId="23" fillId="0" borderId="10" xfId="40" applyNumberFormat="1" applyFont="1" applyBorder="1" applyAlignment="1">
      <alignment horizontal="center" vertical="center"/>
    </xf>
    <xf numFmtId="168" fontId="23" fillId="0" borderId="51" xfId="40" applyNumberFormat="1" applyFont="1" applyBorder="1" applyAlignment="1">
      <alignment horizontal="center" vertical="center"/>
    </xf>
    <xf numFmtId="168" fontId="23" fillId="0" borderId="55" xfId="40" applyNumberFormat="1" applyFont="1" applyBorder="1" applyAlignment="1">
      <alignment horizontal="center" vertical="center"/>
    </xf>
    <xf numFmtId="168" fontId="23" fillId="0" borderId="14" xfId="40" applyNumberFormat="1" applyFont="1" applyBorder="1" applyAlignment="1">
      <alignment horizontal="center" vertical="center"/>
    </xf>
    <xf numFmtId="168" fontId="23" fillId="0" borderId="16" xfId="40" applyNumberFormat="1" applyFont="1" applyBorder="1" applyAlignment="1">
      <alignment horizontal="center" vertical="center"/>
    </xf>
    <xf numFmtId="168" fontId="23" fillId="0" borderId="72" xfId="40" applyNumberFormat="1" applyFont="1" applyBorder="1" applyAlignment="1">
      <alignment horizontal="center" vertical="center"/>
    </xf>
    <xf numFmtId="0" fontId="11" fillId="0" borderId="11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 vertical="center"/>
      <protection/>
    </xf>
    <xf numFmtId="0" fontId="11" fillId="0" borderId="15" xfId="59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11" fillId="0" borderId="13" xfId="57" applyFont="1" applyBorder="1" applyAlignment="1">
      <alignment horizontal="center" vertical="center" wrapText="1"/>
      <protection/>
    </xf>
    <xf numFmtId="0" fontId="11" fillId="0" borderId="15" xfId="57" applyFont="1" applyBorder="1" applyAlignment="1">
      <alignment horizontal="center" vertical="center" wrapText="1"/>
      <protection/>
    </xf>
    <xf numFmtId="0" fontId="11" fillId="0" borderId="55" xfId="59" applyFont="1" applyBorder="1" applyAlignment="1">
      <alignment horizontal="center" vertical="center" wrapText="1"/>
      <protection/>
    </xf>
    <xf numFmtId="0" fontId="11" fillId="0" borderId="71" xfId="59" applyFont="1" applyBorder="1" applyAlignment="1">
      <alignment horizontal="center" vertical="center" wrapText="1"/>
      <protection/>
    </xf>
    <xf numFmtId="0" fontId="11" fillId="0" borderId="72" xfId="59" applyFont="1" applyBorder="1" applyAlignment="1">
      <alignment horizontal="center" vertical="center" wrapText="1"/>
      <protection/>
    </xf>
    <xf numFmtId="0" fontId="11" fillId="0" borderId="43" xfId="57" applyFont="1" applyBorder="1" applyAlignment="1">
      <alignment horizontal="center" vertical="center" textRotation="180"/>
      <protection/>
    </xf>
    <xf numFmtId="0" fontId="11" fillId="0" borderId="21" xfId="57" applyFont="1" applyBorder="1" applyAlignment="1">
      <alignment horizontal="center" vertical="center" textRotation="180"/>
      <protection/>
    </xf>
    <xf numFmtId="0" fontId="11" fillId="0" borderId="22" xfId="57" applyFont="1" applyBorder="1" applyAlignment="1">
      <alignment horizontal="center" vertical="center" textRotation="180"/>
      <protection/>
    </xf>
    <xf numFmtId="0" fontId="11" fillId="0" borderId="47" xfId="57" applyFont="1" applyBorder="1" applyAlignment="1">
      <alignment horizontal="center" vertical="center" wrapText="1"/>
      <protection/>
    </xf>
    <xf numFmtId="0" fontId="11" fillId="0" borderId="58" xfId="57" applyFont="1" applyBorder="1" applyAlignment="1">
      <alignment horizontal="center" vertical="center" wrapText="1"/>
      <protection/>
    </xf>
    <xf numFmtId="0" fontId="11" fillId="0" borderId="59" xfId="57" applyFont="1" applyBorder="1" applyAlignment="1">
      <alignment horizontal="center" vertical="center" wrapText="1"/>
      <protection/>
    </xf>
    <xf numFmtId="0" fontId="27" fillId="0" borderId="11" xfId="57" applyFont="1" applyBorder="1" applyAlignment="1">
      <alignment horizontal="center" vertical="center" wrapText="1"/>
      <protection/>
    </xf>
    <xf numFmtId="0" fontId="27" fillId="0" borderId="13" xfId="57" applyFont="1" applyBorder="1" applyAlignment="1">
      <alignment horizontal="center" vertical="center" wrapText="1"/>
      <protection/>
    </xf>
    <xf numFmtId="0" fontId="27" fillId="0" borderId="15" xfId="57" applyFont="1" applyBorder="1" applyAlignment="1">
      <alignment horizontal="center" vertical="center" wrapText="1"/>
      <protection/>
    </xf>
    <xf numFmtId="44" fontId="11" fillId="0" borderId="47" xfId="62" applyFont="1" applyBorder="1" applyAlignment="1">
      <alignment horizontal="center" vertical="center"/>
    </xf>
    <xf numFmtId="44" fontId="11" fillId="0" borderId="58" xfId="62" applyFont="1" applyBorder="1" applyAlignment="1">
      <alignment horizontal="center" vertical="center"/>
    </xf>
    <xf numFmtId="44" fontId="11" fillId="0" borderId="59" xfId="62" applyFont="1" applyBorder="1" applyAlignment="1">
      <alignment horizontal="center" vertical="center"/>
    </xf>
    <xf numFmtId="0" fontId="7" fillId="0" borderId="14" xfId="57" applyFont="1" applyBorder="1" applyAlignment="1">
      <alignment horizontal="center"/>
      <protection/>
    </xf>
    <xf numFmtId="0" fontId="7" fillId="0" borderId="72" xfId="57" applyFont="1" applyBorder="1" applyAlignment="1">
      <alignment horizontal="center"/>
      <protection/>
    </xf>
    <xf numFmtId="0" fontId="11" fillId="0" borderId="16" xfId="60" applyFont="1" applyBorder="1" applyAlignment="1">
      <alignment horizontal="right"/>
      <protection/>
    </xf>
    <xf numFmtId="0" fontId="10" fillId="0" borderId="0" xfId="60" applyFont="1" applyAlignment="1">
      <alignment horizontal="center"/>
      <protection/>
    </xf>
    <xf numFmtId="0" fontId="7" fillId="0" borderId="47" xfId="57" applyFont="1" applyBorder="1" applyAlignment="1">
      <alignment horizontal="center"/>
      <protection/>
    </xf>
    <xf numFmtId="0" fontId="7" fillId="0" borderId="59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 vertical="center"/>
      <protection/>
    </xf>
    <xf numFmtId="0" fontId="11" fillId="0" borderId="13" xfId="57" applyFont="1" applyBorder="1" applyAlignment="1">
      <alignment horizontal="center" vertical="center"/>
      <protection/>
    </xf>
    <xf numFmtId="0" fontId="11" fillId="0" borderId="15" xfId="57" applyFont="1" applyBorder="1" applyAlignment="1">
      <alignment horizontal="center" vertical="center"/>
      <protection/>
    </xf>
    <xf numFmtId="0" fontId="11" fillId="0" borderId="47" xfId="57" applyFont="1" applyBorder="1" applyAlignment="1">
      <alignment horizontal="center"/>
      <protection/>
    </xf>
    <xf numFmtId="0" fontId="11" fillId="0" borderId="58" xfId="57" applyFont="1" applyBorder="1" applyAlignment="1">
      <alignment horizontal="center"/>
      <protection/>
    </xf>
    <xf numFmtId="0" fontId="11" fillId="0" borderId="59" xfId="57" applyFont="1" applyBorder="1" applyAlignment="1">
      <alignment horizontal="center"/>
      <protection/>
    </xf>
    <xf numFmtId="0" fontId="11" fillId="0" borderId="47" xfId="57" applyFont="1" applyBorder="1" applyAlignment="1">
      <alignment horizontal="center" vertical="center"/>
      <protection/>
    </xf>
    <xf numFmtId="0" fontId="11" fillId="0" borderId="58" xfId="57" applyFont="1" applyBorder="1" applyAlignment="1">
      <alignment horizontal="center" vertical="center"/>
      <protection/>
    </xf>
    <xf numFmtId="0" fontId="11" fillId="0" borderId="59" xfId="57" applyFont="1" applyBorder="1" applyAlignment="1">
      <alignment horizontal="center" vertic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71" xfId="57" applyFont="1" applyBorder="1" applyAlignment="1">
      <alignment horizontal="center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7" fillId="0" borderId="0" xfId="60" applyFont="1" applyAlignment="1">
      <alignment horizontal="center"/>
      <protection/>
    </xf>
    <xf numFmtId="0" fontId="26" fillId="0" borderId="11" xfId="57" applyFont="1" applyBorder="1" applyAlignment="1">
      <alignment horizontal="center" textRotation="255"/>
      <protection/>
    </xf>
    <xf numFmtId="0" fontId="26" fillId="0" borderId="13" xfId="57" applyFont="1" applyBorder="1" applyAlignment="1">
      <alignment horizontal="center" textRotation="255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168" fontId="23" fillId="0" borderId="12" xfId="40" applyNumberFormat="1" applyFont="1" applyBorder="1" applyAlignment="1">
      <alignment horizontal="center" vertical="center"/>
    </xf>
    <xf numFmtId="168" fontId="23" fillId="0" borderId="0" xfId="40" applyNumberFormat="1" applyFont="1" applyBorder="1" applyAlignment="1">
      <alignment horizontal="center" vertical="center"/>
    </xf>
    <xf numFmtId="168" fontId="23" fillId="0" borderId="71" xfId="40" applyNumberFormat="1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59" applyFont="1" applyAlignment="1">
      <alignment horizontal="left" wrapText="1"/>
      <protection/>
    </xf>
    <xf numFmtId="0" fontId="10" fillId="0" borderId="6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2" fillId="0" borderId="0" xfId="59" applyFont="1" applyAlignment="1">
      <alignment wrapText="1"/>
      <protection/>
    </xf>
    <xf numFmtId="0" fontId="7" fillId="0" borderId="0" xfId="0" applyFont="1" applyAlignment="1">
      <alignment wrapText="1"/>
    </xf>
    <xf numFmtId="0" fontId="7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11" fillId="0" borderId="11" xfId="59" applyFont="1" applyBorder="1" applyAlignment="1">
      <alignment horizontal="center" vertical="center" textRotation="180"/>
      <protection/>
    </xf>
    <xf numFmtId="0" fontId="11" fillId="0" borderId="13" xfId="59" applyFont="1" applyBorder="1" applyAlignment="1">
      <alignment horizontal="center" vertical="center" textRotation="180"/>
      <protection/>
    </xf>
    <xf numFmtId="0" fontId="11" fillId="0" borderId="15" xfId="59" applyFont="1" applyBorder="1" applyAlignment="1">
      <alignment horizontal="center" vertical="center" textRotation="180"/>
      <protection/>
    </xf>
    <xf numFmtId="0" fontId="21" fillId="0" borderId="0" xfId="0" applyFont="1" applyAlignment="1">
      <alignment horizontal="center"/>
    </xf>
    <xf numFmtId="0" fontId="12" fillId="0" borderId="11" xfId="60" applyFont="1" applyBorder="1" applyAlignment="1">
      <alignment horizontal="center" textRotation="180"/>
      <protection/>
    </xf>
    <xf numFmtId="0" fontId="12" fillId="0" borderId="13" xfId="60" applyFont="1" applyBorder="1" applyAlignment="1">
      <alignment horizontal="center" textRotation="180"/>
      <protection/>
    </xf>
    <xf numFmtId="0" fontId="12" fillId="0" borderId="15" xfId="60" applyFont="1" applyBorder="1" applyAlignment="1">
      <alignment horizontal="center" textRotation="180"/>
      <protection/>
    </xf>
    <xf numFmtId="0" fontId="12" fillId="0" borderId="0" xfId="0" applyFont="1" applyAlignment="1">
      <alignment horizontal="right"/>
    </xf>
    <xf numFmtId="0" fontId="0" fillId="0" borderId="11" xfId="0" applyBorder="1" applyAlignment="1">
      <alignment horizontal="center" vertical="center" textRotation="45"/>
    </xf>
    <xf numFmtId="0" fontId="0" fillId="0" borderId="13" xfId="0" applyBorder="1" applyAlignment="1">
      <alignment horizontal="center" vertical="center" textRotation="45"/>
    </xf>
    <xf numFmtId="0" fontId="0" fillId="0" borderId="15" xfId="0" applyBorder="1" applyAlignment="1">
      <alignment horizontal="center" vertical="center" textRotation="45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11" fillId="0" borderId="0" xfId="0" applyFont="1" applyAlignment="1">
      <alignment horizontal="right"/>
    </xf>
    <xf numFmtId="168" fontId="4" fillId="0" borderId="79" xfId="40" applyNumberFormat="1" applyFont="1" applyBorder="1" applyAlignment="1">
      <alignment horizontal="center" vertical="center"/>
    </xf>
    <xf numFmtId="168" fontId="4" fillId="0" borderId="80" xfId="40" applyNumberFormat="1" applyFont="1" applyBorder="1" applyAlignment="1">
      <alignment horizontal="center" vertical="center"/>
    </xf>
    <xf numFmtId="0" fontId="4" fillId="0" borderId="81" xfId="57" applyFont="1" applyBorder="1" applyAlignment="1">
      <alignment horizontal="center" vertical="center"/>
      <protection/>
    </xf>
    <xf numFmtId="0" fontId="4" fillId="0" borderId="80" xfId="57" applyFont="1" applyBorder="1" applyAlignment="1">
      <alignment horizontal="center" vertical="center"/>
      <protection/>
    </xf>
    <xf numFmtId="0" fontId="4" fillId="0" borderId="82" xfId="57" applyFont="1" applyBorder="1" applyAlignment="1">
      <alignment horizontal="center" vertical="center"/>
      <protection/>
    </xf>
    <xf numFmtId="168" fontId="4" fillId="0" borderId="35" xfId="40" applyNumberFormat="1" applyFont="1" applyBorder="1" applyAlignment="1">
      <alignment horizontal="center" vertical="center"/>
    </xf>
    <xf numFmtId="168" fontId="4" fillId="0" borderId="21" xfId="40" applyNumberFormat="1" applyFont="1" applyBorder="1" applyAlignment="1">
      <alignment horizontal="center" vertical="center"/>
    </xf>
    <xf numFmtId="0" fontId="4" fillId="0" borderId="83" xfId="57" applyFont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4" fillId="0" borderId="84" xfId="57" applyFont="1" applyBorder="1" applyAlignment="1">
      <alignment horizontal="center"/>
      <protection/>
    </xf>
    <xf numFmtId="0" fontId="4" fillId="0" borderId="85" xfId="57" applyFont="1" applyBorder="1" applyAlignment="1">
      <alignment horizontal="center"/>
      <protection/>
    </xf>
    <xf numFmtId="0" fontId="4" fillId="0" borderId="35" xfId="57" applyFont="1" applyBorder="1" applyAlignment="1">
      <alignment horizontal="left" vertical="center" wrapText="1"/>
      <protection/>
    </xf>
    <xf numFmtId="0" fontId="4" fillId="0" borderId="21" xfId="57" applyFont="1" applyBorder="1" applyAlignment="1">
      <alignment horizontal="left" vertical="center" wrapText="1"/>
      <protection/>
    </xf>
    <xf numFmtId="0" fontId="12" fillId="0" borderId="86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8" fontId="12" fillId="0" borderId="91" xfId="40" applyNumberFormat="1" applyFont="1" applyBorder="1" applyAlignment="1">
      <alignment horizontal="center" vertical="center"/>
    </xf>
    <xf numFmtId="168" fontId="12" fillId="0" borderId="92" xfId="40" applyNumberFormat="1" applyFont="1" applyBorder="1" applyAlignment="1">
      <alignment horizontal="center" vertical="center"/>
    </xf>
    <xf numFmtId="168" fontId="12" fillId="0" borderId="93" xfId="40" applyNumberFormat="1" applyFont="1" applyBorder="1" applyAlignment="1">
      <alignment horizontal="center" vertical="center"/>
    </xf>
    <xf numFmtId="168" fontId="12" fillId="0" borderId="94" xfId="40" applyNumberFormat="1" applyFont="1" applyBorder="1" applyAlignment="1">
      <alignment horizontal="center" vertical="center"/>
    </xf>
    <xf numFmtId="168" fontId="12" fillId="0" borderId="95" xfId="40" applyNumberFormat="1" applyFont="1" applyBorder="1" applyAlignment="1">
      <alignment horizontal="center" vertical="center"/>
    </xf>
    <xf numFmtId="168" fontId="12" fillId="0" borderId="96" xfId="40" applyNumberFormat="1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center"/>
    </xf>
    <xf numFmtId="0" fontId="12" fillId="0" borderId="9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2" fontId="12" fillId="0" borderId="91" xfId="0" applyNumberFormat="1" applyFont="1" applyBorder="1" applyAlignment="1">
      <alignment horizontal="center" vertical="center" wrapText="1"/>
    </xf>
    <xf numFmtId="2" fontId="12" fillId="0" borderId="92" xfId="0" applyNumberFormat="1" applyFont="1" applyBorder="1" applyAlignment="1">
      <alignment horizontal="center" vertical="center" wrapText="1"/>
    </xf>
    <xf numFmtId="2" fontId="12" fillId="0" borderId="93" xfId="0" applyNumberFormat="1" applyFont="1" applyBorder="1" applyAlignment="1">
      <alignment horizontal="center" vertical="center" wrapText="1"/>
    </xf>
    <xf numFmtId="168" fontId="12" fillId="0" borderId="98" xfId="4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168" fontId="12" fillId="0" borderId="99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168" fontId="12" fillId="0" borderId="35" xfId="40" applyNumberFormat="1" applyFont="1" applyBorder="1" applyAlignment="1">
      <alignment horizontal="center" vertical="center"/>
    </xf>
    <xf numFmtId="168" fontId="12" fillId="0" borderId="21" xfId="40" applyNumberFormat="1" applyFont="1" applyBorder="1" applyAlignment="1">
      <alignment horizontal="center" vertical="center"/>
    </xf>
    <xf numFmtId="168" fontId="12" fillId="0" borderId="40" xfId="40" applyNumberFormat="1" applyFont="1" applyBorder="1" applyAlignment="1">
      <alignment horizontal="center" vertical="center"/>
    </xf>
    <xf numFmtId="168" fontId="18" fillId="0" borderId="101" xfId="40" applyNumberFormat="1" applyFont="1" applyBorder="1" applyAlignment="1">
      <alignment horizontal="center" vertical="center"/>
    </xf>
    <xf numFmtId="168" fontId="18" fillId="0" borderId="102" xfId="40" applyNumberFormat="1" applyFont="1" applyBorder="1" applyAlignment="1">
      <alignment horizontal="center" vertical="center"/>
    </xf>
    <xf numFmtId="168" fontId="18" fillId="0" borderId="103" xfId="4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2" fillId="0" borderId="104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12" fillId="0" borderId="105" xfId="0" applyFont="1" applyBorder="1" applyAlignment="1">
      <alignment horizontal="center"/>
    </xf>
    <xf numFmtId="0" fontId="12" fillId="0" borderId="106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07" xfId="0" applyFont="1" applyBorder="1" applyAlignment="1">
      <alignment horizontal="left" vertical="center"/>
    </xf>
    <xf numFmtId="0" fontId="12" fillId="0" borderId="108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/>
    </xf>
    <xf numFmtId="0" fontId="12" fillId="0" borderId="110" xfId="0" applyFont="1" applyBorder="1" applyAlignment="1">
      <alignment horizontal="center"/>
    </xf>
    <xf numFmtId="0" fontId="6" fillId="0" borderId="55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6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11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30" fillId="0" borderId="43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12" fillId="0" borderId="4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68" fontId="12" fillId="0" borderId="43" xfId="40" applyNumberFormat="1" applyFont="1" applyBorder="1" applyAlignment="1">
      <alignment horizontal="center"/>
    </xf>
    <xf numFmtId="168" fontId="12" fillId="0" borderId="21" xfId="40" applyNumberFormat="1" applyFont="1" applyBorder="1" applyAlignment="1">
      <alignment horizontal="center"/>
    </xf>
    <xf numFmtId="168" fontId="12" fillId="0" borderId="22" xfId="40" applyNumberFormat="1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2" fillId="0" borderId="4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168" fontId="12" fillId="0" borderId="4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168" fontId="6" fillId="0" borderId="11" xfId="40" applyNumberFormat="1" applyFont="1" applyBorder="1" applyAlignment="1">
      <alignment horizontal="center"/>
    </xf>
    <xf numFmtId="168" fontId="6" fillId="0" borderId="15" xfId="4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6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168" fontId="12" fillId="0" borderId="29" xfId="4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2" fillId="0" borderId="112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8" fontId="12" fillId="0" borderId="10" xfId="40" applyNumberFormat="1" applyFont="1" applyBorder="1" applyAlignment="1">
      <alignment horizontal="center"/>
    </xf>
    <xf numFmtId="168" fontId="12" fillId="0" borderId="55" xfId="40" applyNumberFormat="1" applyFont="1" applyBorder="1" applyAlignment="1">
      <alignment horizontal="center"/>
    </xf>
    <xf numFmtId="168" fontId="12" fillId="0" borderId="14" xfId="40" applyNumberFormat="1" applyFont="1" applyBorder="1" applyAlignment="1">
      <alignment horizontal="center"/>
    </xf>
    <xf numFmtId="168" fontId="12" fillId="0" borderId="72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55" xfId="40" applyNumberFormat="1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72" xfId="40" applyNumberFormat="1" applyFont="1" applyBorder="1" applyAlignment="1">
      <alignment horizontal="center"/>
    </xf>
    <xf numFmtId="168" fontId="12" fillId="0" borderId="112" xfId="40" applyNumberFormat="1" applyFont="1" applyBorder="1" applyAlignment="1">
      <alignment horizontal="center"/>
    </xf>
    <xf numFmtId="168" fontId="12" fillId="0" borderId="62" xfId="4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64" xfId="0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6" fillId="0" borderId="11" xfId="56" applyFont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wrapText="1"/>
    </xf>
    <xf numFmtId="0" fontId="12" fillId="0" borderId="5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6" fillId="0" borderId="47" xfId="56" applyFont="1" applyBorder="1" applyAlignment="1">
      <alignment horizontal="center"/>
      <protection/>
    </xf>
    <xf numFmtId="0" fontId="6" fillId="0" borderId="58" xfId="56" applyFont="1" applyBorder="1" applyAlignment="1">
      <alignment horizontal="center"/>
      <protection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19" fillId="0" borderId="30" xfId="0" applyFont="1" applyBorder="1" applyAlignment="1">
      <alignment wrapText="1"/>
    </xf>
    <xf numFmtId="0" fontId="0" fillId="0" borderId="0" xfId="0" applyAlignment="1">
      <alignment/>
    </xf>
    <xf numFmtId="0" fontId="35" fillId="0" borderId="0" xfId="0" applyFont="1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0" xfId="0" applyAlignment="1">
      <alignment horizontal="right"/>
    </xf>
    <xf numFmtId="3" fontId="0" fillId="0" borderId="30" xfId="0" applyNumberFormat="1" applyBorder="1" applyAlignment="1">
      <alignment/>
    </xf>
    <xf numFmtId="0" fontId="35" fillId="0" borderId="0" xfId="0" applyFont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ONEPC99" xfId="56"/>
    <cellStyle name="Normál_KTGV99" xfId="57"/>
    <cellStyle name="Normál_mérleg" xfId="58"/>
    <cellStyle name="Normál_PHKV99" xfId="59"/>
    <cellStyle name="Normál_SIKONC99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8:U63"/>
  <sheetViews>
    <sheetView zoomScalePageLayoutView="0" workbookViewId="0" topLeftCell="C28">
      <selection activeCell="L45" sqref="L45:T45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63"/>
      <c r="J39" s="2"/>
      <c r="L39" s="499" t="s">
        <v>4</v>
      </c>
      <c r="M39" s="499"/>
      <c r="N39" s="499"/>
      <c r="O39" s="499"/>
      <c r="P39" s="499"/>
      <c r="Q39" s="499"/>
      <c r="R39" s="499"/>
      <c r="S39" s="499"/>
      <c r="T39" s="499"/>
      <c r="U39" s="63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58"/>
      <c r="J41" s="2"/>
      <c r="L41" s="499" t="s">
        <v>584</v>
      </c>
      <c r="M41" s="499"/>
      <c r="N41" s="499"/>
      <c r="O41" s="499"/>
      <c r="P41" s="499"/>
      <c r="Q41" s="499"/>
      <c r="R41" s="499"/>
      <c r="S41" s="499"/>
      <c r="T41" s="499"/>
      <c r="U41" s="63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58"/>
      <c r="J43" s="2"/>
      <c r="L43" s="499" t="s">
        <v>434</v>
      </c>
      <c r="M43" s="499"/>
      <c r="N43" s="499"/>
      <c r="O43" s="499"/>
      <c r="P43" s="499"/>
      <c r="Q43" s="499"/>
      <c r="R43" s="499"/>
      <c r="S43" s="499"/>
      <c r="T43" s="499"/>
      <c r="U43" s="63"/>
    </row>
    <row r="44" spans="2:10" ht="27.75">
      <c r="B44" s="2"/>
      <c r="C44" s="3"/>
      <c r="D44" s="3"/>
      <c r="E44" s="3"/>
      <c r="F44" s="3"/>
      <c r="G44" s="3"/>
      <c r="H44" s="3"/>
      <c r="I44" s="3"/>
      <c r="J44" s="2"/>
    </row>
    <row r="45" spans="2:20" ht="27.75">
      <c r="B45" s="2"/>
      <c r="C45" s="3"/>
      <c r="D45" s="3"/>
      <c r="E45" s="3"/>
      <c r="F45" s="3"/>
      <c r="G45" s="3"/>
      <c r="H45" s="3"/>
      <c r="I45" s="3"/>
      <c r="J45" s="2"/>
      <c r="L45" s="500"/>
      <c r="M45" s="500"/>
      <c r="N45" s="500"/>
      <c r="O45" s="500"/>
      <c r="P45" s="500"/>
      <c r="Q45" s="500"/>
      <c r="R45" s="500"/>
      <c r="S45" s="500"/>
      <c r="T45" s="500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L46" s="64"/>
      <c r="M46" s="324"/>
      <c r="N46" s="18"/>
      <c r="O46" s="183"/>
    </row>
    <row r="47" spans="1:10" ht="27.75">
      <c r="A47" s="64"/>
      <c r="B47" s="65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4">
    <mergeCell ref="L39:T39"/>
    <mergeCell ref="L41:T41"/>
    <mergeCell ref="L43:T43"/>
    <mergeCell ref="L45:T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L28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6.125" style="0" customWidth="1"/>
    <col min="2" max="2" width="69.25390625" style="0" customWidth="1"/>
    <col min="3" max="3" width="14.375" style="0" customWidth="1"/>
  </cols>
  <sheetData>
    <row r="1" spans="2:4" ht="15.75">
      <c r="B1" s="626" t="s">
        <v>614</v>
      </c>
      <c r="C1" s="626"/>
      <c r="D1" s="21"/>
    </row>
    <row r="2" spans="2:4" ht="15.75">
      <c r="B2" s="21"/>
      <c r="C2" s="21"/>
      <c r="D2" s="21"/>
    </row>
    <row r="3" spans="2:4" ht="15.75">
      <c r="B3" s="21"/>
      <c r="C3" s="21"/>
      <c r="D3" s="21"/>
    </row>
    <row r="4" spans="2:4" ht="15.75">
      <c r="B4" s="608"/>
      <c r="C4" s="608"/>
      <c r="D4" s="21"/>
    </row>
    <row r="5" spans="2:4" ht="15.75">
      <c r="B5" s="21"/>
      <c r="C5" s="21"/>
      <c r="D5" s="21"/>
    </row>
    <row r="6" spans="2:12" ht="15.75">
      <c r="B6" s="608" t="s">
        <v>39</v>
      </c>
      <c r="C6" s="636"/>
      <c r="D6" s="21"/>
      <c r="L6" s="334"/>
    </row>
    <row r="7" spans="2:4" ht="15.75">
      <c r="B7" s="608" t="s">
        <v>454</v>
      </c>
      <c r="C7" s="636"/>
      <c r="D7" s="21"/>
    </row>
    <row r="8" spans="2:4" ht="15.75">
      <c r="B8" s="608" t="s">
        <v>586</v>
      </c>
      <c r="C8" s="636"/>
      <c r="D8" s="21"/>
    </row>
    <row r="9" spans="2:4" ht="16.5" thickBot="1">
      <c r="B9" s="21"/>
      <c r="C9" s="21"/>
      <c r="D9" s="21"/>
    </row>
    <row r="10" spans="1:4" ht="16.5" thickTop="1">
      <c r="A10" s="627" t="s">
        <v>477</v>
      </c>
      <c r="B10" s="630" t="s">
        <v>0</v>
      </c>
      <c r="C10" s="633" t="s">
        <v>565</v>
      </c>
      <c r="D10" s="21"/>
    </row>
    <row r="11" spans="1:4" ht="15.75">
      <c r="A11" s="628"/>
      <c r="B11" s="631"/>
      <c r="C11" s="634"/>
      <c r="D11" s="21"/>
    </row>
    <row r="12" spans="1:4" ht="21" customHeight="1" thickBot="1">
      <c r="A12" s="629"/>
      <c r="B12" s="632"/>
      <c r="C12" s="635"/>
      <c r="D12" s="21"/>
    </row>
    <row r="13" spans="1:4" ht="21" customHeight="1">
      <c r="A13" s="474"/>
      <c r="B13" s="475"/>
      <c r="C13" s="476"/>
      <c r="D13" s="21"/>
    </row>
    <row r="14" spans="1:4" ht="15.75">
      <c r="A14" s="403" t="s">
        <v>42</v>
      </c>
      <c r="B14" s="21" t="s">
        <v>509</v>
      </c>
      <c r="C14" s="21"/>
      <c r="D14" s="21"/>
    </row>
    <row r="15" spans="1:4" ht="15.75">
      <c r="A15" s="403"/>
      <c r="B15" s="21"/>
      <c r="C15" s="21"/>
      <c r="D15" s="21"/>
    </row>
    <row r="16" spans="1:4" ht="15.75">
      <c r="A16" s="477" t="s">
        <v>480</v>
      </c>
      <c r="B16" s="407" t="s">
        <v>571</v>
      </c>
      <c r="C16" s="21"/>
      <c r="D16" s="375"/>
    </row>
    <row r="17" spans="1:4" ht="27.75" customHeight="1">
      <c r="A17" s="463" t="s">
        <v>481</v>
      </c>
      <c r="B17" s="408" t="s">
        <v>598</v>
      </c>
      <c r="C17" s="421">
        <v>61407949</v>
      </c>
      <c r="D17" s="375"/>
    </row>
    <row r="18" spans="1:4" ht="27" customHeight="1">
      <c r="A18" s="463" t="s">
        <v>482</v>
      </c>
      <c r="B18" s="408" t="s">
        <v>599</v>
      </c>
      <c r="C18" s="421">
        <v>3927560</v>
      </c>
      <c r="D18" s="375"/>
    </row>
    <row r="19" spans="1:4" ht="39.75" customHeight="1">
      <c r="A19" s="498" t="s">
        <v>600</v>
      </c>
      <c r="B19" s="408" t="s">
        <v>601</v>
      </c>
      <c r="C19" s="421">
        <v>3227000</v>
      </c>
      <c r="D19" s="375"/>
    </row>
    <row r="20" spans="1:4" ht="24.75" customHeight="1">
      <c r="A20" s="403" t="s">
        <v>534</v>
      </c>
      <c r="B20" s="21" t="s">
        <v>457</v>
      </c>
      <c r="C20" s="478">
        <f>(C17+C18+C19)*0.27</f>
        <v>18511877.43</v>
      </c>
      <c r="D20" s="21"/>
    </row>
    <row r="21" spans="1:4" ht="18.75" customHeight="1">
      <c r="A21" s="403"/>
      <c r="B21" s="18" t="s">
        <v>455</v>
      </c>
      <c r="C21" s="19">
        <f>SUM(C17:C20)</f>
        <v>87074386.43</v>
      </c>
      <c r="D21" s="21"/>
    </row>
    <row r="22" spans="1:4" ht="18.75" customHeight="1">
      <c r="A22" s="403"/>
      <c r="B22" s="18"/>
      <c r="C22" s="19"/>
      <c r="D22" s="21"/>
    </row>
    <row r="23" spans="1:4" ht="18.75" customHeight="1">
      <c r="A23" s="403"/>
      <c r="B23" s="18"/>
      <c r="C23" s="19"/>
      <c r="D23" s="21"/>
    </row>
    <row r="24" spans="1:4" s="335" customFormat="1" ht="15.75">
      <c r="A24" s="404"/>
      <c r="B24" s="18" t="s">
        <v>456</v>
      </c>
      <c r="C24" s="19">
        <f>C21</f>
        <v>87074386.43</v>
      </c>
      <c r="D24" s="18"/>
    </row>
    <row r="25" spans="2:4" ht="15.75">
      <c r="B25" s="21"/>
      <c r="C25" s="21"/>
      <c r="D25" s="21"/>
    </row>
    <row r="26" spans="2:4" ht="15.75">
      <c r="B26" s="21"/>
      <c r="C26" s="21"/>
      <c r="D26" s="21"/>
    </row>
    <row r="27" spans="2:4" ht="15.75">
      <c r="B27" s="21"/>
      <c r="C27" s="21"/>
      <c r="D27" s="21"/>
    </row>
    <row r="28" spans="2:4" ht="15.75">
      <c r="B28" s="21"/>
      <c r="C28" s="21"/>
      <c r="D28" s="21"/>
    </row>
  </sheetData>
  <sheetProtection/>
  <mergeCells count="8">
    <mergeCell ref="B1:C1"/>
    <mergeCell ref="B4:C4"/>
    <mergeCell ref="A10:A12"/>
    <mergeCell ref="B10:B12"/>
    <mergeCell ref="C10:C12"/>
    <mergeCell ref="B6:C6"/>
    <mergeCell ref="B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68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149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501" t="s">
        <v>615</v>
      </c>
      <c r="B1" s="501"/>
      <c r="C1" s="501"/>
    </row>
    <row r="2" s="142" customFormat="1" ht="15.75">
      <c r="C2" s="148"/>
    </row>
    <row r="3" spans="1:3" s="133" customFormat="1" ht="15">
      <c r="A3" s="639"/>
      <c r="B3" s="639"/>
      <c r="C3" s="639"/>
    </row>
    <row r="4" spans="1:3" s="133" customFormat="1" ht="6.75" customHeight="1">
      <c r="A4" s="143"/>
      <c r="B4" s="77"/>
      <c r="C4" s="77"/>
    </row>
    <row r="5" spans="1:3" ht="15.75">
      <c r="A5" s="514" t="s">
        <v>4</v>
      </c>
      <c r="B5" s="514"/>
      <c r="C5" s="514"/>
    </row>
    <row r="6" spans="1:3" ht="15.75">
      <c r="A6" s="524" t="s">
        <v>281</v>
      </c>
      <c r="B6" s="524"/>
      <c r="C6" s="524"/>
    </row>
    <row r="7" spans="1:3" ht="15.75">
      <c r="A7" s="524" t="s">
        <v>225</v>
      </c>
      <c r="B7" s="524"/>
      <c r="C7" s="524"/>
    </row>
    <row r="8" spans="1:3" ht="15.75">
      <c r="A8" s="524" t="s">
        <v>586</v>
      </c>
      <c r="B8" s="524"/>
      <c r="C8" s="524"/>
    </row>
    <row r="9" ht="16.5" thickBot="1"/>
    <row r="10" spans="1:3" ht="15.75">
      <c r="A10" s="151" t="s">
        <v>40</v>
      </c>
      <c r="B10" s="144"/>
      <c r="C10" s="152" t="s">
        <v>18</v>
      </c>
    </row>
    <row r="11" spans="1:3" ht="15.75">
      <c r="A11" s="145"/>
      <c r="B11" s="146" t="s">
        <v>0</v>
      </c>
      <c r="C11" s="153" t="s">
        <v>9</v>
      </c>
    </row>
    <row r="12" spans="1:4" ht="18" customHeight="1" thickBot="1">
      <c r="A12" s="147" t="s">
        <v>41</v>
      </c>
      <c r="B12" s="154"/>
      <c r="C12" s="155" t="s">
        <v>1</v>
      </c>
      <c r="D12" s="376"/>
    </row>
    <row r="13" spans="2:4" ht="8.25" customHeight="1">
      <c r="B13" s="330"/>
      <c r="C13" s="331"/>
      <c r="D13" s="181"/>
    </row>
    <row r="14" spans="1:3" ht="20.25" customHeight="1">
      <c r="A14" s="641" t="s">
        <v>226</v>
      </c>
      <c r="B14" s="641"/>
      <c r="C14" s="641"/>
    </row>
    <row r="15" spans="1:3" ht="20.25" customHeight="1">
      <c r="A15" s="156" t="s">
        <v>42</v>
      </c>
      <c r="B15" s="157" t="s">
        <v>227</v>
      </c>
      <c r="C15" s="158"/>
    </row>
    <row r="16" spans="1:3" ht="20.25" customHeight="1">
      <c r="A16" s="156"/>
      <c r="B16" s="21" t="s">
        <v>228</v>
      </c>
      <c r="C16" s="158">
        <f>'2.mell - bevétel'!H48</f>
        <v>36233972</v>
      </c>
    </row>
    <row r="17" spans="1:5" ht="20.25" customHeight="1">
      <c r="A17" s="156"/>
      <c r="B17" s="111" t="s">
        <v>229</v>
      </c>
      <c r="C17" s="158"/>
      <c r="D17" s="108"/>
      <c r="E17" s="108"/>
    </row>
    <row r="18" spans="1:3" ht="20.25" customHeight="1">
      <c r="A18" s="156" t="s">
        <v>25</v>
      </c>
      <c r="B18" s="157" t="s">
        <v>230</v>
      </c>
      <c r="C18" s="158">
        <f>'2.mell - bevétel'!H70</f>
        <v>8300000</v>
      </c>
    </row>
    <row r="19" spans="1:3" ht="20.25" customHeight="1">
      <c r="A19" s="156" t="s">
        <v>43</v>
      </c>
      <c r="B19" s="157" t="s">
        <v>231</v>
      </c>
      <c r="C19" s="158">
        <f>'2.mell - bevétel'!H92</f>
        <v>11024170</v>
      </c>
    </row>
    <row r="20" spans="1:3" ht="20.25" customHeight="1">
      <c r="A20" s="156" t="s">
        <v>99</v>
      </c>
      <c r="B20" s="159" t="s">
        <v>232</v>
      </c>
      <c r="C20" s="158"/>
    </row>
    <row r="21" spans="1:5" ht="36" customHeight="1">
      <c r="A21" s="156"/>
      <c r="B21" s="111" t="s">
        <v>233</v>
      </c>
      <c r="C21" s="158"/>
      <c r="D21" s="111"/>
      <c r="E21" s="111"/>
    </row>
    <row r="22" spans="1:3" ht="20.25" customHeight="1">
      <c r="A22" s="156"/>
      <c r="B22" s="21" t="s">
        <v>234</v>
      </c>
      <c r="C22" s="158"/>
    </row>
    <row r="23" spans="1:3" ht="30" customHeight="1">
      <c r="A23" s="399"/>
      <c r="B23" s="400" t="s">
        <v>235</v>
      </c>
      <c r="C23" s="176">
        <f>SUM(C16:C22)</f>
        <v>55558142</v>
      </c>
    </row>
    <row r="24" spans="1:3" ht="21" customHeight="1">
      <c r="A24" s="150" t="s">
        <v>100</v>
      </c>
      <c r="B24" s="157" t="s">
        <v>236</v>
      </c>
      <c r="C24" s="24">
        <f>'4.mell. - kiadás'!E46</f>
        <v>24899963</v>
      </c>
    </row>
    <row r="25" spans="1:3" ht="21" customHeight="1">
      <c r="A25" s="150" t="s">
        <v>106</v>
      </c>
      <c r="B25" s="157" t="s">
        <v>237</v>
      </c>
      <c r="C25" s="24">
        <f>'4.mell. - kiadás'!F46</f>
        <v>4383764</v>
      </c>
    </row>
    <row r="26" spans="1:3" ht="21" customHeight="1">
      <c r="A26" s="150" t="s">
        <v>238</v>
      </c>
      <c r="B26" s="163" t="s">
        <v>239</v>
      </c>
      <c r="C26" s="24">
        <f>'4.mell. - kiadás'!G46</f>
        <v>25453443</v>
      </c>
    </row>
    <row r="27" spans="1:3" ht="21" customHeight="1">
      <c r="A27" s="150" t="s">
        <v>240</v>
      </c>
      <c r="B27" s="163" t="s">
        <v>241</v>
      </c>
      <c r="C27" s="24">
        <f>'4.mell. - kiadás'!H46</f>
        <v>2700000</v>
      </c>
    </row>
    <row r="28" spans="1:3" ht="21" customHeight="1">
      <c r="A28" s="150" t="s">
        <v>242</v>
      </c>
      <c r="B28" s="163" t="s">
        <v>243</v>
      </c>
      <c r="C28" s="24"/>
    </row>
    <row r="29" spans="1:3" ht="32.25" customHeight="1">
      <c r="A29" s="150"/>
      <c r="B29" s="111" t="s">
        <v>244</v>
      </c>
      <c r="C29" s="165"/>
    </row>
    <row r="30" spans="1:3" ht="15.75">
      <c r="A30" s="150"/>
      <c r="B30" s="164" t="s">
        <v>566</v>
      </c>
      <c r="C30" s="165">
        <f>'4.mell. - kiadás'!I46-C31</f>
        <v>2570200</v>
      </c>
    </row>
    <row r="31" spans="1:5" ht="15.75">
      <c r="A31" s="150"/>
      <c r="B31" s="164" t="s">
        <v>245</v>
      </c>
      <c r="C31" s="149">
        <f>'1.mell. -mérleg'!C39</f>
        <v>0</v>
      </c>
      <c r="E31" s="113"/>
    </row>
    <row r="32" spans="1:6" ht="33.75" customHeight="1">
      <c r="A32" s="399"/>
      <c r="B32" s="400" t="s">
        <v>246</v>
      </c>
      <c r="C32" s="176">
        <f>SUM(C24:C31)</f>
        <v>60007370</v>
      </c>
      <c r="E32" s="113"/>
      <c r="F32" s="113"/>
    </row>
    <row r="33" spans="1:6" ht="86.25" customHeight="1">
      <c r="A33" s="156"/>
      <c r="B33" s="157"/>
      <c r="C33" s="158"/>
      <c r="E33" s="113"/>
      <c r="F33" s="113"/>
    </row>
    <row r="34" spans="1:3" ht="15.75">
      <c r="A34" s="637">
        <v>2</v>
      </c>
      <c r="B34" s="637"/>
      <c r="C34" s="637"/>
    </row>
    <row r="35" spans="1:3" ht="16.5" thickBot="1">
      <c r="A35" s="325"/>
      <c r="B35" s="325"/>
      <c r="C35" s="325"/>
    </row>
    <row r="36" spans="1:3" ht="15.75">
      <c r="A36" s="151" t="s">
        <v>40</v>
      </c>
      <c r="B36" s="144"/>
      <c r="C36" s="152" t="s">
        <v>18</v>
      </c>
    </row>
    <row r="37" spans="1:3" ht="12.75" customHeight="1">
      <c r="A37" s="145"/>
      <c r="B37" s="146" t="s">
        <v>0</v>
      </c>
      <c r="C37" s="153"/>
    </row>
    <row r="38" spans="1:3" ht="21.75" customHeight="1" thickBot="1">
      <c r="A38" s="147" t="s">
        <v>41</v>
      </c>
      <c r="B38" s="154"/>
      <c r="C38" s="155" t="s">
        <v>9</v>
      </c>
    </row>
    <row r="39" spans="1:3" ht="12" customHeight="1">
      <c r="A39" s="171"/>
      <c r="B39" s="329"/>
      <c r="C39" s="181"/>
    </row>
    <row r="40" spans="1:3" ht="21" customHeight="1">
      <c r="A40" s="638" t="s">
        <v>247</v>
      </c>
      <c r="B40" s="638"/>
      <c r="C40" s="638"/>
    </row>
    <row r="41" spans="1:2" ht="21" customHeight="1">
      <c r="A41" s="150" t="s">
        <v>248</v>
      </c>
      <c r="B41" s="69" t="s">
        <v>249</v>
      </c>
    </row>
    <row r="42" spans="1:3" ht="21" customHeight="1">
      <c r="A42" s="150" t="s">
        <v>250</v>
      </c>
      <c r="B42" s="69" t="s">
        <v>251</v>
      </c>
      <c r="C42" s="149">
        <f>'2.mell - bevétel'!H51</f>
        <v>0</v>
      </c>
    </row>
    <row r="43" spans="1:2" ht="21" customHeight="1">
      <c r="A43" s="150" t="s">
        <v>252</v>
      </c>
      <c r="B43" s="159" t="s">
        <v>253</v>
      </c>
    </row>
    <row r="44" spans="1:3" ht="31.5" customHeight="1">
      <c r="A44" s="150"/>
      <c r="B44" s="126" t="s">
        <v>254</v>
      </c>
      <c r="C44" s="149">
        <f>'2.mell - bevétel'!H100+'2.mell - bevétel'!H99</f>
        <v>2277879</v>
      </c>
    </row>
    <row r="45" spans="1:3" ht="21" customHeight="1">
      <c r="A45" s="150"/>
      <c r="B45" s="56" t="s">
        <v>255</v>
      </c>
      <c r="C45" s="149">
        <f>'2.mell - bevétel'!H101</f>
        <v>6000000</v>
      </c>
    </row>
    <row r="46" spans="1:5" ht="30" customHeight="1">
      <c r="A46" s="399"/>
      <c r="B46" s="400" t="s">
        <v>256</v>
      </c>
      <c r="C46" s="176">
        <f>SUM(C41:C45)</f>
        <v>8277879</v>
      </c>
      <c r="E46" s="113"/>
    </row>
    <row r="47" spans="1:3" ht="21" customHeight="1">
      <c r="A47" s="150" t="s">
        <v>257</v>
      </c>
      <c r="B47" s="69" t="s">
        <v>258</v>
      </c>
      <c r="C47" s="149">
        <f>'4.mell. - kiadás'!K46</f>
        <v>10023368</v>
      </c>
    </row>
    <row r="48" spans="1:3" ht="21" customHeight="1">
      <c r="A48" s="150" t="s">
        <v>259</v>
      </c>
      <c r="B48" s="69" t="s">
        <v>260</v>
      </c>
      <c r="C48" s="149">
        <f>'4.mell. - kiadás'!L46</f>
        <v>87074386</v>
      </c>
    </row>
    <row r="49" spans="1:2" ht="21" customHeight="1">
      <c r="A49" s="150" t="s">
        <v>261</v>
      </c>
      <c r="B49" s="159" t="s">
        <v>262</v>
      </c>
    </row>
    <row r="50" spans="1:3" ht="21" customHeight="1">
      <c r="A50" s="150"/>
      <c r="B50" s="164" t="s">
        <v>263</v>
      </c>
      <c r="C50" s="149">
        <f>'4.mell. - kiadás'!M46</f>
        <v>3603573</v>
      </c>
    </row>
    <row r="51" spans="1:2" ht="21" customHeight="1">
      <c r="A51" s="150"/>
      <c r="B51" s="164" t="s">
        <v>245</v>
      </c>
    </row>
    <row r="52" spans="1:6" s="9" customFormat="1" ht="27.75" customHeight="1" thickBot="1">
      <c r="A52" s="399"/>
      <c r="B52" s="400" t="s">
        <v>264</v>
      </c>
      <c r="C52" s="176">
        <f>SUM(C47:C51)</f>
        <v>100701327</v>
      </c>
      <c r="F52" s="166"/>
    </row>
    <row r="53" spans="1:3" s="9" customFormat="1" ht="24" customHeight="1" thickBot="1">
      <c r="A53" s="167"/>
      <c r="B53" s="168" t="s">
        <v>265</v>
      </c>
      <c r="C53" s="169">
        <f>C23+C46</f>
        <v>63836021</v>
      </c>
    </row>
    <row r="54" spans="1:6" s="9" customFormat="1" ht="22.5" customHeight="1" thickBot="1">
      <c r="A54" s="167"/>
      <c r="B54" s="168" t="s">
        <v>266</v>
      </c>
      <c r="C54" s="169">
        <f>C32+C52</f>
        <v>160708697</v>
      </c>
      <c r="F54" s="166"/>
    </row>
    <row r="55" spans="1:3" s="9" customFormat="1" ht="15.75">
      <c r="A55" s="170"/>
      <c r="B55" s="171"/>
      <c r="C55" s="172"/>
    </row>
    <row r="56" spans="1:3" s="173" customFormat="1" ht="9.75" customHeight="1">
      <c r="A56" s="332"/>
      <c r="B56" s="332"/>
      <c r="C56" s="332"/>
    </row>
    <row r="57" spans="1:3" s="173" customFormat="1" ht="9" customHeight="1">
      <c r="A57" s="171"/>
      <c r="B57" s="180"/>
      <c r="C57" s="181"/>
    </row>
    <row r="58" spans="1:3" ht="20.25" customHeight="1">
      <c r="A58" s="640" t="s">
        <v>267</v>
      </c>
      <c r="B58" s="640"/>
      <c r="C58" s="640"/>
    </row>
    <row r="59" spans="1:3" ht="6.75" customHeight="1">
      <c r="A59" s="174"/>
      <c r="B59" s="174"/>
      <c r="C59" s="174"/>
    </row>
    <row r="60" spans="1:3" ht="20.25" customHeight="1">
      <c r="A60" s="160" t="s">
        <v>268</v>
      </c>
      <c r="B60" s="175" t="s">
        <v>269</v>
      </c>
      <c r="C60" s="162">
        <f>'2.mell - bevétel'!H108+'2.mell - bevétel'!H109</f>
        <v>96872676</v>
      </c>
    </row>
    <row r="61" spans="1:3" ht="20.25" customHeight="1">
      <c r="A61" s="160" t="s">
        <v>271</v>
      </c>
      <c r="B61" s="161" t="s">
        <v>567</v>
      </c>
      <c r="C61" s="162">
        <f>'2.mell - bevétel'!H110</f>
        <v>1449359</v>
      </c>
    </row>
    <row r="62" spans="1:3" ht="21" customHeight="1">
      <c r="A62" s="160"/>
      <c r="B62" s="161" t="s">
        <v>270</v>
      </c>
      <c r="C62" s="176">
        <f>SUM(C60:C61)</f>
        <v>98322035</v>
      </c>
    </row>
    <row r="63" spans="1:3" ht="21" customHeight="1">
      <c r="A63" s="156" t="s">
        <v>273</v>
      </c>
      <c r="B63" s="161" t="s">
        <v>451</v>
      </c>
      <c r="C63" s="482">
        <f>'4.mell. - kiadás'!R46</f>
        <v>1449359</v>
      </c>
    </row>
    <row r="64" spans="1:3" ht="15.75">
      <c r="A64" s="156" t="s">
        <v>345</v>
      </c>
      <c r="B64" s="175" t="s">
        <v>272</v>
      </c>
      <c r="C64" s="162"/>
    </row>
    <row r="65" spans="1:3" ht="15.75">
      <c r="A65" s="150" t="s">
        <v>347</v>
      </c>
      <c r="B65" s="175" t="s">
        <v>274</v>
      </c>
      <c r="C65" s="162"/>
    </row>
    <row r="66" spans="1:3" s="177" customFormat="1" ht="30" customHeight="1" thickBot="1">
      <c r="A66" s="160"/>
      <c r="B66" s="161" t="s">
        <v>275</v>
      </c>
      <c r="C66" s="176">
        <f>SUM(C63:C65)</f>
        <v>1449359</v>
      </c>
    </row>
    <row r="67" spans="1:5" s="177" customFormat="1" ht="37.5" customHeight="1" thickBot="1">
      <c r="A67" s="178"/>
      <c r="B67" s="401" t="s">
        <v>276</v>
      </c>
      <c r="C67" s="402">
        <f>C53+C62</f>
        <v>162158056</v>
      </c>
      <c r="E67" s="179"/>
    </row>
    <row r="68" spans="1:5" ht="34.5" customHeight="1" thickBot="1">
      <c r="A68" s="178"/>
      <c r="B68" s="401" t="s">
        <v>277</v>
      </c>
      <c r="C68" s="402">
        <f>C54+C66</f>
        <v>162158056</v>
      </c>
      <c r="E68" s="179"/>
    </row>
  </sheetData>
  <sheetProtection/>
  <mergeCells count="10">
    <mergeCell ref="A34:C34"/>
    <mergeCell ref="A40:C40"/>
    <mergeCell ref="A1:C1"/>
    <mergeCell ref="A3:C3"/>
    <mergeCell ref="A5:C5"/>
    <mergeCell ref="A58:C58"/>
    <mergeCell ref="A6:C6"/>
    <mergeCell ref="A7:C7"/>
    <mergeCell ref="A8:C8"/>
    <mergeCell ref="A14:C1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55"/>
  <sheetViews>
    <sheetView zoomScalePageLayoutView="0" workbookViewId="0" topLeftCell="A1">
      <selection activeCell="A2" sqref="A2:O2"/>
    </sheetView>
  </sheetViews>
  <sheetFormatPr defaultColWidth="9.00390625" defaultRowHeight="12.75"/>
  <cols>
    <col min="1" max="1" width="5.125" style="56" customWidth="1"/>
    <col min="2" max="2" width="43.625" style="56" customWidth="1"/>
    <col min="3" max="3" width="15.375" style="24" customWidth="1"/>
    <col min="4" max="4" width="18.00390625" style="24" customWidth="1"/>
    <col min="5" max="5" width="17.375" style="24" customWidth="1"/>
    <col min="6" max="6" width="16.875" style="24" customWidth="1"/>
    <col min="7" max="7" width="16.625" style="24" customWidth="1"/>
    <col min="8" max="8" width="16.875" style="24" customWidth="1"/>
    <col min="9" max="14" width="15.375" style="24" customWidth="1"/>
    <col min="15" max="15" width="16.625" style="24" customWidth="1"/>
    <col min="16" max="17" width="15.625" style="56" bestFit="1" customWidth="1"/>
    <col min="18" max="18" width="12.625" style="56" bestFit="1" customWidth="1"/>
    <col min="19" max="16384" width="9.125" style="56" customWidth="1"/>
  </cols>
  <sheetData>
    <row r="2" spans="1:15" s="114" customFormat="1" ht="15.75">
      <c r="A2" s="527" t="s">
        <v>616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</row>
    <row r="4" spans="2:15" ht="15.75"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</row>
    <row r="5" spans="2:15" ht="15.75"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503"/>
    </row>
    <row r="6" spans="2:15" ht="15.75">
      <c r="B6" s="503" t="s">
        <v>39</v>
      </c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</row>
    <row r="7" spans="2:15" ht="15.75">
      <c r="B7" s="503" t="s">
        <v>310</v>
      </c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</row>
    <row r="8" spans="2:15" ht="15.75">
      <c r="B8" s="503" t="s">
        <v>586</v>
      </c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</row>
    <row r="9" spans="3:15" ht="16.5" thickBot="1">
      <c r="C9" s="25"/>
      <c r="D9" s="25"/>
      <c r="E9" s="25"/>
      <c r="F9" s="216"/>
      <c r="G9" s="25"/>
      <c r="H9" s="25"/>
      <c r="I9" s="25"/>
      <c r="J9" s="25"/>
      <c r="O9" s="217" t="s">
        <v>460</v>
      </c>
    </row>
    <row r="10" spans="1:15" ht="15.75">
      <c r="A10" s="218" t="s">
        <v>40</v>
      </c>
      <c r="B10" s="219"/>
      <c r="C10" s="220"/>
      <c r="D10" s="221"/>
      <c r="E10" s="222"/>
      <c r="F10" s="223"/>
      <c r="G10" s="223"/>
      <c r="H10" s="223"/>
      <c r="I10" s="223"/>
      <c r="J10" s="223"/>
      <c r="K10" s="224"/>
      <c r="L10" s="224"/>
      <c r="M10" s="224"/>
      <c r="N10" s="225"/>
      <c r="O10" s="226"/>
    </row>
    <row r="11" spans="1:15" ht="15.75">
      <c r="A11" s="227"/>
      <c r="B11" s="228" t="s">
        <v>0</v>
      </c>
      <c r="C11" s="117" t="s">
        <v>311</v>
      </c>
      <c r="D11" s="229" t="s">
        <v>312</v>
      </c>
      <c r="E11" s="230" t="s">
        <v>313</v>
      </c>
      <c r="F11" s="231" t="s">
        <v>314</v>
      </c>
      <c r="G11" s="231" t="s">
        <v>315</v>
      </c>
      <c r="H11" s="231" t="s">
        <v>316</v>
      </c>
      <c r="I11" s="231" t="s">
        <v>317</v>
      </c>
      <c r="J11" s="231" t="s">
        <v>318</v>
      </c>
      <c r="K11" s="231" t="s">
        <v>319</v>
      </c>
      <c r="L11" s="231" t="s">
        <v>320</v>
      </c>
      <c r="M11" s="231" t="s">
        <v>321</v>
      </c>
      <c r="N11" s="230" t="s">
        <v>322</v>
      </c>
      <c r="O11" s="153" t="s">
        <v>302</v>
      </c>
    </row>
    <row r="12" spans="1:15" ht="16.5" thickBot="1">
      <c r="A12" s="232" t="s">
        <v>41</v>
      </c>
      <c r="B12" s="233"/>
      <c r="C12" s="234"/>
      <c r="D12" s="235"/>
      <c r="E12" s="236"/>
      <c r="F12" s="237"/>
      <c r="G12" s="237"/>
      <c r="H12" s="237"/>
      <c r="I12" s="237"/>
      <c r="J12" s="237"/>
      <c r="K12" s="237"/>
      <c r="L12" s="237"/>
      <c r="M12" s="237"/>
      <c r="N12" s="236"/>
      <c r="O12" s="234"/>
    </row>
    <row r="13" spans="1:15" ht="28.5" customHeight="1">
      <c r="A13" s="238"/>
      <c r="B13" s="239" t="s">
        <v>323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1"/>
    </row>
    <row r="14" spans="1:15" ht="28.5" customHeight="1">
      <c r="A14" s="238" t="s">
        <v>42</v>
      </c>
      <c r="B14" s="239" t="s">
        <v>324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1"/>
    </row>
    <row r="15" spans="1:15" ht="28.5" customHeight="1">
      <c r="A15" s="238"/>
      <c r="B15" s="239" t="s">
        <v>325</v>
      </c>
      <c r="C15" s="240">
        <f>2243614+756325-364911-92809+434736+42542</f>
        <v>3019497</v>
      </c>
      <c r="D15" s="240">
        <f aca="true" t="shared" si="0" ref="D15:M15">2243614+756325-364911-92809+434736+42542</f>
        <v>3019497</v>
      </c>
      <c r="E15" s="240">
        <f t="shared" si="0"/>
        <v>3019497</v>
      </c>
      <c r="F15" s="240">
        <f t="shared" si="0"/>
        <v>3019497</v>
      </c>
      <c r="G15" s="240">
        <f t="shared" si="0"/>
        <v>3019497</v>
      </c>
      <c r="H15" s="240">
        <f t="shared" si="0"/>
        <v>3019497</v>
      </c>
      <c r="I15" s="240">
        <f t="shared" si="0"/>
        <v>3019497</v>
      </c>
      <c r="J15" s="240">
        <f t="shared" si="0"/>
        <v>3019497</v>
      </c>
      <c r="K15" s="240">
        <f t="shared" si="0"/>
        <v>3019497</v>
      </c>
      <c r="L15" s="240">
        <f t="shared" si="0"/>
        <v>3019497</v>
      </c>
      <c r="M15" s="240">
        <f t="shared" si="0"/>
        <v>3019497</v>
      </c>
      <c r="N15" s="240">
        <f>2243614+756325-364911-92809+434736+42542+8</f>
        <v>3019505</v>
      </c>
      <c r="O15" s="241">
        <f>SUM(C15:N15)</f>
        <v>36233972</v>
      </c>
    </row>
    <row r="16" spans="1:15" ht="28.5" customHeight="1">
      <c r="A16" s="238"/>
      <c r="B16" s="239" t="s">
        <v>326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1">
        <f>SUM(C16:N16)</f>
        <v>0</v>
      </c>
    </row>
    <row r="17" spans="1:15" ht="15.75">
      <c r="A17" s="238" t="s">
        <v>43</v>
      </c>
      <c r="B17" s="239" t="s">
        <v>327</v>
      </c>
      <c r="C17" s="240">
        <f>(12+44+32+31)*1000+150000</f>
        <v>269000</v>
      </c>
      <c r="D17" s="240">
        <f>(19+12+118+253+31)*1000</f>
        <v>433000</v>
      </c>
      <c r="E17" s="240">
        <f>(1127+11+620+382+31)*1000+37000</f>
        <v>2208000</v>
      </c>
      <c r="F17" s="240">
        <f>(9+12+76+34+31+200)*1000</f>
        <v>362000</v>
      </c>
      <c r="G17" s="240">
        <f>(408+12+48+35+31-200)*1000</f>
        <v>334000</v>
      </c>
      <c r="H17" s="240">
        <f>(46+12+20+19+31)*1000</f>
        <v>128000</v>
      </c>
      <c r="I17" s="240">
        <f>(12+2+2+31)*1000+150000</f>
        <v>197000</v>
      </c>
      <c r="J17" s="240">
        <f>(12+237+346+31)*1000</f>
        <v>626000</v>
      </c>
      <c r="K17" s="240">
        <f>(1188+11+601+335+31)*1000</f>
        <v>2166000</v>
      </c>
      <c r="L17" s="240">
        <f>(10+12+27+35+31)*1000+150000</f>
        <v>265000</v>
      </c>
      <c r="M17" s="240">
        <f>(852+11+76+12+31)*1000</f>
        <v>982000</v>
      </c>
      <c r="N17" s="240">
        <f>(241+11+34+15+29)*1000</f>
        <v>330000</v>
      </c>
      <c r="O17" s="241">
        <f aca="true" t="shared" si="1" ref="O17:O26">SUM(C17:N17)</f>
        <v>8300000</v>
      </c>
    </row>
    <row r="18" spans="1:18" ht="15.75">
      <c r="A18" s="238" t="s">
        <v>99</v>
      </c>
      <c r="B18" s="239" t="s">
        <v>328</v>
      </c>
      <c r="C18" s="240">
        <f>840000+76550</f>
        <v>916550</v>
      </c>
      <c r="D18" s="240">
        <f aca="true" t="shared" si="2" ref="D18:K18">840000+76550</f>
        <v>916550</v>
      </c>
      <c r="E18" s="240">
        <f>840000+76550</f>
        <v>916550</v>
      </c>
      <c r="F18" s="240">
        <f t="shared" si="2"/>
        <v>916550</v>
      </c>
      <c r="G18" s="240">
        <f t="shared" si="2"/>
        <v>916550</v>
      </c>
      <c r="H18" s="240">
        <f t="shared" si="2"/>
        <v>916550</v>
      </c>
      <c r="I18" s="240">
        <f t="shared" si="2"/>
        <v>916550</v>
      </c>
      <c r="J18" s="240">
        <f t="shared" si="2"/>
        <v>916550</v>
      </c>
      <c r="K18" s="240">
        <f t="shared" si="2"/>
        <v>916550</v>
      </c>
      <c r="L18" s="240">
        <f>840000+76555</f>
        <v>916555</v>
      </c>
      <c r="M18" s="240">
        <f>840000+17846+7719+76550</f>
        <v>942115</v>
      </c>
      <c r="N18" s="240">
        <f>840000+76550</f>
        <v>916550</v>
      </c>
      <c r="O18" s="241">
        <f t="shared" si="1"/>
        <v>11024170</v>
      </c>
      <c r="Q18" s="263"/>
      <c r="R18" s="263"/>
    </row>
    <row r="19" spans="1:15" ht="15.75">
      <c r="A19" s="238" t="s">
        <v>100</v>
      </c>
      <c r="B19" s="242" t="s">
        <v>329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1">
        <f t="shared" si="1"/>
        <v>0</v>
      </c>
    </row>
    <row r="20" spans="1:15" ht="15.75">
      <c r="A20" s="238" t="s">
        <v>106</v>
      </c>
      <c r="B20" s="242" t="s">
        <v>232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5"/>
      <c r="O20" s="241">
        <f t="shared" si="1"/>
        <v>0</v>
      </c>
    </row>
    <row r="21" spans="1:15" ht="31.5">
      <c r="A21" s="238"/>
      <c r="B21" s="239" t="s">
        <v>330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7"/>
      <c r="O21" s="241">
        <f t="shared" si="1"/>
        <v>0</v>
      </c>
    </row>
    <row r="22" spans="1:15" ht="17.25" customHeight="1">
      <c r="A22" s="238"/>
      <c r="B22" s="239" t="s">
        <v>331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7"/>
      <c r="O22" s="241">
        <f t="shared" si="1"/>
        <v>0</v>
      </c>
    </row>
    <row r="23" spans="1:15" ht="15.75">
      <c r="A23" s="238" t="s">
        <v>238</v>
      </c>
      <c r="B23" s="242" t="s">
        <v>332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7"/>
      <c r="O23" s="241">
        <f t="shared" si="1"/>
        <v>0</v>
      </c>
    </row>
    <row r="24" spans="1:15" ht="47.25">
      <c r="A24" s="238"/>
      <c r="B24" s="261" t="s">
        <v>333</v>
      </c>
      <c r="C24" s="246">
        <v>28904</v>
      </c>
      <c r="D24" s="246">
        <v>28904</v>
      </c>
      <c r="E24" s="246">
        <v>28904</v>
      </c>
      <c r="F24" s="246">
        <v>28904</v>
      </c>
      <c r="G24" s="246">
        <v>28904</v>
      </c>
      <c r="H24" s="246">
        <v>28904</v>
      </c>
      <c r="I24" s="246">
        <v>28904</v>
      </c>
      <c r="J24" s="246">
        <v>28904</v>
      </c>
      <c r="K24" s="246">
        <f>1952679+7251</f>
        <v>1959930</v>
      </c>
      <c r="L24" s="246">
        <v>28904</v>
      </c>
      <c r="M24" s="246">
        <f>28904+5</f>
        <v>28909</v>
      </c>
      <c r="N24" s="246">
        <v>28904</v>
      </c>
      <c r="O24" s="241">
        <f t="shared" si="1"/>
        <v>2277879</v>
      </c>
    </row>
    <row r="25" spans="1:15" ht="15.75">
      <c r="A25" s="238"/>
      <c r="B25" s="239" t="s">
        <v>334</v>
      </c>
      <c r="C25" s="246"/>
      <c r="D25" s="246"/>
      <c r="E25" s="246"/>
      <c r="F25" s="246"/>
      <c r="G25" s="246"/>
      <c r="H25" s="246"/>
      <c r="I25" s="246"/>
      <c r="J25" s="246">
        <v>3000000</v>
      </c>
      <c r="K25" s="246"/>
      <c r="L25" s="246"/>
      <c r="M25" s="246"/>
      <c r="N25" s="247">
        <v>3000000</v>
      </c>
      <c r="O25" s="241">
        <f t="shared" si="1"/>
        <v>6000000</v>
      </c>
    </row>
    <row r="26" spans="1:15" ht="15.75">
      <c r="A26" s="238" t="s">
        <v>240</v>
      </c>
      <c r="B26" s="242" t="s">
        <v>335</v>
      </c>
      <c r="C26" s="246"/>
      <c r="D26" s="246">
        <v>98322035</v>
      </c>
      <c r="E26" s="246"/>
      <c r="F26" s="246"/>
      <c r="G26" s="246"/>
      <c r="H26" s="246"/>
      <c r="I26" s="246"/>
      <c r="J26" s="246"/>
      <c r="K26" s="246"/>
      <c r="L26" s="246"/>
      <c r="M26" s="246"/>
      <c r="N26" s="247"/>
      <c r="O26" s="241">
        <f t="shared" si="1"/>
        <v>98322035</v>
      </c>
    </row>
    <row r="27" spans="1:15" ht="16.5" thickBot="1">
      <c r="A27" s="248" t="s">
        <v>242</v>
      </c>
      <c r="B27" s="249" t="s">
        <v>336</v>
      </c>
      <c r="C27" s="246"/>
      <c r="D27" s="246">
        <f>C49</f>
        <v>-413192</v>
      </c>
      <c r="E27" s="246">
        <f aca="true" t="shared" si="3" ref="E27:N27">D49</f>
        <v>91084307</v>
      </c>
      <c r="F27" s="246">
        <f t="shared" si="3"/>
        <v>91994515</v>
      </c>
      <c r="G27" s="246">
        <f t="shared" si="3"/>
        <v>92020323</v>
      </c>
      <c r="H27" s="246">
        <f t="shared" si="3"/>
        <v>91465631</v>
      </c>
      <c r="I27" s="246">
        <f t="shared" si="3"/>
        <v>62847439</v>
      </c>
      <c r="J27" s="246">
        <f t="shared" si="3"/>
        <v>39678240</v>
      </c>
      <c r="K27" s="246">
        <f t="shared" si="3"/>
        <v>8396282</v>
      </c>
      <c r="L27" s="246">
        <f t="shared" si="3"/>
        <v>9292116</v>
      </c>
      <c r="M27" s="246">
        <f t="shared" si="3"/>
        <v>9170229</v>
      </c>
      <c r="N27" s="246">
        <f t="shared" si="3"/>
        <v>9017178</v>
      </c>
      <c r="O27" s="241"/>
    </row>
    <row r="28" spans="1:16" s="18" customFormat="1" ht="27.75" customHeight="1" thickBot="1">
      <c r="A28" s="250"/>
      <c r="B28" s="250" t="s">
        <v>337</v>
      </c>
      <c r="C28" s="251">
        <f aca="true" t="shared" si="4" ref="C28:N28">SUM(C15:C27)</f>
        <v>4233951</v>
      </c>
      <c r="D28" s="251">
        <f t="shared" si="4"/>
        <v>102306794</v>
      </c>
      <c r="E28" s="251">
        <f t="shared" si="4"/>
        <v>97257258</v>
      </c>
      <c r="F28" s="251">
        <f t="shared" si="4"/>
        <v>96321466</v>
      </c>
      <c r="G28" s="251">
        <f t="shared" si="4"/>
        <v>96319274</v>
      </c>
      <c r="H28" s="251">
        <f t="shared" si="4"/>
        <v>95558582</v>
      </c>
      <c r="I28" s="251">
        <f t="shared" si="4"/>
        <v>67009390</v>
      </c>
      <c r="J28" s="251">
        <f t="shared" si="4"/>
        <v>47269191</v>
      </c>
      <c r="K28" s="251">
        <f t="shared" si="4"/>
        <v>16458259</v>
      </c>
      <c r="L28" s="251">
        <f t="shared" si="4"/>
        <v>13522072</v>
      </c>
      <c r="M28" s="251">
        <f t="shared" si="4"/>
        <v>14142750</v>
      </c>
      <c r="N28" s="251">
        <f t="shared" si="4"/>
        <v>16312137</v>
      </c>
      <c r="O28" s="252">
        <f>SUM(O14:O27)</f>
        <v>162158056</v>
      </c>
      <c r="P28" s="120"/>
    </row>
    <row r="29" spans="1:15" ht="15.75">
      <c r="A29" s="253"/>
      <c r="B29" s="254" t="s">
        <v>338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55"/>
    </row>
    <row r="30" spans="1:17" ht="15.75">
      <c r="A30" s="238" t="s">
        <v>248</v>
      </c>
      <c r="B30" s="242" t="s">
        <v>180</v>
      </c>
      <c r="C30" s="240">
        <v>1841663</v>
      </c>
      <c r="D30" s="240">
        <v>1841663</v>
      </c>
      <c r="E30" s="240">
        <v>1841663</v>
      </c>
      <c r="F30" s="240">
        <v>1841663</v>
      </c>
      <c r="G30" s="240">
        <v>1841663</v>
      </c>
      <c r="H30" s="240">
        <v>1841663</v>
      </c>
      <c r="I30" s="240">
        <f>1841663+300007</f>
        <v>2141670</v>
      </c>
      <c r="J30" s="240">
        <v>1841663</v>
      </c>
      <c r="K30" s="240">
        <v>1841663</v>
      </c>
      <c r="L30" s="240">
        <v>1841663</v>
      </c>
      <c r="M30" s="240">
        <v>1841663</v>
      </c>
      <c r="N30" s="240">
        <f>1841663+2800000-300000</f>
        <v>4341663</v>
      </c>
      <c r="O30" s="241">
        <f aca="true" t="shared" si="5" ref="O30:O47">SUM(C30:N30)</f>
        <v>24899963</v>
      </c>
      <c r="P30" s="263"/>
      <c r="Q30" s="263"/>
    </row>
    <row r="31" spans="1:17" ht="31.5">
      <c r="A31" s="238" t="s">
        <v>250</v>
      </c>
      <c r="B31" s="261" t="s">
        <v>339</v>
      </c>
      <c r="C31" s="240">
        <v>324480</v>
      </c>
      <c r="D31" s="240">
        <v>324480</v>
      </c>
      <c r="E31" s="240">
        <v>324480</v>
      </c>
      <c r="F31" s="240">
        <v>324480</v>
      </c>
      <c r="G31" s="240">
        <v>324480</v>
      </c>
      <c r="H31" s="240">
        <v>324480</v>
      </c>
      <c r="I31" s="240">
        <v>324480</v>
      </c>
      <c r="J31" s="240">
        <f>324480+52500</f>
        <v>376980</v>
      </c>
      <c r="K31" s="240">
        <v>324480</v>
      </c>
      <c r="L31" s="240">
        <v>324480</v>
      </c>
      <c r="M31" s="240">
        <v>324480</v>
      </c>
      <c r="N31" s="240">
        <f>324480+437504</f>
        <v>761984</v>
      </c>
      <c r="O31" s="241">
        <f t="shared" si="5"/>
        <v>4383764</v>
      </c>
      <c r="Q31" s="263"/>
    </row>
    <row r="32" spans="1:17" ht="15.75">
      <c r="A32" s="238" t="s">
        <v>252</v>
      </c>
      <c r="B32" s="242" t="s">
        <v>182</v>
      </c>
      <c r="C32" s="240">
        <f>2391000-270000-500000-100000+180000</f>
        <v>1701000</v>
      </c>
      <c r="D32" s="240">
        <f>1745000+200000+180000</f>
        <v>2125000</v>
      </c>
      <c r="E32" s="240">
        <f>1745000+900000+150000</f>
        <v>2795000</v>
      </c>
      <c r="F32" s="240">
        <f>1745000+50000+160000</f>
        <v>1955000</v>
      </c>
      <c r="G32" s="240">
        <f>1745000+450000+171000</f>
        <v>2366000</v>
      </c>
      <c r="H32" s="240">
        <f>1745000+150000</f>
        <v>1895000</v>
      </c>
      <c r="I32" s="240">
        <f>1745000+300000+150000</f>
        <v>2195000</v>
      </c>
      <c r="J32" s="240">
        <f>1745000+250000+100000</f>
        <v>2095000</v>
      </c>
      <c r="K32" s="240">
        <f>1745000+150000+150000</f>
        <v>2045000</v>
      </c>
      <c r="L32" s="240">
        <f>1745000+60000+171000</f>
        <v>1976000</v>
      </c>
      <c r="M32" s="240">
        <f>1745000+123732+100000+150000</f>
        <v>2118732</v>
      </c>
      <c r="N32" s="240">
        <f>1745000+194797+246914</f>
        <v>2186711</v>
      </c>
      <c r="O32" s="241">
        <f t="shared" si="5"/>
        <v>25453443</v>
      </c>
      <c r="P32" s="263"/>
      <c r="Q32" s="263"/>
    </row>
    <row r="33" spans="1:15" ht="15.75">
      <c r="A33" s="238" t="s">
        <v>257</v>
      </c>
      <c r="B33" s="242" t="s">
        <v>183</v>
      </c>
      <c r="C33" s="240">
        <f>150000-20000</f>
        <v>130000</v>
      </c>
      <c r="D33" s="240">
        <f>150000-30000</f>
        <v>120000</v>
      </c>
      <c r="E33" s="240">
        <v>150000</v>
      </c>
      <c r="F33" s="240">
        <f>150000-10000</f>
        <v>140000</v>
      </c>
      <c r="G33" s="240">
        <f>150000-20000</f>
        <v>130000</v>
      </c>
      <c r="H33" s="240">
        <f>150000-10000</f>
        <v>140000</v>
      </c>
      <c r="I33" s="240">
        <f>150000-20000</f>
        <v>130000</v>
      </c>
      <c r="J33" s="240">
        <f>150000-10000</f>
        <v>140000</v>
      </c>
      <c r="K33" s="240">
        <f>150000-20000</f>
        <v>130000</v>
      </c>
      <c r="L33" s="240">
        <f>150000-10000</f>
        <v>140000</v>
      </c>
      <c r="M33" s="240">
        <f>150000</f>
        <v>150000</v>
      </c>
      <c r="N33" s="240">
        <v>1200000</v>
      </c>
      <c r="O33" s="241">
        <f t="shared" si="5"/>
        <v>2700000</v>
      </c>
    </row>
    <row r="34" spans="1:15" ht="15.75">
      <c r="A34" s="238" t="s">
        <v>259</v>
      </c>
      <c r="B34" s="242" t="s">
        <v>340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1"/>
    </row>
    <row r="35" spans="1:15" ht="15.75">
      <c r="A35" s="238"/>
      <c r="B35" s="242" t="s">
        <v>341</v>
      </c>
      <c r="C35" s="240">
        <v>50000</v>
      </c>
      <c r="D35" s="240"/>
      <c r="E35" s="240"/>
      <c r="F35" s="240"/>
      <c r="G35" s="240"/>
      <c r="H35" s="240"/>
      <c r="I35" s="240"/>
      <c r="J35" s="240">
        <v>50000</v>
      </c>
      <c r="K35" s="240">
        <v>1200000</v>
      </c>
      <c r="L35" s="240"/>
      <c r="M35" s="240"/>
      <c r="N35" s="240"/>
      <c r="O35" s="241">
        <f t="shared" si="5"/>
        <v>1300000</v>
      </c>
    </row>
    <row r="36" spans="1:16" ht="15.75">
      <c r="A36" s="238"/>
      <c r="B36" s="242" t="s">
        <v>342</v>
      </c>
      <c r="C36" s="240"/>
      <c r="D36" s="240">
        <v>79850</v>
      </c>
      <c r="E36" s="240">
        <v>50000</v>
      </c>
      <c r="F36" s="240">
        <v>40000</v>
      </c>
      <c r="G36" s="240">
        <f>209100-17600</f>
        <v>191500</v>
      </c>
      <c r="H36" s="240"/>
      <c r="I36" s="240">
        <v>40000</v>
      </c>
      <c r="J36" s="240">
        <v>40000</v>
      </c>
      <c r="K36" s="240">
        <v>625000</v>
      </c>
      <c r="L36" s="240">
        <v>69700</v>
      </c>
      <c r="M36" s="240">
        <v>54300</v>
      </c>
      <c r="N36" s="240">
        <v>79850</v>
      </c>
      <c r="O36" s="241">
        <f t="shared" si="5"/>
        <v>1270200</v>
      </c>
      <c r="P36" s="263"/>
    </row>
    <row r="37" spans="1:15" ht="15.75">
      <c r="A37" s="238" t="s">
        <v>261</v>
      </c>
      <c r="B37" s="242" t="s">
        <v>186</v>
      </c>
      <c r="C37" s="240"/>
      <c r="D37" s="240">
        <v>51562</v>
      </c>
      <c r="E37" s="240">
        <v>101600</v>
      </c>
      <c r="F37" s="240"/>
      <c r="G37" s="240"/>
      <c r="H37" s="240"/>
      <c r="I37" s="240"/>
      <c r="J37" s="240">
        <v>1999880</v>
      </c>
      <c r="K37" s="240"/>
      <c r="L37" s="240"/>
      <c r="M37" s="240">
        <f>280797-152400</f>
        <v>128397</v>
      </c>
      <c r="N37" s="240">
        <v>7741929</v>
      </c>
      <c r="O37" s="241">
        <f t="shared" si="5"/>
        <v>10023368</v>
      </c>
    </row>
    <row r="38" spans="1:15" ht="15.75">
      <c r="A38" s="238" t="s">
        <v>268</v>
      </c>
      <c r="B38" s="242" t="s">
        <v>73</v>
      </c>
      <c r="C38" s="240">
        <v>600000</v>
      </c>
      <c r="D38" s="240">
        <v>2627000</v>
      </c>
      <c r="E38" s="240"/>
      <c r="F38" s="240"/>
      <c r="G38" s="240"/>
      <c r="H38" s="240">
        <v>28510000</v>
      </c>
      <c r="I38" s="240">
        <v>22500000</v>
      </c>
      <c r="J38" s="240">
        <v>32329386</v>
      </c>
      <c r="K38" s="240"/>
      <c r="L38" s="240"/>
      <c r="M38" s="240">
        <v>508000</v>
      </c>
      <c r="N38" s="240"/>
      <c r="O38" s="241">
        <f t="shared" si="5"/>
        <v>87074386</v>
      </c>
    </row>
    <row r="39" spans="1:15" ht="20.25" customHeight="1">
      <c r="A39" s="238" t="s">
        <v>271</v>
      </c>
      <c r="B39" s="242" t="s">
        <v>262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1">
        <f t="shared" si="5"/>
        <v>0</v>
      </c>
    </row>
    <row r="40" spans="1:15" ht="20.25" customHeight="1">
      <c r="A40" s="238"/>
      <c r="B40" s="242" t="s">
        <v>341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1">
        <f t="shared" si="5"/>
        <v>0</v>
      </c>
    </row>
    <row r="41" spans="1:15" ht="15.75">
      <c r="A41" s="238"/>
      <c r="B41" s="242" t="s">
        <v>342</v>
      </c>
      <c r="C41" s="240"/>
      <c r="D41" s="240">
        <v>2603573</v>
      </c>
      <c r="E41" s="240"/>
      <c r="F41" s="240"/>
      <c r="G41" s="240"/>
      <c r="H41" s="240"/>
      <c r="I41" s="240"/>
      <c r="J41" s="240"/>
      <c r="K41" s="240">
        <v>1000000</v>
      </c>
      <c r="L41" s="240"/>
      <c r="M41" s="240"/>
      <c r="N41" s="240"/>
      <c r="O41" s="241">
        <f t="shared" si="5"/>
        <v>3603573</v>
      </c>
    </row>
    <row r="42" spans="1:15" ht="15.75">
      <c r="A42" s="238" t="s">
        <v>273</v>
      </c>
      <c r="B42" s="242" t="s">
        <v>179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1">
        <f t="shared" si="5"/>
        <v>0</v>
      </c>
    </row>
    <row r="43" spans="1:15" ht="15.75">
      <c r="A43" s="238"/>
      <c r="B43" s="333" t="s">
        <v>453</v>
      </c>
      <c r="C43" s="240"/>
      <c r="D43" s="240">
        <v>1449359</v>
      </c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1">
        <f t="shared" si="5"/>
        <v>1449359</v>
      </c>
    </row>
    <row r="44" spans="1:15" ht="15.75">
      <c r="A44" s="238"/>
      <c r="B44" s="242" t="s">
        <v>343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1">
        <f t="shared" si="5"/>
        <v>0</v>
      </c>
    </row>
    <row r="45" spans="1:15" ht="15.75">
      <c r="A45" s="238"/>
      <c r="B45" s="242" t="s">
        <v>344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1">
        <f t="shared" si="5"/>
        <v>0</v>
      </c>
    </row>
    <row r="46" spans="1:16" ht="15.75">
      <c r="A46" s="238" t="s">
        <v>345</v>
      </c>
      <c r="B46" s="242" t="s">
        <v>346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1">
        <f t="shared" si="5"/>
        <v>0</v>
      </c>
      <c r="P46" s="263"/>
    </row>
    <row r="47" spans="1:15" ht="16.5" thickBot="1">
      <c r="A47" s="248" t="s">
        <v>347</v>
      </c>
      <c r="B47" s="249" t="s">
        <v>348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1">
        <f t="shared" si="5"/>
        <v>0</v>
      </c>
    </row>
    <row r="48" spans="1:19" s="18" customFormat="1" ht="24" customHeight="1" thickBot="1">
      <c r="A48" s="250"/>
      <c r="B48" s="250" t="s">
        <v>349</v>
      </c>
      <c r="C48" s="251">
        <f aca="true" t="shared" si="6" ref="C48:N48">SUM(C30:C47)</f>
        <v>4647143</v>
      </c>
      <c r="D48" s="251">
        <f t="shared" si="6"/>
        <v>11222487</v>
      </c>
      <c r="E48" s="251">
        <f t="shared" si="6"/>
        <v>5262743</v>
      </c>
      <c r="F48" s="251">
        <f t="shared" si="6"/>
        <v>4301143</v>
      </c>
      <c r="G48" s="251">
        <f t="shared" si="6"/>
        <v>4853643</v>
      </c>
      <c r="H48" s="251">
        <f t="shared" si="6"/>
        <v>32711143</v>
      </c>
      <c r="I48" s="251">
        <f t="shared" si="6"/>
        <v>27331150</v>
      </c>
      <c r="J48" s="251">
        <f t="shared" si="6"/>
        <v>38872909</v>
      </c>
      <c r="K48" s="251">
        <f t="shared" si="6"/>
        <v>7166143</v>
      </c>
      <c r="L48" s="251">
        <f t="shared" si="6"/>
        <v>4351843</v>
      </c>
      <c r="M48" s="251">
        <f t="shared" si="6"/>
        <v>5125572</v>
      </c>
      <c r="N48" s="251">
        <f t="shared" si="6"/>
        <v>16312137</v>
      </c>
      <c r="O48" s="252">
        <f>SUM(O30:O47)</f>
        <v>162158056</v>
      </c>
      <c r="S48" s="256"/>
    </row>
    <row r="49" spans="1:15" ht="26.25" customHeight="1" thickBot="1">
      <c r="A49" s="257"/>
      <c r="B49" s="258" t="s">
        <v>350</v>
      </c>
      <c r="C49" s="259">
        <f aca="true" t="shared" si="7" ref="C49:N49">C28-C48</f>
        <v>-413192</v>
      </c>
      <c r="D49" s="259">
        <f t="shared" si="7"/>
        <v>91084307</v>
      </c>
      <c r="E49" s="259">
        <f t="shared" si="7"/>
        <v>91994515</v>
      </c>
      <c r="F49" s="259">
        <f t="shared" si="7"/>
        <v>92020323</v>
      </c>
      <c r="G49" s="259">
        <f t="shared" si="7"/>
        <v>91465631</v>
      </c>
      <c r="H49" s="259">
        <f t="shared" si="7"/>
        <v>62847439</v>
      </c>
      <c r="I49" s="259">
        <f t="shared" si="7"/>
        <v>39678240</v>
      </c>
      <c r="J49" s="259">
        <f t="shared" si="7"/>
        <v>8396282</v>
      </c>
      <c r="K49" s="259">
        <f t="shared" si="7"/>
        <v>9292116</v>
      </c>
      <c r="L49" s="259">
        <f t="shared" si="7"/>
        <v>9170229</v>
      </c>
      <c r="M49" s="259">
        <f t="shared" si="7"/>
        <v>9017178</v>
      </c>
      <c r="N49" s="259">
        <f t="shared" si="7"/>
        <v>0</v>
      </c>
      <c r="O49" s="260"/>
    </row>
    <row r="51" spans="3:15" ht="15.75"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</row>
    <row r="52" ht="15.75">
      <c r="O52" s="262"/>
    </row>
    <row r="53" ht="15.75">
      <c r="O53" s="262"/>
    </row>
    <row r="54" ht="15.75">
      <c r="O54" s="262"/>
    </row>
    <row r="55" ht="15.75">
      <c r="O55" s="262"/>
    </row>
  </sheetData>
  <sheetProtection/>
  <mergeCells count="6">
    <mergeCell ref="B8:O8"/>
    <mergeCell ref="B4:O4"/>
    <mergeCell ref="B5:O5"/>
    <mergeCell ref="B6:O6"/>
    <mergeCell ref="B7:O7"/>
    <mergeCell ref="A2:O2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E28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.75390625" style="27" customWidth="1"/>
    <col min="2" max="2" width="56.25390625" style="27" customWidth="1"/>
    <col min="3" max="3" width="17.875" style="27" customWidth="1"/>
    <col min="4" max="4" width="4.875" style="27" customWidth="1"/>
    <col min="5" max="16384" width="9.125" style="27" customWidth="1"/>
  </cols>
  <sheetData>
    <row r="1" spans="1:5" ht="15.75">
      <c r="A1" s="527" t="s">
        <v>617</v>
      </c>
      <c r="B1" s="527"/>
      <c r="C1" s="527"/>
      <c r="D1" s="114"/>
      <c r="E1" s="26"/>
    </row>
    <row r="2" spans="1:5" ht="15.75">
      <c r="A2" s="28"/>
      <c r="B2" s="28"/>
      <c r="C2" s="28"/>
      <c r="D2" s="29"/>
      <c r="E2" s="26"/>
    </row>
    <row r="3" spans="1:5" ht="12.75" customHeight="1">
      <c r="A3" s="29"/>
      <c r="B3" s="29"/>
      <c r="C3" s="29"/>
      <c r="D3" s="29"/>
      <c r="E3" s="26"/>
    </row>
    <row r="4" spans="1:5" ht="15.75">
      <c r="A4" s="642" t="s">
        <v>4</v>
      </c>
      <c r="B4" s="642"/>
      <c r="C4" s="642"/>
      <c r="D4" s="642"/>
      <c r="E4" s="26"/>
    </row>
    <row r="5" spans="1:5" ht="15.75">
      <c r="A5" s="642" t="s">
        <v>23</v>
      </c>
      <c r="B5" s="642"/>
      <c r="C5" s="642"/>
      <c r="D5" s="642"/>
      <c r="E5" s="26"/>
    </row>
    <row r="6" spans="1:5" ht="15.75">
      <c r="A6" s="642" t="s">
        <v>589</v>
      </c>
      <c r="B6" s="642"/>
      <c r="C6" s="642"/>
      <c r="D6" s="642"/>
      <c r="E6" s="26"/>
    </row>
    <row r="7" spans="1:5" ht="15.75">
      <c r="A7" s="28"/>
      <c r="B7" s="28"/>
      <c r="C7" s="28"/>
      <c r="D7" s="26"/>
      <c r="E7" s="26"/>
    </row>
    <row r="8" spans="1:5" ht="15.75">
      <c r="A8" s="28"/>
      <c r="B8" s="28"/>
      <c r="C8" s="28"/>
      <c r="D8" s="26"/>
      <c r="E8" s="26"/>
    </row>
    <row r="9" spans="1:5" ht="15.75">
      <c r="A9" s="28"/>
      <c r="B9" s="28"/>
      <c r="C9" s="28"/>
      <c r="D9" s="26"/>
      <c r="E9" s="26"/>
    </row>
    <row r="10" spans="1:5" ht="15.75">
      <c r="A10" s="28"/>
      <c r="B10" s="28"/>
      <c r="C10" s="28"/>
      <c r="D10" s="26"/>
      <c r="E10" s="26"/>
    </row>
    <row r="11" spans="1:5" ht="15.75">
      <c r="A11" s="28"/>
      <c r="B11" s="30" t="s">
        <v>11</v>
      </c>
      <c r="C11" s="28"/>
      <c r="D11" s="26"/>
      <c r="E11" s="26"/>
    </row>
    <row r="12" spans="1:5" ht="10.5" customHeight="1">
      <c r="A12" s="28"/>
      <c r="B12" s="30"/>
      <c r="C12" s="28"/>
      <c r="D12" s="26"/>
      <c r="E12" s="26"/>
    </row>
    <row r="13" spans="1:5" ht="12" customHeight="1">
      <c r="A13" s="28"/>
      <c r="B13" s="30"/>
      <c r="C13" s="31"/>
      <c r="D13" s="26"/>
      <c r="E13" s="26"/>
    </row>
    <row r="14" spans="1:3" s="35" customFormat="1" ht="15">
      <c r="A14" s="32"/>
      <c r="B14" s="33" t="s">
        <v>12</v>
      </c>
      <c r="C14" s="34"/>
    </row>
    <row r="15" spans="1:5" ht="19.5" customHeight="1">
      <c r="A15" s="36"/>
      <c r="B15" s="26" t="s">
        <v>13</v>
      </c>
      <c r="C15" s="37">
        <v>1845000</v>
      </c>
      <c r="D15" s="26" t="s">
        <v>1</v>
      </c>
      <c r="E15" s="26"/>
    </row>
    <row r="16" spans="1:5" ht="19.5" customHeight="1">
      <c r="A16" s="26"/>
      <c r="B16" s="29" t="s">
        <v>14</v>
      </c>
      <c r="C16" s="38">
        <f>SUM(C15)</f>
        <v>1845000</v>
      </c>
      <c r="D16" s="29" t="s">
        <v>1</v>
      </c>
      <c r="E16" s="26"/>
    </row>
    <row r="17" spans="1:5" ht="19.5" customHeight="1">
      <c r="A17" s="26"/>
      <c r="B17" s="29"/>
      <c r="C17" s="38"/>
      <c r="D17" s="29"/>
      <c r="E17" s="26"/>
    </row>
    <row r="18" spans="1:5" ht="19.5" customHeight="1">
      <c r="A18" s="26"/>
      <c r="B18" s="29"/>
      <c r="C18" s="38"/>
      <c r="D18" s="29"/>
      <c r="E18" s="26"/>
    </row>
    <row r="19" spans="1:5" ht="10.5" customHeight="1">
      <c r="A19" s="26"/>
      <c r="B19" s="29"/>
      <c r="C19" s="38"/>
      <c r="D19" s="29"/>
      <c r="E19" s="26"/>
    </row>
    <row r="20" spans="1:5" ht="15.75">
      <c r="A20" s="26"/>
      <c r="B20" s="99"/>
      <c r="C20" s="26"/>
      <c r="D20" s="26"/>
      <c r="E20" s="26"/>
    </row>
    <row r="21" spans="1:5" ht="15.75">
      <c r="A21" s="26"/>
      <c r="B21" s="26"/>
      <c r="C21" s="26"/>
      <c r="D21" s="26"/>
      <c r="E21" s="26"/>
    </row>
    <row r="22" spans="1:5" ht="15.75">
      <c r="A22" s="26"/>
      <c r="B22" s="26"/>
      <c r="C22" s="26"/>
      <c r="D22" s="26"/>
      <c r="E22" s="26"/>
    </row>
    <row r="23" spans="1:5" ht="15.75">
      <c r="A23" s="26"/>
      <c r="B23" s="26"/>
      <c r="C23" s="26"/>
      <c r="D23" s="26"/>
      <c r="E23" s="26"/>
    </row>
    <row r="24" spans="1:5" ht="15.75">
      <c r="A24" s="26"/>
      <c r="B24" s="26"/>
      <c r="C24" s="26"/>
      <c r="D24" s="26"/>
      <c r="E24" s="26"/>
    </row>
    <row r="25" spans="1:5" ht="15.75">
      <c r="A25" s="26"/>
      <c r="B25" s="26"/>
      <c r="C25" s="26"/>
      <c r="D25" s="26"/>
      <c r="E25" s="26"/>
    </row>
    <row r="26" spans="1:5" ht="15.75">
      <c r="A26" s="26"/>
      <c r="B26" s="26"/>
      <c r="C26" s="26"/>
      <c r="D26" s="26"/>
      <c r="E26" s="26"/>
    </row>
    <row r="27" spans="1:5" ht="15.75">
      <c r="A27" s="26"/>
      <c r="B27" s="26"/>
      <c r="C27" s="26"/>
      <c r="D27" s="26"/>
      <c r="E27" s="26"/>
    </row>
    <row r="28" spans="1:5" ht="15.75">
      <c r="A28" s="26"/>
      <c r="B28" s="26"/>
      <c r="C28" s="26"/>
      <c r="D28" s="26"/>
      <c r="E28" s="26"/>
    </row>
  </sheetData>
  <sheetProtection/>
  <mergeCells count="4">
    <mergeCell ref="A6:D6"/>
    <mergeCell ref="A4:D4"/>
    <mergeCell ref="A5:D5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875" style="1" customWidth="1"/>
    <col min="2" max="2" width="45.00390625" style="1" customWidth="1"/>
    <col min="3" max="4" width="11.875" style="1" customWidth="1"/>
    <col min="5" max="5" width="12.375" style="1" customWidth="1"/>
    <col min="6" max="16384" width="9.125" style="1" customWidth="1"/>
  </cols>
  <sheetData>
    <row r="1" spans="1:5" ht="15.75">
      <c r="A1" s="114" t="s">
        <v>618</v>
      </c>
      <c r="C1" s="643"/>
      <c r="D1" s="643"/>
      <c r="E1" s="643"/>
    </row>
    <row r="3" spans="1:5" ht="12.75">
      <c r="A3" s="504"/>
      <c r="B3" s="504"/>
      <c r="C3" s="504"/>
      <c r="D3" s="504"/>
      <c r="E3" s="504"/>
    </row>
    <row r="4" spans="1:6" ht="14.25">
      <c r="A4" s="639"/>
      <c r="B4" s="639"/>
      <c r="C4" s="639"/>
      <c r="D4" s="639"/>
      <c r="E4" s="639"/>
      <c r="F4" s="77"/>
    </row>
    <row r="5" spans="1:6" ht="14.25">
      <c r="A5" s="639" t="s">
        <v>282</v>
      </c>
      <c r="B5" s="639"/>
      <c r="C5" s="639"/>
      <c r="D5" s="639"/>
      <c r="E5" s="639"/>
      <c r="F5" s="77"/>
    </row>
    <row r="6" spans="1:6" s="5" customFormat="1" ht="15.75">
      <c r="A6" s="524" t="s">
        <v>283</v>
      </c>
      <c r="B6" s="524"/>
      <c r="C6" s="524"/>
      <c r="D6" s="524"/>
      <c r="E6" s="524"/>
      <c r="F6" s="68"/>
    </row>
    <row r="7" spans="1:6" s="5" customFormat="1" ht="15.75">
      <c r="A7" s="524" t="s">
        <v>516</v>
      </c>
      <c r="B7" s="524"/>
      <c r="C7" s="524"/>
      <c r="D7" s="524"/>
      <c r="E7" s="524"/>
      <c r="F7" s="68"/>
    </row>
    <row r="8" spans="1:5" s="5" customFormat="1" ht="13.5" thickBot="1">
      <c r="A8" s="78"/>
      <c r="B8" s="78"/>
      <c r="C8" s="78"/>
      <c r="D8" s="78"/>
      <c r="E8" s="79" t="s">
        <v>5</v>
      </c>
    </row>
    <row r="9" spans="1:5" s="82" customFormat="1" ht="22.5" customHeight="1" thickTop="1">
      <c r="A9" s="80" t="s">
        <v>40</v>
      </c>
      <c r="B9" s="81"/>
      <c r="C9" s="651" t="s">
        <v>60</v>
      </c>
      <c r="D9" s="651" t="s">
        <v>61</v>
      </c>
      <c r="E9" s="646" t="s">
        <v>62</v>
      </c>
    </row>
    <row r="10" spans="1:5" s="82" customFormat="1" ht="12.75">
      <c r="A10" s="83"/>
      <c r="B10" s="84" t="s">
        <v>63</v>
      </c>
      <c r="C10" s="652"/>
      <c r="D10" s="652"/>
      <c r="E10" s="647"/>
    </row>
    <row r="11" spans="1:5" s="82" customFormat="1" ht="13.5" thickBot="1">
      <c r="A11" s="85" t="s">
        <v>41</v>
      </c>
      <c r="B11" s="86"/>
      <c r="C11" s="653"/>
      <c r="D11" s="653"/>
      <c r="E11" s="648"/>
    </row>
    <row r="12" spans="1:5" s="82" customFormat="1" ht="12.75">
      <c r="A12" s="654" t="s">
        <v>42</v>
      </c>
      <c r="B12" s="656" t="s">
        <v>64</v>
      </c>
      <c r="C12" s="649">
        <v>1887</v>
      </c>
      <c r="D12" s="649">
        <v>1887</v>
      </c>
      <c r="E12" s="644">
        <f>SUM(C12:D17)</f>
        <v>3774</v>
      </c>
    </row>
    <row r="13" spans="1:5" s="82" customFormat="1" ht="15" customHeight="1">
      <c r="A13" s="655"/>
      <c r="B13" s="657"/>
      <c r="C13" s="650"/>
      <c r="D13" s="650"/>
      <c r="E13" s="645"/>
    </row>
    <row r="14" spans="1:5" s="82" customFormat="1" ht="15" customHeight="1">
      <c r="A14" s="655"/>
      <c r="B14" s="87" t="s">
        <v>65</v>
      </c>
      <c r="C14" s="650"/>
      <c r="D14" s="650"/>
      <c r="E14" s="645"/>
    </row>
    <row r="15" spans="1:5" s="82" customFormat="1" ht="25.5">
      <c r="A15" s="655"/>
      <c r="B15" s="87" t="s">
        <v>284</v>
      </c>
      <c r="C15" s="650"/>
      <c r="D15" s="650"/>
      <c r="E15" s="645"/>
    </row>
    <row r="16" spans="1:5" s="82" customFormat="1" ht="12.75">
      <c r="A16" s="655"/>
      <c r="B16" s="88" t="s">
        <v>66</v>
      </c>
      <c r="C16" s="650"/>
      <c r="D16" s="650"/>
      <c r="E16" s="645"/>
    </row>
    <row r="17" spans="1:5" s="82" customFormat="1" ht="13.5" thickBot="1">
      <c r="A17" s="655"/>
      <c r="B17" s="89" t="s">
        <v>67</v>
      </c>
      <c r="C17" s="650"/>
      <c r="D17" s="650"/>
      <c r="E17" s="645"/>
    </row>
    <row r="18" spans="1:6" s="95" customFormat="1" ht="40.5" customHeight="1" thickBot="1" thickTop="1">
      <c r="A18" s="90"/>
      <c r="B18" s="91" t="s">
        <v>68</v>
      </c>
      <c r="C18" s="92">
        <f>SUM(C12:C17)</f>
        <v>1887</v>
      </c>
      <c r="D18" s="92">
        <f>SUM(D12:D17)</f>
        <v>1887</v>
      </c>
      <c r="E18" s="93">
        <f>SUM(E12:E17)</f>
        <v>3774</v>
      </c>
      <c r="F18" s="94"/>
    </row>
    <row r="19" spans="1:4" s="95" customFormat="1" ht="27" customHeight="1">
      <c r="A19" s="96"/>
      <c r="B19" s="97"/>
      <c r="C19" s="98"/>
      <c r="D19" s="98"/>
    </row>
  </sheetData>
  <sheetProtection/>
  <mergeCells count="14">
    <mergeCell ref="A6:E6"/>
    <mergeCell ref="A7:E7"/>
    <mergeCell ref="A5:E5"/>
    <mergeCell ref="D9:D11"/>
    <mergeCell ref="C1:E1"/>
    <mergeCell ref="E12:E17"/>
    <mergeCell ref="E9:E11"/>
    <mergeCell ref="C12:C17"/>
    <mergeCell ref="C9:C11"/>
    <mergeCell ref="D12:D17"/>
    <mergeCell ref="A3:E3"/>
    <mergeCell ref="A4:E4"/>
    <mergeCell ref="A12:A17"/>
    <mergeCell ref="B12:B13"/>
  </mergeCells>
  <printOptions/>
  <pageMargins left="1.535433070866142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30"/>
  <sheetViews>
    <sheetView zoomScalePageLayoutView="0" workbookViewId="0" topLeftCell="A1">
      <selection activeCell="A2" sqref="A2:O2"/>
    </sheetView>
  </sheetViews>
  <sheetFormatPr defaultColWidth="9.00390625" defaultRowHeight="12.75"/>
  <cols>
    <col min="1" max="1" width="5.875" style="56" customWidth="1"/>
    <col min="2" max="2" width="37.375" style="56" customWidth="1"/>
    <col min="3" max="3" width="9.625" style="56" customWidth="1"/>
    <col min="4" max="15" width="15.75390625" style="56" customWidth="1"/>
    <col min="16" max="16" width="13.625" style="56" bestFit="1" customWidth="1"/>
    <col min="17" max="16384" width="9.125" style="56" customWidth="1"/>
  </cols>
  <sheetData>
    <row r="2" spans="1:15" ht="15.75">
      <c r="A2" s="699" t="s">
        <v>619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</row>
    <row r="3" spans="1:15" ht="15.75">
      <c r="A3" s="503"/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</row>
    <row r="4" spans="2:15" ht="15.75"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ht="15.75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15.75">
      <c r="A6" s="503" t="s">
        <v>39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</row>
    <row r="7" spans="1:15" ht="15.75">
      <c r="A7" s="503" t="s">
        <v>358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</row>
    <row r="8" spans="1:15" ht="15.75">
      <c r="A8" s="503" t="s">
        <v>590</v>
      </c>
      <c r="B8" s="503"/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</row>
    <row r="9" spans="1:15" ht="15.75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</row>
    <row r="10" spans="1:15" ht="15.75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</row>
    <row r="11" ht="16.5" thickBot="1">
      <c r="O11" s="266" t="s">
        <v>478</v>
      </c>
    </row>
    <row r="12" spans="1:15" ht="32.25" customHeight="1" thickTop="1">
      <c r="A12" s="686" t="s">
        <v>359</v>
      </c>
      <c r="B12" s="675" t="s">
        <v>360</v>
      </c>
      <c r="C12" s="675" t="s">
        <v>361</v>
      </c>
      <c r="D12" s="678" t="s">
        <v>362</v>
      </c>
      <c r="E12" s="678"/>
      <c r="F12" s="679"/>
      <c r="G12" s="678" t="s">
        <v>363</v>
      </c>
      <c r="H12" s="678"/>
      <c r="I12" s="679"/>
      <c r="J12" s="678" t="s">
        <v>62</v>
      </c>
      <c r="K12" s="678"/>
      <c r="L12" s="679"/>
      <c r="M12" s="662" t="s">
        <v>364</v>
      </c>
      <c r="N12" s="663"/>
      <c r="O12" s="664"/>
    </row>
    <row r="13" spans="1:15" ht="16.5" thickBot="1">
      <c r="A13" s="676"/>
      <c r="B13" s="676"/>
      <c r="C13" s="676"/>
      <c r="D13" s="680"/>
      <c r="E13" s="680"/>
      <c r="F13" s="681"/>
      <c r="G13" s="680"/>
      <c r="H13" s="680"/>
      <c r="I13" s="681"/>
      <c r="J13" s="680"/>
      <c r="K13" s="680"/>
      <c r="L13" s="681"/>
      <c r="M13" s="665"/>
      <c r="N13" s="666"/>
      <c r="O13" s="661"/>
    </row>
    <row r="14" spans="1:15" ht="15.75">
      <c r="A14" s="676"/>
      <c r="B14" s="676"/>
      <c r="C14" s="676"/>
      <c r="D14" s="667" t="s">
        <v>368</v>
      </c>
      <c r="E14" s="667" t="s">
        <v>369</v>
      </c>
      <c r="F14" s="667" t="s">
        <v>508</v>
      </c>
      <c r="G14" s="667" t="s">
        <v>368</v>
      </c>
      <c r="H14" s="667" t="s">
        <v>369</v>
      </c>
      <c r="I14" s="667" t="s">
        <v>508</v>
      </c>
      <c r="J14" s="667" t="s">
        <v>368</v>
      </c>
      <c r="K14" s="667" t="s">
        <v>369</v>
      </c>
      <c r="L14" s="667" t="s">
        <v>508</v>
      </c>
      <c r="M14" s="667" t="s">
        <v>365</v>
      </c>
      <c r="N14" s="658" t="s">
        <v>363</v>
      </c>
      <c r="O14" s="660" t="s">
        <v>366</v>
      </c>
    </row>
    <row r="15" spans="1:15" ht="16.5" thickBot="1">
      <c r="A15" s="677"/>
      <c r="B15" s="677"/>
      <c r="C15" s="677"/>
      <c r="D15" s="668"/>
      <c r="E15" s="668"/>
      <c r="F15" s="668"/>
      <c r="G15" s="668"/>
      <c r="H15" s="668"/>
      <c r="I15" s="668"/>
      <c r="J15" s="668"/>
      <c r="K15" s="668"/>
      <c r="L15" s="668"/>
      <c r="M15" s="668"/>
      <c r="N15" s="659"/>
      <c r="O15" s="661"/>
    </row>
    <row r="16" spans="1:16" ht="26.25" customHeight="1">
      <c r="A16" s="709" t="s">
        <v>42</v>
      </c>
      <c r="B16" s="687" t="s">
        <v>370</v>
      </c>
      <c r="C16" s="682"/>
      <c r="D16" s="669">
        <f>12559-9743</f>
        <v>2816</v>
      </c>
      <c r="E16" s="669"/>
      <c r="F16" s="669"/>
      <c r="G16" s="669"/>
      <c r="H16" s="669">
        <v>9743</v>
      </c>
      <c r="I16" s="669"/>
      <c r="J16" s="669">
        <f>D16+G16</f>
        <v>2816</v>
      </c>
      <c r="K16" s="669">
        <f>F16+H16</f>
        <v>9743</v>
      </c>
      <c r="L16" s="669"/>
      <c r="M16" s="696">
        <f>D16+F16</f>
        <v>2816</v>
      </c>
      <c r="N16" s="693">
        <f>G16+H16</f>
        <v>9743</v>
      </c>
      <c r="O16" s="672">
        <f>J16+K16</f>
        <v>12559</v>
      </c>
      <c r="P16" s="263"/>
    </row>
    <row r="17" spans="1:15" ht="26.25" customHeight="1">
      <c r="A17" s="701"/>
      <c r="B17" s="688"/>
      <c r="C17" s="683"/>
      <c r="D17" s="670"/>
      <c r="E17" s="670"/>
      <c r="F17" s="670"/>
      <c r="G17" s="670"/>
      <c r="H17" s="670"/>
      <c r="I17" s="670"/>
      <c r="J17" s="670"/>
      <c r="K17" s="670"/>
      <c r="L17" s="670"/>
      <c r="M17" s="697"/>
      <c r="N17" s="694"/>
      <c r="O17" s="673"/>
    </row>
    <row r="18" spans="1:15" s="267" customFormat="1" ht="26.25" customHeight="1" thickBot="1">
      <c r="A18" s="710"/>
      <c r="B18" s="689"/>
      <c r="C18" s="684"/>
      <c r="D18" s="685"/>
      <c r="E18" s="685"/>
      <c r="F18" s="685"/>
      <c r="G18" s="671"/>
      <c r="H18" s="671"/>
      <c r="I18" s="671"/>
      <c r="J18" s="671"/>
      <c r="K18" s="671"/>
      <c r="L18" s="671"/>
      <c r="M18" s="698"/>
      <c r="N18" s="695"/>
      <c r="O18" s="674"/>
    </row>
    <row r="19" spans="1:15" ht="26.25" customHeight="1" thickTop="1">
      <c r="A19" s="700"/>
      <c r="B19" s="703" t="s">
        <v>367</v>
      </c>
      <c r="C19" s="706"/>
      <c r="D19" s="690">
        <f>D16</f>
        <v>2816</v>
      </c>
      <c r="E19" s="690"/>
      <c r="F19" s="690">
        <f aca="true" t="shared" si="0" ref="F19:O19">F16</f>
        <v>0</v>
      </c>
      <c r="G19" s="690">
        <f t="shared" si="0"/>
        <v>0</v>
      </c>
      <c r="H19" s="690">
        <f>H16</f>
        <v>9743</v>
      </c>
      <c r="I19" s="690">
        <f>I16</f>
        <v>0</v>
      </c>
      <c r="J19" s="690">
        <f t="shared" si="0"/>
        <v>2816</v>
      </c>
      <c r="K19" s="690">
        <f>K16</f>
        <v>9743</v>
      </c>
      <c r="L19" s="690"/>
      <c r="M19" s="690">
        <f t="shared" si="0"/>
        <v>2816</v>
      </c>
      <c r="N19" s="690">
        <f t="shared" si="0"/>
        <v>9743</v>
      </c>
      <c r="O19" s="690">
        <f t="shared" si="0"/>
        <v>12559</v>
      </c>
    </row>
    <row r="20" spans="1:15" ht="26.25" customHeight="1">
      <c r="A20" s="701"/>
      <c r="B20" s="704"/>
      <c r="C20" s="707"/>
      <c r="D20" s="691"/>
      <c r="E20" s="691"/>
      <c r="F20" s="691"/>
      <c r="G20" s="691"/>
      <c r="H20" s="691"/>
      <c r="I20" s="691"/>
      <c r="J20" s="691"/>
      <c r="K20" s="691"/>
      <c r="L20" s="691"/>
      <c r="M20" s="691"/>
      <c r="N20" s="691"/>
      <c r="O20" s="691"/>
    </row>
    <row r="21" spans="1:15" s="267" customFormat="1" ht="26.25" customHeight="1" thickBot="1">
      <c r="A21" s="702"/>
      <c r="B21" s="705"/>
      <c r="C21" s="708"/>
      <c r="D21" s="692"/>
      <c r="E21" s="692"/>
      <c r="F21" s="692"/>
      <c r="G21" s="692"/>
      <c r="H21" s="692"/>
      <c r="I21" s="692"/>
      <c r="J21" s="692"/>
      <c r="K21" s="692"/>
      <c r="L21" s="692"/>
      <c r="M21" s="692"/>
      <c r="N21" s="692"/>
      <c r="O21" s="692"/>
    </row>
    <row r="22" spans="1:15" ht="26.25" customHeight="1" thickTop="1">
      <c r="A22" s="268"/>
      <c r="B22" s="268"/>
      <c r="C22" s="268"/>
      <c r="D22" s="269"/>
      <c r="E22" s="269"/>
      <c r="F22" s="269"/>
      <c r="G22" s="270"/>
      <c r="H22" s="270"/>
      <c r="I22" s="270"/>
      <c r="J22" s="270"/>
      <c r="K22" s="270"/>
      <c r="L22" s="270"/>
      <c r="M22" s="269"/>
      <c r="N22" s="270"/>
      <c r="O22" s="269"/>
    </row>
    <row r="23" spans="1:15" ht="26.25" customHeight="1">
      <c r="A23" s="268"/>
      <c r="B23" s="268"/>
      <c r="C23" s="268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</row>
    <row r="24" spans="1:15" ht="26.25" customHeight="1">
      <c r="A24" s="268"/>
      <c r="B24" s="268"/>
      <c r="C24" s="268"/>
      <c r="D24" s="269"/>
      <c r="E24" s="269"/>
      <c r="F24" s="269"/>
      <c r="G24" s="269"/>
      <c r="H24" s="269"/>
      <c r="I24" s="269"/>
      <c r="J24" s="270"/>
      <c r="K24" s="270"/>
      <c r="L24" s="270"/>
      <c r="M24" s="269"/>
      <c r="N24" s="269"/>
      <c r="O24" s="269"/>
    </row>
    <row r="25" spans="1:15" ht="26.25" customHeight="1">
      <c r="A25" s="268"/>
      <c r="B25" s="268"/>
      <c r="C25" s="268"/>
      <c r="D25" s="269"/>
      <c r="E25" s="269"/>
      <c r="F25" s="269"/>
      <c r="G25" s="270"/>
      <c r="H25" s="270"/>
      <c r="I25" s="270"/>
      <c r="J25" s="269"/>
      <c r="K25" s="269"/>
      <c r="L25" s="269"/>
      <c r="M25" s="269"/>
      <c r="N25" s="269"/>
      <c r="O25" s="269"/>
    </row>
    <row r="26" spans="1:15" ht="26.25" customHeight="1">
      <c r="A26" s="268"/>
      <c r="B26" s="268"/>
      <c r="C26" s="268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</row>
    <row r="30" spans="7:9" ht="15.75">
      <c r="G30" s="263"/>
      <c r="H30" s="263"/>
      <c r="I30" s="263"/>
    </row>
  </sheetData>
  <sheetProtection/>
  <mergeCells count="54">
    <mergeCell ref="E16:E18"/>
    <mergeCell ref="E19:E21"/>
    <mergeCell ref="I14:I15"/>
    <mergeCell ref="I16:I18"/>
    <mergeCell ref="I19:I21"/>
    <mergeCell ref="L14:L15"/>
    <mergeCell ref="L16:L18"/>
    <mergeCell ref="L19:L21"/>
    <mergeCell ref="G19:G21"/>
    <mergeCell ref="A2:O2"/>
    <mergeCell ref="O19:O21"/>
    <mergeCell ref="G16:G18"/>
    <mergeCell ref="A19:A21"/>
    <mergeCell ref="B19:B21"/>
    <mergeCell ref="C19:C21"/>
    <mergeCell ref="D19:D21"/>
    <mergeCell ref="F19:F21"/>
    <mergeCell ref="F16:F18"/>
    <mergeCell ref="A16:A18"/>
    <mergeCell ref="B16:B18"/>
    <mergeCell ref="J19:J21"/>
    <mergeCell ref="J16:J18"/>
    <mergeCell ref="N19:N21"/>
    <mergeCell ref="N16:N18"/>
    <mergeCell ref="H19:H21"/>
    <mergeCell ref="H16:H18"/>
    <mergeCell ref="M16:M18"/>
    <mergeCell ref="K19:K21"/>
    <mergeCell ref="M19:M21"/>
    <mergeCell ref="C16:C18"/>
    <mergeCell ref="D16:D18"/>
    <mergeCell ref="A3:O3"/>
    <mergeCell ref="A6:O6"/>
    <mergeCell ref="A7:O7"/>
    <mergeCell ref="A8:O8"/>
    <mergeCell ref="A12:A15"/>
    <mergeCell ref="B12:B15"/>
    <mergeCell ref="D14:D15"/>
    <mergeCell ref="E14:E15"/>
    <mergeCell ref="C12:C15"/>
    <mergeCell ref="D12:F13"/>
    <mergeCell ref="G12:I13"/>
    <mergeCell ref="J12:L13"/>
    <mergeCell ref="H14:H15"/>
    <mergeCell ref="J14:J15"/>
    <mergeCell ref="K14:K15"/>
    <mergeCell ref="G14:G15"/>
    <mergeCell ref="F14:F15"/>
    <mergeCell ref="N14:N15"/>
    <mergeCell ref="O14:O15"/>
    <mergeCell ref="M12:O13"/>
    <mergeCell ref="M14:M15"/>
    <mergeCell ref="K16:K18"/>
    <mergeCell ref="O16:O18"/>
  </mergeCells>
  <printOptions horizontalCentered="1"/>
  <pageMargins left="0" right="0" top="0" bottom="0.15748031496062992" header="0.31496062992125984" footer="0.31496062992125984"/>
  <pageSetup fitToHeight="1" fitToWidth="1"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M9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:13" ht="19.5" customHeight="1">
      <c r="A1" s="527" t="s">
        <v>620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</row>
    <row r="2" spans="1:13" ht="12.75">
      <c r="A2" s="504"/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</row>
    <row r="4" spans="1:13" ht="20.25" customHeight="1">
      <c r="A4" s="801"/>
      <c r="B4" s="801"/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</row>
    <row r="5" spans="1:13" s="56" customFormat="1" ht="15.75">
      <c r="A5" s="503" t="s">
        <v>39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</row>
    <row r="6" spans="1:13" s="56" customFormat="1" ht="15.75">
      <c r="A6" s="503" t="s">
        <v>371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</row>
    <row r="7" spans="1:13" s="56" customFormat="1" ht="15.75">
      <c r="A7" s="503" t="s">
        <v>586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</row>
    <row r="8" spans="1:13" ht="12" customHeight="1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</row>
    <row r="9" spans="1:13" s="56" customFormat="1" ht="15.75">
      <c r="A9" s="272" t="s">
        <v>372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</row>
    <row r="10" spans="1:13" ht="12" customHeight="1">
      <c r="A10" s="271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</row>
    <row r="11" spans="1:13" ht="15.75">
      <c r="A11" s="273" t="s">
        <v>507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ht="12" customHeight="1" thickBot="1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</row>
    <row r="13" spans="1:13" ht="16.5" thickBot="1">
      <c r="A13" s="740" t="s">
        <v>373</v>
      </c>
      <c r="B13" s="741"/>
      <c r="C13" s="741"/>
      <c r="D13" s="744" t="s">
        <v>374</v>
      </c>
      <c r="E13" s="745"/>
      <c r="F13" s="746"/>
      <c r="G13" s="744" t="s">
        <v>375</v>
      </c>
      <c r="H13" s="745"/>
      <c r="I13" s="746"/>
      <c r="J13" s="744" t="s">
        <v>376</v>
      </c>
      <c r="K13" s="745"/>
      <c r="L13" s="746"/>
      <c r="M13" s="711" t="s">
        <v>377</v>
      </c>
    </row>
    <row r="14" spans="1:13" ht="15.75">
      <c r="A14" s="742"/>
      <c r="B14" s="743"/>
      <c r="C14" s="743"/>
      <c r="D14" s="274" t="s">
        <v>378</v>
      </c>
      <c r="E14" s="275" t="s">
        <v>379</v>
      </c>
      <c r="F14" s="276" t="s">
        <v>380</v>
      </c>
      <c r="G14" s="275" t="s">
        <v>381</v>
      </c>
      <c r="H14" s="275" t="s">
        <v>379</v>
      </c>
      <c r="I14" s="276" t="s">
        <v>382</v>
      </c>
      <c r="J14" s="275" t="s">
        <v>381</v>
      </c>
      <c r="K14" s="276" t="s">
        <v>379</v>
      </c>
      <c r="L14" s="275" t="s">
        <v>382</v>
      </c>
      <c r="M14" s="712"/>
    </row>
    <row r="15" spans="1:13" ht="16.5" thickBot="1">
      <c r="A15" s="742"/>
      <c r="B15" s="743"/>
      <c r="C15" s="743"/>
      <c r="D15" s="277" t="s">
        <v>383</v>
      </c>
      <c r="E15" s="278" t="s">
        <v>384</v>
      </c>
      <c r="F15" s="279" t="s">
        <v>6</v>
      </c>
      <c r="G15" s="280" t="s">
        <v>383</v>
      </c>
      <c r="H15" s="278" t="s">
        <v>384</v>
      </c>
      <c r="I15" s="279" t="s">
        <v>6</v>
      </c>
      <c r="J15" s="280" t="s">
        <v>383</v>
      </c>
      <c r="K15" s="279" t="s">
        <v>384</v>
      </c>
      <c r="L15" s="278" t="s">
        <v>6</v>
      </c>
      <c r="M15" s="713"/>
    </row>
    <row r="16" spans="1:13" ht="7.5" customHeight="1">
      <c r="A16" s="714" t="s">
        <v>385</v>
      </c>
      <c r="B16" s="715"/>
      <c r="C16" s="716"/>
      <c r="D16" s="723"/>
      <c r="E16" s="726"/>
      <c r="F16" s="729"/>
      <c r="G16" s="732" t="s">
        <v>386</v>
      </c>
      <c r="H16" s="735"/>
      <c r="I16" s="748">
        <v>2252</v>
      </c>
      <c r="J16" s="726"/>
      <c r="K16" s="726"/>
      <c r="L16" s="726"/>
      <c r="M16" s="750">
        <f>I16</f>
        <v>2252</v>
      </c>
    </row>
    <row r="17" spans="1:13" ht="7.5" customHeight="1">
      <c r="A17" s="717"/>
      <c r="B17" s="718"/>
      <c r="C17" s="719"/>
      <c r="D17" s="724"/>
      <c r="E17" s="727"/>
      <c r="F17" s="730"/>
      <c r="G17" s="733"/>
      <c r="H17" s="736"/>
      <c r="I17" s="727"/>
      <c r="J17" s="727"/>
      <c r="K17" s="727"/>
      <c r="L17" s="727"/>
      <c r="M17" s="727"/>
    </row>
    <row r="18" spans="1:13" ht="15.75" customHeight="1" thickBot="1">
      <c r="A18" s="720"/>
      <c r="B18" s="721"/>
      <c r="C18" s="722"/>
      <c r="D18" s="725"/>
      <c r="E18" s="728"/>
      <c r="F18" s="731"/>
      <c r="G18" s="734"/>
      <c r="H18" s="737"/>
      <c r="I18" s="749"/>
      <c r="J18" s="728"/>
      <c r="K18" s="728"/>
      <c r="L18" s="728"/>
      <c r="M18" s="728"/>
    </row>
    <row r="19" spans="1:13" s="124" customFormat="1" ht="12.75" customHeight="1">
      <c r="A19" s="751" t="s">
        <v>2</v>
      </c>
      <c r="B19" s="752"/>
      <c r="C19" s="753"/>
      <c r="D19" s="738"/>
      <c r="E19" s="738"/>
      <c r="F19" s="757">
        <f>SUM(F16)</f>
        <v>0</v>
      </c>
      <c r="G19" s="738"/>
      <c r="H19" s="738"/>
      <c r="I19" s="738">
        <f>I16</f>
        <v>2252</v>
      </c>
      <c r="J19" s="738"/>
      <c r="K19" s="738"/>
      <c r="L19" s="738"/>
      <c r="M19" s="747">
        <f>M16</f>
        <v>2252</v>
      </c>
    </row>
    <row r="20" spans="1:13" s="124" customFormat="1" ht="13.5" customHeight="1" thickBot="1">
      <c r="A20" s="754"/>
      <c r="B20" s="755"/>
      <c r="C20" s="756"/>
      <c r="D20" s="739"/>
      <c r="E20" s="739"/>
      <c r="F20" s="758"/>
      <c r="G20" s="739"/>
      <c r="H20" s="739"/>
      <c r="I20" s="739"/>
      <c r="J20" s="739"/>
      <c r="K20" s="739"/>
      <c r="L20" s="739"/>
      <c r="M20" s="739"/>
    </row>
    <row r="21" spans="1:13" ht="12" customHeight="1">
      <c r="A21" s="271"/>
      <c r="B21" s="271"/>
      <c r="C21" s="271"/>
      <c r="D21" s="271"/>
      <c r="E21" s="271"/>
      <c r="F21" s="281"/>
      <c r="G21" s="271"/>
      <c r="H21" s="271"/>
      <c r="I21" s="271"/>
      <c r="J21" s="271"/>
      <c r="K21" s="271"/>
      <c r="L21" s="271"/>
      <c r="M21" s="271"/>
    </row>
    <row r="22" spans="1:6" s="273" customFormat="1" ht="12" customHeight="1">
      <c r="A22" s="273" t="s">
        <v>387</v>
      </c>
      <c r="F22" s="282"/>
    </row>
    <row r="23" spans="1:13" ht="17.25" customHeight="1">
      <c r="A23" s="283" t="s">
        <v>388</v>
      </c>
      <c r="B23" s="283"/>
      <c r="C23" s="283"/>
      <c r="D23" s="283"/>
      <c r="E23" s="283"/>
      <c r="F23" s="284"/>
      <c r="G23" s="285" t="s">
        <v>6</v>
      </c>
      <c r="H23" s="271"/>
      <c r="I23" s="271"/>
      <c r="J23" s="271"/>
      <c r="K23" s="271"/>
      <c r="L23" s="271"/>
      <c r="M23" s="271"/>
    </row>
    <row r="24" spans="1:13" ht="17.25" customHeight="1">
      <c r="A24" s="283" t="s">
        <v>389</v>
      </c>
      <c r="B24" s="283"/>
      <c r="C24" s="283"/>
      <c r="D24" s="283"/>
      <c r="E24" s="283"/>
      <c r="F24" s="284"/>
      <c r="G24" s="285" t="s">
        <v>6</v>
      </c>
      <c r="H24" s="271"/>
      <c r="I24" s="271"/>
      <c r="J24" s="271"/>
      <c r="K24" s="271"/>
      <c r="L24" s="271"/>
      <c r="M24" s="271"/>
    </row>
    <row r="25" spans="1:13" ht="15.75" customHeight="1">
      <c r="A25" s="283" t="s">
        <v>390</v>
      </c>
      <c r="B25" s="283"/>
      <c r="C25" s="283"/>
      <c r="D25" s="283"/>
      <c r="E25" s="283"/>
      <c r="F25" s="286">
        <v>15</v>
      </c>
      <c r="G25" s="287" t="s">
        <v>6</v>
      </c>
      <c r="H25" s="271"/>
      <c r="I25" s="271"/>
      <c r="J25" s="271"/>
      <c r="K25" s="271"/>
      <c r="L25" s="271"/>
      <c r="M25" s="271"/>
    </row>
    <row r="26" spans="1:13" ht="17.25" customHeight="1">
      <c r="A26" s="283" t="s">
        <v>391</v>
      </c>
      <c r="B26" s="283"/>
      <c r="C26" s="283"/>
      <c r="D26" s="283"/>
      <c r="E26" s="283"/>
      <c r="F26" s="288">
        <f>SUM(F23:F25)</f>
        <v>15</v>
      </c>
      <c r="G26" s="289" t="s">
        <v>6</v>
      </c>
      <c r="H26" s="271"/>
      <c r="I26" s="271"/>
      <c r="J26" s="271"/>
      <c r="K26" s="271"/>
      <c r="L26" s="271"/>
      <c r="M26" s="271"/>
    </row>
    <row r="27" spans="1:13" ht="13.5" customHeight="1">
      <c r="A27" s="283"/>
      <c r="B27" s="283"/>
      <c r="C27" s="283"/>
      <c r="D27" s="283"/>
      <c r="E27" s="283"/>
      <c r="F27" s="288"/>
      <c r="G27" s="289"/>
      <c r="H27" s="271"/>
      <c r="I27" s="271"/>
      <c r="J27" s="271"/>
      <c r="K27" s="271"/>
      <c r="L27" s="271"/>
      <c r="M27" s="271"/>
    </row>
    <row r="28" spans="1:13" ht="15.75">
      <c r="A28" s="273" t="s">
        <v>392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13.5" customHeight="1">
      <c r="A29" s="283"/>
      <c r="B29" s="283"/>
      <c r="C29" s="283"/>
      <c r="D29" s="283"/>
      <c r="E29" s="283"/>
      <c r="F29" s="288"/>
      <c r="G29" s="289"/>
      <c r="H29" s="271"/>
      <c r="I29" s="271"/>
      <c r="J29" s="271"/>
      <c r="K29" s="271"/>
      <c r="L29" s="271"/>
      <c r="M29" s="271"/>
    </row>
    <row r="30" spans="1:13" ht="13.5" customHeight="1" thickBot="1">
      <c r="A30" s="283"/>
      <c r="B30" s="283"/>
      <c r="C30" s="283"/>
      <c r="D30" s="283"/>
      <c r="E30" s="283"/>
      <c r="F30" s="288"/>
      <c r="G30" s="289"/>
      <c r="H30" s="271"/>
      <c r="I30" s="271"/>
      <c r="J30" s="271"/>
      <c r="K30" s="271"/>
      <c r="L30" s="271"/>
      <c r="M30" s="271"/>
    </row>
    <row r="31" spans="1:13" ht="16.5" thickBot="1">
      <c r="A31" s="740" t="s">
        <v>373</v>
      </c>
      <c r="B31" s="741"/>
      <c r="C31" s="741"/>
      <c r="D31" s="744" t="s">
        <v>374</v>
      </c>
      <c r="E31" s="745"/>
      <c r="F31" s="746"/>
      <c r="G31" s="744" t="s">
        <v>375</v>
      </c>
      <c r="H31" s="745"/>
      <c r="I31" s="746"/>
      <c r="J31" s="744" t="s">
        <v>376</v>
      </c>
      <c r="K31" s="745"/>
      <c r="L31" s="746"/>
      <c r="M31" s="711" t="s">
        <v>377</v>
      </c>
    </row>
    <row r="32" spans="1:13" ht="15.75">
      <c r="A32" s="742"/>
      <c r="B32" s="743"/>
      <c r="C32" s="743"/>
      <c r="D32" s="274" t="s">
        <v>378</v>
      </c>
      <c r="E32" s="275" t="s">
        <v>379</v>
      </c>
      <c r="F32" s="276" t="s">
        <v>380</v>
      </c>
      <c r="G32" s="275" t="s">
        <v>381</v>
      </c>
      <c r="H32" s="275" t="s">
        <v>379</v>
      </c>
      <c r="I32" s="276" t="s">
        <v>382</v>
      </c>
      <c r="J32" s="275" t="s">
        <v>381</v>
      </c>
      <c r="K32" s="276" t="s">
        <v>379</v>
      </c>
      <c r="L32" s="275" t="s">
        <v>382</v>
      </c>
      <c r="M32" s="712"/>
    </row>
    <row r="33" spans="1:13" ht="16.5" thickBot="1">
      <c r="A33" s="742"/>
      <c r="B33" s="743"/>
      <c r="C33" s="743"/>
      <c r="D33" s="277" t="s">
        <v>383</v>
      </c>
      <c r="E33" s="278" t="s">
        <v>384</v>
      </c>
      <c r="F33" s="279" t="s">
        <v>6</v>
      </c>
      <c r="G33" s="280" t="s">
        <v>383</v>
      </c>
      <c r="H33" s="278" t="s">
        <v>384</v>
      </c>
      <c r="I33" s="279" t="s">
        <v>6</v>
      </c>
      <c r="J33" s="280" t="s">
        <v>383</v>
      </c>
      <c r="K33" s="279" t="s">
        <v>384</v>
      </c>
      <c r="L33" s="278" t="s">
        <v>6</v>
      </c>
      <c r="M33" s="713"/>
    </row>
    <row r="34" spans="1:13" ht="7.5" customHeight="1">
      <c r="A34" s="760" t="s">
        <v>393</v>
      </c>
      <c r="B34" s="761"/>
      <c r="C34" s="762"/>
      <c r="D34" s="723" t="s">
        <v>394</v>
      </c>
      <c r="E34" s="726"/>
      <c r="F34" s="729">
        <v>26</v>
      </c>
      <c r="G34" s="759"/>
      <c r="H34" s="759"/>
      <c r="I34" s="759"/>
      <c r="J34" s="726"/>
      <c r="K34" s="726"/>
      <c r="L34" s="726"/>
      <c r="M34" s="750">
        <f>L34+I34+F34</f>
        <v>26</v>
      </c>
    </row>
    <row r="35" spans="1:13" ht="7.5" customHeight="1">
      <c r="A35" s="763"/>
      <c r="B35" s="764"/>
      <c r="C35" s="765"/>
      <c r="D35" s="724"/>
      <c r="E35" s="727"/>
      <c r="F35" s="730"/>
      <c r="G35" s="759"/>
      <c r="H35" s="759"/>
      <c r="I35" s="759"/>
      <c r="J35" s="727"/>
      <c r="K35" s="727"/>
      <c r="L35" s="727"/>
      <c r="M35" s="727"/>
    </row>
    <row r="36" spans="1:13" ht="7.5" customHeight="1">
      <c r="A36" s="766"/>
      <c r="B36" s="767"/>
      <c r="C36" s="768"/>
      <c r="D36" s="725"/>
      <c r="E36" s="728"/>
      <c r="F36" s="731"/>
      <c r="G36" s="759"/>
      <c r="H36" s="759"/>
      <c r="I36" s="759"/>
      <c r="J36" s="728"/>
      <c r="K36" s="728"/>
      <c r="L36" s="728"/>
      <c r="M36" s="728"/>
    </row>
    <row r="37" spans="1:13" ht="7.5" customHeight="1">
      <c r="A37" s="773" t="s">
        <v>458</v>
      </c>
      <c r="B37" s="802"/>
      <c r="C37" s="803"/>
      <c r="D37" s="723" t="s">
        <v>459</v>
      </c>
      <c r="E37" s="726"/>
      <c r="F37" s="729">
        <v>62</v>
      </c>
      <c r="G37" s="726"/>
      <c r="H37" s="726"/>
      <c r="I37" s="726"/>
      <c r="J37" s="726"/>
      <c r="K37" s="726"/>
      <c r="L37" s="726"/>
      <c r="M37" s="750">
        <f>L37+I37+F37</f>
        <v>62</v>
      </c>
    </row>
    <row r="38" spans="1:13" ht="7.5" customHeight="1">
      <c r="A38" s="804"/>
      <c r="B38" s="805"/>
      <c r="C38" s="806"/>
      <c r="D38" s="810"/>
      <c r="E38" s="770"/>
      <c r="F38" s="770"/>
      <c r="G38" s="770"/>
      <c r="H38" s="770"/>
      <c r="I38" s="770"/>
      <c r="J38" s="770"/>
      <c r="K38" s="770"/>
      <c r="L38" s="770"/>
      <c r="M38" s="727"/>
    </row>
    <row r="39" spans="1:13" ht="7.5" customHeight="1">
      <c r="A39" s="807"/>
      <c r="B39" s="808"/>
      <c r="C39" s="809"/>
      <c r="D39" s="811"/>
      <c r="E39" s="771"/>
      <c r="F39" s="771"/>
      <c r="G39" s="771"/>
      <c r="H39" s="771"/>
      <c r="I39" s="771"/>
      <c r="J39" s="771"/>
      <c r="K39" s="771"/>
      <c r="L39" s="771"/>
      <c r="M39" s="728"/>
    </row>
    <row r="40" spans="1:13" ht="19.5" customHeight="1">
      <c r="A40" s="812" t="s">
        <v>395</v>
      </c>
      <c r="B40" s="813"/>
      <c r="C40" s="814"/>
      <c r="D40" s="424"/>
      <c r="E40" s="425"/>
      <c r="F40" s="425"/>
      <c r="G40" s="426" t="s">
        <v>521</v>
      </c>
      <c r="H40" s="425"/>
      <c r="I40" s="425">
        <v>14</v>
      </c>
      <c r="J40" s="425"/>
      <c r="K40" s="425"/>
      <c r="L40" s="425"/>
      <c r="M40" s="422">
        <f>I40</f>
        <v>14</v>
      </c>
    </row>
    <row r="41" spans="1:13" ht="24.75" customHeight="1">
      <c r="A41" s="815" t="s">
        <v>395</v>
      </c>
      <c r="B41" s="816"/>
      <c r="C41" s="817"/>
      <c r="D41" s="424"/>
      <c r="E41" s="425"/>
      <c r="F41" s="425"/>
      <c r="G41" s="427" t="s">
        <v>396</v>
      </c>
      <c r="H41" s="425"/>
      <c r="I41" s="425">
        <v>299</v>
      </c>
      <c r="J41" s="425"/>
      <c r="K41" s="425"/>
      <c r="L41" s="425"/>
      <c r="M41" s="422">
        <f>I41</f>
        <v>299</v>
      </c>
    </row>
    <row r="42" spans="1:13" ht="7.5" customHeight="1">
      <c r="A42" s="773" t="s">
        <v>395</v>
      </c>
      <c r="B42" s="774"/>
      <c r="C42" s="775"/>
      <c r="D42" s="723"/>
      <c r="E42" s="726"/>
      <c r="F42" s="729"/>
      <c r="G42" s="772" t="s">
        <v>522</v>
      </c>
      <c r="H42" s="759"/>
      <c r="I42" s="769"/>
      <c r="J42" s="726"/>
      <c r="K42" s="726"/>
      <c r="L42" s="726"/>
      <c r="M42" s="750">
        <f>L42+I42+F42</f>
        <v>0</v>
      </c>
    </row>
    <row r="43" spans="1:13" ht="7.5" customHeight="1">
      <c r="A43" s="763"/>
      <c r="B43" s="764"/>
      <c r="C43" s="765"/>
      <c r="D43" s="724"/>
      <c r="E43" s="727"/>
      <c r="F43" s="730"/>
      <c r="G43" s="772"/>
      <c r="H43" s="759"/>
      <c r="I43" s="769"/>
      <c r="J43" s="727"/>
      <c r="K43" s="727"/>
      <c r="L43" s="727"/>
      <c r="M43" s="727"/>
    </row>
    <row r="44" spans="1:13" ht="7.5" customHeight="1" thickBot="1">
      <c r="A44" s="766"/>
      <c r="B44" s="767"/>
      <c r="C44" s="768"/>
      <c r="D44" s="725"/>
      <c r="E44" s="728"/>
      <c r="F44" s="731"/>
      <c r="G44" s="772"/>
      <c r="H44" s="759"/>
      <c r="I44" s="769"/>
      <c r="J44" s="728"/>
      <c r="K44" s="728"/>
      <c r="L44" s="728"/>
      <c r="M44" s="728"/>
    </row>
    <row r="45" spans="1:13" s="124" customFormat="1" ht="12.75" customHeight="1">
      <c r="A45" s="751" t="s">
        <v>2</v>
      </c>
      <c r="B45" s="752"/>
      <c r="C45" s="753"/>
      <c r="D45" s="738"/>
      <c r="E45" s="738"/>
      <c r="F45" s="757">
        <f>SUM(F34:F44)</f>
        <v>88</v>
      </c>
      <c r="G45" s="738"/>
      <c r="H45" s="738"/>
      <c r="I45" s="747">
        <f>SUM(I34:I44)</f>
        <v>313</v>
      </c>
      <c r="J45" s="738"/>
      <c r="K45" s="738"/>
      <c r="L45" s="738"/>
      <c r="M45" s="747">
        <f>SUM(M34:M44)</f>
        <v>401</v>
      </c>
    </row>
    <row r="46" spans="1:13" s="124" customFormat="1" ht="13.5" customHeight="1" thickBot="1">
      <c r="A46" s="754"/>
      <c r="B46" s="755"/>
      <c r="C46" s="756"/>
      <c r="D46" s="739"/>
      <c r="E46" s="739"/>
      <c r="F46" s="758"/>
      <c r="G46" s="739"/>
      <c r="H46" s="739"/>
      <c r="I46" s="739"/>
      <c r="J46" s="739"/>
      <c r="K46" s="739"/>
      <c r="L46" s="739"/>
      <c r="M46" s="739"/>
    </row>
    <row r="47" spans="1:13" ht="13.5" customHeight="1">
      <c r="A47" s="283"/>
      <c r="B47" s="283"/>
      <c r="C47" s="283"/>
      <c r="D47" s="283"/>
      <c r="E47" s="283"/>
      <c r="F47" s="288"/>
      <c r="G47" s="289"/>
      <c r="H47" s="271"/>
      <c r="I47" s="271"/>
      <c r="J47" s="271"/>
      <c r="K47" s="271"/>
      <c r="L47" s="271"/>
      <c r="M47" s="271"/>
    </row>
    <row r="48" spans="1:13" ht="13.5" customHeight="1">
      <c r="A48" s="283"/>
      <c r="B48" s="283"/>
      <c r="C48" s="283"/>
      <c r="D48" s="283"/>
      <c r="E48" s="283"/>
      <c r="F48" s="288"/>
      <c r="G48" s="289"/>
      <c r="H48" s="271"/>
      <c r="I48" s="271"/>
      <c r="J48" s="271"/>
      <c r="K48" s="271"/>
      <c r="L48" s="271"/>
      <c r="M48" s="271"/>
    </row>
    <row r="49" spans="1:13" ht="13.5" customHeight="1">
      <c r="A49" s="283"/>
      <c r="B49" s="283"/>
      <c r="C49" s="283"/>
      <c r="D49" s="283"/>
      <c r="E49" s="283"/>
      <c r="F49" s="288"/>
      <c r="G49" s="289"/>
      <c r="H49" s="271"/>
      <c r="I49" s="271"/>
      <c r="J49" s="271"/>
      <c r="K49" s="271"/>
      <c r="L49" s="271"/>
      <c r="M49" s="271"/>
    </row>
    <row r="50" spans="1:13" ht="13.5" customHeight="1">
      <c r="A50" s="283"/>
      <c r="B50" s="283"/>
      <c r="C50" s="283"/>
      <c r="D50" s="283"/>
      <c r="E50" s="283"/>
      <c r="F50" s="288"/>
      <c r="G50" s="289"/>
      <c r="H50" s="271"/>
      <c r="I50" s="271"/>
      <c r="J50" s="271"/>
      <c r="K50" s="271"/>
      <c r="L50" s="271"/>
      <c r="M50" s="271"/>
    </row>
    <row r="51" spans="1:13" ht="13.5" customHeight="1">
      <c r="A51" s="283"/>
      <c r="B51" s="283"/>
      <c r="C51" s="283"/>
      <c r="D51" s="283"/>
      <c r="E51" s="283"/>
      <c r="F51" s="288"/>
      <c r="G51" s="289"/>
      <c r="H51" s="271"/>
      <c r="I51" s="271"/>
      <c r="J51" s="271"/>
      <c r="K51" s="271"/>
      <c r="L51" s="271"/>
      <c r="M51" s="271"/>
    </row>
    <row r="52" spans="1:13" ht="13.5" customHeight="1">
      <c r="A52" s="283"/>
      <c r="B52" s="283"/>
      <c r="C52" s="283"/>
      <c r="D52" s="283"/>
      <c r="E52" s="283"/>
      <c r="F52" s="288"/>
      <c r="G52" s="289"/>
      <c r="H52" s="271"/>
      <c r="I52" s="271"/>
      <c r="J52" s="271"/>
      <c r="K52" s="271"/>
      <c r="L52" s="271"/>
      <c r="M52" s="271"/>
    </row>
    <row r="53" spans="1:13" ht="13.5" customHeight="1">
      <c r="A53" s="283"/>
      <c r="B53" s="283"/>
      <c r="C53" s="283"/>
      <c r="D53" s="283"/>
      <c r="E53" s="283"/>
      <c r="F53" s="288"/>
      <c r="G53" s="289"/>
      <c r="H53" s="271"/>
      <c r="I53" s="271"/>
      <c r="J53" s="271"/>
      <c r="K53" s="271"/>
      <c r="L53" s="271"/>
      <c r="M53" s="271"/>
    </row>
    <row r="54" spans="1:13" ht="13.5" customHeight="1">
      <c r="A54" s="283"/>
      <c r="B54" s="283"/>
      <c r="C54" s="283"/>
      <c r="D54" s="283"/>
      <c r="E54" s="283"/>
      <c r="F54" s="288"/>
      <c r="G54" s="289"/>
      <c r="H54" s="271"/>
      <c r="I54" s="271"/>
      <c r="J54" s="271"/>
      <c r="K54" s="271"/>
      <c r="L54" s="271"/>
      <c r="M54" s="271"/>
    </row>
    <row r="55" spans="1:13" ht="13.5" customHeight="1">
      <c r="A55" s="283"/>
      <c r="B55" s="283"/>
      <c r="C55" s="283"/>
      <c r="D55" s="283"/>
      <c r="E55" s="283"/>
      <c r="F55" s="288"/>
      <c r="G55" s="289"/>
      <c r="H55" s="271"/>
      <c r="I55" s="271"/>
      <c r="J55" s="271"/>
      <c r="K55" s="271"/>
      <c r="L55" s="271"/>
      <c r="M55" s="271"/>
    </row>
    <row r="56" spans="1:13" ht="13.5" customHeight="1">
      <c r="A56" s="283"/>
      <c r="B56" s="283"/>
      <c r="C56" s="283"/>
      <c r="D56" s="283"/>
      <c r="E56" s="283"/>
      <c r="F56" s="288"/>
      <c r="G56" s="289"/>
      <c r="H56" s="271"/>
      <c r="I56" s="271"/>
      <c r="J56" s="271"/>
      <c r="K56" s="271"/>
      <c r="L56" s="271"/>
      <c r="M56" s="271"/>
    </row>
    <row r="57" spans="1:13" ht="13.5" customHeight="1">
      <c r="A57" s="283"/>
      <c r="B57" s="283"/>
      <c r="C57" s="283"/>
      <c r="D57" s="283"/>
      <c r="E57" s="283"/>
      <c r="F57" s="288"/>
      <c r="G57" s="289"/>
      <c r="H57" s="271"/>
      <c r="I57" s="271"/>
      <c r="J57" s="271"/>
      <c r="K57" s="271"/>
      <c r="L57" s="271"/>
      <c r="M57" s="271"/>
    </row>
    <row r="58" spans="1:13" ht="13.5" customHeight="1">
      <c r="A58" s="283"/>
      <c r="B58" s="283"/>
      <c r="C58" s="283"/>
      <c r="D58" s="283"/>
      <c r="E58" s="283"/>
      <c r="F58" s="288"/>
      <c r="G58" s="289"/>
      <c r="H58" s="271"/>
      <c r="I58" s="271"/>
      <c r="J58" s="271"/>
      <c r="K58" s="271"/>
      <c r="L58" s="271"/>
      <c r="M58" s="271"/>
    </row>
    <row r="59" spans="1:13" ht="15.75">
      <c r="A59" s="7" t="s">
        <v>397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</row>
    <row r="60" spans="1:13" ht="12" customHeight="1">
      <c r="A60" s="271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</row>
    <row r="61" spans="1:13" ht="15.75">
      <c r="A61" s="7" t="s">
        <v>398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1:13" ht="12" customHeight="1" thickBot="1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</row>
    <row r="63" spans="1:11" ht="12.75" customHeight="1">
      <c r="A63" s="740" t="s">
        <v>373</v>
      </c>
      <c r="B63" s="741"/>
      <c r="C63" s="741"/>
      <c r="D63" s="740" t="s">
        <v>399</v>
      </c>
      <c r="E63" s="711"/>
      <c r="F63" s="740" t="s">
        <v>400</v>
      </c>
      <c r="G63" s="711"/>
      <c r="H63" s="740" t="s">
        <v>401</v>
      </c>
      <c r="I63" s="711"/>
      <c r="J63" s="740" t="s">
        <v>402</v>
      </c>
      <c r="K63" s="711"/>
    </row>
    <row r="64" spans="1:11" ht="12.75" customHeight="1">
      <c r="A64" s="742"/>
      <c r="B64" s="743"/>
      <c r="C64" s="743"/>
      <c r="D64" s="742"/>
      <c r="E64" s="712"/>
      <c r="F64" s="742"/>
      <c r="G64" s="712"/>
      <c r="H64" s="742"/>
      <c r="I64" s="712"/>
      <c r="J64" s="742"/>
      <c r="K64" s="712"/>
    </row>
    <row r="65" spans="1:11" ht="13.5" customHeight="1" thickBot="1">
      <c r="A65" s="777"/>
      <c r="B65" s="780"/>
      <c r="C65" s="780"/>
      <c r="D65" s="777"/>
      <c r="E65" s="713"/>
      <c r="F65" s="777"/>
      <c r="G65" s="713"/>
      <c r="H65" s="777"/>
      <c r="I65" s="713"/>
      <c r="J65" s="777"/>
      <c r="K65" s="713"/>
    </row>
    <row r="66" spans="1:12" s="56" customFormat="1" ht="25.5" customHeight="1" thickBot="1">
      <c r="A66" s="727" t="s">
        <v>403</v>
      </c>
      <c r="B66" s="727"/>
      <c r="C66" s="727"/>
      <c r="D66" s="727" t="s">
        <v>404</v>
      </c>
      <c r="E66" s="727"/>
      <c r="F66" s="778" t="s">
        <v>404</v>
      </c>
      <c r="G66" s="779"/>
      <c r="H66" s="778" t="s">
        <v>404</v>
      </c>
      <c r="I66" s="779"/>
      <c r="J66" s="727" t="s">
        <v>404</v>
      </c>
      <c r="K66" s="727"/>
      <c r="L66" s="290"/>
    </row>
    <row r="67" spans="1:13" s="124" customFormat="1" ht="12.75" customHeight="1">
      <c r="A67" s="751" t="s">
        <v>2</v>
      </c>
      <c r="B67" s="752"/>
      <c r="C67" s="753"/>
      <c r="D67" s="751"/>
      <c r="E67" s="753"/>
      <c r="F67" s="751"/>
      <c r="G67" s="753"/>
      <c r="H67" s="751"/>
      <c r="I67" s="753"/>
      <c r="J67" s="751" t="s">
        <v>404</v>
      </c>
      <c r="K67" s="753"/>
      <c r="L67" s="776"/>
      <c r="M67" s="776"/>
    </row>
    <row r="68" spans="1:13" s="124" customFormat="1" ht="13.5" customHeight="1" thickBot="1">
      <c r="A68" s="754"/>
      <c r="B68" s="755"/>
      <c r="C68" s="756"/>
      <c r="D68" s="754"/>
      <c r="E68" s="756"/>
      <c r="F68" s="754"/>
      <c r="G68" s="756"/>
      <c r="H68" s="754"/>
      <c r="I68" s="756"/>
      <c r="J68" s="754"/>
      <c r="K68" s="756"/>
      <c r="L68" s="776"/>
      <c r="M68" s="776"/>
    </row>
    <row r="70" spans="1:13" ht="15.75">
      <c r="A70" s="7" t="s">
        <v>405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ht="13.5" thickBot="1"/>
    <row r="72" spans="1:11" ht="12.75" customHeight="1">
      <c r="A72" s="740" t="s">
        <v>373</v>
      </c>
      <c r="B72" s="741"/>
      <c r="C72" s="741"/>
      <c r="D72" s="740" t="s">
        <v>399</v>
      </c>
      <c r="E72" s="711"/>
      <c r="F72" s="740" t="s">
        <v>406</v>
      </c>
      <c r="G72" s="711"/>
      <c r="H72" s="740" t="s">
        <v>401</v>
      </c>
      <c r="I72" s="711"/>
      <c r="J72" s="740" t="s">
        <v>402</v>
      </c>
      <c r="K72" s="711"/>
    </row>
    <row r="73" spans="1:11" ht="12.75" customHeight="1">
      <c r="A73" s="742"/>
      <c r="B73" s="743"/>
      <c r="C73" s="743"/>
      <c r="D73" s="742"/>
      <c r="E73" s="712"/>
      <c r="F73" s="742"/>
      <c r="G73" s="712"/>
      <c r="H73" s="742"/>
      <c r="I73" s="712"/>
      <c r="J73" s="742"/>
      <c r="K73" s="712"/>
    </row>
    <row r="74" spans="1:11" ht="13.5" customHeight="1" thickBot="1">
      <c r="A74" s="777"/>
      <c r="B74" s="780"/>
      <c r="C74" s="780"/>
      <c r="D74" s="777"/>
      <c r="E74" s="713"/>
      <c r="F74" s="777"/>
      <c r="G74" s="713"/>
      <c r="H74" s="777"/>
      <c r="I74" s="713"/>
      <c r="J74" s="777"/>
      <c r="K74" s="713"/>
    </row>
    <row r="75" spans="1:12" s="56" customFormat="1" ht="25.5" customHeight="1" thickBot="1">
      <c r="A75" s="727" t="s">
        <v>407</v>
      </c>
      <c r="B75" s="727"/>
      <c r="C75" s="727"/>
      <c r="D75" s="727" t="s">
        <v>408</v>
      </c>
      <c r="E75" s="727"/>
      <c r="F75" s="798" t="s">
        <v>404</v>
      </c>
      <c r="G75" s="799"/>
      <c r="H75" s="798"/>
      <c r="I75" s="799"/>
      <c r="J75" s="730"/>
      <c r="K75" s="730"/>
      <c r="L75" s="290"/>
    </row>
    <row r="76" spans="1:13" ht="12.75" customHeight="1">
      <c r="A76" s="781" t="s">
        <v>2</v>
      </c>
      <c r="B76" s="782"/>
      <c r="C76" s="783"/>
      <c r="D76" s="787"/>
      <c r="E76" s="788"/>
      <c r="F76" s="790">
        <f>SUM(F75)</f>
        <v>0</v>
      </c>
      <c r="G76" s="791"/>
      <c r="H76" s="794">
        <f>SUM(H75)</f>
        <v>0</v>
      </c>
      <c r="I76" s="795"/>
      <c r="J76" s="794">
        <f>SUM(J75)</f>
        <v>0</v>
      </c>
      <c r="K76" s="795"/>
      <c r="L76" s="800"/>
      <c r="M76" s="800"/>
    </row>
    <row r="77" spans="1:13" ht="13.5" customHeight="1" thickBot="1">
      <c r="A77" s="784"/>
      <c r="B77" s="785"/>
      <c r="C77" s="786"/>
      <c r="D77" s="789"/>
      <c r="E77" s="681"/>
      <c r="F77" s="792"/>
      <c r="G77" s="793"/>
      <c r="H77" s="796"/>
      <c r="I77" s="797"/>
      <c r="J77" s="796"/>
      <c r="K77" s="797"/>
      <c r="L77" s="800"/>
      <c r="M77" s="800"/>
    </row>
    <row r="79" spans="1:13" ht="15.75">
      <c r="A79" s="7" t="s">
        <v>409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</row>
    <row r="80" ht="13.5" thickBot="1"/>
    <row r="81" spans="1:11" ht="12.75" customHeight="1">
      <c r="A81" s="740" t="s">
        <v>373</v>
      </c>
      <c r="B81" s="741"/>
      <c r="C81" s="741"/>
      <c r="D81" s="740" t="s">
        <v>399</v>
      </c>
      <c r="E81" s="711"/>
      <c r="F81" s="740" t="s">
        <v>400</v>
      </c>
      <c r="G81" s="711"/>
      <c r="H81" s="740" t="s">
        <v>401</v>
      </c>
      <c r="I81" s="711"/>
      <c r="J81" s="740" t="s">
        <v>402</v>
      </c>
      <c r="K81" s="711"/>
    </row>
    <row r="82" spans="1:11" ht="12.75" customHeight="1">
      <c r="A82" s="742"/>
      <c r="B82" s="743"/>
      <c r="C82" s="743"/>
      <c r="D82" s="742"/>
      <c r="E82" s="712"/>
      <c r="F82" s="742"/>
      <c r="G82" s="712"/>
      <c r="H82" s="742"/>
      <c r="I82" s="712"/>
      <c r="J82" s="742"/>
      <c r="K82" s="712"/>
    </row>
    <row r="83" spans="1:11" ht="13.5" customHeight="1" thickBot="1">
      <c r="A83" s="777"/>
      <c r="B83" s="780"/>
      <c r="C83" s="780"/>
      <c r="D83" s="777"/>
      <c r="E83" s="713"/>
      <c r="F83" s="777"/>
      <c r="G83" s="713"/>
      <c r="H83" s="777"/>
      <c r="I83" s="713"/>
      <c r="J83" s="777"/>
      <c r="K83" s="713"/>
    </row>
    <row r="84" spans="1:12" s="56" customFormat="1" ht="25.5" customHeight="1" thickBot="1">
      <c r="A84" s="727" t="s">
        <v>407</v>
      </c>
      <c r="B84" s="727"/>
      <c r="C84" s="727"/>
      <c r="D84" s="727" t="s">
        <v>410</v>
      </c>
      <c r="E84" s="727"/>
      <c r="F84" s="778" t="s">
        <v>404</v>
      </c>
      <c r="G84" s="779"/>
      <c r="H84" s="778"/>
      <c r="I84" s="779"/>
      <c r="J84" s="727"/>
      <c r="K84" s="727"/>
      <c r="L84" s="290"/>
    </row>
    <row r="85" spans="1:13" ht="12.75" customHeight="1">
      <c r="A85" s="781" t="s">
        <v>2</v>
      </c>
      <c r="B85" s="782"/>
      <c r="C85" s="783"/>
      <c r="D85" s="787"/>
      <c r="E85" s="788"/>
      <c r="F85" s="787"/>
      <c r="G85" s="788"/>
      <c r="H85" s="751">
        <f>SUM(H84)</f>
        <v>0</v>
      </c>
      <c r="I85" s="753"/>
      <c r="J85" s="751">
        <f>SUM(J84)</f>
        <v>0</v>
      </c>
      <c r="K85" s="753"/>
      <c r="L85" s="800"/>
      <c r="M85" s="800"/>
    </row>
    <row r="86" spans="1:13" ht="13.5" customHeight="1" thickBot="1">
      <c r="A86" s="784"/>
      <c r="B86" s="785"/>
      <c r="C86" s="786"/>
      <c r="D86" s="789"/>
      <c r="E86" s="681"/>
      <c r="F86" s="789"/>
      <c r="G86" s="681"/>
      <c r="H86" s="754"/>
      <c r="I86" s="756"/>
      <c r="J86" s="754"/>
      <c r="K86" s="756"/>
      <c r="L86" s="800"/>
      <c r="M86" s="800"/>
    </row>
    <row r="88" spans="1:13" ht="15.75">
      <c r="A88" s="7" t="s">
        <v>411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</row>
    <row r="89" ht="13.5" thickBot="1"/>
    <row r="90" spans="1:11" ht="12.75" customHeight="1">
      <c r="A90" s="740" t="s">
        <v>373</v>
      </c>
      <c r="B90" s="741"/>
      <c r="C90" s="741"/>
      <c r="D90" s="740" t="s">
        <v>399</v>
      </c>
      <c r="E90" s="711"/>
      <c r="F90" s="740" t="s">
        <v>400</v>
      </c>
      <c r="G90" s="711"/>
      <c r="H90" s="740" t="s">
        <v>401</v>
      </c>
      <c r="I90" s="711"/>
      <c r="J90" s="740" t="s">
        <v>402</v>
      </c>
      <c r="K90" s="711"/>
    </row>
    <row r="91" spans="1:11" ht="12.75" customHeight="1">
      <c r="A91" s="742"/>
      <c r="B91" s="743"/>
      <c r="C91" s="743"/>
      <c r="D91" s="742"/>
      <c r="E91" s="712"/>
      <c r="F91" s="742"/>
      <c r="G91" s="712"/>
      <c r="H91" s="742"/>
      <c r="I91" s="712"/>
      <c r="J91" s="742"/>
      <c r="K91" s="712"/>
    </row>
    <row r="92" spans="1:11" ht="13.5" customHeight="1" thickBot="1">
      <c r="A92" s="777"/>
      <c r="B92" s="780"/>
      <c r="C92" s="780"/>
      <c r="D92" s="777"/>
      <c r="E92" s="713"/>
      <c r="F92" s="777"/>
      <c r="G92" s="713"/>
      <c r="H92" s="777"/>
      <c r="I92" s="713"/>
      <c r="J92" s="777"/>
      <c r="K92" s="713"/>
    </row>
    <row r="93" spans="1:12" s="56" customFormat="1" ht="25.5" customHeight="1" thickBot="1">
      <c r="A93" s="727" t="s">
        <v>407</v>
      </c>
      <c r="B93" s="727"/>
      <c r="C93" s="727"/>
      <c r="D93" s="727"/>
      <c r="E93" s="727"/>
      <c r="F93" s="778" t="s">
        <v>404</v>
      </c>
      <c r="G93" s="779"/>
      <c r="H93" s="778"/>
      <c r="I93" s="779"/>
      <c r="J93" s="727"/>
      <c r="K93" s="727"/>
      <c r="L93" s="290"/>
    </row>
    <row r="94" spans="1:13" ht="12.75" customHeight="1">
      <c r="A94" s="781" t="s">
        <v>2</v>
      </c>
      <c r="B94" s="782"/>
      <c r="C94" s="783"/>
      <c r="D94" s="787"/>
      <c r="E94" s="788"/>
      <c r="F94" s="787"/>
      <c r="G94" s="788"/>
      <c r="H94" s="751">
        <f>SUM(H93)</f>
        <v>0</v>
      </c>
      <c r="I94" s="753"/>
      <c r="J94" s="751">
        <f>SUM(J93)</f>
        <v>0</v>
      </c>
      <c r="K94" s="753"/>
      <c r="L94" s="800"/>
      <c r="M94" s="800"/>
    </row>
    <row r="95" spans="1:13" ht="13.5" customHeight="1" thickBot="1">
      <c r="A95" s="784"/>
      <c r="B95" s="785"/>
      <c r="C95" s="786"/>
      <c r="D95" s="789"/>
      <c r="E95" s="681"/>
      <c r="F95" s="789"/>
      <c r="G95" s="681"/>
      <c r="H95" s="754"/>
      <c r="I95" s="756"/>
      <c r="J95" s="754"/>
      <c r="K95" s="756"/>
      <c r="L95" s="800"/>
      <c r="M95" s="800"/>
    </row>
  </sheetData>
  <sheetProtection/>
  <mergeCells count="152">
    <mergeCell ref="A40:C40"/>
    <mergeCell ref="A41:C41"/>
    <mergeCell ref="G37:G39"/>
    <mergeCell ref="A90:C92"/>
    <mergeCell ref="D90:E92"/>
    <mergeCell ref="F90:G92"/>
    <mergeCell ref="A85:C86"/>
    <mergeCell ref="D85:E86"/>
    <mergeCell ref="F85:G86"/>
    <mergeCell ref="A84:C84"/>
    <mergeCell ref="D84:E84"/>
    <mergeCell ref="F84:G84"/>
    <mergeCell ref="A1:M1"/>
    <mergeCell ref="A4:M4"/>
    <mergeCell ref="K37:K39"/>
    <mergeCell ref="L37:L39"/>
    <mergeCell ref="M37:M39"/>
    <mergeCell ref="A37:C39"/>
    <mergeCell ref="D37:D39"/>
    <mergeCell ref="I34:I36"/>
    <mergeCell ref="J34:J36"/>
    <mergeCell ref="L34:L36"/>
    <mergeCell ref="A94:C95"/>
    <mergeCell ref="D94:E95"/>
    <mergeCell ref="F94:G95"/>
    <mergeCell ref="A93:C93"/>
    <mergeCell ref="D93:E93"/>
    <mergeCell ref="F93:G93"/>
    <mergeCell ref="L94:L95"/>
    <mergeCell ref="L76:L77"/>
    <mergeCell ref="M94:M95"/>
    <mergeCell ref="J93:K93"/>
    <mergeCell ref="H93:I93"/>
    <mergeCell ref="H94:I95"/>
    <mergeCell ref="J94:K95"/>
    <mergeCell ref="H90:I92"/>
    <mergeCell ref="M85:M86"/>
    <mergeCell ref="J90:K92"/>
    <mergeCell ref="L85:L86"/>
    <mergeCell ref="J84:K84"/>
    <mergeCell ref="J85:K86"/>
    <mergeCell ref="H85:I86"/>
    <mergeCell ref="H84:I84"/>
    <mergeCell ref="M76:M77"/>
    <mergeCell ref="A81:C83"/>
    <mergeCell ref="D81:E83"/>
    <mergeCell ref="F81:G83"/>
    <mergeCell ref="H81:I83"/>
    <mergeCell ref="J81:K83"/>
    <mergeCell ref="J75:K75"/>
    <mergeCell ref="A76:C77"/>
    <mergeCell ref="D76:E77"/>
    <mergeCell ref="F76:G77"/>
    <mergeCell ref="H76:I77"/>
    <mergeCell ref="J76:K77"/>
    <mergeCell ref="A75:C75"/>
    <mergeCell ref="D75:E75"/>
    <mergeCell ref="F75:G75"/>
    <mergeCell ref="H75:I75"/>
    <mergeCell ref="J72:K74"/>
    <mergeCell ref="A67:C68"/>
    <mergeCell ref="D67:E68"/>
    <mergeCell ref="F67:G68"/>
    <mergeCell ref="H67:I68"/>
    <mergeCell ref="A72:C74"/>
    <mergeCell ref="D72:E74"/>
    <mergeCell ref="F72:G74"/>
    <mergeCell ref="H72:I74"/>
    <mergeCell ref="A66:C66"/>
    <mergeCell ref="D66:E66"/>
    <mergeCell ref="F66:G66"/>
    <mergeCell ref="M67:M68"/>
    <mergeCell ref="A63:C65"/>
    <mergeCell ref="D63:E65"/>
    <mergeCell ref="F63:G65"/>
    <mergeCell ref="H63:I65"/>
    <mergeCell ref="H66:I66"/>
    <mergeCell ref="K42:K44"/>
    <mergeCell ref="L42:L44"/>
    <mergeCell ref="J67:K68"/>
    <mergeCell ref="L67:L68"/>
    <mergeCell ref="J63:K65"/>
    <mergeCell ref="M42:M44"/>
    <mergeCell ref="J66:K66"/>
    <mergeCell ref="H45:H46"/>
    <mergeCell ref="I45:I46"/>
    <mergeCell ref="J45:J46"/>
    <mergeCell ref="L45:L46"/>
    <mergeCell ref="M45:M46"/>
    <mergeCell ref="K45:K46"/>
    <mergeCell ref="G45:G46"/>
    <mergeCell ref="G42:G44"/>
    <mergeCell ref="A45:C46"/>
    <mergeCell ref="D45:D46"/>
    <mergeCell ref="E45:E46"/>
    <mergeCell ref="F45:F46"/>
    <mergeCell ref="F42:F44"/>
    <mergeCell ref="A42:C44"/>
    <mergeCell ref="D42:D44"/>
    <mergeCell ref="I42:I44"/>
    <mergeCell ref="J42:J44"/>
    <mergeCell ref="E34:E36"/>
    <mergeCell ref="E42:E44"/>
    <mergeCell ref="H42:H44"/>
    <mergeCell ref="I37:I39"/>
    <mergeCell ref="J37:J39"/>
    <mergeCell ref="H37:H39"/>
    <mergeCell ref="E37:E39"/>
    <mergeCell ref="F37:F39"/>
    <mergeCell ref="M34:M36"/>
    <mergeCell ref="A31:C33"/>
    <mergeCell ref="D31:F31"/>
    <mergeCell ref="G31:I31"/>
    <mergeCell ref="J31:L31"/>
    <mergeCell ref="M31:M33"/>
    <mergeCell ref="A34:C36"/>
    <mergeCell ref="D34:D36"/>
    <mergeCell ref="H34:H36"/>
    <mergeCell ref="K34:K36"/>
    <mergeCell ref="A19:C20"/>
    <mergeCell ref="D19:D20"/>
    <mergeCell ref="E19:E20"/>
    <mergeCell ref="F19:F20"/>
    <mergeCell ref="F34:F36"/>
    <mergeCell ref="G34:G36"/>
    <mergeCell ref="H19:H20"/>
    <mergeCell ref="G19:G20"/>
    <mergeCell ref="I19:I20"/>
    <mergeCell ref="M19:M20"/>
    <mergeCell ref="I16:I18"/>
    <mergeCell ref="J16:J18"/>
    <mergeCell ref="K16:K18"/>
    <mergeCell ref="L16:L18"/>
    <mergeCell ref="M16:M18"/>
    <mergeCell ref="J19:J20"/>
    <mergeCell ref="K19:K20"/>
    <mergeCell ref="L19:L20"/>
    <mergeCell ref="A2:M2"/>
    <mergeCell ref="A5:M5"/>
    <mergeCell ref="A6:M6"/>
    <mergeCell ref="A7:M7"/>
    <mergeCell ref="A13:C15"/>
    <mergeCell ref="D13:F13"/>
    <mergeCell ref="G13:I13"/>
    <mergeCell ref="J13:L13"/>
    <mergeCell ref="M13:M15"/>
    <mergeCell ref="A16:C18"/>
    <mergeCell ref="D16:D18"/>
    <mergeCell ref="E16:E18"/>
    <mergeCell ref="F16:F18"/>
    <mergeCell ref="G16:G18"/>
    <mergeCell ref="H16:H18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75390625" style="26" customWidth="1"/>
    <col min="2" max="2" width="65.75390625" style="26" customWidth="1"/>
    <col min="3" max="3" width="18.25390625" style="26" customWidth="1"/>
    <col min="4" max="5" width="15.75390625" style="26" bestFit="1" customWidth="1"/>
    <col min="6" max="6" width="18.00390625" style="26" bestFit="1" customWidth="1"/>
    <col min="7" max="7" width="11.375" style="56" bestFit="1" customWidth="1"/>
    <col min="8" max="16384" width="9.125" style="56" customWidth="1"/>
  </cols>
  <sheetData>
    <row r="1" spans="1:6" ht="15.75">
      <c r="A1" s="527" t="s">
        <v>621</v>
      </c>
      <c r="B1" s="527"/>
      <c r="C1" s="527"/>
      <c r="D1" s="527"/>
      <c r="E1" s="527"/>
      <c r="F1" s="527"/>
    </row>
    <row r="2" spans="1:6" ht="21" customHeight="1">
      <c r="A2" s="642"/>
      <c r="B2" s="642"/>
      <c r="C2" s="642"/>
      <c r="D2" s="642"/>
      <c r="E2" s="642"/>
      <c r="F2" s="642"/>
    </row>
    <row r="3" spans="1:6" ht="15.75">
      <c r="A3" s="642" t="s">
        <v>412</v>
      </c>
      <c r="B3" s="642"/>
      <c r="C3" s="642"/>
      <c r="D3" s="642"/>
      <c r="E3" s="642"/>
      <c r="F3" s="642"/>
    </row>
    <row r="4" spans="1:6" ht="15.75">
      <c r="A4" s="642" t="s">
        <v>413</v>
      </c>
      <c r="B4" s="642"/>
      <c r="C4" s="642"/>
      <c r="D4" s="642"/>
      <c r="E4" s="642"/>
      <c r="F4" s="642"/>
    </row>
    <row r="5" spans="1:6" ht="15.75">
      <c r="A5" s="642" t="s">
        <v>591</v>
      </c>
      <c r="B5" s="642"/>
      <c r="C5" s="642"/>
      <c r="D5" s="642"/>
      <c r="E5" s="642"/>
      <c r="F5" s="642"/>
    </row>
    <row r="6" spans="1:6" ht="16.5" thickBot="1">
      <c r="A6" s="28"/>
      <c r="B6" s="28"/>
      <c r="C6" s="56"/>
      <c r="D6" s="292"/>
      <c r="E6" s="56"/>
      <c r="F6" s="292" t="s">
        <v>5</v>
      </c>
    </row>
    <row r="7" spans="1:6" ht="15.75">
      <c r="A7" s="293" t="s">
        <v>40</v>
      </c>
      <c r="B7" s="818" t="s">
        <v>414</v>
      </c>
      <c r="C7" s="821" t="s">
        <v>415</v>
      </c>
      <c r="D7" s="822"/>
      <c r="E7" s="822"/>
      <c r="F7" s="818" t="s">
        <v>302</v>
      </c>
    </row>
    <row r="8" spans="1:6" ht="16.5" thickBot="1">
      <c r="A8" s="294"/>
      <c r="B8" s="819"/>
      <c r="C8" s="823"/>
      <c r="D8" s="824"/>
      <c r="E8" s="824"/>
      <c r="F8" s="819"/>
    </row>
    <row r="9" spans="1:6" ht="16.5" thickBot="1">
      <c r="A9" s="294"/>
      <c r="B9" s="819"/>
      <c r="C9" s="295" t="s">
        <v>517</v>
      </c>
      <c r="D9" s="295" t="s">
        <v>573</v>
      </c>
      <c r="E9" s="295" t="s">
        <v>595</v>
      </c>
      <c r="F9" s="819"/>
    </row>
    <row r="10" spans="1:6" ht="16.5" thickBot="1">
      <c r="A10" s="296" t="s">
        <v>41</v>
      </c>
      <c r="B10" s="820"/>
      <c r="C10" s="825" t="s">
        <v>416</v>
      </c>
      <c r="D10" s="826"/>
      <c r="E10" s="826"/>
      <c r="F10" s="820"/>
    </row>
    <row r="11" spans="1:6" ht="15.75">
      <c r="A11" s="291" t="s">
        <v>42</v>
      </c>
      <c r="B11" s="321" t="s">
        <v>422</v>
      </c>
      <c r="C11" s="297">
        <v>8220</v>
      </c>
      <c r="D11" s="297">
        <v>8220</v>
      </c>
      <c r="E11" s="297">
        <v>8220</v>
      </c>
      <c r="F11" s="297">
        <f>SUM(C11:E11)</f>
        <v>24660</v>
      </c>
    </row>
    <row r="12" spans="1:6" ht="31.5">
      <c r="A12" s="291" t="s">
        <v>25</v>
      </c>
      <c r="B12" s="322" t="s">
        <v>423</v>
      </c>
      <c r="C12" s="298"/>
      <c r="D12" s="298"/>
      <c r="E12" s="298"/>
      <c r="F12" s="297">
        <f>SUM(C12:E12)</f>
        <v>0</v>
      </c>
    </row>
    <row r="13" spans="1:2" s="269" customFormat="1" ht="15.75">
      <c r="A13" s="291" t="s">
        <v>43</v>
      </c>
      <c r="B13" s="321" t="s">
        <v>424</v>
      </c>
    </row>
    <row r="14" spans="1:6" s="269" customFormat="1" ht="31.5">
      <c r="A14" s="291" t="s">
        <v>99</v>
      </c>
      <c r="B14" s="322" t="s">
        <v>425</v>
      </c>
      <c r="C14" s="299"/>
      <c r="D14" s="299"/>
      <c r="E14" s="299"/>
      <c r="F14" s="297">
        <f>SUM(C14:E14)</f>
        <v>0</v>
      </c>
    </row>
    <row r="15" spans="1:6" s="269" customFormat="1" ht="15.75">
      <c r="A15" s="291" t="s">
        <v>100</v>
      </c>
      <c r="B15" s="321" t="s">
        <v>417</v>
      </c>
      <c r="C15" s="299">
        <v>75</v>
      </c>
      <c r="D15" s="299">
        <v>75</v>
      </c>
      <c r="E15" s="299">
        <v>75</v>
      </c>
      <c r="F15" s="297">
        <f>SUM(C15:E15)</f>
        <v>225</v>
      </c>
    </row>
    <row r="16" spans="1:6" s="269" customFormat="1" ht="15.75">
      <c r="A16" s="291" t="s">
        <v>106</v>
      </c>
      <c r="B16" s="321" t="s">
        <v>426</v>
      </c>
      <c r="C16" s="300"/>
      <c r="D16" s="300"/>
      <c r="E16" s="300"/>
      <c r="F16" s="300"/>
    </row>
    <row r="17" spans="1:6" s="304" customFormat="1" ht="15.75">
      <c r="A17" s="301" t="s">
        <v>238</v>
      </c>
      <c r="B17" s="302" t="s">
        <v>418</v>
      </c>
      <c r="C17" s="303">
        <f>SUM(C11:C16)</f>
        <v>8295</v>
      </c>
      <c r="D17" s="303">
        <f>SUM(D11:D16)</f>
        <v>8295</v>
      </c>
      <c r="E17" s="303">
        <f>SUM(E11:E16)</f>
        <v>8295</v>
      </c>
      <c r="F17" s="303">
        <f>SUM(F11:F16)</f>
        <v>24885</v>
      </c>
    </row>
    <row r="18" spans="1:6" s="309" customFormat="1" ht="18.75">
      <c r="A18" s="305" t="s">
        <v>242</v>
      </c>
      <c r="B18" s="306" t="s">
        <v>419</v>
      </c>
      <c r="C18" s="307">
        <f>C17*0.5</f>
        <v>4147.5</v>
      </c>
      <c r="D18" s="307">
        <f>D17*0.5</f>
        <v>4147.5</v>
      </c>
      <c r="E18" s="307">
        <f>E17*0.5</f>
        <v>4147.5</v>
      </c>
      <c r="F18" s="308">
        <f>SUM(C18:E18)</f>
        <v>12442.5</v>
      </c>
    </row>
    <row r="19" spans="1:6" s="269" customFormat="1" ht="31.5">
      <c r="A19" s="310" t="s">
        <v>248</v>
      </c>
      <c r="B19" s="322" t="s">
        <v>427</v>
      </c>
      <c r="C19" s="299"/>
      <c r="D19" s="299"/>
      <c r="E19" s="299"/>
      <c r="F19" s="299">
        <f>SUM(C19:E19)</f>
        <v>0</v>
      </c>
    </row>
    <row r="20" spans="1:6" s="269" customFormat="1" ht="31.5">
      <c r="A20" s="310" t="s">
        <v>250</v>
      </c>
      <c r="B20" s="322" t="s">
        <v>428</v>
      </c>
      <c r="C20" s="299"/>
      <c r="D20" s="299"/>
      <c r="E20" s="299"/>
      <c r="F20" s="299">
        <f>SUM(C20:E20)</f>
        <v>0</v>
      </c>
    </row>
    <row r="21" spans="1:6" s="269" customFormat="1" ht="15.75">
      <c r="A21" s="310" t="s">
        <v>252</v>
      </c>
      <c r="B21" s="321" t="s">
        <v>429</v>
      </c>
      <c r="C21" s="299"/>
      <c r="D21" s="299"/>
      <c r="E21" s="299"/>
      <c r="F21" s="299"/>
    </row>
    <row r="22" spans="1:6" s="269" customFormat="1" ht="31.5">
      <c r="A22" s="310" t="s">
        <v>257</v>
      </c>
      <c r="B22" s="311" t="s">
        <v>430</v>
      </c>
      <c r="C22" s="299"/>
      <c r="D22" s="299"/>
      <c r="E22" s="299"/>
      <c r="F22" s="299"/>
    </row>
    <row r="23" spans="1:6" s="269" customFormat="1" ht="47.25">
      <c r="A23" s="310" t="s">
        <v>259</v>
      </c>
      <c r="B23" s="311" t="s">
        <v>431</v>
      </c>
      <c r="C23" s="299"/>
      <c r="D23" s="299"/>
      <c r="E23" s="299"/>
      <c r="F23" s="299"/>
    </row>
    <row r="24" spans="1:6" s="269" customFormat="1" ht="31.5">
      <c r="A24" s="310" t="s">
        <v>261</v>
      </c>
      <c r="B24" s="311" t="s">
        <v>432</v>
      </c>
      <c r="C24" s="299"/>
      <c r="D24" s="299"/>
      <c r="E24" s="299"/>
      <c r="F24" s="299"/>
    </row>
    <row r="25" spans="1:6" s="269" customFormat="1" ht="31.5">
      <c r="A25" s="310" t="s">
        <v>268</v>
      </c>
      <c r="B25" s="311" t="s">
        <v>433</v>
      </c>
      <c r="C25" s="312"/>
      <c r="D25" s="312"/>
      <c r="E25" s="312"/>
      <c r="F25" s="312"/>
    </row>
    <row r="26" spans="1:6" s="304" customFormat="1" ht="15.75">
      <c r="A26" s="301" t="s">
        <v>271</v>
      </c>
      <c r="B26" s="313" t="s">
        <v>420</v>
      </c>
      <c r="C26" s="314">
        <f>SUM(C19:C24)</f>
        <v>0</v>
      </c>
      <c r="D26" s="314">
        <f>SUM(D19:D24)</f>
        <v>0</v>
      </c>
      <c r="E26" s="314">
        <f>SUM(E19:E24)</f>
        <v>0</v>
      </c>
      <c r="F26" s="314">
        <f>SUM(F19:F24)</f>
        <v>0</v>
      </c>
    </row>
    <row r="27" spans="1:6" s="317" customFormat="1" ht="37.5">
      <c r="A27" s="305" t="s">
        <v>273</v>
      </c>
      <c r="B27" s="315" t="s">
        <v>421</v>
      </c>
      <c r="C27" s="316">
        <f>C18-C26</f>
        <v>4147.5</v>
      </c>
      <c r="D27" s="316">
        <f>D18-D26</f>
        <v>4147.5</v>
      </c>
      <c r="E27" s="316">
        <f>E18-E26</f>
        <v>4147.5</v>
      </c>
      <c r="F27" s="316">
        <f>SUM(C27:E27)</f>
        <v>12442.5</v>
      </c>
    </row>
    <row r="28" spans="1:6" s="269" customFormat="1" ht="15.75">
      <c r="A28" s="318"/>
      <c r="B28" s="319"/>
      <c r="C28" s="299"/>
      <c r="D28" s="299"/>
      <c r="E28" s="299"/>
      <c r="F28" s="299"/>
    </row>
    <row r="29" spans="1:7" s="269" customFormat="1" ht="15.75">
      <c r="A29" s="318"/>
      <c r="B29" s="319"/>
      <c r="C29" s="299"/>
      <c r="D29" s="299"/>
      <c r="E29" s="299"/>
      <c r="F29" s="299"/>
      <c r="G29" s="299"/>
    </row>
    <row r="30" spans="1:6" s="269" customFormat="1" ht="15.75">
      <c r="A30" s="319"/>
      <c r="B30" s="319"/>
      <c r="C30" s="299"/>
      <c r="D30" s="299"/>
      <c r="E30" s="299"/>
      <c r="F30" s="299"/>
    </row>
    <row r="31" spans="1:6" s="269" customFormat="1" ht="15.75">
      <c r="A31" s="319"/>
      <c r="B31" s="319"/>
      <c r="C31" s="299"/>
      <c r="D31" s="299"/>
      <c r="E31" s="299"/>
      <c r="F31" s="299"/>
    </row>
    <row r="32" spans="1:6" s="269" customFormat="1" ht="15.75">
      <c r="A32" s="319"/>
      <c r="B32" s="319"/>
      <c r="C32" s="299"/>
      <c r="D32" s="299"/>
      <c r="E32" s="299"/>
      <c r="F32" s="299"/>
    </row>
    <row r="33" spans="1:6" s="269" customFormat="1" ht="15.75">
      <c r="A33" s="319"/>
      <c r="B33" s="320"/>
      <c r="C33" s="299"/>
      <c r="D33" s="299"/>
      <c r="E33" s="299"/>
      <c r="F33" s="299"/>
    </row>
    <row r="34" spans="1:6" s="269" customFormat="1" ht="15.75">
      <c r="A34" s="319"/>
      <c r="B34" s="319"/>
      <c r="C34" s="299"/>
      <c r="D34" s="299"/>
      <c r="E34" s="299"/>
      <c r="F34" s="299"/>
    </row>
    <row r="35" spans="1:6" s="269" customFormat="1" ht="15.75">
      <c r="A35" s="319"/>
      <c r="B35" s="319"/>
      <c r="C35" s="299"/>
      <c r="D35" s="299"/>
      <c r="E35" s="299"/>
      <c r="F35" s="299"/>
    </row>
  </sheetData>
  <sheetProtection/>
  <mergeCells count="9">
    <mergeCell ref="A1:F1"/>
    <mergeCell ref="A2:F2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2:N23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1.875" style="0" customWidth="1"/>
    <col min="2" max="2" width="27.625" style="0" customWidth="1"/>
    <col min="3" max="3" width="11.125" style="0" customWidth="1"/>
    <col min="4" max="4" width="15.75390625" style="0" customWidth="1"/>
    <col min="5" max="5" width="12.875" style="0" customWidth="1"/>
    <col min="6" max="6" width="12.00390625" style="0" customWidth="1"/>
    <col min="7" max="7" width="10.125" style="0" customWidth="1"/>
    <col min="8" max="8" width="11.125" style="0" customWidth="1"/>
    <col min="9" max="9" width="12.375" style="0" customWidth="1"/>
    <col min="10" max="11" width="12.00390625" style="0" customWidth="1"/>
    <col min="12" max="12" width="13.375" style="0" customWidth="1"/>
    <col min="13" max="13" width="12.75390625" style="0" customWidth="1"/>
    <col min="14" max="14" width="11.875" style="0" customWidth="1"/>
  </cols>
  <sheetData>
    <row r="2" spans="1:4" ht="12.75">
      <c r="A2" s="832" t="s">
        <v>622</v>
      </c>
      <c r="B2" s="832"/>
      <c r="C2" s="832"/>
      <c r="D2" s="832"/>
    </row>
    <row r="4" spans="1:14" ht="18.75" customHeight="1">
      <c r="A4" s="833"/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</row>
    <row r="5" spans="1:14" ht="18" customHeight="1">
      <c r="A5" s="833" t="s">
        <v>535</v>
      </c>
      <c r="B5" s="833"/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833"/>
    </row>
    <row r="6" spans="1:14" ht="16.5" customHeight="1">
      <c r="A6" s="833" t="s">
        <v>536</v>
      </c>
      <c r="B6" s="833"/>
      <c r="C6" s="833"/>
      <c r="D6" s="833"/>
      <c r="E6" s="833"/>
      <c r="F6" s="833"/>
      <c r="G6" s="833"/>
      <c r="H6" s="833"/>
      <c r="I6" s="833"/>
      <c r="J6" s="833"/>
      <c r="K6" s="833"/>
      <c r="L6" s="833"/>
      <c r="M6" s="833"/>
      <c r="N6" s="833"/>
    </row>
    <row r="7" spans="1:14" ht="16.5" customHeight="1">
      <c r="A7" s="833" t="s">
        <v>586</v>
      </c>
      <c r="B7" s="833"/>
      <c r="C7" s="833"/>
      <c r="D7" s="833"/>
      <c r="E7" s="833"/>
      <c r="F7" s="833"/>
      <c r="G7" s="833"/>
      <c r="H7" s="833"/>
      <c r="I7" s="833"/>
      <c r="J7" s="833"/>
      <c r="K7" s="833"/>
      <c r="L7" s="833"/>
      <c r="M7" s="833"/>
      <c r="N7" s="833"/>
    </row>
    <row r="9" ht="13.5" thickBot="1">
      <c r="N9" s="464" t="s">
        <v>537</v>
      </c>
    </row>
    <row r="10" spans="1:14" ht="21" customHeight="1" thickBot="1">
      <c r="A10" s="831" t="s">
        <v>538</v>
      </c>
      <c r="B10" s="827" t="s">
        <v>0</v>
      </c>
      <c r="C10" s="828" t="s">
        <v>539</v>
      </c>
      <c r="D10" s="829" t="s">
        <v>540</v>
      </c>
      <c r="E10" s="829"/>
      <c r="F10" s="829"/>
      <c r="G10" s="829"/>
      <c r="H10" s="829"/>
      <c r="I10" s="830" t="s">
        <v>541</v>
      </c>
      <c r="J10" s="830"/>
      <c r="K10" s="830"/>
      <c r="L10" s="830"/>
      <c r="M10" s="830" t="s">
        <v>542</v>
      </c>
      <c r="N10" s="830"/>
    </row>
    <row r="11" spans="1:14" ht="63" customHeight="1" thickBot="1">
      <c r="A11" s="831"/>
      <c r="B11" s="827"/>
      <c r="C11" s="828"/>
      <c r="D11" s="466" t="s">
        <v>543</v>
      </c>
      <c r="E11" s="466" t="s">
        <v>544</v>
      </c>
      <c r="F11" s="466" t="s">
        <v>540</v>
      </c>
      <c r="G11" s="466" t="s">
        <v>545</v>
      </c>
      <c r="H11" s="466" t="s">
        <v>546</v>
      </c>
      <c r="I11" s="466" t="s">
        <v>547</v>
      </c>
      <c r="J11" s="466" t="s">
        <v>541</v>
      </c>
      <c r="K11" s="466" t="s">
        <v>564</v>
      </c>
      <c r="L11" s="466" t="s">
        <v>548</v>
      </c>
      <c r="M11" s="466" t="s">
        <v>549</v>
      </c>
      <c r="N11" s="466" t="s">
        <v>550</v>
      </c>
    </row>
    <row r="12" spans="1:14" ht="16.5" customHeight="1" thickBot="1">
      <c r="A12" s="467" t="s">
        <v>42</v>
      </c>
      <c r="B12" s="467" t="s">
        <v>551</v>
      </c>
      <c r="C12" s="468">
        <f>H12+M12+L12+N12</f>
        <v>146601546</v>
      </c>
      <c r="D12" s="468">
        <v>36233972</v>
      </c>
      <c r="E12" s="468">
        <v>8300000</v>
      </c>
      <c r="F12" s="468">
        <v>7824055</v>
      </c>
      <c r="G12" s="467"/>
      <c r="H12" s="468">
        <f>D12+E12+F12</f>
        <v>52358027</v>
      </c>
      <c r="I12" s="467"/>
      <c r="J12" s="468"/>
      <c r="K12" s="467">
        <v>8277879</v>
      </c>
      <c r="L12" s="468">
        <f>I12+J12+K12</f>
        <v>8277879</v>
      </c>
      <c r="M12" s="468">
        <v>98322035</v>
      </c>
      <c r="N12" s="468">
        <v>-12356395</v>
      </c>
    </row>
    <row r="13" spans="1:14" ht="18.75" customHeight="1" thickBot="1">
      <c r="A13" s="467" t="s">
        <v>25</v>
      </c>
      <c r="B13" s="467" t="s">
        <v>552</v>
      </c>
      <c r="C13" s="468">
        <f>H13+N13</f>
        <v>15556510</v>
      </c>
      <c r="D13" s="467"/>
      <c r="E13" s="467"/>
      <c r="F13" s="468">
        <v>3200115</v>
      </c>
      <c r="G13" s="467"/>
      <c r="H13" s="468">
        <f>D13+E13+F13</f>
        <v>3200115</v>
      </c>
      <c r="I13" s="467"/>
      <c r="J13" s="467"/>
      <c r="K13" s="467"/>
      <c r="L13" s="467"/>
      <c r="M13" s="467"/>
      <c r="N13" s="468">
        <v>12356395</v>
      </c>
    </row>
    <row r="14" spans="1:14" ht="20.25" customHeight="1" thickBot="1">
      <c r="A14" s="467" t="s">
        <v>43</v>
      </c>
      <c r="B14" s="467" t="s">
        <v>553</v>
      </c>
      <c r="C14" s="468">
        <f>C12+C13</f>
        <v>162158056</v>
      </c>
      <c r="D14" s="468">
        <f aca="true" t="shared" si="0" ref="D14:N14">D12+D13</f>
        <v>36233972</v>
      </c>
      <c r="E14" s="468">
        <f t="shared" si="0"/>
        <v>8300000</v>
      </c>
      <c r="F14" s="468">
        <f t="shared" si="0"/>
        <v>11024170</v>
      </c>
      <c r="G14" s="468">
        <f t="shared" si="0"/>
        <v>0</v>
      </c>
      <c r="H14" s="468">
        <f t="shared" si="0"/>
        <v>55558142</v>
      </c>
      <c r="I14" s="468">
        <f t="shared" si="0"/>
        <v>0</v>
      </c>
      <c r="J14" s="468">
        <f t="shared" si="0"/>
        <v>0</v>
      </c>
      <c r="K14" s="468">
        <f t="shared" si="0"/>
        <v>8277879</v>
      </c>
      <c r="L14" s="468">
        <f t="shared" si="0"/>
        <v>8277879</v>
      </c>
      <c r="M14" s="468">
        <f t="shared" si="0"/>
        <v>98322035</v>
      </c>
      <c r="N14" s="468">
        <f t="shared" si="0"/>
        <v>0</v>
      </c>
    </row>
    <row r="23" ht="12.75">
      <c r="B23" s="470"/>
    </row>
  </sheetData>
  <sheetProtection/>
  <mergeCells count="11">
    <mergeCell ref="A2:D2"/>
    <mergeCell ref="A4:N4"/>
    <mergeCell ref="A5:N5"/>
    <mergeCell ref="A6:N6"/>
    <mergeCell ref="A7:N7"/>
    <mergeCell ref="B10:B11"/>
    <mergeCell ref="C10:C11"/>
    <mergeCell ref="D10:H10"/>
    <mergeCell ref="I10:L10"/>
    <mergeCell ref="M10:N10"/>
    <mergeCell ref="A10:A11"/>
  </mergeCells>
  <printOptions/>
  <pageMargins left="0.11811023622047245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2:H14"/>
  <sheetViews>
    <sheetView tabSelected="1" zoomScalePageLayoutView="0" workbookViewId="0" topLeftCell="A1">
      <selection activeCell="A2" sqref="A2:H2"/>
    </sheetView>
  </sheetViews>
  <sheetFormatPr defaultColWidth="9.00390625" defaultRowHeight="12.75"/>
  <cols>
    <col min="1" max="1" width="2.75390625" style="0" customWidth="1"/>
    <col min="2" max="2" width="26.75390625" style="0" customWidth="1"/>
    <col min="3" max="3" width="14.25390625" style="0" customWidth="1"/>
    <col min="4" max="4" width="9.75390625" style="0" customWidth="1"/>
    <col min="5" max="5" width="12.375" style="0" customWidth="1"/>
    <col min="6" max="6" width="10.625" style="0" customWidth="1"/>
    <col min="8" max="8" width="6.375" style="0" customWidth="1"/>
  </cols>
  <sheetData>
    <row r="2" spans="1:8" ht="12.75">
      <c r="A2" s="832" t="s">
        <v>623</v>
      </c>
      <c r="B2" s="832"/>
      <c r="C2" s="832"/>
      <c r="D2" s="832"/>
      <c r="E2" s="832"/>
      <c r="F2" s="832"/>
      <c r="G2" s="832"/>
      <c r="H2" s="832"/>
    </row>
    <row r="5" spans="1:8" ht="20.25" customHeight="1">
      <c r="A5" s="833"/>
      <c r="B5" s="833"/>
      <c r="C5" s="833"/>
      <c r="D5" s="833"/>
      <c r="E5" s="833"/>
      <c r="F5" s="833"/>
      <c r="G5" s="833"/>
      <c r="H5" s="833"/>
    </row>
    <row r="6" spans="1:8" ht="17.25" customHeight="1">
      <c r="A6" s="833" t="s">
        <v>39</v>
      </c>
      <c r="B6" s="833"/>
      <c r="C6" s="833"/>
      <c r="D6" s="833"/>
      <c r="E6" s="833"/>
      <c r="F6" s="833"/>
      <c r="G6" s="833"/>
      <c r="H6" s="833"/>
    </row>
    <row r="7" spans="1:8" ht="25.5" customHeight="1">
      <c r="A7" s="837" t="s">
        <v>554</v>
      </c>
      <c r="B7" s="837"/>
      <c r="C7" s="837"/>
      <c r="D7" s="837"/>
      <c r="E7" s="837"/>
      <c r="F7" s="837"/>
      <c r="G7" s="837"/>
      <c r="H7" s="837"/>
    </row>
    <row r="8" spans="1:8" ht="16.5" customHeight="1">
      <c r="A8" s="833" t="s">
        <v>586</v>
      </c>
      <c r="B8" s="833"/>
      <c r="C8" s="833"/>
      <c r="D8" s="833"/>
      <c r="E8" s="833"/>
      <c r="F8" s="833"/>
      <c r="G8" s="833"/>
      <c r="H8" s="833"/>
    </row>
    <row r="10" spans="7:8" ht="13.5" thickBot="1">
      <c r="G10" s="835" t="s">
        <v>555</v>
      </c>
      <c r="H10" s="835"/>
    </row>
    <row r="11" spans="1:8" ht="71.25" customHeight="1" thickBot="1">
      <c r="A11" s="834" t="s">
        <v>538</v>
      </c>
      <c r="B11" s="827" t="s">
        <v>563</v>
      </c>
      <c r="C11" s="828" t="s">
        <v>556</v>
      </c>
      <c r="D11" s="834"/>
      <c r="E11" s="827" t="s">
        <v>557</v>
      </c>
      <c r="F11" s="830"/>
      <c r="G11" s="827" t="s">
        <v>558</v>
      </c>
      <c r="H11" s="827"/>
    </row>
    <row r="12" spans="1:8" ht="24.75" customHeight="1" thickBot="1">
      <c r="A12" s="834"/>
      <c r="B12" s="830"/>
      <c r="C12" s="465" t="s">
        <v>559</v>
      </c>
      <c r="D12" s="466" t="s">
        <v>560</v>
      </c>
      <c r="E12" s="467" t="s">
        <v>559</v>
      </c>
      <c r="F12" s="466" t="s">
        <v>561</v>
      </c>
      <c r="G12" s="830"/>
      <c r="H12" s="830"/>
    </row>
    <row r="13" spans="1:8" ht="18" customHeight="1" thickBot="1">
      <c r="A13" s="467" t="s">
        <v>42</v>
      </c>
      <c r="B13" s="467" t="s">
        <v>562</v>
      </c>
      <c r="C13" s="468">
        <v>6871675</v>
      </c>
      <c r="D13" s="469">
        <f>C13/G13*100</f>
        <v>55.612296304868856</v>
      </c>
      <c r="E13" s="468">
        <v>5484720</v>
      </c>
      <c r="F13" s="469">
        <f>E13/G13*100</f>
        <v>44.387703695131144</v>
      </c>
      <c r="G13" s="836">
        <f>C13+E13</f>
        <v>12356395</v>
      </c>
      <c r="H13" s="830"/>
    </row>
    <row r="14" spans="1:8" ht="23.25" customHeight="1" thickBot="1">
      <c r="A14" s="467" t="s">
        <v>25</v>
      </c>
      <c r="B14" s="467" t="s">
        <v>2</v>
      </c>
      <c r="C14" s="468">
        <f>C13</f>
        <v>6871675</v>
      </c>
      <c r="D14" s="469">
        <f>C14/G14*100</f>
        <v>55.612296304868856</v>
      </c>
      <c r="E14" s="468">
        <f>E13</f>
        <v>5484720</v>
      </c>
      <c r="F14" s="469">
        <f>E14/G14*100</f>
        <v>44.387703695131144</v>
      </c>
      <c r="G14" s="836">
        <f>C14+E14</f>
        <v>12356395</v>
      </c>
      <c r="H14" s="830"/>
    </row>
  </sheetData>
  <sheetProtection/>
  <mergeCells count="14">
    <mergeCell ref="G13:H13"/>
    <mergeCell ref="G14:H14"/>
    <mergeCell ref="A2:H2"/>
    <mergeCell ref="A5:H5"/>
    <mergeCell ref="A6:H6"/>
    <mergeCell ref="A7:H7"/>
    <mergeCell ref="A8:H8"/>
    <mergeCell ref="A11:A12"/>
    <mergeCell ref="C11:D11"/>
    <mergeCell ref="B11:B12"/>
    <mergeCell ref="E11:F11"/>
    <mergeCell ref="G11:H11"/>
    <mergeCell ref="G10:H10"/>
    <mergeCell ref="G12:H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9"/>
  <sheetViews>
    <sheetView zoomScalePageLayoutView="0" workbookViewId="0" topLeftCell="A1">
      <selection activeCell="B3" sqref="B3:F3"/>
    </sheetView>
  </sheetViews>
  <sheetFormatPr defaultColWidth="9.00390625" defaultRowHeight="12.75"/>
  <cols>
    <col min="1" max="1" width="5.625" style="4" customWidth="1"/>
    <col min="2" max="2" width="64.625" style="4" customWidth="1"/>
    <col min="3" max="3" width="14.625" style="59" customWidth="1"/>
    <col min="4" max="4" width="4.875" style="4" customWidth="1"/>
    <col min="5" max="5" width="16.375" style="59" customWidth="1"/>
    <col min="6" max="6" width="5.25390625" style="4" customWidth="1"/>
    <col min="7" max="7" width="9.125" style="4" customWidth="1"/>
    <col min="8" max="8" width="14.25390625" style="4" bestFit="1" customWidth="1"/>
    <col min="9" max="16384" width="9.125" style="4" customWidth="1"/>
  </cols>
  <sheetData>
    <row r="1" spans="2:6" ht="15">
      <c r="B1" s="501" t="s">
        <v>606</v>
      </c>
      <c r="C1" s="501"/>
      <c r="D1" s="501"/>
      <c r="E1" s="501"/>
      <c r="F1" s="501"/>
    </row>
    <row r="2" spans="2:6" ht="15">
      <c r="B2" s="106"/>
      <c r="C2" s="106"/>
      <c r="D2" s="106"/>
      <c r="E2" s="106"/>
      <c r="F2" s="106"/>
    </row>
    <row r="3" spans="2:6" s="56" customFormat="1" ht="15.75">
      <c r="B3" s="504"/>
      <c r="C3" s="504"/>
      <c r="D3" s="504"/>
      <c r="E3" s="504"/>
      <c r="F3" s="504"/>
    </row>
    <row r="4" spans="2:6" s="56" customFormat="1" ht="15.75">
      <c r="B4" s="503" t="s">
        <v>39</v>
      </c>
      <c r="C4" s="503"/>
      <c r="D4" s="503"/>
      <c r="E4" s="503"/>
      <c r="F4" s="503"/>
    </row>
    <row r="5" spans="2:6" ht="15.75">
      <c r="B5" s="503" t="s">
        <v>152</v>
      </c>
      <c r="C5" s="503"/>
      <c r="D5" s="503"/>
      <c r="E5" s="503"/>
      <c r="F5" s="503"/>
    </row>
    <row r="6" spans="2:6" ht="12.75" customHeight="1">
      <c r="B6" s="502" t="s">
        <v>585</v>
      </c>
      <c r="C6" s="502"/>
      <c r="D6" s="502"/>
      <c r="E6" s="502"/>
      <c r="F6" s="502"/>
    </row>
    <row r="7" spans="2:6" s="1" customFormat="1" ht="15">
      <c r="B7" s="4"/>
      <c r="C7" s="59"/>
      <c r="D7" s="4"/>
      <c r="E7" s="53"/>
      <c r="F7" s="4"/>
    </row>
    <row r="8" spans="1:5" s="1" customFormat="1" ht="18.75">
      <c r="A8" s="378" t="s">
        <v>42</v>
      </c>
      <c r="B8" s="123" t="s">
        <v>153</v>
      </c>
      <c r="C8" s="60"/>
      <c r="E8" s="124"/>
    </row>
    <row r="9" spans="1:6" ht="15.75">
      <c r="A9" s="378" t="s">
        <v>480</v>
      </c>
      <c r="B9" s="7" t="s">
        <v>154</v>
      </c>
      <c r="C9" s="60"/>
      <c r="D9" s="1"/>
      <c r="E9" s="125">
        <f>C10+C11</f>
        <v>36233972</v>
      </c>
      <c r="F9" s="1" t="s">
        <v>462</v>
      </c>
    </row>
    <row r="10" spans="1:8" ht="15.75">
      <c r="A10" s="378" t="s">
        <v>481</v>
      </c>
      <c r="B10" s="126" t="s">
        <v>155</v>
      </c>
      <c r="C10" s="59">
        <f>'2.mell - bevétel'!H48</f>
        <v>36233972</v>
      </c>
      <c r="D10" s="4" t="s">
        <v>6</v>
      </c>
      <c r="E10" s="53"/>
      <c r="H10" s="100"/>
    </row>
    <row r="11" spans="1:6" s="1" customFormat="1" ht="15.75" customHeight="1">
      <c r="A11" s="378" t="s">
        <v>482</v>
      </c>
      <c r="B11" s="126" t="s">
        <v>156</v>
      </c>
      <c r="C11" s="59"/>
      <c r="D11" s="4" t="s">
        <v>6</v>
      </c>
      <c r="E11" s="53"/>
      <c r="F11" s="4"/>
    </row>
    <row r="12" spans="1:5" s="1" customFormat="1" ht="15.75">
      <c r="A12" s="378"/>
      <c r="B12" s="7"/>
      <c r="C12" s="60"/>
      <c r="E12" s="125"/>
    </row>
    <row r="13" spans="1:6" s="1" customFormat="1" ht="15.75">
      <c r="A13" s="378" t="s">
        <v>483</v>
      </c>
      <c r="B13" s="7" t="s">
        <v>157</v>
      </c>
      <c r="C13" s="60"/>
      <c r="E13" s="125"/>
      <c r="F13" s="1" t="s">
        <v>462</v>
      </c>
    </row>
    <row r="14" spans="1:5" s="1" customFormat="1" ht="15.75">
      <c r="A14" s="378"/>
      <c r="B14" s="7"/>
      <c r="C14" s="60"/>
      <c r="E14" s="125"/>
    </row>
    <row r="15" spans="1:6" s="1" customFormat="1" ht="15.75">
      <c r="A15" s="378" t="s">
        <v>484</v>
      </c>
      <c r="B15" s="7" t="s">
        <v>111</v>
      </c>
      <c r="C15" s="60"/>
      <c r="E15" s="125">
        <f>'2.mell - bevétel'!H70</f>
        <v>8300000</v>
      </c>
      <c r="F15" s="1" t="s">
        <v>462</v>
      </c>
    </row>
    <row r="16" spans="1:8" s="1" customFormat="1" ht="15.75">
      <c r="A16" s="378"/>
      <c r="B16" s="7"/>
      <c r="C16" s="60"/>
      <c r="E16" s="125"/>
      <c r="H16" s="101"/>
    </row>
    <row r="17" spans="1:6" s="1" customFormat="1" ht="15.75">
      <c r="A17" s="378" t="s">
        <v>485</v>
      </c>
      <c r="B17" s="7" t="s">
        <v>54</v>
      </c>
      <c r="C17" s="60"/>
      <c r="E17" s="125">
        <f>'2.mell - bevétel'!H92</f>
        <v>11024170</v>
      </c>
      <c r="F17" s="1" t="s">
        <v>462</v>
      </c>
    </row>
    <row r="18" spans="1:5" s="1" customFormat="1" ht="15.75">
      <c r="A18" s="378"/>
      <c r="B18" s="8"/>
      <c r="C18" s="61"/>
      <c r="E18" s="125"/>
    </row>
    <row r="19" spans="1:6" s="1" customFormat="1" ht="15.75">
      <c r="A19" s="378" t="s">
        <v>486</v>
      </c>
      <c r="B19" s="7" t="s">
        <v>158</v>
      </c>
      <c r="C19" s="60"/>
      <c r="E19" s="125">
        <f>'2.mell - bevétel'!H51</f>
        <v>0</v>
      </c>
      <c r="F19" s="1" t="s">
        <v>462</v>
      </c>
    </row>
    <row r="20" spans="1:5" s="1" customFormat="1" ht="15.75">
      <c r="A20" s="378"/>
      <c r="B20" s="8"/>
      <c r="C20" s="60"/>
      <c r="E20" s="125"/>
    </row>
    <row r="21" spans="1:6" s="1" customFormat="1" ht="15.75">
      <c r="A21" s="378" t="s">
        <v>487</v>
      </c>
      <c r="B21" s="7" t="s">
        <v>159</v>
      </c>
      <c r="E21" s="125">
        <f>C22+C23</f>
        <v>0</v>
      </c>
      <c r="F21" s="1" t="s">
        <v>462</v>
      </c>
    </row>
    <row r="22" spans="1:8" s="6" customFormat="1" ht="32.25">
      <c r="A22" s="379" t="s">
        <v>488</v>
      </c>
      <c r="B22" s="126" t="s">
        <v>160</v>
      </c>
      <c r="C22" s="61">
        <v>0</v>
      </c>
      <c r="D22" s="1" t="s">
        <v>6</v>
      </c>
      <c r="E22" s="125"/>
      <c r="F22" s="1"/>
      <c r="G22" s="1"/>
      <c r="H22" s="102"/>
    </row>
    <row r="23" spans="1:8" ht="18.75">
      <c r="A23" s="378"/>
      <c r="B23" s="56" t="s">
        <v>161</v>
      </c>
      <c r="C23" s="60">
        <v>0</v>
      </c>
      <c r="D23" s="1" t="s">
        <v>6</v>
      </c>
      <c r="E23" s="125"/>
      <c r="F23" s="1"/>
      <c r="G23" s="6"/>
      <c r="H23" s="103"/>
    </row>
    <row r="24" spans="1:8" s="1" customFormat="1" ht="18.75">
      <c r="A24" s="378"/>
      <c r="B24" s="70"/>
      <c r="C24" s="59"/>
      <c r="D24" s="4"/>
      <c r="E24" s="127"/>
      <c r="F24" s="6"/>
      <c r="H24" s="104"/>
    </row>
    <row r="25" spans="1:6" s="1" customFormat="1" ht="15.75">
      <c r="A25" s="378" t="s">
        <v>489</v>
      </c>
      <c r="B25" s="7" t="s">
        <v>139</v>
      </c>
      <c r="C25" s="60"/>
      <c r="E25" s="125">
        <f>C26+C27</f>
        <v>8277879</v>
      </c>
      <c r="F25" s="1" t="s">
        <v>462</v>
      </c>
    </row>
    <row r="26" spans="1:5" s="1" customFormat="1" ht="31.5">
      <c r="A26" s="378" t="s">
        <v>490</v>
      </c>
      <c r="B26" s="126" t="s">
        <v>162</v>
      </c>
      <c r="C26" s="60">
        <f>'2.mell - bevétel'!H100+'2.mell - bevétel'!H99</f>
        <v>2277879</v>
      </c>
      <c r="D26" s="1" t="s">
        <v>6</v>
      </c>
      <c r="E26" s="125"/>
    </row>
    <row r="27" spans="1:5" s="1" customFormat="1" ht="15.75">
      <c r="A27" s="378" t="s">
        <v>491</v>
      </c>
      <c r="B27" s="56" t="s">
        <v>163</v>
      </c>
      <c r="C27" s="60">
        <f>'2.mell - bevétel'!H101</f>
        <v>6000000</v>
      </c>
      <c r="D27" s="1" t="s">
        <v>6</v>
      </c>
      <c r="E27" s="125"/>
    </row>
    <row r="28" spans="1:5" s="1" customFormat="1" ht="15.75">
      <c r="A28" s="378"/>
      <c r="B28" s="70"/>
      <c r="E28" s="124"/>
    </row>
    <row r="29" spans="1:6" s="1" customFormat="1" ht="15.75">
      <c r="A29" s="378" t="s">
        <v>25</v>
      </c>
      <c r="B29" s="7" t="s">
        <v>44</v>
      </c>
      <c r="E29" s="128">
        <f>SUM(E9:E28)</f>
        <v>63836021</v>
      </c>
      <c r="F29" s="1" t="s">
        <v>462</v>
      </c>
    </row>
    <row r="30" spans="1:5" s="1" customFormat="1" ht="15.75">
      <c r="A30" s="378"/>
      <c r="B30" s="56"/>
      <c r="E30" s="124"/>
    </row>
    <row r="31" spans="1:5" s="1" customFormat="1" ht="18.75">
      <c r="A31" s="378" t="s">
        <v>43</v>
      </c>
      <c r="B31" s="123" t="s">
        <v>164</v>
      </c>
      <c r="E31" s="124"/>
    </row>
    <row r="32" spans="1:6" s="1" customFormat="1" ht="15.75">
      <c r="A32" s="378" t="s">
        <v>492</v>
      </c>
      <c r="B32" s="9" t="s">
        <v>16</v>
      </c>
      <c r="C32" s="60"/>
      <c r="E32" s="125">
        <f>C34+C35+C36+C37+C38+C39</f>
        <v>60007370</v>
      </c>
      <c r="F32" s="1" t="s">
        <v>462</v>
      </c>
    </row>
    <row r="33" spans="1:5" s="1" customFormat="1" ht="15.75">
      <c r="A33" s="378"/>
      <c r="B33" s="8" t="s">
        <v>15</v>
      </c>
      <c r="C33" s="60"/>
      <c r="E33" s="125"/>
    </row>
    <row r="34" spans="1:5" s="1" customFormat="1" ht="15.75">
      <c r="A34" s="378" t="s">
        <v>493</v>
      </c>
      <c r="B34" s="56" t="s">
        <v>165</v>
      </c>
      <c r="C34" s="60">
        <f>'4.mell. - kiadás'!E46</f>
        <v>24899963</v>
      </c>
      <c r="D34" s="1" t="s">
        <v>462</v>
      </c>
      <c r="E34" s="125"/>
    </row>
    <row r="35" spans="1:5" s="1" customFormat="1" ht="15.75">
      <c r="A35" s="378" t="s">
        <v>494</v>
      </c>
      <c r="B35" s="56" t="s">
        <v>166</v>
      </c>
      <c r="C35" s="60">
        <f>'4.mell. - kiadás'!F46</f>
        <v>4383764</v>
      </c>
      <c r="D35" s="1" t="s">
        <v>462</v>
      </c>
      <c r="E35" s="125"/>
    </row>
    <row r="36" spans="1:5" s="1" customFormat="1" ht="15.75">
      <c r="A36" s="378" t="s">
        <v>495</v>
      </c>
      <c r="B36" s="56" t="s">
        <v>167</v>
      </c>
      <c r="C36" s="60">
        <f>'4.mell. - kiadás'!G46</f>
        <v>25453443</v>
      </c>
      <c r="D36" s="1" t="s">
        <v>462</v>
      </c>
      <c r="E36" s="125"/>
    </row>
    <row r="37" spans="1:5" s="1" customFormat="1" ht="15.75">
      <c r="A37" s="378" t="s">
        <v>496</v>
      </c>
      <c r="B37" s="129" t="s">
        <v>168</v>
      </c>
      <c r="C37" s="60">
        <f>'4.mell. - kiadás'!H46</f>
        <v>2700000</v>
      </c>
      <c r="D37" s="1" t="s">
        <v>462</v>
      </c>
      <c r="E37" s="125"/>
    </row>
    <row r="38" spans="1:5" s="1" customFormat="1" ht="15.75">
      <c r="A38" s="378" t="s">
        <v>503</v>
      </c>
      <c r="B38" s="56" t="s">
        <v>76</v>
      </c>
      <c r="C38" s="60">
        <f>'4.mell. - kiadás'!I46-C39</f>
        <v>2570200</v>
      </c>
      <c r="D38" s="1" t="s">
        <v>462</v>
      </c>
      <c r="E38" s="125"/>
    </row>
    <row r="39" spans="1:5" s="1" customFormat="1" ht="15.75">
      <c r="A39" s="378" t="s">
        <v>513</v>
      </c>
      <c r="B39" s="56" t="s">
        <v>512</v>
      </c>
      <c r="C39" s="61"/>
      <c r="D39" s="1" t="s">
        <v>1</v>
      </c>
      <c r="E39" s="125"/>
    </row>
    <row r="40" spans="1:6" s="1" customFormat="1" ht="15.75">
      <c r="A40" s="378" t="s">
        <v>497</v>
      </c>
      <c r="B40" s="9" t="s">
        <v>17</v>
      </c>
      <c r="C40" s="60"/>
      <c r="E40" s="130">
        <f>C42+C43+C44</f>
        <v>100701327</v>
      </c>
      <c r="F40" s="1" t="s">
        <v>462</v>
      </c>
    </row>
    <row r="41" spans="1:5" s="1" customFormat="1" ht="15.75">
      <c r="A41" s="378"/>
      <c r="B41" s="8" t="s">
        <v>15</v>
      </c>
      <c r="C41" s="60"/>
      <c r="E41" s="125"/>
    </row>
    <row r="42" spans="1:5" s="1" customFormat="1" ht="15.75">
      <c r="A42" s="378" t="s">
        <v>504</v>
      </c>
      <c r="B42" s="56" t="s">
        <v>169</v>
      </c>
      <c r="C42" s="61">
        <f>'4.mell. - kiadás'!K46</f>
        <v>10023368</v>
      </c>
      <c r="D42" s="1" t="s">
        <v>462</v>
      </c>
      <c r="E42" s="125"/>
    </row>
    <row r="43" spans="1:5" s="1" customFormat="1" ht="15.75">
      <c r="A43" s="378" t="s">
        <v>498</v>
      </c>
      <c r="B43" s="56" t="s">
        <v>170</v>
      </c>
      <c r="C43" s="61">
        <f>'4.mell. - kiadás'!L46</f>
        <v>87074386</v>
      </c>
      <c r="D43" s="1" t="s">
        <v>462</v>
      </c>
      <c r="E43" s="125"/>
    </row>
    <row r="44" spans="1:7" ht="15.75">
      <c r="A44" s="378" t="s">
        <v>499</v>
      </c>
      <c r="B44" s="56" t="s">
        <v>77</v>
      </c>
      <c r="C44" s="61">
        <f>'4.mell. - kiadás'!M46</f>
        <v>3603573</v>
      </c>
      <c r="D44" s="1" t="s">
        <v>462</v>
      </c>
      <c r="E44" s="125"/>
      <c r="F44" s="1"/>
      <c r="G44" s="1"/>
    </row>
    <row r="45" s="1" customFormat="1" ht="7.5" customHeight="1">
      <c r="E45" s="125"/>
    </row>
    <row r="46" spans="1:6" s="1" customFormat="1" ht="15.75">
      <c r="A46" s="378" t="s">
        <v>99</v>
      </c>
      <c r="B46" s="18" t="s">
        <v>171</v>
      </c>
      <c r="C46" s="61"/>
      <c r="E46" s="125">
        <f>C47+C48+C49</f>
        <v>1449359</v>
      </c>
      <c r="F46" s="1" t="s">
        <v>462</v>
      </c>
    </row>
    <row r="47" spans="1:5" s="1" customFormat="1" ht="15.75">
      <c r="A47" s="378" t="s">
        <v>500</v>
      </c>
      <c r="B47" s="56" t="s">
        <v>172</v>
      </c>
      <c r="C47" s="60"/>
      <c r="D47" s="1" t="s">
        <v>462</v>
      </c>
      <c r="E47" s="125"/>
    </row>
    <row r="48" spans="1:7" s="6" customFormat="1" ht="18.75">
      <c r="A48" s="380" t="s">
        <v>501</v>
      </c>
      <c r="B48" s="56" t="s">
        <v>173</v>
      </c>
      <c r="C48" s="60"/>
      <c r="D48" s="1" t="s">
        <v>462</v>
      </c>
      <c r="E48" s="125"/>
      <c r="F48" s="1"/>
      <c r="G48" s="4"/>
    </row>
    <row r="49" spans="1:7" ht="15.75">
      <c r="A49" s="378" t="s">
        <v>502</v>
      </c>
      <c r="B49" s="56" t="s">
        <v>452</v>
      </c>
      <c r="C49" s="61">
        <f>'4.mell. - kiadás'!O17</f>
        <v>1449359</v>
      </c>
      <c r="D49" s="1" t="s">
        <v>462</v>
      </c>
      <c r="E49" s="125"/>
      <c r="F49" s="1"/>
      <c r="G49" s="1"/>
    </row>
    <row r="50" spans="1:7" ht="15.75">
      <c r="A50" s="378" t="s">
        <v>100</v>
      </c>
      <c r="B50" s="7" t="s">
        <v>46</v>
      </c>
      <c r="C50" s="61"/>
      <c r="D50" s="1"/>
      <c r="E50" s="53">
        <f>SUM(E32:E49)</f>
        <v>162158056</v>
      </c>
      <c r="F50" s="4" t="s">
        <v>462</v>
      </c>
      <c r="G50" s="1"/>
    </row>
    <row r="51" spans="1:7" ht="15.75">
      <c r="A51" s="378"/>
      <c r="B51" s="56"/>
      <c r="C51" s="60"/>
      <c r="D51" s="1"/>
      <c r="E51" s="130"/>
      <c r="F51" s="1"/>
      <c r="G51" s="1"/>
    </row>
    <row r="52" spans="1:7" ht="18.75">
      <c r="A52" s="378" t="s">
        <v>106</v>
      </c>
      <c r="B52" s="7" t="s">
        <v>47</v>
      </c>
      <c r="C52" s="60"/>
      <c r="D52" s="1"/>
      <c r="E52" s="53">
        <f>E29-E50</f>
        <v>-98322035</v>
      </c>
      <c r="F52" s="4" t="s">
        <v>462</v>
      </c>
      <c r="G52" s="6"/>
    </row>
    <row r="53" spans="1:5" ht="15.75">
      <c r="A53" s="378"/>
      <c r="B53" s="56"/>
      <c r="C53" s="60"/>
      <c r="D53" s="1"/>
      <c r="E53" s="53"/>
    </row>
    <row r="54" spans="1:6" ht="32.25">
      <c r="A54" s="378" t="s">
        <v>238</v>
      </c>
      <c r="B54" s="118" t="s">
        <v>604</v>
      </c>
      <c r="C54" s="62"/>
      <c r="D54" s="6"/>
      <c r="E54" s="53">
        <f>'2.mell - bevétel'!H111-E55</f>
        <v>96872676</v>
      </c>
      <c r="F54" s="4" t="s">
        <v>462</v>
      </c>
    </row>
    <row r="55" spans="1:7" s="1" customFormat="1" ht="15.75">
      <c r="A55" s="378" t="s">
        <v>240</v>
      </c>
      <c r="B55" s="21" t="s">
        <v>605</v>
      </c>
      <c r="C55" s="59"/>
      <c r="D55" s="4"/>
      <c r="E55" s="53">
        <f>'4.mell. - kiadás'!O17</f>
        <v>1449359</v>
      </c>
      <c r="F55" s="4" t="s">
        <v>1</v>
      </c>
      <c r="G55" s="4"/>
    </row>
    <row r="56" spans="1:6" ht="15.75">
      <c r="A56" s="381" t="s">
        <v>242</v>
      </c>
      <c r="B56" s="7" t="s">
        <v>506</v>
      </c>
      <c r="E56" s="53">
        <f>E52+E54+E55</f>
        <v>0</v>
      </c>
      <c r="F56" s="4" t="s">
        <v>462</v>
      </c>
    </row>
    <row r="57" spans="2:5" s="1" customFormat="1" ht="10.5" customHeight="1">
      <c r="B57" s="5"/>
      <c r="C57" s="60"/>
      <c r="E57" s="24"/>
    </row>
    <row r="58" spans="2:6" ht="15.75">
      <c r="B58" s="5"/>
      <c r="C58" s="60"/>
      <c r="D58" s="1"/>
      <c r="E58" s="24"/>
      <c r="F58" s="7"/>
    </row>
    <row r="59" spans="2:6" ht="15.75">
      <c r="B59" s="7"/>
      <c r="E59" s="25"/>
      <c r="F59" s="7"/>
    </row>
  </sheetData>
  <sheetProtection/>
  <mergeCells count="5">
    <mergeCell ref="B1:F1"/>
    <mergeCell ref="B6:F6"/>
    <mergeCell ref="B4:F4"/>
    <mergeCell ref="B3:F3"/>
    <mergeCell ref="B5:F5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8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25390625" style="69" customWidth="1"/>
    <col min="2" max="5" width="3.125" style="67" customWidth="1"/>
    <col min="6" max="6" width="54.25390625" style="8" customWidth="1"/>
    <col min="7" max="7" width="13.25390625" style="8" customWidth="1"/>
    <col min="8" max="8" width="12.625" style="8" customWidth="1"/>
    <col min="9" max="9" width="9.375" style="8" customWidth="1"/>
    <col min="10" max="10" width="9.125" style="8" customWidth="1"/>
    <col min="11" max="11" width="10.125" style="8" bestFit="1" customWidth="1"/>
    <col min="12" max="16384" width="9.125" style="8" customWidth="1"/>
  </cols>
  <sheetData>
    <row r="1" spans="1:9" ht="15.75">
      <c r="A1" s="501" t="s">
        <v>607</v>
      </c>
      <c r="B1" s="501"/>
      <c r="C1" s="501"/>
      <c r="D1" s="501"/>
      <c r="E1" s="501"/>
      <c r="F1" s="501"/>
      <c r="G1" s="501"/>
      <c r="H1" s="501"/>
      <c r="I1" s="501"/>
    </row>
    <row r="2" spans="1:9" s="9" customFormat="1" ht="15.75">
      <c r="A2" s="524" t="s">
        <v>4</v>
      </c>
      <c r="B2" s="524"/>
      <c r="C2" s="524"/>
      <c r="D2" s="524"/>
      <c r="E2" s="524"/>
      <c r="F2" s="524"/>
      <c r="G2" s="524"/>
      <c r="H2" s="524"/>
      <c r="I2" s="524"/>
    </row>
    <row r="3" spans="1:9" s="9" customFormat="1" ht="15.75">
      <c r="A3" s="524" t="s">
        <v>36</v>
      </c>
      <c r="B3" s="524"/>
      <c r="C3" s="524"/>
      <c r="D3" s="524"/>
      <c r="E3" s="524"/>
      <c r="F3" s="524"/>
      <c r="G3" s="524"/>
      <c r="H3" s="524"/>
      <c r="I3" s="524"/>
    </row>
    <row r="4" spans="1:9" ht="15.75">
      <c r="A4" s="524" t="s">
        <v>586</v>
      </c>
      <c r="B4" s="524"/>
      <c r="C4" s="524"/>
      <c r="D4" s="524"/>
      <c r="E4" s="524"/>
      <c r="F4" s="524"/>
      <c r="G4" s="524"/>
      <c r="H4" s="524"/>
      <c r="I4" s="524"/>
    </row>
    <row r="5" ht="15.75" hidden="1"/>
    <row r="6" spans="1:9" ht="15.75">
      <c r="A6" s="514"/>
      <c r="B6" s="514"/>
      <c r="C6" s="514"/>
      <c r="D6" s="514"/>
      <c r="E6" s="514"/>
      <c r="F6" s="514"/>
      <c r="G6" s="514"/>
      <c r="H6" s="514"/>
      <c r="I6" s="514"/>
    </row>
    <row r="7" spans="8:9" ht="16.5" thickBot="1">
      <c r="H7" s="71"/>
      <c r="I7" s="72" t="s">
        <v>460</v>
      </c>
    </row>
    <row r="8" spans="1:9" ht="15.75">
      <c r="A8" s="515" t="s">
        <v>20</v>
      </c>
      <c r="B8" s="516"/>
      <c r="C8" s="516"/>
      <c r="D8" s="516"/>
      <c r="E8" s="516"/>
      <c r="F8" s="517"/>
      <c r="G8" s="73" t="s">
        <v>18</v>
      </c>
      <c r="H8" s="73" t="s">
        <v>18</v>
      </c>
      <c r="I8" s="73" t="s">
        <v>19</v>
      </c>
    </row>
    <row r="9" spans="1:9" ht="15.75">
      <c r="A9" s="518"/>
      <c r="B9" s="519"/>
      <c r="C9" s="519"/>
      <c r="D9" s="519"/>
      <c r="E9" s="519"/>
      <c r="F9" s="520"/>
      <c r="G9" s="74" t="s">
        <v>9</v>
      </c>
      <c r="H9" s="74" t="s">
        <v>9</v>
      </c>
      <c r="I9" s="74"/>
    </row>
    <row r="10" spans="1:9" ht="16.5" thickBot="1">
      <c r="A10" s="521"/>
      <c r="B10" s="522"/>
      <c r="C10" s="522"/>
      <c r="D10" s="522"/>
      <c r="E10" s="522"/>
      <c r="F10" s="523"/>
      <c r="G10" s="75" t="s">
        <v>570</v>
      </c>
      <c r="H10" s="75" t="s">
        <v>586</v>
      </c>
      <c r="I10" s="75" t="s">
        <v>21</v>
      </c>
    </row>
    <row r="11" spans="1:9" ht="6.75" customHeight="1">
      <c r="A11" s="325"/>
      <c r="B11" s="325"/>
      <c r="C11" s="325"/>
      <c r="D11" s="325"/>
      <c r="E11" s="325"/>
      <c r="F11" s="325"/>
      <c r="G11" s="325"/>
      <c r="H11" s="325"/>
      <c r="I11" s="325"/>
    </row>
    <row r="12" spans="1:9" ht="15.75">
      <c r="A12" s="18" t="s">
        <v>48</v>
      </c>
      <c r="B12" s="507" t="s">
        <v>81</v>
      </c>
      <c r="C12" s="507"/>
      <c r="D12" s="507"/>
      <c r="E12" s="507"/>
      <c r="F12" s="507"/>
      <c r="G12" s="108"/>
      <c r="H12" s="109"/>
      <c r="I12" s="108"/>
    </row>
    <row r="13" spans="1:9" ht="15.75">
      <c r="A13" s="18"/>
      <c r="B13" s="18" t="s">
        <v>48</v>
      </c>
      <c r="C13" s="18" t="s">
        <v>82</v>
      </c>
      <c r="D13" s="18"/>
      <c r="E13" s="18"/>
      <c r="F13" s="18"/>
      <c r="G13" s="51"/>
      <c r="H13" s="51"/>
      <c r="I13" s="18"/>
    </row>
    <row r="14" spans="1:9" ht="18" customHeight="1">
      <c r="A14" s="18"/>
      <c r="B14" s="18"/>
      <c r="C14" s="18" t="s">
        <v>42</v>
      </c>
      <c r="D14" s="507" t="s">
        <v>83</v>
      </c>
      <c r="E14" s="507"/>
      <c r="F14" s="507"/>
      <c r="G14" s="109"/>
      <c r="H14" s="109"/>
      <c r="I14" s="108"/>
    </row>
    <row r="15" spans="1:9" ht="21.75" customHeight="1">
      <c r="A15" s="18"/>
      <c r="B15" s="18"/>
      <c r="C15" s="18"/>
      <c r="D15" s="18" t="s">
        <v>42</v>
      </c>
      <c r="E15" s="507" t="s">
        <v>84</v>
      </c>
      <c r="F15" s="507"/>
      <c r="G15" s="109"/>
      <c r="H15" s="109"/>
      <c r="I15" s="108"/>
    </row>
    <row r="16" spans="1:9" ht="15.75">
      <c r="A16" s="21"/>
      <c r="B16" s="21"/>
      <c r="C16" s="21"/>
      <c r="D16" s="21"/>
      <c r="E16" s="21" t="s">
        <v>55</v>
      </c>
      <c r="F16" s="21" t="s">
        <v>49</v>
      </c>
      <c r="G16" s="50"/>
      <c r="H16" s="50"/>
      <c r="I16" s="110"/>
    </row>
    <row r="17" spans="1:9" ht="17.25" customHeight="1">
      <c r="A17" s="21"/>
      <c r="B17" s="21"/>
      <c r="C17" s="21"/>
      <c r="D17" s="21"/>
      <c r="E17" s="21"/>
      <c r="F17" s="21" t="s">
        <v>85</v>
      </c>
      <c r="G17" s="50"/>
      <c r="I17" s="110"/>
    </row>
    <row r="18" spans="1:9" ht="17.25" customHeight="1">
      <c r="A18" s="21"/>
      <c r="B18" s="21"/>
      <c r="C18" s="21"/>
      <c r="D18" s="21"/>
      <c r="E18" s="21" t="s">
        <v>56</v>
      </c>
      <c r="F18" s="111" t="s">
        <v>50</v>
      </c>
      <c r="G18" s="112"/>
      <c r="I18" s="110"/>
    </row>
    <row r="19" spans="1:9" ht="36.75" customHeight="1">
      <c r="A19" s="21"/>
      <c r="B19" s="21"/>
      <c r="C19" s="21"/>
      <c r="D19" s="21"/>
      <c r="E19" s="21" t="s">
        <v>86</v>
      </c>
      <c r="F19" s="111" t="s">
        <v>87</v>
      </c>
      <c r="G19" s="341">
        <f>2553350</f>
        <v>2553350</v>
      </c>
      <c r="H19" s="341">
        <v>2885400</v>
      </c>
      <c r="I19" s="110">
        <f>H19/G19*100</f>
        <v>113.00448430493273</v>
      </c>
    </row>
    <row r="20" spans="1:9" ht="15.75">
      <c r="A20" s="21"/>
      <c r="B20" s="21"/>
      <c r="C20" s="21"/>
      <c r="D20" s="21"/>
      <c r="E20" s="21"/>
      <c r="F20" s="21" t="s">
        <v>85</v>
      </c>
      <c r="G20" s="341"/>
      <c r="H20" s="341"/>
      <c r="I20" s="110"/>
    </row>
    <row r="21" spans="1:9" ht="15.75">
      <c r="A21" s="21"/>
      <c r="B21" s="21"/>
      <c r="C21" s="21"/>
      <c r="D21" s="21"/>
      <c r="E21" s="21" t="s">
        <v>88</v>
      </c>
      <c r="F21" s="111" t="s">
        <v>89</v>
      </c>
      <c r="G21" s="341">
        <v>3072000</v>
      </c>
      <c r="H21" s="341">
        <v>3072000</v>
      </c>
      <c r="I21" s="110">
        <f>H21/G21*100</f>
        <v>100</v>
      </c>
    </row>
    <row r="22" spans="1:9" ht="15.75">
      <c r="A22" s="21"/>
      <c r="B22" s="21"/>
      <c r="C22" s="21"/>
      <c r="D22" s="21"/>
      <c r="E22" s="21"/>
      <c r="F22" s="21" t="s">
        <v>85</v>
      </c>
      <c r="G22" s="341"/>
      <c r="H22" s="341"/>
      <c r="I22" s="110"/>
    </row>
    <row r="23" spans="1:9" ht="17.25" customHeight="1">
      <c r="A23" s="21"/>
      <c r="B23" s="21"/>
      <c r="C23" s="21"/>
      <c r="D23" s="21"/>
      <c r="E23" s="21" t="s">
        <v>90</v>
      </c>
      <c r="F23" s="111" t="s">
        <v>91</v>
      </c>
      <c r="G23" s="341">
        <v>100000</v>
      </c>
      <c r="H23" s="341">
        <v>100000</v>
      </c>
      <c r="I23" s="110">
        <f>H23/G23*100</f>
        <v>100</v>
      </c>
    </row>
    <row r="24" spans="1:9" ht="15.75">
      <c r="A24" s="21"/>
      <c r="B24" s="21"/>
      <c r="C24" s="21"/>
      <c r="D24" s="21"/>
      <c r="E24" s="21"/>
      <c r="F24" s="21" t="s">
        <v>85</v>
      </c>
      <c r="G24" s="341"/>
      <c r="H24" s="341"/>
      <c r="I24" s="110"/>
    </row>
    <row r="25" spans="1:9" ht="15.75">
      <c r="A25" s="21"/>
      <c r="B25" s="21"/>
      <c r="C25" s="21"/>
      <c r="D25" s="21"/>
      <c r="E25" s="21" t="s">
        <v>92</v>
      </c>
      <c r="F25" s="111" t="s">
        <v>93</v>
      </c>
      <c r="G25" s="341">
        <v>7506890</v>
      </c>
      <c r="H25" s="341">
        <v>7416090</v>
      </c>
      <c r="I25" s="110">
        <f>H25/G25*100</f>
        <v>98.79044451164198</v>
      </c>
    </row>
    <row r="26" spans="1:9" s="57" customFormat="1" ht="15.75">
      <c r="A26" s="21"/>
      <c r="B26" s="21"/>
      <c r="C26" s="21"/>
      <c r="D26" s="21"/>
      <c r="E26" s="21"/>
      <c r="F26" s="21" t="s">
        <v>85</v>
      </c>
      <c r="G26" s="342"/>
      <c r="H26" s="342"/>
      <c r="I26" s="110"/>
    </row>
    <row r="27" spans="1:9" ht="15.75">
      <c r="A27" s="21"/>
      <c r="B27" s="21"/>
      <c r="C27" s="21"/>
      <c r="D27" s="21" t="s">
        <v>57</v>
      </c>
      <c r="E27" s="21" t="s">
        <v>94</v>
      </c>
      <c r="F27" s="21"/>
      <c r="G27" s="341">
        <v>5000000</v>
      </c>
      <c r="H27" s="341">
        <v>5000000</v>
      </c>
      <c r="I27" s="110">
        <f>H27/G27*100</f>
        <v>100</v>
      </c>
    </row>
    <row r="28" spans="1:9" ht="15.75">
      <c r="A28" s="21"/>
      <c r="B28" s="21"/>
      <c r="C28" s="21"/>
      <c r="D28" s="21"/>
      <c r="E28" s="21"/>
      <c r="F28" s="21" t="s">
        <v>85</v>
      </c>
      <c r="G28" s="341"/>
      <c r="H28" s="341"/>
      <c r="I28" s="110"/>
    </row>
    <row r="29" spans="1:9" ht="15.75">
      <c r="A29" s="21"/>
      <c r="B29" s="21"/>
      <c r="C29" s="21"/>
      <c r="D29" s="21"/>
      <c r="E29" s="21" t="s">
        <v>461</v>
      </c>
      <c r="F29" s="21"/>
      <c r="G29" s="341"/>
      <c r="H29" s="341">
        <v>4231957</v>
      </c>
      <c r="I29" s="110"/>
    </row>
    <row r="30" spans="1:9" ht="15.75">
      <c r="A30" s="21"/>
      <c r="B30" s="21"/>
      <c r="C30" s="21"/>
      <c r="D30" s="21" t="s">
        <v>58</v>
      </c>
      <c r="E30" s="21" t="s">
        <v>147</v>
      </c>
      <c r="F30" s="21"/>
      <c r="G30" s="341">
        <v>17850</v>
      </c>
      <c r="H30" s="341">
        <v>17850</v>
      </c>
      <c r="I30" s="110">
        <f>H30/G30*100</f>
        <v>100</v>
      </c>
    </row>
    <row r="31" spans="1:9" ht="15.75">
      <c r="A31" s="21"/>
      <c r="B31" s="21"/>
      <c r="C31" s="21"/>
      <c r="D31" s="21" t="s">
        <v>148</v>
      </c>
      <c r="E31" s="21" t="s">
        <v>107</v>
      </c>
      <c r="F31" s="21"/>
      <c r="G31" s="341">
        <v>423800</v>
      </c>
      <c r="H31" s="341">
        <v>525200</v>
      </c>
      <c r="I31" s="110">
        <f>H31/G31*100</f>
        <v>123.92638036809815</v>
      </c>
    </row>
    <row r="32" spans="1:9" ht="15.75">
      <c r="A32" s="21"/>
      <c r="B32" s="21"/>
      <c r="C32" s="21" t="s">
        <v>25</v>
      </c>
      <c r="D32" s="506" t="s">
        <v>95</v>
      </c>
      <c r="E32" s="506"/>
      <c r="F32" s="506"/>
      <c r="G32" s="341">
        <v>3000</v>
      </c>
      <c r="H32" s="341"/>
      <c r="I32" s="110"/>
    </row>
    <row r="33" spans="1:9" ht="16.5" customHeight="1">
      <c r="A33" s="21"/>
      <c r="B33" s="21"/>
      <c r="C33" s="21" t="s">
        <v>106</v>
      </c>
      <c r="D33" s="21" t="s">
        <v>518</v>
      </c>
      <c r="E33" s="21"/>
      <c r="F33" s="21"/>
      <c r="G33" s="341">
        <v>1120500</v>
      </c>
      <c r="H33" s="341">
        <v>1024800</v>
      </c>
      <c r="I33" s="110">
        <f>H33/G33*100</f>
        <v>91.45917001338688</v>
      </c>
    </row>
    <row r="34" spans="1:9" ht="21" customHeight="1">
      <c r="A34" s="114"/>
      <c r="B34" s="114"/>
      <c r="C34" s="115"/>
      <c r="D34" s="513" t="s">
        <v>96</v>
      </c>
      <c r="E34" s="513"/>
      <c r="F34" s="513"/>
      <c r="G34" s="343">
        <f>SUM(G16:G33)</f>
        <v>19797390</v>
      </c>
      <c r="H34" s="343">
        <f>SUM(H16:H33)</f>
        <v>24273297</v>
      </c>
      <c r="I34" s="110">
        <f>H34/G34*100</f>
        <v>122.60857112983075</v>
      </c>
    </row>
    <row r="35" spans="1:9" ht="33" customHeight="1">
      <c r="A35" s="21"/>
      <c r="B35" s="18" t="s">
        <v>52</v>
      </c>
      <c r="C35" s="18" t="s">
        <v>43</v>
      </c>
      <c r="D35" s="507" t="s">
        <v>97</v>
      </c>
      <c r="E35" s="507"/>
      <c r="F35" s="507"/>
      <c r="G35" s="341"/>
      <c r="H35" s="341"/>
      <c r="I35" s="110"/>
    </row>
    <row r="36" spans="1:9" ht="15.75">
      <c r="A36" s="21"/>
      <c r="B36" s="21"/>
      <c r="C36" s="21"/>
      <c r="D36" s="21" t="s">
        <v>42</v>
      </c>
      <c r="E36" s="21" t="s">
        <v>149</v>
      </c>
      <c r="F36" s="21"/>
      <c r="G36" s="341"/>
      <c r="H36" s="341"/>
      <c r="I36" s="110"/>
    </row>
    <row r="37" spans="1:9" ht="30.75" customHeight="1">
      <c r="A37" s="21"/>
      <c r="B37" s="21"/>
      <c r="C37" s="21"/>
      <c r="D37" s="21" t="s">
        <v>25</v>
      </c>
      <c r="E37" s="506" t="s">
        <v>150</v>
      </c>
      <c r="F37" s="506"/>
      <c r="G37" s="341">
        <v>2728000</v>
      </c>
      <c r="H37" s="341">
        <v>3289000</v>
      </c>
      <c r="I37" s="110">
        <f>H37/G37*100</f>
        <v>120.56451612903226</v>
      </c>
    </row>
    <row r="38" spans="1:9" ht="15.75">
      <c r="A38" s="21"/>
      <c r="B38" s="21"/>
      <c r="C38" s="21"/>
      <c r="D38" s="21" t="s">
        <v>43</v>
      </c>
      <c r="E38" s="21" t="s">
        <v>98</v>
      </c>
      <c r="F38" s="21"/>
      <c r="G38" s="341">
        <v>719680</v>
      </c>
      <c r="H38" s="341">
        <v>849680</v>
      </c>
      <c r="I38" s="110">
        <f>H38/G38*100</f>
        <v>118.0635838150289</v>
      </c>
    </row>
    <row r="39" spans="1:9" ht="15.75">
      <c r="A39" s="21"/>
      <c r="B39" s="21"/>
      <c r="C39" s="21"/>
      <c r="D39" s="21" t="s">
        <v>100</v>
      </c>
      <c r="E39" s="21" t="s">
        <v>101</v>
      </c>
      <c r="F39" s="21"/>
      <c r="G39" s="341"/>
      <c r="H39" s="341"/>
      <c r="I39" s="110"/>
    </row>
    <row r="40" spans="1:9" ht="31.5">
      <c r="A40" s="21"/>
      <c r="B40" s="21"/>
      <c r="C40" s="21"/>
      <c r="D40" s="21"/>
      <c r="E40" s="21" t="s">
        <v>55</v>
      </c>
      <c r="F40" s="111" t="s">
        <v>519</v>
      </c>
      <c r="G40" s="341">
        <v>1900000</v>
      </c>
      <c r="H40" s="341">
        <v>2288000</v>
      </c>
      <c r="I40" s="110">
        <f>H40/G40*100</f>
        <v>120.42105263157895</v>
      </c>
    </row>
    <row r="41" spans="1:9" ht="15.75">
      <c r="A41" s="21"/>
      <c r="B41" s="21"/>
      <c r="C41" s="21"/>
      <c r="D41" s="21"/>
      <c r="E41" s="21" t="s">
        <v>56</v>
      </c>
      <c r="F41" s="21" t="s">
        <v>520</v>
      </c>
      <c r="G41" s="341">
        <v>4072068</v>
      </c>
      <c r="H41" s="341">
        <v>3733995</v>
      </c>
      <c r="I41" s="110">
        <f>H41/G41*100</f>
        <v>91.69775652076537</v>
      </c>
    </row>
    <row r="42" spans="1:9" ht="33.75" customHeight="1">
      <c r="A42" s="114"/>
      <c r="B42" s="114"/>
      <c r="C42" s="513" t="s">
        <v>102</v>
      </c>
      <c r="D42" s="513"/>
      <c r="E42" s="513"/>
      <c r="F42" s="513"/>
      <c r="G42" s="344">
        <f>SUM(G36:G41)</f>
        <v>9419748</v>
      </c>
      <c r="H42" s="344">
        <f>SUM(H36:H41)</f>
        <v>10160675</v>
      </c>
      <c r="I42" s="110">
        <f>H42/G42*100</f>
        <v>107.86567751069349</v>
      </c>
    </row>
    <row r="43" spans="1:9" ht="3" customHeight="1">
      <c r="A43" s="114"/>
      <c r="B43" s="114"/>
      <c r="C43" s="323"/>
      <c r="D43" s="323"/>
      <c r="E43" s="323"/>
      <c r="F43" s="323"/>
      <c r="G43" s="344"/>
      <c r="H43" s="341"/>
      <c r="I43" s="110"/>
    </row>
    <row r="44" spans="1:9" ht="14.25" customHeight="1">
      <c r="A44" s="21"/>
      <c r="B44" s="21"/>
      <c r="C44" s="18" t="s">
        <v>99</v>
      </c>
      <c r="D44" s="507" t="s">
        <v>103</v>
      </c>
      <c r="E44" s="507"/>
      <c r="F44" s="507"/>
      <c r="G44" s="345"/>
      <c r="H44" s="341"/>
      <c r="I44" s="110"/>
    </row>
    <row r="45" spans="1:9" ht="15.75">
      <c r="A45" s="21"/>
      <c r="B45" s="21"/>
      <c r="C45" s="21"/>
      <c r="D45" s="21" t="s">
        <v>42</v>
      </c>
      <c r="E45" s="506" t="s">
        <v>53</v>
      </c>
      <c r="F45" s="506"/>
      <c r="G45" s="346"/>
      <c r="H45" s="341"/>
      <c r="I45" s="110"/>
    </row>
    <row r="46" spans="1:9" ht="31.5">
      <c r="A46" s="21"/>
      <c r="B46" s="21"/>
      <c r="C46" s="21"/>
      <c r="D46" s="21"/>
      <c r="E46" s="21" t="s">
        <v>58</v>
      </c>
      <c r="F46" s="111" t="s">
        <v>104</v>
      </c>
      <c r="G46" s="346">
        <v>1800000</v>
      </c>
      <c r="H46" s="341">
        <v>1800000</v>
      </c>
      <c r="I46" s="110">
        <f>H46/G46*100</f>
        <v>100</v>
      </c>
    </row>
    <row r="47" spans="1:9" ht="30" customHeight="1">
      <c r="A47" s="114"/>
      <c r="B47" s="114"/>
      <c r="C47" s="512" t="s">
        <v>105</v>
      </c>
      <c r="D47" s="512"/>
      <c r="E47" s="512"/>
      <c r="F47" s="512"/>
      <c r="G47" s="344">
        <f>SUM(G46:G46)</f>
        <v>1800000</v>
      </c>
      <c r="H47" s="344">
        <f>SUM(H46:H46)</f>
        <v>1800000</v>
      </c>
      <c r="I47" s="110">
        <f>H47/G47*100</f>
        <v>100</v>
      </c>
    </row>
    <row r="48" spans="1:9" ht="15.75">
      <c r="A48" s="116"/>
      <c r="B48" s="507" t="s">
        <v>108</v>
      </c>
      <c r="C48" s="507"/>
      <c r="D48" s="507"/>
      <c r="E48" s="507"/>
      <c r="F48" s="507"/>
      <c r="G48" s="349">
        <f>G34+G42+G47</f>
        <v>31017138</v>
      </c>
      <c r="H48" s="349">
        <f>H34+H42+H47</f>
        <v>36233972</v>
      </c>
      <c r="I48" s="110">
        <f>H48/G48*100</f>
        <v>116.81919847021346</v>
      </c>
    </row>
    <row r="49" spans="1:9" ht="12" customHeight="1">
      <c r="A49" s="21"/>
      <c r="B49" s="21"/>
      <c r="C49" s="21"/>
      <c r="D49" s="21"/>
      <c r="E49" s="21"/>
      <c r="F49" s="21"/>
      <c r="G49" s="347"/>
      <c r="H49" s="341"/>
      <c r="I49" s="110"/>
    </row>
    <row r="50" spans="1:9" ht="36" customHeight="1">
      <c r="A50" s="507" t="s">
        <v>109</v>
      </c>
      <c r="B50" s="507"/>
      <c r="C50" s="507"/>
      <c r="D50" s="507"/>
      <c r="E50" s="507"/>
      <c r="F50" s="507"/>
      <c r="G50" s="350">
        <f>G48</f>
        <v>31017138</v>
      </c>
      <c r="H50" s="350">
        <f>H48</f>
        <v>36233972</v>
      </c>
      <c r="I50" s="110">
        <f>H50/G50*100</f>
        <v>116.81919847021346</v>
      </c>
    </row>
    <row r="51" spans="1:9" s="76" customFormat="1" ht="32.25" customHeight="1">
      <c r="A51" s="18" t="s">
        <v>51</v>
      </c>
      <c r="B51" s="507" t="s">
        <v>110</v>
      </c>
      <c r="C51" s="507"/>
      <c r="D51" s="507"/>
      <c r="E51" s="507"/>
      <c r="F51" s="507"/>
      <c r="G51" s="350">
        <v>15833638</v>
      </c>
      <c r="H51" s="345"/>
      <c r="I51" s="110"/>
    </row>
    <row r="52" spans="1:9" ht="11.25" customHeight="1">
      <c r="A52" s="107"/>
      <c r="B52" s="107"/>
      <c r="C52" s="107"/>
      <c r="D52" s="107"/>
      <c r="E52" s="107"/>
      <c r="F52" s="107"/>
      <c r="G52" s="349"/>
      <c r="H52" s="349"/>
      <c r="I52" s="110"/>
    </row>
    <row r="53" spans="1:9" ht="15.75">
      <c r="A53" s="18" t="s">
        <v>52</v>
      </c>
      <c r="B53" s="18" t="s">
        <v>111</v>
      </c>
      <c r="C53" s="18"/>
      <c r="D53" s="18"/>
      <c r="E53" s="18"/>
      <c r="F53" s="18"/>
      <c r="G53" s="351"/>
      <c r="H53" s="352"/>
      <c r="I53" s="110"/>
    </row>
    <row r="54" spans="1:9" ht="12" customHeight="1">
      <c r="A54" s="21"/>
      <c r="B54" s="21"/>
      <c r="C54" s="21"/>
      <c r="D54" s="21"/>
      <c r="E54" s="21"/>
      <c r="F54" s="21"/>
      <c r="G54" s="347"/>
      <c r="H54" s="347"/>
      <c r="I54" s="110"/>
    </row>
    <row r="55" spans="1:9" ht="15.75">
      <c r="A55" s="21"/>
      <c r="B55" s="21" t="s">
        <v>42</v>
      </c>
      <c r="C55" s="21" t="s">
        <v>112</v>
      </c>
      <c r="D55" s="21"/>
      <c r="E55" s="21"/>
      <c r="F55" s="21"/>
      <c r="G55" s="353"/>
      <c r="H55" s="347"/>
      <c r="I55" s="110"/>
    </row>
    <row r="56" spans="1:9" ht="15.75">
      <c r="A56" s="21"/>
      <c r="B56" s="21"/>
      <c r="C56" s="21" t="s">
        <v>42</v>
      </c>
      <c r="D56" s="21" t="s">
        <v>113</v>
      </c>
      <c r="E56" s="21"/>
      <c r="F56" s="21"/>
      <c r="G56" s="347">
        <v>1500000</v>
      </c>
      <c r="H56" s="341">
        <v>1500000</v>
      </c>
      <c r="I56" s="110">
        <f>H56/G56*100</f>
        <v>100</v>
      </c>
    </row>
    <row r="57" spans="1:9" ht="15.75">
      <c r="A57" s="18"/>
      <c r="B57" s="18" t="s">
        <v>25</v>
      </c>
      <c r="C57" s="18" t="s">
        <v>114</v>
      </c>
      <c r="D57" s="18"/>
      <c r="E57" s="18"/>
      <c r="F57" s="18"/>
      <c r="G57" s="352"/>
      <c r="H57" s="341"/>
      <c r="I57" s="110"/>
    </row>
    <row r="58" spans="1:9" s="9" customFormat="1" ht="15.75">
      <c r="A58" s="21"/>
      <c r="B58" s="21"/>
      <c r="C58" s="21" t="s">
        <v>42</v>
      </c>
      <c r="D58" s="21" t="s">
        <v>115</v>
      </c>
      <c r="E58" s="21"/>
      <c r="F58" s="21"/>
      <c r="G58" s="347">
        <v>3900000</v>
      </c>
      <c r="H58" s="492">
        <v>4200000</v>
      </c>
      <c r="I58" s="110">
        <f>H58/G58*100</f>
        <v>107.6923076923077</v>
      </c>
    </row>
    <row r="59" spans="1:9" ht="15.75">
      <c r="A59" s="18"/>
      <c r="B59" s="18" t="s">
        <v>43</v>
      </c>
      <c r="C59" s="18" t="s">
        <v>116</v>
      </c>
      <c r="D59" s="18"/>
      <c r="E59" s="18"/>
      <c r="F59" s="18"/>
      <c r="G59" s="352"/>
      <c r="H59" s="341"/>
      <c r="I59" s="110"/>
    </row>
    <row r="60" spans="1:9" ht="15.75">
      <c r="A60" s="21"/>
      <c r="B60" s="21"/>
      <c r="C60" s="21" t="s">
        <v>42</v>
      </c>
      <c r="D60" s="21" t="s">
        <v>117</v>
      </c>
      <c r="E60" s="21"/>
      <c r="F60" s="21"/>
      <c r="G60" s="347">
        <v>1913000</v>
      </c>
      <c r="H60" s="341">
        <v>2100000</v>
      </c>
      <c r="I60" s="110">
        <f>H60/G60*100</f>
        <v>109.77522216414009</v>
      </c>
    </row>
    <row r="61" spans="1:9" ht="15.75">
      <c r="A61" s="21"/>
      <c r="B61" s="18" t="s">
        <v>99</v>
      </c>
      <c r="C61" s="18" t="s">
        <v>118</v>
      </c>
      <c r="D61" s="21"/>
      <c r="E61" s="21"/>
      <c r="F61" s="21"/>
      <c r="G61" s="347"/>
      <c r="H61" s="341"/>
      <c r="I61" s="110"/>
    </row>
    <row r="62" spans="1:9" ht="15.75">
      <c r="A62" s="21"/>
      <c r="B62" s="21"/>
      <c r="C62" s="21" t="s">
        <v>42</v>
      </c>
      <c r="D62" s="21" t="s">
        <v>119</v>
      </c>
      <c r="E62" s="21"/>
      <c r="F62" s="21"/>
      <c r="G62" s="347">
        <v>140000</v>
      </c>
      <c r="H62" s="341">
        <v>140000</v>
      </c>
      <c r="I62" s="110">
        <f>H62/G62*100</f>
        <v>100</v>
      </c>
    </row>
    <row r="63" spans="1:9" ht="15.75">
      <c r="A63" s="21"/>
      <c r="B63" s="21"/>
      <c r="C63" s="21"/>
      <c r="D63" s="21"/>
      <c r="E63" s="21"/>
      <c r="F63" s="21"/>
      <c r="G63" s="347"/>
      <c r="H63" s="341"/>
      <c r="I63" s="110"/>
    </row>
    <row r="64" spans="1:9" ht="15.75">
      <c r="A64" s="21"/>
      <c r="B64" s="21"/>
      <c r="C64" s="18" t="s">
        <v>25</v>
      </c>
      <c r="D64" s="21" t="s">
        <v>80</v>
      </c>
      <c r="E64" s="21"/>
      <c r="F64" s="21"/>
      <c r="G64" s="347">
        <v>280000</v>
      </c>
      <c r="H64" s="341">
        <v>280000</v>
      </c>
      <c r="I64" s="110">
        <f>H64/G64*100</f>
        <v>100</v>
      </c>
    </row>
    <row r="65" spans="1:9" ht="15.75">
      <c r="A65" s="18"/>
      <c r="B65" s="18" t="s">
        <v>100</v>
      </c>
      <c r="C65" s="18" t="s">
        <v>120</v>
      </c>
      <c r="D65" s="18"/>
      <c r="E65" s="18"/>
      <c r="F65" s="18"/>
      <c r="G65" s="352"/>
      <c r="H65" s="341"/>
      <c r="I65" s="110"/>
    </row>
    <row r="66" spans="1:9" ht="15.75">
      <c r="A66" s="21"/>
      <c r="B66" s="21"/>
      <c r="C66" s="18" t="s">
        <v>42</v>
      </c>
      <c r="D66" s="21" t="s">
        <v>121</v>
      </c>
      <c r="E66" s="21"/>
      <c r="F66" s="21"/>
      <c r="G66" s="347">
        <v>5000</v>
      </c>
      <c r="H66" s="341">
        <v>5000</v>
      </c>
      <c r="I66" s="110">
        <f>H66/G66*100</f>
        <v>100</v>
      </c>
    </row>
    <row r="67" spans="1:9" ht="15.75" customHeight="1">
      <c r="A67" s="116"/>
      <c r="B67" s="116"/>
      <c r="C67" s="116" t="s">
        <v>43</v>
      </c>
      <c r="D67" s="119" t="s">
        <v>120</v>
      </c>
      <c r="E67" s="116"/>
      <c r="F67" s="116"/>
      <c r="G67" s="348"/>
      <c r="H67" s="341"/>
      <c r="I67" s="110"/>
    </row>
    <row r="68" spans="1:9" ht="15.75">
      <c r="A68" s="21"/>
      <c r="B68" s="21"/>
      <c r="C68" s="18" t="s">
        <v>99</v>
      </c>
      <c r="D68" s="21" t="s">
        <v>122</v>
      </c>
      <c r="E68" s="21"/>
      <c r="F68" s="21"/>
      <c r="G68" s="347">
        <v>75000</v>
      </c>
      <c r="H68" s="341">
        <v>75000</v>
      </c>
      <c r="I68" s="110">
        <f>H68/G68*100</f>
        <v>100</v>
      </c>
    </row>
    <row r="69" spans="1:9" ht="9" customHeight="1">
      <c r="A69" s="116"/>
      <c r="B69" s="116"/>
      <c r="C69" s="116"/>
      <c r="D69" s="116"/>
      <c r="E69" s="116"/>
      <c r="F69" s="116"/>
      <c r="G69" s="348"/>
      <c r="H69" s="341"/>
      <c r="I69" s="110"/>
    </row>
    <row r="70" spans="1:9" s="9" customFormat="1" ht="15.75">
      <c r="A70" s="18" t="s">
        <v>69</v>
      </c>
      <c r="B70" s="116"/>
      <c r="C70" s="116"/>
      <c r="D70" s="116"/>
      <c r="E70" s="116"/>
      <c r="F70" s="116"/>
      <c r="G70" s="349">
        <f>G56+G58+G60+G62+G64+G66+G67+G68</f>
        <v>7813000</v>
      </c>
      <c r="H70" s="349">
        <f>H56+H58+H60+H62+H64+H66+H67+H68</f>
        <v>8300000</v>
      </c>
      <c r="I70" s="110">
        <f>H70/G70*100</f>
        <v>106.23320107513119</v>
      </c>
    </row>
    <row r="71" spans="1:9" ht="12.75" customHeight="1">
      <c r="A71" s="116"/>
      <c r="B71" s="116"/>
      <c r="C71" s="116"/>
      <c r="D71" s="116"/>
      <c r="E71" s="116"/>
      <c r="F71" s="116"/>
      <c r="G71" s="348"/>
      <c r="H71" s="348"/>
      <c r="I71" s="110"/>
    </row>
    <row r="72" spans="1:9" ht="15.75">
      <c r="A72" s="18" t="s">
        <v>123</v>
      </c>
      <c r="B72" s="18" t="s">
        <v>54</v>
      </c>
      <c r="C72" s="18"/>
      <c r="D72" s="18"/>
      <c r="E72" s="18"/>
      <c r="F72" s="18"/>
      <c r="G72" s="351"/>
      <c r="H72" s="352"/>
      <c r="I72" s="110"/>
    </row>
    <row r="73" spans="1:9" ht="15.75">
      <c r="A73" s="116"/>
      <c r="B73" s="116" t="s">
        <v>42</v>
      </c>
      <c r="C73" s="509" t="s">
        <v>124</v>
      </c>
      <c r="D73" s="509"/>
      <c r="E73" s="509"/>
      <c r="F73" s="509"/>
      <c r="G73" s="348"/>
      <c r="H73" s="348"/>
      <c r="I73" s="110"/>
    </row>
    <row r="74" spans="1:9" ht="15.75">
      <c r="A74" s="116"/>
      <c r="B74" s="116"/>
      <c r="C74" s="116" t="s">
        <v>42</v>
      </c>
      <c r="D74" s="119" t="s">
        <v>135</v>
      </c>
      <c r="E74" s="119"/>
      <c r="F74" s="119"/>
      <c r="G74" s="348">
        <v>282128</v>
      </c>
      <c r="H74" s="341">
        <v>334191</v>
      </c>
      <c r="I74" s="110">
        <f>H74/G74*100</f>
        <v>118.45368059887711</v>
      </c>
    </row>
    <row r="75" spans="1:9" ht="15.75">
      <c r="A75" s="116"/>
      <c r="B75" s="116"/>
      <c r="C75" s="116" t="s">
        <v>25</v>
      </c>
      <c r="D75" s="119" t="s">
        <v>127</v>
      </c>
      <c r="E75" s="119"/>
      <c r="F75" s="119"/>
      <c r="G75" s="348"/>
      <c r="H75" s="423"/>
      <c r="I75" s="110"/>
    </row>
    <row r="76" spans="1:9" ht="15.75">
      <c r="A76" s="116"/>
      <c r="B76" s="116"/>
      <c r="C76" s="116"/>
      <c r="D76" s="119" t="s">
        <v>42</v>
      </c>
      <c r="E76" s="119" t="s">
        <v>128</v>
      </c>
      <c r="F76" s="119"/>
      <c r="G76" s="348">
        <v>20000</v>
      </c>
      <c r="H76" s="341">
        <f>20000+735000</f>
        <v>755000</v>
      </c>
      <c r="I76" s="110">
        <f>H76/G76*100</f>
        <v>3775</v>
      </c>
    </row>
    <row r="77" spans="1:9" ht="15.75">
      <c r="A77" s="116"/>
      <c r="B77" s="116"/>
      <c r="C77" s="116"/>
      <c r="D77" s="119" t="s">
        <v>25</v>
      </c>
      <c r="E77" s="119" t="s">
        <v>129</v>
      </c>
      <c r="F77" s="119"/>
      <c r="G77" s="348">
        <v>64680</v>
      </c>
      <c r="H77" s="341">
        <v>275000</v>
      </c>
      <c r="I77" s="110">
        <f>H77/G77*100</f>
        <v>425.17006802721085</v>
      </c>
    </row>
    <row r="78" spans="1:9" ht="15.75">
      <c r="A78" s="116"/>
      <c r="B78" s="116"/>
      <c r="C78" s="116"/>
      <c r="D78" s="119" t="s">
        <v>43</v>
      </c>
      <c r="E78" s="119" t="s">
        <v>130</v>
      </c>
      <c r="F78" s="119"/>
      <c r="G78" s="348">
        <v>2000</v>
      </c>
      <c r="H78" s="341">
        <v>2000</v>
      </c>
      <c r="I78" s="110">
        <f>H78/G78*100</f>
        <v>100</v>
      </c>
    </row>
    <row r="79" spans="1:9" ht="15.75">
      <c r="A79" s="116"/>
      <c r="B79" s="116"/>
      <c r="C79" s="116"/>
      <c r="D79" s="119" t="s">
        <v>99</v>
      </c>
      <c r="E79" s="119" t="s">
        <v>131</v>
      </c>
      <c r="F79" s="119"/>
      <c r="G79" s="348">
        <v>203028</v>
      </c>
      <c r="H79" s="341">
        <v>203028</v>
      </c>
      <c r="I79" s="110">
        <f>H79/G79*100</f>
        <v>100</v>
      </c>
    </row>
    <row r="80" spans="1:9" ht="15.75">
      <c r="A80" s="116"/>
      <c r="B80" s="116"/>
      <c r="C80" s="116" t="s">
        <v>43</v>
      </c>
      <c r="D80" s="119" t="s">
        <v>151</v>
      </c>
      <c r="E80" s="119"/>
      <c r="F80" s="119"/>
      <c r="G80" s="348"/>
      <c r="H80" s="423"/>
      <c r="I80" s="110"/>
    </row>
    <row r="81" spans="1:9" ht="15.75">
      <c r="A81" s="116"/>
      <c r="B81" s="116"/>
      <c r="D81" s="116" t="s">
        <v>42</v>
      </c>
      <c r="E81" s="119" t="s">
        <v>125</v>
      </c>
      <c r="F81" s="116"/>
      <c r="G81" s="348">
        <v>41000</v>
      </c>
      <c r="H81" s="341">
        <v>41000</v>
      </c>
      <c r="I81" s="110">
        <f>H81/G81*100</f>
        <v>100</v>
      </c>
    </row>
    <row r="82" spans="1:9" ht="15.75">
      <c r="A82" s="116"/>
      <c r="B82" s="116"/>
      <c r="D82" s="116" t="s">
        <v>25</v>
      </c>
      <c r="E82" s="119" t="s">
        <v>126</v>
      </c>
      <c r="F82" s="119"/>
      <c r="G82" s="348">
        <v>411746</v>
      </c>
      <c r="H82" s="341">
        <v>220191</v>
      </c>
      <c r="I82" s="110">
        <f>H82/G82*100</f>
        <v>53.477386544131576</v>
      </c>
    </row>
    <row r="83" spans="4:9" ht="15.75">
      <c r="D83" s="67" t="s">
        <v>43</v>
      </c>
      <c r="E83" s="119" t="s">
        <v>70</v>
      </c>
      <c r="G83" s="348">
        <v>521023</v>
      </c>
      <c r="H83" s="341">
        <v>521023</v>
      </c>
      <c r="I83" s="110">
        <f>H83/G83*100</f>
        <v>100</v>
      </c>
    </row>
    <row r="84" spans="1:9" ht="15.75">
      <c r="A84" s="116"/>
      <c r="B84" s="116" t="s">
        <v>25</v>
      </c>
      <c r="C84" s="119" t="s">
        <v>132</v>
      </c>
      <c r="D84" s="119"/>
      <c r="E84" s="119"/>
      <c r="F84" s="119"/>
      <c r="G84" s="348"/>
      <c r="H84" s="423"/>
      <c r="I84" s="110"/>
    </row>
    <row r="85" spans="1:9" ht="15.75">
      <c r="A85" s="116"/>
      <c r="B85" s="116"/>
      <c r="C85" s="116" t="s">
        <v>42</v>
      </c>
      <c r="D85" s="119" t="s">
        <v>133</v>
      </c>
      <c r="E85" s="119"/>
      <c r="F85" s="119"/>
      <c r="G85" s="348">
        <v>4156873</v>
      </c>
      <c r="H85" s="341">
        <v>4156873</v>
      </c>
      <c r="I85" s="110">
        <f>H85/G85*100</f>
        <v>100</v>
      </c>
    </row>
    <row r="86" spans="1:9" ht="15.75">
      <c r="A86" s="116"/>
      <c r="B86" s="116" t="s">
        <v>43</v>
      </c>
      <c r="C86" s="119" t="s">
        <v>134</v>
      </c>
      <c r="D86" s="119"/>
      <c r="E86" s="119"/>
      <c r="F86" s="119"/>
      <c r="G86" s="348"/>
      <c r="H86" s="423"/>
      <c r="I86" s="110"/>
    </row>
    <row r="87" spans="1:9" ht="15.75">
      <c r="A87" s="116"/>
      <c r="B87" s="116"/>
      <c r="C87" s="116" t="s">
        <v>42</v>
      </c>
      <c r="D87" s="119" t="s">
        <v>78</v>
      </c>
      <c r="E87" s="119"/>
      <c r="F87" s="119"/>
      <c r="G87" s="348">
        <v>1098372</v>
      </c>
      <c r="H87" s="341">
        <v>1089620</v>
      </c>
      <c r="I87" s="110">
        <f aca="true" t="shared" si="0" ref="I87:I92">H87/G87*100</f>
        <v>99.20318434920046</v>
      </c>
    </row>
    <row r="88" spans="1:9" ht="15.75">
      <c r="A88" s="116"/>
      <c r="B88" s="116" t="s">
        <v>99</v>
      </c>
      <c r="C88" s="119" t="s">
        <v>136</v>
      </c>
      <c r="D88" s="116"/>
      <c r="E88" s="116"/>
      <c r="F88" s="116"/>
      <c r="G88" s="348">
        <v>1818495</v>
      </c>
      <c r="H88" s="341">
        <f>1122355+59452+90232+140676+294197+10800+253808</f>
        <v>1971520</v>
      </c>
      <c r="I88" s="110">
        <f t="shared" si="0"/>
        <v>108.4149255290776</v>
      </c>
    </row>
    <row r="89" spans="1:9" ht="15.75">
      <c r="A89" s="116"/>
      <c r="B89" s="116" t="s">
        <v>100</v>
      </c>
      <c r="C89" s="119" t="s">
        <v>137</v>
      </c>
      <c r="D89" s="116"/>
      <c r="E89" s="116"/>
      <c r="F89" s="116"/>
      <c r="G89" s="348">
        <v>1484220</v>
      </c>
      <c r="H89" s="341">
        <f>1004191+59452+97770+81475+211836</f>
        <v>1454724</v>
      </c>
      <c r="I89" s="110">
        <f t="shared" si="0"/>
        <v>98.01269353599871</v>
      </c>
    </row>
    <row r="90" spans="1:9" ht="24.75" customHeight="1">
      <c r="A90" s="116"/>
      <c r="B90" s="116" t="s">
        <v>106</v>
      </c>
      <c r="C90" s="119" t="s">
        <v>138</v>
      </c>
      <c r="D90" s="116"/>
      <c r="E90" s="116"/>
      <c r="F90" s="116"/>
      <c r="G90" s="348">
        <v>2000</v>
      </c>
      <c r="H90" s="341"/>
      <c r="I90" s="110">
        <f t="shared" si="0"/>
        <v>0</v>
      </c>
    </row>
    <row r="91" spans="1:9" ht="19.5" customHeight="1">
      <c r="A91" s="116"/>
      <c r="B91" s="373" t="s">
        <v>238</v>
      </c>
      <c r="C91" s="509" t="s">
        <v>469</v>
      </c>
      <c r="D91" s="509"/>
      <c r="E91" s="509"/>
      <c r="F91" s="509"/>
      <c r="G91" s="348"/>
      <c r="H91" s="341"/>
      <c r="I91" s="110"/>
    </row>
    <row r="92" spans="1:11" ht="15.75">
      <c r="A92" s="18" t="s">
        <v>22</v>
      </c>
      <c r="B92" s="116"/>
      <c r="C92" s="116"/>
      <c r="D92" s="116"/>
      <c r="E92" s="116"/>
      <c r="F92" s="116"/>
      <c r="G92" s="349">
        <f>SUM(G73:G91)</f>
        <v>10105565</v>
      </c>
      <c r="H92" s="480">
        <f>SUM(H73:H91)</f>
        <v>11024170</v>
      </c>
      <c r="I92" s="110">
        <f t="shared" si="0"/>
        <v>109.09009046005839</v>
      </c>
      <c r="K92" s="340"/>
    </row>
    <row r="93" spans="1:9" ht="1.5" customHeight="1">
      <c r="A93" s="116"/>
      <c r="B93" s="116"/>
      <c r="C93" s="116"/>
      <c r="D93" s="116"/>
      <c r="E93" s="116"/>
      <c r="F93" s="116"/>
      <c r="G93" s="348"/>
      <c r="H93" s="423"/>
      <c r="I93" s="110"/>
    </row>
    <row r="94" spans="1:9" ht="1.5" customHeight="1">
      <c r="A94" s="116"/>
      <c r="B94" s="116"/>
      <c r="C94" s="116"/>
      <c r="D94" s="116"/>
      <c r="E94" s="116"/>
      <c r="F94" s="116"/>
      <c r="G94" s="348"/>
      <c r="H94" s="423"/>
      <c r="I94" s="110"/>
    </row>
    <row r="95" spans="1:9" ht="1.5" customHeight="1">
      <c r="A95" s="116"/>
      <c r="B95" s="116"/>
      <c r="C95" s="116"/>
      <c r="D95" s="116"/>
      <c r="E95" s="116"/>
      <c r="F95" s="116"/>
      <c r="G95" s="348"/>
      <c r="H95" s="423"/>
      <c r="I95" s="110"/>
    </row>
    <row r="96" spans="1:9" ht="3.75" customHeight="1">
      <c r="A96" s="116"/>
      <c r="B96" s="116"/>
      <c r="C96" s="116"/>
      <c r="D96" s="116"/>
      <c r="E96" s="116"/>
      <c r="F96" s="116"/>
      <c r="G96" s="348"/>
      <c r="H96" s="423"/>
      <c r="I96" s="110"/>
    </row>
    <row r="97" spans="1:9" ht="15.75">
      <c r="A97" s="18" t="s">
        <v>59</v>
      </c>
      <c r="B97" s="18" t="s">
        <v>139</v>
      </c>
      <c r="C97" s="18"/>
      <c r="D97" s="18"/>
      <c r="E97" s="18"/>
      <c r="F97" s="18"/>
      <c r="G97" s="352"/>
      <c r="H97" s="423"/>
      <c r="I97" s="110"/>
    </row>
    <row r="98" spans="1:9" ht="15.75">
      <c r="A98" s="18"/>
      <c r="B98" s="18"/>
      <c r="C98" s="18"/>
      <c r="D98" s="18"/>
      <c r="E98" s="18"/>
      <c r="F98" s="18"/>
      <c r="G98" s="352"/>
      <c r="H98" s="423"/>
      <c r="I98" s="110"/>
    </row>
    <row r="99" spans="1:9" ht="27.75" customHeight="1">
      <c r="A99" s="21"/>
      <c r="B99" s="21" t="s">
        <v>42</v>
      </c>
      <c r="C99" s="506" t="s">
        <v>574</v>
      </c>
      <c r="D99" s="506"/>
      <c r="E99" s="506"/>
      <c r="F99" s="506"/>
      <c r="G99" s="346"/>
      <c r="H99" s="341">
        <v>1952679</v>
      </c>
      <c r="I99" s="110"/>
    </row>
    <row r="100" spans="1:9" ht="23.25" customHeight="1">
      <c r="A100" s="21"/>
      <c r="B100" s="21"/>
      <c r="C100" s="118" t="s">
        <v>42</v>
      </c>
      <c r="D100" s="506" t="s">
        <v>140</v>
      </c>
      <c r="E100" s="506"/>
      <c r="F100" s="506"/>
      <c r="G100" s="346">
        <v>346850</v>
      </c>
      <c r="H100" s="341">
        <v>325200</v>
      </c>
      <c r="I100" s="110">
        <f>H100/G100*100</f>
        <v>93.75810869251838</v>
      </c>
    </row>
    <row r="101" spans="1:9" ht="39.75" customHeight="1">
      <c r="A101" s="116"/>
      <c r="B101" s="116" t="s">
        <v>575</v>
      </c>
      <c r="C101" s="510" t="s">
        <v>576</v>
      </c>
      <c r="D101" s="511"/>
      <c r="E101" s="511"/>
      <c r="F101" s="511"/>
      <c r="G101" s="348">
        <v>6000000</v>
      </c>
      <c r="H101" s="341">
        <v>6000000</v>
      </c>
      <c r="I101" s="110"/>
    </row>
    <row r="102" spans="1:9" ht="15.75">
      <c r="A102" s="508" t="s">
        <v>141</v>
      </c>
      <c r="B102" s="508"/>
      <c r="C102" s="508"/>
      <c r="D102" s="508"/>
      <c r="E102" s="508"/>
      <c r="F102" s="508"/>
      <c r="G102" s="351">
        <f>SUM(G100:G101)</f>
        <v>6346850</v>
      </c>
      <c r="H102" s="351">
        <f>SUM(H99:H101)</f>
        <v>8277879</v>
      </c>
      <c r="I102" s="110">
        <f>H102/G102*100</f>
        <v>130.42499822746717</v>
      </c>
    </row>
    <row r="103" spans="1:9" ht="14.25" customHeight="1">
      <c r="A103" s="116"/>
      <c r="B103" s="116"/>
      <c r="C103" s="116"/>
      <c r="D103" s="116"/>
      <c r="E103" s="116"/>
      <c r="F103" s="116"/>
      <c r="G103" s="348"/>
      <c r="H103" s="341"/>
      <c r="I103" s="110"/>
    </row>
    <row r="104" spans="1:9" ht="16.5">
      <c r="A104" s="121" t="s">
        <v>142</v>
      </c>
      <c r="B104" s="121"/>
      <c r="C104" s="121"/>
      <c r="D104" s="121"/>
      <c r="E104" s="121"/>
      <c r="F104" s="121"/>
      <c r="G104" s="351">
        <f>G102+G92+G70+G50+G51</f>
        <v>71116191</v>
      </c>
      <c r="H104" s="351">
        <f>H102+H92+H70+H50+H51</f>
        <v>63836021</v>
      </c>
      <c r="I104" s="110">
        <f>H104/G104*100</f>
        <v>89.7629922277474</v>
      </c>
    </row>
    <row r="105" spans="1:9" ht="16.5">
      <c r="A105" s="121"/>
      <c r="B105" s="121"/>
      <c r="C105" s="121"/>
      <c r="D105" s="121"/>
      <c r="E105" s="121"/>
      <c r="F105" s="121"/>
      <c r="G105" s="354"/>
      <c r="H105" s="341"/>
      <c r="I105" s="110"/>
    </row>
    <row r="106" spans="1:9" ht="15.75">
      <c r="A106" s="122" t="s">
        <v>143</v>
      </c>
      <c r="B106" s="507" t="s">
        <v>144</v>
      </c>
      <c r="C106" s="507"/>
      <c r="D106" s="507"/>
      <c r="E106" s="507"/>
      <c r="F106" s="507"/>
      <c r="G106" s="346"/>
      <c r="H106" s="341"/>
      <c r="I106" s="110"/>
    </row>
    <row r="107" spans="1:9" ht="15.75">
      <c r="A107" s="18"/>
      <c r="B107" s="107" t="s">
        <v>42</v>
      </c>
      <c r="C107" s="507" t="s">
        <v>145</v>
      </c>
      <c r="D107" s="507"/>
      <c r="E107" s="507"/>
      <c r="F107" s="507"/>
      <c r="G107" s="346"/>
      <c r="H107" s="341"/>
      <c r="I107" s="110"/>
    </row>
    <row r="108" spans="1:9" ht="36" customHeight="1">
      <c r="A108" s="18"/>
      <c r="B108" s="107"/>
      <c r="C108" s="118" t="s">
        <v>42</v>
      </c>
      <c r="D108" s="506" t="s">
        <v>602</v>
      </c>
      <c r="E108" s="506"/>
      <c r="F108" s="506"/>
      <c r="G108" s="346">
        <v>4976007</v>
      </c>
      <c r="H108" s="341">
        <f>90724266+663690</f>
        <v>91387956</v>
      </c>
      <c r="I108" s="110">
        <f>H108/G108*100</f>
        <v>1836.5720948543683</v>
      </c>
    </row>
    <row r="109" spans="1:9" ht="16.5" customHeight="1">
      <c r="A109" s="21"/>
      <c r="B109" s="21"/>
      <c r="C109" s="377" t="s">
        <v>25</v>
      </c>
      <c r="D109" s="505" t="s">
        <v>603</v>
      </c>
      <c r="E109" s="505"/>
      <c r="F109" s="505"/>
      <c r="G109" s="347"/>
      <c r="H109" s="341">
        <v>5484720</v>
      </c>
      <c r="I109" s="110"/>
    </row>
    <row r="110" spans="1:9" ht="16.5" customHeight="1">
      <c r="A110" s="21"/>
      <c r="B110" s="21"/>
      <c r="C110" s="21" t="s">
        <v>43</v>
      </c>
      <c r="D110" s="505" t="s">
        <v>479</v>
      </c>
      <c r="E110" s="505"/>
      <c r="F110" s="505"/>
      <c r="G110" s="347">
        <v>1240566</v>
      </c>
      <c r="H110" s="479">
        <v>1449359</v>
      </c>
      <c r="I110" s="110"/>
    </row>
    <row r="111" spans="1:9" ht="16.5">
      <c r="A111" s="121" t="s">
        <v>144</v>
      </c>
      <c r="B111" s="121"/>
      <c r="C111" s="121"/>
      <c r="D111" s="121"/>
      <c r="E111" s="121"/>
      <c r="F111" s="121"/>
      <c r="G111" s="351">
        <f>G108+G109+G110</f>
        <v>6216573</v>
      </c>
      <c r="H111" s="351">
        <f>SUM(H108:H110)</f>
        <v>98322035</v>
      </c>
      <c r="I111" s="110">
        <f>H111/G111*100</f>
        <v>1581.611524548976</v>
      </c>
    </row>
    <row r="112" spans="1:9" ht="15" customHeight="1">
      <c r="A112" s="21"/>
      <c r="B112" s="21"/>
      <c r="C112" s="21"/>
      <c r="D112" s="21"/>
      <c r="E112" s="21"/>
      <c r="F112" s="21"/>
      <c r="G112" s="355"/>
      <c r="H112" s="353"/>
      <c r="I112" s="110"/>
    </row>
    <row r="113" spans="1:9" ht="18.75">
      <c r="A113" s="20" t="s">
        <v>146</v>
      </c>
      <c r="B113" s="20"/>
      <c r="C113" s="20"/>
      <c r="D113" s="20"/>
      <c r="E113" s="20"/>
      <c r="F113" s="20"/>
      <c r="G113" s="351">
        <f>G104+G111</f>
        <v>77332764</v>
      </c>
      <c r="H113" s="351">
        <f>H104+H111</f>
        <v>162158056</v>
      </c>
      <c r="I113" s="110">
        <f>H113/G113*100</f>
        <v>209.68868512187152</v>
      </c>
    </row>
    <row r="114" spans="7:9" ht="15.75">
      <c r="G114" s="340"/>
      <c r="H114" s="340"/>
      <c r="I114" s="110"/>
    </row>
    <row r="115" spans="7:9" ht="15.75">
      <c r="G115" s="340"/>
      <c r="H115" s="340"/>
      <c r="I115" s="110"/>
    </row>
    <row r="116" spans="7:8" ht="15.75">
      <c r="G116" s="340"/>
      <c r="H116" s="340"/>
    </row>
    <row r="117" spans="7:8" ht="15.75">
      <c r="G117" s="340"/>
      <c r="H117" s="340"/>
    </row>
    <row r="118" spans="7:8" ht="15.75">
      <c r="G118" s="340"/>
      <c r="H118" s="340"/>
    </row>
    <row r="119" spans="7:8" ht="15.75">
      <c r="G119" s="340"/>
      <c r="H119" s="340"/>
    </row>
    <row r="120" spans="7:8" ht="15.75">
      <c r="G120" s="340"/>
      <c r="H120" s="340"/>
    </row>
    <row r="121" spans="7:8" ht="15.75">
      <c r="G121" s="340"/>
      <c r="H121" s="340"/>
    </row>
    <row r="122" spans="7:8" ht="15.75">
      <c r="G122" s="340"/>
      <c r="H122" s="340"/>
    </row>
    <row r="123" spans="7:8" ht="15.75">
      <c r="G123" s="340"/>
      <c r="H123" s="340"/>
    </row>
    <row r="124" spans="7:8" ht="15.75">
      <c r="G124" s="340"/>
      <c r="H124" s="340"/>
    </row>
    <row r="125" spans="7:8" ht="15.75">
      <c r="G125" s="340"/>
      <c r="H125" s="340"/>
    </row>
    <row r="126" spans="7:8" ht="15.75">
      <c r="G126" s="340"/>
      <c r="H126" s="340"/>
    </row>
    <row r="127" spans="7:8" ht="15.75">
      <c r="G127" s="340"/>
      <c r="H127" s="340"/>
    </row>
    <row r="128" spans="7:8" ht="15.75">
      <c r="G128" s="340"/>
      <c r="H128" s="340"/>
    </row>
    <row r="129" spans="7:8" ht="15.75">
      <c r="G129" s="340"/>
      <c r="H129" s="340"/>
    </row>
    <row r="130" spans="7:8" ht="15.75">
      <c r="G130" s="340"/>
      <c r="H130" s="340"/>
    </row>
    <row r="131" spans="7:8" ht="15.75">
      <c r="G131" s="340"/>
      <c r="H131" s="340"/>
    </row>
    <row r="132" spans="7:8" ht="15.75">
      <c r="G132" s="340"/>
      <c r="H132" s="340"/>
    </row>
    <row r="133" spans="7:8" ht="15.75">
      <c r="G133" s="340"/>
      <c r="H133" s="340"/>
    </row>
    <row r="134" spans="7:8" ht="15.75">
      <c r="G134" s="340"/>
      <c r="H134" s="340"/>
    </row>
    <row r="135" spans="7:8" ht="15.75">
      <c r="G135" s="340"/>
      <c r="H135" s="340"/>
    </row>
    <row r="136" spans="7:8" ht="15.75">
      <c r="G136" s="340"/>
      <c r="H136" s="340"/>
    </row>
    <row r="137" spans="7:8" ht="15.75">
      <c r="G137" s="340"/>
      <c r="H137" s="340"/>
    </row>
    <row r="138" spans="7:8" ht="15.75">
      <c r="G138" s="340"/>
      <c r="H138" s="340"/>
    </row>
    <row r="139" spans="7:8" ht="15.75">
      <c r="G139" s="340"/>
      <c r="H139" s="340"/>
    </row>
    <row r="140" spans="7:8" ht="15.75">
      <c r="G140" s="340"/>
      <c r="H140" s="340"/>
    </row>
    <row r="141" spans="7:8" ht="15.75">
      <c r="G141" s="340"/>
      <c r="H141" s="340"/>
    </row>
    <row r="142" spans="7:8" ht="15.75">
      <c r="G142" s="340"/>
      <c r="H142" s="340"/>
    </row>
    <row r="143" spans="7:8" ht="15.75">
      <c r="G143" s="340"/>
      <c r="H143" s="340"/>
    </row>
    <row r="144" spans="7:8" ht="15.75">
      <c r="G144" s="340"/>
      <c r="H144" s="340"/>
    </row>
    <row r="145" spans="7:8" ht="15.75">
      <c r="G145" s="340"/>
      <c r="H145" s="340"/>
    </row>
    <row r="146" spans="7:8" ht="15.75">
      <c r="G146" s="340"/>
      <c r="H146" s="340"/>
    </row>
    <row r="147" spans="7:8" ht="15.75">
      <c r="G147" s="340"/>
      <c r="H147" s="340"/>
    </row>
    <row r="148" spans="7:8" ht="15.75">
      <c r="G148" s="340"/>
      <c r="H148" s="340"/>
    </row>
  </sheetData>
  <sheetProtection/>
  <mergeCells count="32">
    <mergeCell ref="D14:F14"/>
    <mergeCell ref="C91:F91"/>
    <mergeCell ref="A1:I1"/>
    <mergeCell ref="A6:I6"/>
    <mergeCell ref="B12:F12"/>
    <mergeCell ref="A8:F10"/>
    <mergeCell ref="A2:I2"/>
    <mergeCell ref="A3:I3"/>
    <mergeCell ref="A4:I4"/>
    <mergeCell ref="D44:F44"/>
    <mergeCell ref="E45:F45"/>
    <mergeCell ref="C47:F47"/>
    <mergeCell ref="C42:F42"/>
    <mergeCell ref="E15:F15"/>
    <mergeCell ref="D32:F32"/>
    <mergeCell ref="D34:F34"/>
    <mergeCell ref="D35:F35"/>
    <mergeCell ref="E37:F37"/>
    <mergeCell ref="A50:F50"/>
    <mergeCell ref="C73:F73"/>
    <mergeCell ref="B51:F51"/>
    <mergeCell ref="B48:F48"/>
    <mergeCell ref="C101:F101"/>
    <mergeCell ref="D109:F109"/>
    <mergeCell ref="D110:F110"/>
    <mergeCell ref="C99:F99"/>
    <mergeCell ref="C107:F107"/>
    <mergeCell ref="D108:F108"/>
    <mergeCell ref="D100:F100"/>
    <mergeCell ref="A102:F102"/>
    <mergeCell ref="B106:F106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G30"/>
  <sheetViews>
    <sheetView zoomScalePageLayoutView="0" workbookViewId="0" topLeftCell="A1">
      <selection activeCell="B2" sqref="B2:G2"/>
    </sheetView>
  </sheetViews>
  <sheetFormatPr defaultColWidth="9.00390625" defaultRowHeight="12.75"/>
  <cols>
    <col min="1" max="1" width="3.875" style="194" customWidth="1"/>
    <col min="2" max="2" width="9.125" style="194" customWidth="1"/>
    <col min="3" max="3" width="61.125" style="194" customWidth="1"/>
    <col min="4" max="7" width="26.25390625" style="194" customWidth="1"/>
    <col min="8" max="16384" width="9.125" style="194" customWidth="1"/>
  </cols>
  <sheetData>
    <row r="2" spans="2:7" s="186" customFormat="1" ht="15.75">
      <c r="B2" s="527" t="s">
        <v>608</v>
      </c>
      <c r="C2" s="527"/>
      <c r="D2" s="527"/>
      <c r="E2" s="527"/>
      <c r="F2" s="527"/>
      <c r="G2" s="527"/>
    </row>
    <row r="3" spans="3:7" s="82" customFormat="1" ht="15" customHeight="1">
      <c r="C3" s="525"/>
      <c r="D3" s="525"/>
      <c r="E3" s="525"/>
      <c r="F3" s="525"/>
      <c r="G3" s="525"/>
    </row>
    <row r="4" spans="2:7" s="188" customFormat="1" ht="15" customHeight="1">
      <c r="B4" s="526"/>
      <c r="C4" s="526"/>
      <c r="D4" s="526"/>
      <c r="E4" s="526"/>
      <c r="F4" s="526"/>
      <c r="G4" s="526"/>
    </row>
    <row r="5" spans="2:7" s="141" customFormat="1" ht="15" customHeight="1">
      <c r="B5" s="526" t="s">
        <v>39</v>
      </c>
      <c r="C5" s="526"/>
      <c r="D5" s="526"/>
      <c r="E5" s="526"/>
      <c r="F5" s="526"/>
      <c r="G5" s="526"/>
    </row>
    <row r="6" spans="2:7" s="141" customFormat="1" ht="15.75" customHeight="1">
      <c r="B6" s="528" t="s">
        <v>285</v>
      </c>
      <c r="C6" s="528"/>
      <c r="D6" s="528"/>
      <c r="E6" s="528"/>
      <c r="F6" s="528"/>
      <c r="G6" s="528"/>
    </row>
    <row r="7" spans="3:7" s="141" customFormat="1" ht="15" customHeight="1">
      <c r="C7" s="526" t="s">
        <v>586</v>
      </c>
      <c r="D7" s="526"/>
      <c r="E7" s="526"/>
      <c r="F7" s="526"/>
      <c r="G7" s="526"/>
    </row>
    <row r="8" spans="3:7" s="186" customFormat="1" ht="12" customHeight="1" thickBot="1">
      <c r="C8" s="187"/>
      <c r="D8" s="191"/>
      <c r="E8" s="192"/>
      <c r="F8" s="192"/>
      <c r="G8" s="193"/>
    </row>
    <row r="9" spans="1:7" s="186" customFormat="1" ht="23.25" customHeight="1" thickBot="1">
      <c r="A9" s="529" t="s">
        <v>463</v>
      </c>
      <c r="B9" s="532" t="s">
        <v>175</v>
      </c>
      <c r="C9" s="535" t="s">
        <v>176</v>
      </c>
      <c r="D9" s="538" t="s">
        <v>286</v>
      </c>
      <c r="E9" s="541" t="s">
        <v>287</v>
      </c>
      <c r="F9" s="541"/>
      <c r="G9" s="542"/>
    </row>
    <row r="10" spans="1:7" s="186" customFormat="1" ht="39.75" customHeight="1" thickBot="1">
      <c r="A10" s="530"/>
      <c r="B10" s="533"/>
      <c r="C10" s="536"/>
      <c r="D10" s="539"/>
      <c r="E10" s="360" t="s">
        <v>288</v>
      </c>
      <c r="F10" s="361" t="s">
        <v>289</v>
      </c>
      <c r="G10" s="362" t="s">
        <v>290</v>
      </c>
    </row>
    <row r="11" spans="1:7" s="186" customFormat="1" ht="22.5" customHeight="1">
      <c r="A11" s="530"/>
      <c r="B11" s="533"/>
      <c r="C11" s="536"/>
      <c r="D11" s="539"/>
      <c r="E11" s="543" t="s">
        <v>291</v>
      </c>
      <c r="F11" s="544"/>
      <c r="G11" s="545"/>
    </row>
    <row r="12" spans="1:7" ht="21.75" customHeight="1" thickBot="1">
      <c r="A12" s="531"/>
      <c r="B12" s="534"/>
      <c r="C12" s="537"/>
      <c r="D12" s="540"/>
      <c r="E12" s="546"/>
      <c r="F12" s="547"/>
      <c r="G12" s="548"/>
    </row>
    <row r="13" spans="1:7" ht="30">
      <c r="A13" s="363" t="s">
        <v>42</v>
      </c>
      <c r="B13" s="356" t="s">
        <v>192</v>
      </c>
      <c r="C13" s="195" t="s">
        <v>193</v>
      </c>
      <c r="D13" s="196">
        <f>SUM(E13:G13)</f>
        <v>2282879</v>
      </c>
      <c r="E13" s="196">
        <v>5000</v>
      </c>
      <c r="F13" s="196">
        <v>2277879</v>
      </c>
      <c r="G13" s="197"/>
    </row>
    <row r="14" spans="1:7" ht="15">
      <c r="A14" s="359" t="s">
        <v>25</v>
      </c>
      <c r="B14" s="357" t="s">
        <v>194</v>
      </c>
      <c r="C14" s="134" t="s">
        <v>34</v>
      </c>
      <c r="D14" s="198">
        <f aca="true" t="shared" si="0" ref="D14:D22">SUM(E14:G14)</f>
        <v>51800</v>
      </c>
      <c r="E14" s="198">
        <v>51800</v>
      </c>
      <c r="F14" s="198"/>
      <c r="G14" s="199"/>
    </row>
    <row r="15" spans="1:7" ht="15">
      <c r="A15" s="359" t="s">
        <v>43</v>
      </c>
      <c r="B15" s="357" t="s">
        <v>195</v>
      </c>
      <c r="C15" s="134" t="s">
        <v>196</v>
      </c>
      <c r="D15" s="198">
        <f t="shared" si="0"/>
        <v>1488836</v>
      </c>
      <c r="E15" s="198">
        <v>275000</v>
      </c>
      <c r="F15" s="198">
        <v>1213836</v>
      </c>
      <c r="G15" s="199"/>
    </row>
    <row r="16" spans="1:7" ht="15">
      <c r="A16" s="359" t="s">
        <v>99</v>
      </c>
      <c r="B16" s="357" t="s">
        <v>292</v>
      </c>
      <c r="C16" s="134" t="s">
        <v>293</v>
      </c>
      <c r="D16" s="198">
        <f t="shared" si="0"/>
        <v>36233972</v>
      </c>
      <c r="E16" s="198">
        <v>36233972</v>
      </c>
      <c r="F16" s="198"/>
      <c r="G16" s="199"/>
    </row>
    <row r="17" spans="1:7" ht="15">
      <c r="A17" s="359" t="s">
        <v>100</v>
      </c>
      <c r="B17" s="357" t="s">
        <v>465</v>
      </c>
      <c r="C17" s="134" t="s">
        <v>466</v>
      </c>
      <c r="D17" s="198">
        <f t="shared" si="0"/>
        <v>98322035</v>
      </c>
      <c r="E17" s="198">
        <v>98322035</v>
      </c>
      <c r="F17" s="198"/>
      <c r="G17" s="199"/>
    </row>
    <row r="18" spans="1:7" ht="15">
      <c r="A18" s="359" t="s">
        <v>106</v>
      </c>
      <c r="B18" s="357" t="s">
        <v>467</v>
      </c>
      <c r="C18" s="134" t="s">
        <v>468</v>
      </c>
      <c r="D18" s="198">
        <f t="shared" si="0"/>
        <v>0</v>
      </c>
      <c r="E18" s="198"/>
      <c r="F18" s="198"/>
      <c r="G18" s="199"/>
    </row>
    <row r="19" spans="1:7" ht="15">
      <c r="A19" s="359" t="s">
        <v>238</v>
      </c>
      <c r="B19" s="357" t="s">
        <v>199</v>
      </c>
      <c r="C19" s="134" t="s">
        <v>200</v>
      </c>
      <c r="D19" s="198">
        <f t="shared" si="0"/>
        <v>6283419</v>
      </c>
      <c r="E19" s="198">
        <v>6283419</v>
      </c>
      <c r="F19" s="198"/>
      <c r="G19" s="199"/>
    </row>
    <row r="20" spans="1:7" ht="15">
      <c r="A20" s="359" t="s">
        <v>240</v>
      </c>
      <c r="B20" s="357" t="s">
        <v>207</v>
      </c>
      <c r="C20" s="134" t="s">
        <v>208</v>
      </c>
      <c r="D20" s="198">
        <f t="shared" si="0"/>
        <v>6000000</v>
      </c>
      <c r="E20" s="198">
        <v>6000000</v>
      </c>
      <c r="F20" s="198"/>
      <c r="G20" s="199"/>
    </row>
    <row r="21" spans="1:7" ht="15">
      <c r="A21" s="359" t="s">
        <v>242</v>
      </c>
      <c r="B21" s="358">
        <v>104051</v>
      </c>
      <c r="C21" s="134" t="s">
        <v>353</v>
      </c>
      <c r="D21" s="198">
        <f t="shared" si="0"/>
        <v>0</v>
      </c>
      <c r="E21" s="198"/>
      <c r="F21" s="198"/>
      <c r="G21" s="199"/>
    </row>
    <row r="22" spans="1:7" ht="30.75" thickBot="1">
      <c r="A22" s="359" t="s">
        <v>242</v>
      </c>
      <c r="B22" s="358">
        <v>900020</v>
      </c>
      <c r="C22" s="134" t="s">
        <v>298</v>
      </c>
      <c r="D22" s="198">
        <f t="shared" si="0"/>
        <v>8295000</v>
      </c>
      <c r="E22" s="198">
        <v>8295000</v>
      </c>
      <c r="F22" s="198"/>
      <c r="G22" s="199"/>
    </row>
    <row r="23" spans="1:7" ht="30" customHeight="1" thickBot="1">
      <c r="A23" s="471" t="s">
        <v>248</v>
      </c>
      <c r="B23" s="472"/>
      <c r="C23" s="458" t="s">
        <v>525</v>
      </c>
      <c r="D23" s="460">
        <f>SUM(D13:D22)</f>
        <v>158957941</v>
      </c>
      <c r="E23" s="460">
        <f>SUM(E13:E22)</f>
        <v>155466226</v>
      </c>
      <c r="F23" s="460">
        <f>SUM(F13:F22)</f>
        <v>3491715</v>
      </c>
      <c r="G23" s="460">
        <f>SUM(G13:G22)</f>
        <v>0</v>
      </c>
    </row>
    <row r="25" spans="1:7" ht="15">
      <c r="A25" s="359" t="s">
        <v>250</v>
      </c>
      <c r="B25" s="357" t="s">
        <v>294</v>
      </c>
      <c r="C25" s="134" t="s">
        <v>295</v>
      </c>
      <c r="D25" s="198">
        <f>SUM(E25:G25)</f>
        <v>339094</v>
      </c>
      <c r="E25" s="198">
        <v>339094</v>
      </c>
      <c r="F25" s="198"/>
      <c r="G25" s="199"/>
    </row>
    <row r="26" spans="1:7" ht="15">
      <c r="A26" s="359" t="s">
        <v>252</v>
      </c>
      <c r="B26" s="357" t="s">
        <v>296</v>
      </c>
      <c r="C26" s="134" t="s">
        <v>297</v>
      </c>
      <c r="D26" s="198">
        <f>SUM(E26:G26)</f>
        <v>522193</v>
      </c>
      <c r="E26" s="198"/>
      <c r="F26" s="198">
        <v>522193</v>
      </c>
      <c r="G26" s="199"/>
    </row>
    <row r="27" spans="1:7" ht="15">
      <c r="A27" s="359" t="s">
        <v>257</v>
      </c>
      <c r="B27" s="357" t="s">
        <v>296</v>
      </c>
      <c r="C27" s="136" t="s">
        <v>435</v>
      </c>
      <c r="D27" s="198">
        <f>SUM(E27:G27)</f>
        <v>743175</v>
      </c>
      <c r="E27" s="198"/>
      <c r="F27" s="198">
        <v>743175</v>
      </c>
      <c r="G27" s="199"/>
    </row>
    <row r="28" spans="1:7" ht="15.75" thickBot="1">
      <c r="A28" s="452" t="s">
        <v>259</v>
      </c>
      <c r="B28" s="358" t="s">
        <v>216</v>
      </c>
      <c r="C28" s="432" t="s">
        <v>351</v>
      </c>
      <c r="D28" s="456">
        <f>SUM(E28:G28)</f>
        <v>1595653</v>
      </c>
      <c r="E28" s="456">
        <v>1595653</v>
      </c>
      <c r="F28" s="456"/>
      <c r="G28" s="457"/>
    </row>
    <row r="29" spans="1:7" ht="15" thickBot="1">
      <c r="A29" s="200" t="s">
        <v>261</v>
      </c>
      <c r="B29" s="200"/>
      <c r="C29" s="445" t="s">
        <v>528</v>
      </c>
      <c r="D29" s="473">
        <f>D25+D26+D27+D28</f>
        <v>3200115</v>
      </c>
      <c r="E29" s="473">
        <f>E25+E26+E27+E28</f>
        <v>1934747</v>
      </c>
      <c r="F29" s="473">
        <f>F25+F26+F27+F28</f>
        <v>1265368</v>
      </c>
      <c r="G29" s="473">
        <f>G25+G26+G27+G28</f>
        <v>0</v>
      </c>
    </row>
    <row r="30" spans="1:7" ht="16.5" thickBot="1">
      <c r="A30" s="481" t="s">
        <v>268</v>
      </c>
      <c r="B30" s="200"/>
      <c r="C30" s="446" t="s">
        <v>529</v>
      </c>
      <c r="D30" s="473">
        <f>D23+D29</f>
        <v>162158056</v>
      </c>
      <c r="E30" s="473">
        <f>E23+E29</f>
        <v>157400973</v>
      </c>
      <c r="F30" s="473">
        <f>F23+F29</f>
        <v>4757083</v>
      </c>
      <c r="G30" s="473">
        <f>G23+G29</f>
        <v>0</v>
      </c>
    </row>
  </sheetData>
  <sheetProtection/>
  <mergeCells count="12">
    <mergeCell ref="A9:A12"/>
    <mergeCell ref="B9:B12"/>
    <mergeCell ref="C9:C12"/>
    <mergeCell ref="D9:D12"/>
    <mergeCell ref="E9:G9"/>
    <mergeCell ref="E11:G12"/>
    <mergeCell ref="C3:G3"/>
    <mergeCell ref="C7:G7"/>
    <mergeCell ref="B2:G2"/>
    <mergeCell ref="B4:G4"/>
    <mergeCell ref="B5:G5"/>
    <mergeCell ref="B6:G6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9"/>
  <sheetViews>
    <sheetView zoomScalePageLayoutView="0" workbookViewId="0" topLeftCell="A1">
      <selection activeCell="B1" sqref="B1:T1"/>
    </sheetView>
  </sheetViews>
  <sheetFormatPr defaultColWidth="9.00390625" defaultRowHeight="12.75"/>
  <cols>
    <col min="1" max="1" width="4.75390625" style="10" customWidth="1"/>
    <col min="2" max="2" width="9.125" style="10" customWidth="1"/>
    <col min="3" max="3" width="44.125" style="10" customWidth="1"/>
    <col min="4" max="4" width="13.00390625" style="10" customWidth="1"/>
    <col min="5" max="5" width="11.75390625" style="10" customWidth="1"/>
    <col min="6" max="6" width="10.375" style="10" customWidth="1"/>
    <col min="7" max="7" width="12.625" style="10" customWidth="1"/>
    <col min="8" max="8" width="10.375" style="10" customWidth="1"/>
    <col min="9" max="9" width="10.25390625" style="10" customWidth="1"/>
    <col min="10" max="10" width="12.25390625" style="10" customWidth="1"/>
    <col min="11" max="11" width="11.125" style="10" customWidth="1"/>
    <col min="12" max="12" width="12.25390625" style="10" customWidth="1"/>
    <col min="13" max="13" width="11.125" style="10" customWidth="1"/>
    <col min="14" max="14" width="13.375" style="10" customWidth="1"/>
    <col min="15" max="15" width="15.25390625" style="10" customWidth="1"/>
    <col min="16" max="16" width="9.875" style="10" customWidth="1"/>
    <col min="17" max="17" width="10.625" style="10" customWidth="1"/>
    <col min="18" max="18" width="11.00390625" style="10" customWidth="1"/>
    <col min="19" max="16384" width="9.125" style="10" customWidth="1"/>
  </cols>
  <sheetData>
    <row r="1" spans="2:20" ht="15.75">
      <c r="B1" s="527" t="s">
        <v>609</v>
      </c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</row>
    <row r="2" spans="2:17" ht="15.75" customHeight="1"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</row>
    <row r="3" spans="2:20" s="132" customFormat="1" ht="15.75" customHeight="1"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</row>
    <row r="4" spans="2:17" s="132" customFormat="1" ht="15.75" customHeight="1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2:20" s="132" customFormat="1" ht="15.75" customHeight="1">
      <c r="B5" s="573" t="s">
        <v>39</v>
      </c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</row>
    <row r="6" spans="2:20" s="132" customFormat="1" ht="15.75" customHeight="1">
      <c r="B6" s="573" t="s">
        <v>174</v>
      </c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</row>
    <row r="7" spans="2:20" s="132" customFormat="1" ht="15.75" customHeight="1">
      <c r="B7" s="573" t="s">
        <v>585</v>
      </c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573"/>
      <c r="O7" s="573"/>
      <c r="P7" s="573"/>
      <c r="Q7" s="573"/>
      <c r="R7" s="573"/>
      <c r="S7" s="573"/>
      <c r="T7" s="573"/>
    </row>
    <row r="8" spans="19:20" s="132" customFormat="1" ht="15.75" thickBot="1">
      <c r="S8" s="572" t="s">
        <v>464</v>
      </c>
      <c r="T8" s="572"/>
    </row>
    <row r="9" spans="1:20" s="133" customFormat="1" ht="20.25" customHeight="1" thickBot="1">
      <c r="A9" s="558" t="s">
        <v>463</v>
      </c>
      <c r="B9" s="555" t="s">
        <v>175</v>
      </c>
      <c r="C9" s="549" t="s">
        <v>176</v>
      </c>
      <c r="D9" s="552" t="s">
        <v>177</v>
      </c>
      <c r="E9" s="579" t="s">
        <v>178</v>
      </c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1"/>
      <c r="S9" s="574" t="s">
        <v>3</v>
      </c>
      <c r="T9" s="575"/>
    </row>
    <row r="10" spans="1:20" s="133" customFormat="1" ht="38.25" customHeight="1" thickBot="1">
      <c r="A10" s="559"/>
      <c r="B10" s="556"/>
      <c r="C10" s="550"/>
      <c r="D10" s="553"/>
      <c r="E10" s="567" t="s">
        <v>71</v>
      </c>
      <c r="F10" s="568"/>
      <c r="G10" s="568"/>
      <c r="H10" s="568"/>
      <c r="I10" s="568"/>
      <c r="J10" s="569"/>
      <c r="K10" s="582" t="s">
        <v>72</v>
      </c>
      <c r="L10" s="583"/>
      <c r="M10" s="583"/>
      <c r="N10" s="584"/>
      <c r="O10" s="561" t="s">
        <v>179</v>
      </c>
      <c r="P10" s="562"/>
      <c r="Q10" s="562"/>
      <c r="R10" s="563"/>
      <c r="S10" s="570" t="s">
        <v>7</v>
      </c>
      <c r="T10" s="571"/>
    </row>
    <row r="11" spans="1:20" s="133" customFormat="1" ht="21" customHeight="1" thickBot="1">
      <c r="A11" s="559"/>
      <c r="B11" s="556"/>
      <c r="C11" s="550"/>
      <c r="D11" s="553"/>
      <c r="E11" s="552" t="s">
        <v>180</v>
      </c>
      <c r="F11" s="552" t="s">
        <v>181</v>
      </c>
      <c r="G11" s="552" t="s">
        <v>182</v>
      </c>
      <c r="H11" s="552" t="s">
        <v>183</v>
      </c>
      <c r="I11" s="552" t="s">
        <v>184</v>
      </c>
      <c r="J11" s="587" t="s">
        <v>185</v>
      </c>
      <c r="K11" s="576" t="s">
        <v>186</v>
      </c>
      <c r="L11" s="576" t="s">
        <v>73</v>
      </c>
      <c r="M11" s="552" t="s">
        <v>299</v>
      </c>
      <c r="N11" s="564" t="s">
        <v>300</v>
      </c>
      <c r="O11" s="552" t="s">
        <v>436</v>
      </c>
      <c r="P11" s="552" t="s">
        <v>187</v>
      </c>
      <c r="Q11" s="552" t="s">
        <v>188</v>
      </c>
      <c r="R11" s="564" t="s">
        <v>301</v>
      </c>
      <c r="S11" s="184" t="s">
        <v>189</v>
      </c>
      <c r="T11" s="185" t="s">
        <v>190</v>
      </c>
    </row>
    <row r="12" spans="1:20" s="133" customFormat="1" ht="18.75" customHeight="1">
      <c r="A12" s="559"/>
      <c r="B12" s="556"/>
      <c r="C12" s="550"/>
      <c r="D12" s="553"/>
      <c r="E12" s="553"/>
      <c r="F12" s="553"/>
      <c r="G12" s="553"/>
      <c r="H12" s="553"/>
      <c r="I12" s="553"/>
      <c r="J12" s="588"/>
      <c r="K12" s="577"/>
      <c r="L12" s="577"/>
      <c r="M12" s="553"/>
      <c r="N12" s="565"/>
      <c r="O12" s="553"/>
      <c r="P12" s="553"/>
      <c r="Q12" s="553"/>
      <c r="R12" s="565"/>
      <c r="S12" s="585" t="s">
        <v>191</v>
      </c>
      <c r="T12" s="586"/>
    </row>
    <row r="13" spans="1:20" s="133" customFormat="1" ht="20.25" customHeight="1" thickBot="1">
      <c r="A13" s="560"/>
      <c r="B13" s="557"/>
      <c r="C13" s="551"/>
      <c r="D13" s="554"/>
      <c r="E13" s="554"/>
      <c r="F13" s="554"/>
      <c r="G13" s="554"/>
      <c r="H13" s="554"/>
      <c r="I13" s="554"/>
      <c r="J13" s="589"/>
      <c r="K13" s="578"/>
      <c r="L13" s="578"/>
      <c r="M13" s="554"/>
      <c r="N13" s="566"/>
      <c r="O13" s="554"/>
      <c r="P13" s="554"/>
      <c r="Q13" s="554"/>
      <c r="R13" s="566"/>
      <c r="S13" s="570"/>
      <c r="T13" s="571"/>
    </row>
    <row r="14" spans="1:20" s="132" customFormat="1" ht="30">
      <c r="A14" s="411" t="s">
        <v>42</v>
      </c>
      <c r="B14" s="409" t="s">
        <v>192</v>
      </c>
      <c r="C14" s="134" t="s">
        <v>193</v>
      </c>
      <c r="D14" s="372">
        <f>J14+N14+P14+Q14</f>
        <v>22822312</v>
      </c>
      <c r="E14" s="364">
        <v>13212033</v>
      </c>
      <c r="F14" s="365">
        <v>2600726</v>
      </c>
      <c r="G14" s="365">
        <v>3859180</v>
      </c>
      <c r="H14" s="365"/>
      <c r="I14" s="365">
        <v>445200</v>
      </c>
      <c r="J14" s="366">
        <f aca="true" t="shared" si="0" ref="J14:J37">SUM(E14:I14)</f>
        <v>20117139</v>
      </c>
      <c r="K14" s="367">
        <v>101600</v>
      </c>
      <c r="L14" s="367"/>
      <c r="M14" s="367">
        <v>2603573</v>
      </c>
      <c r="N14" s="368">
        <f>SUM(K14:M14)</f>
        <v>2705173</v>
      </c>
      <c r="O14" s="368"/>
      <c r="P14" s="369"/>
      <c r="Q14" s="370"/>
      <c r="R14" s="370"/>
      <c r="S14" s="415">
        <f>0.5+0.1+0.2-0.3</f>
        <v>0.5</v>
      </c>
      <c r="T14" s="416">
        <v>0.5</v>
      </c>
    </row>
    <row r="15" spans="1:20" s="132" customFormat="1" ht="15">
      <c r="A15" s="411" t="s">
        <v>25</v>
      </c>
      <c r="B15" s="357" t="s">
        <v>194</v>
      </c>
      <c r="C15" s="134" t="s">
        <v>34</v>
      </c>
      <c r="D15" s="372">
        <f aca="true" t="shared" si="1" ref="D15:D37">J15+N15+P15+Q15</f>
        <v>68150</v>
      </c>
      <c r="E15" s="364"/>
      <c r="F15" s="365"/>
      <c r="G15" s="365">
        <v>68150</v>
      </c>
      <c r="H15" s="365"/>
      <c r="I15" s="365"/>
      <c r="J15" s="366">
        <f t="shared" si="0"/>
        <v>68150</v>
      </c>
      <c r="K15" s="367"/>
      <c r="L15" s="367"/>
      <c r="M15" s="367"/>
      <c r="N15" s="368"/>
      <c r="O15" s="368"/>
      <c r="P15" s="369"/>
      <c r="Q15" s="370"/>
      <c r="R15" s="370"/>
      <c r="S15" s="417"/>
      <c r="T15" s="418"/>
    </row>
    <row r="16" spans="1:20" s="132" customFormat="1" ht="29.25" customHeight="1">
      <c r="A16" s="411" t="s">
        <v>43</v>
      </c>
      <c r="B16" s="357" t="s">
        <v>195</v>
      </c>
      <c r="C16" s="134" t="s">
        <v>196</v>
      </c>
      <c r="D16" s="372">
        <f>J16+N16+R16</f>
        <v>507808</v>
      </c>
      <c r="E16" s="364"/>
      <c r="F16" s="365"/>
      <c r="G16" s="365">
        <v>507808</v>
      </c>
      <c r="H16" s="365"/>
      <c r="I16" s="365"/>
      <c r="J16" s="366">
        <f t="shared" si="0"/>
        <v>507808</v>
      </c>
      <c r="K16" s="367"/>
      <c r="L16" s="367"/>
      <c r="M16" s="367"/>
      <c r="N16" s="368">
        <f>SUM(K16:M16)</f>
        <v>0</v>
      </c>
      <c r="O16" s="368"/>
      <c r="P16" s="369"/>
      <c r="Q16" s="370"/>
      <c r="R16" s="370"/>
      <c r="S16" s="419"/>
      <c r="T16" s="418"/>
    </row>
    <row r="17" spans="1:20" s="132" customFormat="1" ht="30" customHeight="1">
      <c r="A17" s="411" t="s">
        <v>99</v>
      </c>
      <c r="B17" s="357" t="s">
        <v>292</v>
      </c>
      <c r="C17" s="134" t="s">
        <v>293</v>
      </c>
      <c r="D17" s="372">
        <f>J17+N17+R17</f>
        <v>1449359</v>
      </c>
      <c r="E17" s="364"/>
      <c r="F17" s="365"/>
      <c r="G17" s="365"/>
      <c r="H17" s="365"/>
      <c r="I17" s="365"/>
      <c r="J17" s="366">
        <f t="shared" si="0"/>
        <v>0</v>
      </c>
      <c r="K17" s="367"/>
      <c r="L17" s="367"/>
      <c r="M17" s="367"/>
      <c r="N17" s="368">
        <f>SUM(K17:M17)</f>
        <v>0</v>
      </c>
      <c r="O17" s="368">
        <v>1449359</v>
      </c>
      <c r="P17" s="369"/>
      <c r="Q17" s="370"/>
      <c r="R17" s="370">
        <f>O17+P17+Q17</f>
        <v>1449359</v>
      </c>
      <c r="S17" s="415"/>
      <c r="T17" s="418"/>
    </row>
    <row r="18" spans="1:20" s="132" customFormat="1" ht="17.25" customHeight="1">
      <c r="A18" s="411"/>
      <c r="B18" s="357" t="s">
        <v>465</v>
      </c>
      <c r="C18" s="134" t="s">
        <v>466</v>
      </c>
      <c r="D18" s="372">
        <f>J18+N18+R18</f>
        <v>1200000</v>
      </c>
      <c r="E18" s="364"/>
      <c r="F18" s="365"/>
      <c r="G18" s="365"/>
      <c r="H18" s="365"/>
      <c r="I18" s="365">
        <v>1200000</v>
      </c>
      <c r="J18" s="366">
        <f t="shared" si="0"/>
        <v>1200000</v>
      </c>
      <c r="K18" s="367"/>
      <c r="L18" s="367"/>
      <c r="M18" s="367"/>
      <c r="N18" s="368"/>
      <c r="O18" s="368"/>
      <c r="P18" s="369"/>
      <c r="Q18" s="370"/>
      <c r="R18" s="370"/>
      <c r="S18" s="415"/>
      <c r="T18" s="418"/>
    </row>
    <row r="19" spans="1:20" s="132" customFormat="1" ht="18.75" customHeight="1">
      <c r="A19" s="494" t="s">
        <v>100</v>
      </c>
      <c r="B19" s="357" t="s">
        <v>523</v>
      </c>
      <c r="C19" s="134" t="s">
        <v>524</v>
      </c>
      <c r="D19" s="372">
        <f>J19+N19+R19</f>
        <v>0</v>
      </c>
      <c r="E19" s="364"/>
      <c r="F19" s="365"/>
      <c r="G19" s="365"/>
      <c r="H19" s="365"/>
      <c r="I19" s="365"/>
      <c r="J19" s="366">
        <f t="shared" si="0"/>
        <v>0</v>
      </c>
      <c r="K19" s="367"/>
      <c r="L19" s="367"/>
      <c r="M19" s="367"/>
      <c r="N19" s="368"/>
      <c r="O19" s="368"/>
      <c r="P19" s="369"/>
      <c r="Q19" s="370"/>
      <c r="R19" s="370"/>
      <c r="S19" s="415"/>
      <c r="T19" s="418"/>
    </row>
    <row r="20" spans="1:20" s="132" customFormat="1" ht="24.75" customHeight="1">
      <c r="A20" s="411" t="s">
        <v>106</v>
      </c>
      <c r="B20" s="357" t="s">
        <v>467</v>
      </c>
      <c r="C20" s="134" t="s">
        <v>468</v>
      </c>
      <c r="D20" s="372">
        <f>J20+N20+R20</f>
        <v>127000</v>
      </c>
      <c r="E20" s="364"/>
      <c r="F20" s="365"/>
      <c r="G20" s="365">
        <v>127000</v>
      </c>
      <c r="H20" s="365"/>
      <c r="I20" s="365"/>
      <c r="J20" s="366">
        <f t="shared" si="0"/>
        <v>127000</v>
      </c>
      <c r="K20" s="367"/>
      <c r="L20" s="367"/>
      <c r="M20" s="367"/>
      <c r="N20" s="368">
        <f>SUM(K20:M20)</f>
        <v>0</v>
      </c>
      <c r="O20" s="368"/>
      <c r="P20" s="369"/>
      <c r="Q20" s="370"/>
      <c r="R20" s="370"/>
      <c r="S20" s="415"/>
      <c r="T20" s="418"/>
    </row>
    <row r="21" spans="1:20" s="132" customFormat="1" ht="30">
      <c r="A21" s="411" t="s">
        <v>238</v>
      </c>
      <c r="B21" s="357" t="s">
        <v>197</v>
      </c>
      <c r="C21" s="134" t="s">
        <v>198</v>
      </c>
      <c r="D21" s="372">
        <f>J21+N21+P21+Q21</f>
        <v>26670</v>
      </c>
      <c r="E21" s="364"/>
      <c r="F21" s="365"/>
      <c r="G21" s="365">
        <v>26670</v>
      </c>
      <c r="H21" s="365"/>
      <c r="I21" s="365"/>
      <c r="J21" s="366">
        <f t="shared" si="0"/>
        <v>26670</v>
      </c>
      <c r="K21" s="367"/>
      <c r="L21" s="367"/>
      <c r="M21" s="367"/>
      <c r="N21" s="368">
        <f>SUM(K21:M21)</f>
        <v>0</v>
      </c>
      <c r="O21" s="368"/>
      <c r="P21" s="369"/>
      <c r="Q21" s="370"/>
      <c r="R21" s="370"/>
      <c r="S21" s="415"/>
      <c r="T21" s="418"/>
    </row>
    <row r="22" spans="1:20" s="132" customFormat="1" ht="15">
      <c r="A22" s="411" t="s">
        <v>240</v>
      </c>
      <c r="B22" s="357" t="s">
        <v>442</v>
      </c>
      <c r="C22" s="134" t="s">
        <v>443</v>
      </c>
      <c r="D22" s="372">
        <f>J22+N22+P22+Q22</f>
        <v>74676</v>
      </c>
      <c r="E22" s="364"/>
      <c r="F22" s="365"/>
      <c r="G22" s="365">
        <v>74676</v>
      </c>
      <c r="H22" s="365"/>
      <c r="I22" s="365"/>
      <c r="J22" s="366">
        <f t="shared" si="0"/>
        <v>74676</v>
      </c>
      <c r="K22" s="367"/>
      <c r="L22" s="367"/>
      <c r="M22" s="367"/>
      <c r="N22" s="368">
        <f>SUM(K22:M22)</f>
        <v>0</v>
      </c>
      <c r="O22" s="368"/>
      <c r="P22" s="369"/>
      <c r="Q22" s="370"/>
      <c r="R22" s="370"/>
      <c r="S22" s="415"/>
      <c r="T22" s="418"/>
    </row>
    <row r="23" spans="1:20" s="132" customFormat="1" ht="30">
      <c r="A23" s="411" t="s">
        <v>242</v>
      </c>
      <c r="B23" s="357" t="s">
        <v>199</v>
      </c>
      <c r="C23" s="134" t="s">
        <v>200</v>
      </c>
      <c r="D23" s="372">
        <f>J23+N23+P23+Q23</f>
        <v>6283419</v>
      </c>
      <c r="E23" s="364"/>
      <c r="F23" s="365"/>
      <c r="G23" s="365">
        <v>6283419</v>
      </c>
      <c r="H23" s="365"/>
      <c r="I23" s="365"/>
      <c r="J23" s="366">
        <f t="shared" si="0"/>
        <v>6283419</v>
      </c>
      <c r="K23" s="367"/>
      <c r="L23" s="367"/>
      <c r="M23" s="367"/>
      <c r="N23" s="368">
        <f>SUM(K23:M23)</f>
        <v>0</v>
      </c>
      <c r="O23" s="368"/>
      <c r="P23" s="369"/>
      <c r="Q23" s="370"/>
      <c r="R23" s="370"/>
      <c r="S23" s="419"/>
      <c r="T23" s="418"/>
    </row>
    <row r="24" spans="1:20" s="132" customFormat="1" ht="15">
      <c r="A24" s="411" t="s">
        <v>248</v>
      </c>
      <c r="B24" s="357" t="s">
        <v>201</v>
      </c>
      <c r="C24" s="134" t="s">
        <v>202</v>
      </c>
      <c r="D24" s="372">
        <f>J24+N24+P24+Q24</f>
        <v>1000000</v>
      </c>
      <c r="E24" s="364"/>
      <c r="F24" s="365"/>
      <c r="G24" s="365"/>
      <c r="H24" s="365"/>
      <c r="I24" s="365"/>
      <c r="J24" s="366"/>
      <c r="K24" s="367"/>
      <c r="L24" s="367"/>
      <c r="M24" s="367">
        <v>1000000</v>
      </c>
      <c r="N24" s="368">
        <f>SUM(K24:M24)</f>
        <v>1000000</v>
      </c>
      <c r="O24" s="368"/>
      <c r="P24" s="369"/>
      <c r="Q24" s="370"/>
      <c r="R24" s="370"/>
      <c r="S24" s="419"/>
      <c r="T24" s="418"/>
    </row>
    <row r="25" spans="1:20" s="132" customFormat="1" ht="15">
      <c r="A25" s="411" t="s">
        <v>250</v>
      </c>
      <c r="B25" s="357" t="s">
        <v>203</v>
      </c>
      <c r="C25" s="134" t="s">
        <v>204</v>
      </c>
      <c r="D25" s="372">
        <f t="shared" si="1"/>
        <v>1943100</v>
      </c>
      <c r="E25" s="364"/>
      <c r="F25" s="365"/>
      <c r="G25" s="365">
        <v>1943100</v>
      </c>
      <c r="H25" s="367"/>
      <c r="I25" s="365"/>
      <c r="J25" s="366">
        <f t="shared" si="0"/>
        <v>1943100</v>
      </c>
      <c r="K25" s="367"/>
      <c r="L25" s="367"/>
      <c r="M25" s="367"/>
      <c r="N25" s="368"/>
      <c r="O25" s="368"/>
      <c r="P25" s="369"/>
      <c r="Q25" s="370"/>
      <c r="R25" s="370"/>
      <c r="S25" s="419"/>
      <c r="T25" s="418"/>
    </row>
    <row r="26" spans="1:20" s="132" customFormat="1" ht="15">
      <c r="A26" s="411" t="s">
        <v>252</v>
      </c>
      <c r="B26" s="357" t="s">
        <v>205</v>
      </c>
      <c r="C26" s="134" t="s">
        <v>206</v>
      </c>
      <c r="D26" s="372">
        <f t="shared" si="1"/>
        <v>232410</v>
      </c>
      <c r="E26" s="364"/>
      <c r="F26" s="365"/>
      <c r="G26" s="365">
        <v>232410</v>
      </c>
      <c r="H26" s="367"/>
      <c r="I26" s="365"/>
      <c r="J26" s="366">
        <f t="shared" si="0"/>
        <v>232410</v>
      </c>
      <c r="K26" s="367"/>
      <c r="L26" s="367"/>
      <c r="M26" s="367"/>
      <c r="N26" s="368"/>
      <c r="O26" s="368"/>
      <c r="P26" s="369"/>
      <c r="Q26" s="370"/>
      <c r="R26" s="370"/>
      <c r="S26" s="419"/>
      <c r="T26" s="418"/>
    </row>
    <row r="27" spans="1:20" s="132" customFormat="1" ht="30">
      <c r="A27" s="411" t="s">
        <v>257</v>
      </c>
      <c r="B27" s="357" t="s">
        <v>207</v>
      </c>
      <c r="C27" s="134" t="s">
        <v>208</v>
      </c>
      <c r="D27" s="372">
        <f t="shared" si="1"/>
        <v>102088691</v>
      </c>
      <c r="E27" s="364">
        <v>1974000</v>
      </c>
      <c r="F27" s="365">
        <v>353550</v>
      </c>
      <c r="G27" s="365">
        <v>2944946</v>
      </c>
      <c r="H27" s="367"/>
      <c r="I27" s="365"/>
      <c r="J27" s="366">
        <f t="shared" si="0"/>
        <v>5272496</v>
      </c>
      <c r="K27" s="367">
        <v>9741809</v>
      </c>
      <c r="L27" s="367">
        <v>87074386</v>
      </c>
      <c r="M27" s="367"/>
      <c r="N27" s="368">
        <f>SUM(K27:M27)</f>
        <v>96816195</v>
      </c>
      <c r="O27" s="368"/>
      <c r="P27" s="369"/>
      <c r="Q27" s="370"/>
      <c r="R27" s="370"/>
      <c r="S27" s="419">
        <v>1</v>
      </c>
      <c r="T27" s="418">
        <v>1</v>
      </c>
    </row>
    <row r="28" spans="1:20" s="132" customFormat="1" ht="15">
      <c r="A28" s="411" t="s">
        <v>259</v>
      </c>
      <c r="B28" s="357" t="s">
        <v>209</v>
      </c>
      <c r="C28" s="134" t="s">
        <v>32</v>
      </c>
      <c r="D28" s="372">
        <f t="shared" si="1"/>
        <v>146050</v>
      </c>
      <c r="E28" s="364"/>
      <c r="F28" s="365"/>
      <c r="G28" s="365">
        <v>146050</v>
      </c>
      <c r="H28" s="367"/>
      <c r="I28" s="365"/>
      <c r="J28" s="366">
        <f t="shared" si="0"/>
        <v>146050</v>
      </c>
      <c r="K28" s="367"/>
      <c r="L28" s="367"/>
      <c r="M28" s="367"/>
      <c r="N28" s="368">
        <f aca="true" t="shared" si="2" ref="N28:N37">SUM(K28:M28)</f>
        <v>0</v>
      </c>
      <c r="O28" s="368"/>
      <c r="P28" s="369"/>
      <c r="Q28" s="370"/>
      <c r="R28" s="370"/>
      <c r="S28" s="419"/>
      <c r="T28" s="418"/>
    </row>
    <row r="29" spans="1:20" s="132" customFormat="1" ht="31.5" customHeight="1">
      <c r="A29" s="411" t="s">
        <v>261</v>
      </c>
      <c r="B29" s="357" t="s">
        <v>210</v>
      </c>
      <c r="C29" s="134" t="s">
        <v>211</v>
      </c>
      <c r="D29" s="372">
        <f t="shared" si="1"/>
        <v>675000</v>
      </c>
      <c r="E29" s="364"/>
      <c r="F29" s="365"/>
      <c r="G29" s="365"/>
      <c r="H29" s="365"/>
      <c r="I29" s="365">
        <v>675000</v>
      </c>
      <c r="J29" s="366">
        <f t="shared" si="0"/>
        <v>675000</v>
      </c>
      <c r="K29" s="367"/>
      <c r="L29" s="367"/>
      <c r="M29" s="367"/>
      <c r="N29" s="368">
        <f t="shared" si="2"/>
        <v>0</v>
      </c>
      <c r="O29" s="368"/>
      <c r="P29" s="369"/>
      <c r="Q29" s="370"/>
      <c r="R29" s="370"/>
      <c r="S29" s="419"/>
      <c r="T29" s="418"/>
    </row>
    <row r="30" spans="1:20" s="132" customFormat="1" ht="15">
      <c r="A30" s="411" t="s">
        <v>268</v>
      </c>
      <c r="B30" s="357" t="s">
        <v>212</v>
      </c>
      <c r="C30" s="134" t="s">
        <v>35</v>
      </c>
      <c r="D30" s="372">
        <f t="shared" si="1"/>
        <v>1097824</v>
      </c>
      <c r="E30" s="364">
        <v>725740</v>
      </c>
      <c r="F30" s="365">
        <v>128625</v>
      </c>
      <c r="G30" s="365">
        <v>63500</v>
      </c>
      <c r="H30" s="365"/>
      <c r="I30" s="365"/>
      <c r="J30" s="366">
        <f t="shared" si="0"/>
        <v>917865</v>
      </c>
      <c r="K30" s="367">
        <v>179959</v>
      </c>
      <c r="L30" s="367"/>
      <c r="M30" s="367"/>
      <c r="N30" s="368">
        <f t="shared" si="2"/>
        <v>179959</v>
      </c>
      <c r="O30" s="368"/>
      <c r="P30" s="369"/>
      <c r="Q30" s="370"/>
      <c r="R30" s="370"/>
      <c r="S30" s="419">
        <v>0.2</v>
      </c>
      <c r="T30" s="418">
        <v>0.2</v>
      </c>
    </row>
    <row r="31" spans="1:20" s="132" customFormat="1" ht="30">
      <c r="A31" s="411" t="s">
        <v>271</v>
      </c>
      <c r="B31" s="357" t="s">
        <v>437</v>
      </c>
      <c r="C31" s="134" t="s">
        <v>438</v>
      </c>
      <c r="D31" s="372">
        <f t="shared" si="1"/>
        <v>3545527</v>
      </c>
      <c r="E31" s="364">
        <v>2488610</v>
      </c>
      <c r="F31" s="365">
        <v>192937</v>
      </c>
      <c r="G31" s="365">
        <v>863980</v>
      </c>
      <c r="H31" s="365"/>
      <c r="I31" s="365"/>
      <c r="J31" s="366">
        <f>SUM(E31:I31)</f>
        <v>3545527</v>
      </c>
      <c r="K31" s="367"/>
      <c r="L31" s="367"/>
      <c r="M31" s="367"/>
      <c r="N31" s="368">
        <f t="shared" si="2"/>
        <v>0</v>
      </c>
      <c r="O31" s="368"/>
      <c r="P31" s="369"/>
      <c r="Q31" s="370"/>
      <c r="R31" s="370"/>
      <c r="S31" s="488">
        <f>0.3</f>
        <v>0.3</v>
      </c>
      <c r="T31" s="489">
        <f>S31</f>
        <v>0.3</v>
      </c>
    </row>
    <row r="32" spans="1:20" s="132" customFormat="1" ht="15">
      <c r="A32" s="411" t="s">
        <v>273</v>
      </c>
      <c r="B32" s="357" t="s">
        <v>439</v>
      </c>
      <c r="C32" s="134" t="s">
        <v>440</v>
      </c>
      <c r="D32" s="372">
        <f t="shared" si="1"/>
        <v>231500</v>
      </c>
      <c r="E32" s="364">
        <v>200000</v>
      </c>
      <c r="F32" s="365">
        <v>31500</v>
      </c>
      <c r="G32" s="365"/>
      <c r="H32" s="365"/>
      <c r="I32" s="365"/>
      <c r="J32" s="366">
        <f>SUM(E32:I32)</f>
        <v>231500</v>
      </c>
      <c r="K32" s="367"/>
      <c r="L32" s="367"/>
      <c r="M32" s="367"/>
      <c r="N32" s="368">
        <f t="shared" si="2"/>
        <v>0</v>
      </c>
      <c r="O32" s="368"/>
      <c r="P32" s="369"/>
      <c r="Q32" s="370"/>
      <c r="R32" s="370"/>
      <c r="S32" s="419"/>
      <c r="T32" s="418"/>
    </row>
    <row r="33" spans="1:20" s="132" customFormat="1" ht="15">
      <c r="A33" s="411" t="s">
        <v>345</v>
      </c>
      <c r="B33" s="357" t="s">
        <v>213</v>
      </c>
      <c r="C33" s="134" t="s">
        <v>33</v>
      </c>
      <c r="D33" s="372">
        <f t="shared" si="1"/>
        <v>120000</v>
      </c>
      <c r="E33" s="364"/>
      <c r="F33" s="365"/>
      <c r="G33" s="365"/>
      <c r="H33" s="365"/>
      <c r="I33" s="365">
        <v>120000</v>
      </c>
      <c r="J33" s="366">
        <f t="shared" si="0"/>
        <v>120000</v>
      </c>
      <c r="K33" s="367"/>
      <c r="L33" s="367"/>
      <c r="M33" s="367"/>
      <c r="N33" s="368">
        <f t="shared" si="2"/>
        <v>0</v>
      </c>
      <c r="O33" s="368"/>
      <c r="P33" s="369"/>
      <c r="Q33" s="370"/>
      <c r="R33" s="370"/>
      <c r="S33" s="419"/>
      <c r="T33" s="418"/>
    </row>
    <row r="34" spans="1:20" s="132" customFormat="1" ht="15">
      <c r="A34" s="411" t="s">
        <v>347</v>
      </c>
      <c r="B34" s="357" t="s">
        <v>214</v>
      </c>
      <c r="C34" s="134" t="s">
        <v>215</v>
      </c>
      <c r="D34" s="372">
        <f t="shared" si="1"/>
        <v>100000</v>
      </c>
      <c r="E34" s="364"/>
      <c r="F34" s="365"/>
      <c r="G34" s="365"/>
      <c r="H34" s="365"/>
      <c r="I34" s="365">
        <v>100000</v>
      </c>
      <c r="J34" s="366">
        <f t="shared" si="0"/>
        <v>100000</v>
      </c>
      <c r="K34" s="367"/>
      <c r="L34" s="367"/>
      <c r="M34" s="367"/>
      <c r="N34" s="368">
        <f t="shared" si="2"/>
        <v>0</v>
      </c>
      <c r="O34" s="368"/>
      <c r="P34" s="369"/>
      <c r="Q34" s="370"/>
      <c r="R34" s="370"/>
      <c r="S34" s="419"/>
      <c r="T34" s="418"/>
    </row>
    <row r="35" spans="1:20" s="132" customFormat="1" ht="30">
      <c r="A35" s="411" t="s">
        <v>470</v>
      </c>
      <c r="B35" s="357">
        <v>104051</v>
      </c>
      <c r="C35" s="134" t="s">
        <v>353</v>
      </c>
      <c r="D35" s="372">
        <f t="shared" si="1"/>
        <v>0</v>
      </c>
      <c r="E35" s="364"/>
      <c r="F35" s="365"/>
      <c r="G35" s="365"/>
      <c r="H35" s="365"/>
      <c r="I35" s="365"/>
      <c r="J35" s="366">
        <f t="shared" si="0"/>
        <v>0</v>
      </c>
      <c r="K35" s="367"/>
      <c r="L35" s="367"/>
      <c r="M35" s="367"/>
      <c r="N35" s="368">
        <f t="shared" si="2"/>
        <v>0</v>
      </c>
      <c r="O35" s="368"/>
      <c r="P35" s="369"/>
      <c r="Q35" s="370"/>
      <c r="R35" s="370"/>
      <c r="S35" s="419"/>
      <c r="T35" s="418"/>
    </row>
    <row r="36" spans="1:20" s="132" customFormat="1" ht="15">
      <c r="A36" s="411" t="s">
        <v>471</v>
      </c>
      <c r="B36" s="357">
        <v>107052</v>
      </c>
      <c r="C36" s="137" t="s">
        <v>217</v>
      </c>
      <c r="D36" s="372">
        <f t="shared" si="1"/>
        <v>132050</v>
      </c>
      <c r="E36" s="364"/>
      <c r="F36" s="365"/>
      <c r="G36" s="365">
        <v>132050</v>
      </c>
      <c r="H36" s="365"/>
      <c r="I36" s="365"/>
      <c r="J36" s="366">
        <f t="shared" si="0"/>
        <v>132050</v>
      </c>
      <c r="K36" s="367"/>
      <c r="L36" s="367"/>
      <c r="M36" s="367"/>
      <c r="N36" s="368">
        <f t="shared" si="2"/>
        <v>0</v>
      </c>
      <c r="O36" s="368"/>
      <c r="P36" s="369"/>
      <c r="Q36" s="370"/>
      <c r="R36" s="370"/>
      <c r="S36" s="419"/>
      <c r="T36" s="418"/>
    </row>
    <row r="37" spans="1:20" s="132" customFormat="1" ht="27.75" customHeight="1" thickBot="1">
      <c r="A37" s="411" t="s">
        <v>472</v>
      </c>
      <c r="B37" s="357">
        <v>107060</v>
      </c>
      <c r="C37" s="134" t="s">
        <v>218</v>
      </c>
      <c r="D37" s="372">
        <f t="shared" si="1"/>
        <v>2730000</v>
      </c>
      <c r="E37" s="364"/>
      <c r="F37" s="365"/>
      <c r="G37" s="365"/>
      <c r="H37" s="365">
        <v>2700000</v>
      </c>
      <c r="I37" s="365">
        <v>30000</v>
      </c>
      <c r="J37" s="366">
        <f t="shared" si="0"/>
        <v>2730000</v>
      </c>
      <c r="K37" s="367"/>
      <c r="L37" s="367"/>
      <c r="M37" s="367"/>
      <c r="N37" s="368">
        <f t="shared" si="2"/>
        <v>0</v>
      </c>
      <c r="O37" s="368"/>
      <c r="P37" s="369"/>
      <c r="Q37" s="370"/>
      <c r="R37" s="370"/>
      <c r="S37" s="415"/>
      <c r="T37" s="418"/>
    </row>
    <row r="38" spans="1:20" ht="15" thickBot="1">
      <c r="A38" s="443" t="s">
        <v>473</v>
      </c>
      <c r="B38" s="410"/>
      <c r="C38" s="201" t="s">
        <v>525</v>
      </c>
      <c r="D38" s="371">
        <f aca="true" t="shared" si="3" ref="D38:T38">SUM(D14:D37)</f>
        <v>146601546</v>
      </c>
      <c r="E38" s="371">
        <f t="shared" si="3"/>
        <v>18600383</v>
      </c>
      <c r="F38" s="371">
        <f t="shared" si="3"/>
        <v>3307338</v>
      </c>
      <c r="G38" s="371">
        <f t="shared" si="3"/>
        <v>17272939</v>
      </c>
      <c r="H38" s="371">
        <f t="shared" si="3"/>
        <v>2700000</v>
      </c>
      <c r="I38" s="371">
        <f t="shared" si="3"/>
        <v>2570200</v>
      </c>
      <c r="J38" s="371">
        <f t="shared" si="3"/>
        <v>44450860</v>
      </c>
      <c r="K38" s="371">
        <f t="shared" si="3"/>
        <v>10023368</v>
      </c>
      <c r="L38" s="371">
        <f t="shared" si="3"/>
        <v>87074386</v>
      </c>
      <c r="M38" s="371">
        <f t="shared" si="3"/>
        <v>3603573</v>
      </c>
      <c r="N38" s="371">
        <f t="shared" si="3"/>
        <v>100701327</v>
      </c>
      <c r="O38" s="371">
        <f t="shared" si="3"/>
        <v>1449359</v>
      </c>
      <c r="P38" s="371">
        <f t="shared" si="3"/>
        <v>0</v>
      </c>
      <c r="Q38" s="371">
        <f t="shared" si="3"/>
        <v>0</v>
      </c>
      <c r="R38" s="371">
        <f t="shared" si="3"/>
        <v>1449359</v>
      </c>
      <c r="S38" s="420">
        <f t="shared" si="3"/>
        <v>2</v>
      </c>
      <c r="T38" s="420">
        <f t="shared" si="3"/>
        <v>2</v>
      </c>
    </row>
    <row r="39" spans="1:20" ht="14.25">
      <c r="A39" s="484"/>
      <c r="B39" s="447"/>
      <c r="C39" s="447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9"/>
      <c r="T39" s="449"/>
    </row>
    <row r="40" spans="1:20" ht="15">
      <c r="A40" s="485" t="s">
        <v>474</v>
      </c>
      <c r="B40" s="357" t="s">
        <v>523</v>
      </c>
      <c r="C40" s="134" t="s">
        <v>524</v>
      </c>
      <c r="D40" s="429">
        <f>J40+N40+P40+Q40</f>
        <v>89479</v>
      </c>
      <c r="E40" s="486">
        <v>82280</v>
      </c>
      <c r="F40" s="486">
        <v>7199</v>
      </c>
      <c r="G40" s="486"/>
      <c r="H40" s="486"/>
      <c r="I40" s="486"/>
      <c r="J40" s="366">
        <f>SUM(E40:I40)</f>
        <v>89479</v>
      </c>
      <c r="K40" s="486"/>
      <c r="L40" s="486"/>
      <c r="M40" s="486"/>
      <c r="N40" s="486"/>
      <c r="O40" s="486"/>
      <c r="P40" s="486"/>
      <c r="Q40" s="486"/>
      <c r="R40" s="486"/>
      <c r="S40" s="487"/>
      <c r="T40" s="487"/>
    </row>
    <row r="41" spans="1:20" ht="15">
      <c r="A41" s="411" t="s">
        <v>568</v>
      </c>
      <c r="B41" s="357" t="s">
        <v>294</v>
      </c>
      <c r="C41" s="134" t="s">
        <v>295</v>
      </c>
      <c r="D41" s="429">
        <f>J41+N41+P41+Q41</f>
        <v>7798338</v>
      </c>
      <c r="E41" s="428">
        <v>3232996</v>
      </c>
      <c r="F41" s="365">
        <v>555998</v>
      </c>
      <c r="G41" s="365">
        <v>4009344</v>
      </c>
      <c r="H41" s="365"/>
      <c r="I41" s="365"/>
      <c r="J41" s="366">
        <f>SUM(E41:I41)</f>
        <v>7798338</v>
      </c>
      <c r="K41" s="367"/>
      <c r="L41" s="367"/>
      <c r="M41" s="367"/>
      <c r="N41" s="368">
        <f>SUM(K41:M41)</f>
        <v>0</v>
      </c>
      <c r="O41" s="368"/>
      <c r="P41" s="369"/>
      <c r="Q41" s="370"/>
      <c r="R41" s="370"/>
      <c r="S41" s="419">
        <v>1</v>
      </c>
      <c r="T41" s="418">
        <v>1</v>
      </c>
    </row>
    <row r="42" spans="1:20" ht="19.5" customHeight="1">
      <c r="A42" s="411" t="s">
        <v>476</v>
      </c>
      <c r="B42" s="357" t="s">
        <v>296</v>
      </c>
      <c r="C42" s="134" t="s">
        <v>297</v>
      </c>
      <c r="D42" s="430">
        <f>J42+N42+P42+Q42</f>
        <v>1876128</v>
      </c>
      <c r="E42" s="428">
        <v>746076</v>
      </c>
      <c r="F42" s="365">
        <v>128307</v>
      </c>
      <c r="G42" s="365">
        <v>1001745</v>
      </c>
      <c r="H42" s="365"/>
      <c r="I42" s="365"/>
      <c r="J42" s="366">
        <f>SUM(E42:I42)</f>
        <v>1876128</v>
      </c>
      <c r="K42" s="367"/>
      <c r="L42" s="367"/>
      <c r="M42" s="367"/>
      <c r="N42" s="368">
        <f>SUM(K42:M42)</f>
        <v>0</v>
      </c>
      <c r="O42" s="368"/>
      <c r="P42" s="369"/>
      <c r="Q42" s="370"/>
      <c r="R42" s="370"/>
      <c r="S42" s="419"/>
      <c r="T42" s="418"/>
    </row>
    <row r="43" spans="1:20" ht="15">
      <c r="A43" s="411" t="s">
        <v>505</v>
      </c>
      <c r="B43" s="357" t="s">
        <v>352</v>
      </c>
      <c r="C43" s="136" t="s">
        <v>441</v>
      </c>
      <c r="D43" s="430">
        <f>J43+N43+P43+Q43</f>
        <v>1628924</v>
      </c>
      <c r="E43" s="428">
        <v>621730</v>
      </c>
      <c r="F43" s="365">
        <v>106923</v>
      </c>
      <c r="G43" s="365">
        <v>900271</v>
      </c>
      <c r="H43" s="365"/>
      <c r="I43" s="365"/>
      <c r="J43" s="366">
        <f>SUM(E43:I43)</f>
        <v>1628924</v>
      </c>
      <c r="K43" s="367"/>
      <c r="L43" s="367"/>
      <c r="M43" s="367"/>
      <c r="N43" s="368">
        <f>SUM(K43:M43)</f>
        <v>0</v>
      </c>
      <c r="O43" s="368"/>
      <c r="P43" s="369"/>
      <c r="Q43" s="370"/>
      <c r="R43" s="370"/>
      <c r="S43" s="419"/>
      <c r="T43" s="418"/>
    </row>
    <row r="44" spans="1:20" ht="15.75" thickBot="1">
      <c r="A44" s="431" t="s">
        <v>526</v>
      </c>
      <c r="B44" s="358" t="s">
        <v>216</v>
      </c>
      <c r="C44" s="432" t="s">
        <v>351</v>
      </c>
      <c r="D44" s="433">
        <f>J44+N44+P44+Q44</f>
        <v>4163641</v>
      </c>
      <c r="E44" s="434">
        <v>1616498</v>
      </c>
      <c r="F44" s="435">
        <v>277999</v>
      </c>
      <c r="G44" s="435">
        <v>2269144</v>
      </c>
      <c r="H44" s="435"/>
      <c r="I44" s="435"/>
      <c r="J44" s="436">
        <f>SUM(E44:I44)</f>
        <v>4163641</v>
      </c>
      <c r="K44" s="437"/>
      <c r="L44" s="437"/>
      <c r="M44" s="437"/>
      <c r="N44" s="438">
        <f>SUM(K44:M44)</f>
        <v>0</v>
      </c>
      <c r="O44" s="438"/>
      <c r="P44" s="439"/>
      <c r="Q44" s="440"/>
      <c r="R44" s="440"/>
      <c r="S44" s="417">
        <v>1</v>
      </c>
      <c r="T44" s="441">
        <v>1</v>
      </c>
    </row>
    <row r="45" spans="1:20" ht="16.5" customHeight="1" thickBot="1">
      <c r="A45" s="444" t="s">
        <v>527</v>
      </c>
      <c r="B45" s="442"/>
      <c r="C45" s="445" t="s">
        <v>528</v>
      </c>
      <c r="D45" s="450">
        <f aca="true" t="shared" si="4" ref="D45:J45">D42+D43+D44+D41+D40</f>
        <v>15556510</v>
      </c>
      <c r="E45" s="450">
        <f>E42+E43+E44+E41+E40</f>
        <v>6299580</v>
      </c>
      <c r="F45" s="450">
        <f t="shared" si="4"/>
        <v>1076426</v>
      </c>
      <c r="G45" s="450">
        <f t="shared" si="4"/>
        <v>8180504</v>
      </c>
      <c r="H45" s="450">
        <f t="shared" si="4"/>
        <v>0</v>
      </c>
      <c r="I45" s="450">
        <f t="shared" si="4"/>
        <v>0</v>
      </c>
      <c r="J45" s="450">
        <f t="shared" si="4"/>
        <v>15556510</v>
      </c>
      <c r="K45" s="450">
        <f aca="true" t="shared" si="5" ref="K45:T45">K42+K43+K44+K41</f>
        <v>0</v>
      </c>
      <c r="L45" s="450">
        <f t="shared" si="5"/>
        <v>0</v>
      </c>
      <c r="M45" s="450">
        <f t="shared" si="5"/>
        <v>0</v>
      </c>
      <c r="N45" s="450">
        <f t="shared" si="5"/>
        <v>0</v>
      </c>
      <c r="O45" s="450">
        <f t="shared" si="5"/>
        <v>0</v>
      </c>
      <c r="P45" s="450">
        <f t="shared" si="5"/>
        <v>0</v>
      </c>
      <c r="Q45" s="450">
        <f t="shared" si="5"/>
        <v>0</v>
      </c>
      <c r="R45" s="450">
        <f t="shared" si="5"/>
        <v>0</v>
      </c>
      <c r="S45" s="483">
        <f t="shared" si="5"/>
        <v>2</v>
      </c>
      <c r="T45" s="483">
        <f t="shared" si="5"/>
        <v>2</v>
      </c>
    </row>
    <row r="46" spans="1:20" ht="21.75" customHeight="1" thickBot="1">
      <c r="A46" s="444" t="s">
        <v>569</v>
      </c>
      <c r="B46" s="442"/>
      <c r="C46" s="446" t="s">
        <v>529</v>
      </c>
      <c r="D46" s="450">
        <f>D38+D45</f>
        <v>162158056</v>
      </c>
      <c r="E46" s="450">
        <f aca="true" t="shared" si="6" ref="E46:T46">E38+E45</f>
        <v>24899963</v>
      </c>
      <c r="F46" s="450">
        <f t="shared" si="6"/>
        <v>4383764</v>
      </c>
      <c r="G46" s="450">
        <f t="shared" si="6"/>
        <v>25453443</v>
      </c>
      <c r="H46" s="450">
        <f t="shared" si="6"/>
        <v>2700000</v>
      </c>
      <c r="I46" s="450">
        <f t="shared" si="6"/>
        <v>2570200</v>
      </c>
      <c r="J46" s="450">
        <f t="shared" si="6"/>
        <v>60007370</v>
      </c>
      <c r="K46" s="450">
        <f t="shared" si="6"/>
        <v>10023368</v>
      </c>
      <c r="L46" s="450">
        <f t="shared" si="6"/>
        <v>87074386</v>
      </c>
      <c r="M46" s="450">
        <f t="shared" si="6"/>
        <v>3603573</v>
      </c>
      <c r="N46" s="450">
        <f t="shared" si="6"/>
        <v>100701327</v>
      </c>
      <c r="O46" s="450">
        <f t="shared" si="6"/>
        <v>1449359</v>
      </c>
      <c r="P46" s="450">
        <f t="shared" si="6"/>
        <v>0</v>
      </c>
      <c r="Q46" s="450">
        <f t="shared" si="6"/>
        <v>0</v>
      </c>
      <c r="R46" s="450">
        <f t="shared" si="6"/>
        <v>1449359</v>
      </c>
      <c r="S46" s="483">
        <f t="shared" si="6"/>
        <v>4</v>
      </c>
      <c r="T46" s="483">
        <f t="shared" si="6"/>
        <v>4</v>
      </c>
    </row>
    <row r="48" spans="4:10" ht="12.75">
      <c r="D48" s="451"/>
      <c r="J48" s="451"/>
    </row>
    <row r="49" ht="12.75">
      <c r="D49" s="451"/>
    </row>
  </sheetData>
  <sheetProtection/>
  <mergeCells count="32">
    <mergeCell ref="B1:T1"/>
    <mergeCell ref="H11:H13"/>
    <mergeCell ref="B7:T7"/>
    <mergeCell ref="Q11:Q13"/>
    <mergeCell ref="J11:J13"/>
    <mergeCell ref="P11:P13"/>
    <mergeCell ref="B2:Q2"/>
    <mergeCell ref="B3:T3"/>
    <mergeCell ref="B5:T5"/>
    <mergeCell ref="R11:R13"/>
    <mergeCell ref="S8:T8"/>
    <mergeCell ref="B6:T6"/>
    <mergeCell ref="S9:T9"/>
    <mergeCell ref="K11:K13"/>
    <mergeCell ref="E9:R9"/>
    <mergeCell ref="K10:N10"/>
    <mergeCell ref="S12:T13"/>
    <mergeCell ref="G11:G13"/>
    <mergeCell ref="L11:L13"/>
    <mergeCell ref="M11:M13"/>
    <mergeCell ref="O10:R10"/>
    <mergeCell ref="N11:N13"/>
    <mergeCell ref="O11:O13"/>
    <mergeCell ref="E10:J10"/>
    <mergeCell ref="S10:T10"/>
    <mergeCell ref="E11:E13"/>
    <mergeCell ref="C9:C13"/>
    <mergeCell ref="F11:F13"/>
    <mergeCell ref="B9:B13"/>
    <mergeCell ref="A9:A13"/>
    <mergeCell ref="I11:I13"/>
    <mergeCell ref="D9:D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46"/>
  <sheetViews>
    <sheetView zoomScalePageLayoutView="0" workbookViewId="0" topLeftCell="A1">
      <selection activeCell="B2" sqref="B2:G2"/>
    </sheetView>
  </sheetViews>
  <sheetFormatPr defaultColWidth="9.00390625" defaultRowHeight="12.75"/>
  <cols>
    <col min="1" max="1" width="4.125" style="194" customWidth="1"/>
    <col min="2" max="2" width="9.125" style="194" customWidth="1"/>
    <col min="3" max="3" width="63.125" style="194" customWidth="1"/>
    <col min="4" max="4" width="24.00390625" style="194" customWidth="1"/>
    <col min="5" max="7" width="26.25390625" style="194" customWidth="1"/>
    <col min="8" max="16384" width="9.125" style="194" customWidth="1"/>
  </cols>
  <sheetData>
    <row r="2" spans="2:7" s="186" customFormat="1" ht="15.75">
      <c r="B2" s="527" t="s">
        <v>610</v>
      </c>
      <c r="C2" s="527"/>
      <c r="D2" s="527"/>
      <c r="E2" s="527"/>
      <c r="F2" s="527"/>
      <c r="G2" s="527"/>
    </row>
    <row r="3" spans="3:7" s="82" customFormat="1" ht="15" customHeight="1">
      <c r="C3" s="525"/>
      <c r="D3" s="525"/>
      <c r="E3" s="525"/>
      <c r="F3" s="525"/>
      <c r="G3" s="525"/>
    </row>
    <row r="4" spans="4:7" s="188" customFormat="1" ht="15" customHeight="1">
      <c r="D4" s="189"/>
      <c r="E4" s="190"/>
      <c r="F4" s="190"/>
      <c r="G4" s="190"/>
    </row>
    <row r="5" spans="3:7" s="141" customFormat="1" ht="15" customHeight="1">
      <c r="C5" s="526" t="s">
        <v>39</v>
      </c>
      <c r="D5" s="526"/>
      <c r="E5" s="526"/>
      <c r="F5" s="526"/>
      <c r="G5" s="526"/>
    </row>
    <row r="6" spans="3:7" s="141" customFormat="1" ht="15.75">
      <c r="C6" s="528" t="s">
        <v>303</v>
      </c>
      <c r="D6" s="528"/>
      <c r="E6" s="528"/>
      <c r="F6" s="528"/>
      <c r="G6" s="528"/>
    </row>
    <row r="7" spans="3:7" s="141" customFormat="1" ht="15" customHeight="1">
      <c r="C7" s="526" t="s">
        <v>586</v>
      </c>
      <c r="D7" s="526"/>
      <c r="E7" s="526"/>
      <c r="F7" s="526"/>
      <c r="G7" s="526"/>
    </row>
    <row r="8" spans="3:7" s="186" customFormat="1" ht="12" customHeight="1" thickBot="1">
      <c r="C8" s="187"/>
      <c r="D8" s="191"/>
      <c r="E8" s="192"/>
      <c r="F8" s="192"/>
      <c r="G8" s="193"/>
    </row>
    <row r="9" spans="1:7" s="186" customFormat="1" ht="19.5" customHeight="1" thickBot="1">
      <c r="A9" s="591" t="s">
        <v>477</v>
      </c>
      <c r="B9" s="593" t="s">
        <v>175</v>
      </c>
      <c r="C9" s="535" t="s">
        <v>176</v>
      </c>
      <c r="D9" s="538" t="s">
        <v>304</v>
      </c>
      <c r="E9" s="541" t="s">
        <v>287</v>
      </c>
      <c r="F9" s="541"/>
      <c r="G9" s="542"/>
    </row>
    <row r="10" spans="1:7" s="186" customFormat="1" ht="33" customHeight="1" thickBot="1">
      <c r="A10" s="592"/>
      <c r="B10" s="594"/>
      <c r="C10" s="536"/>
      <c r="D10" s="539"/>
      <c r="E10" s="360" t="s">
        <v>288</v>
      </c>
      <c r="F10" s="361" t="s">
        <v>289</v>
      </c>
      <c r="G10" s="362" t="s">
        <v>290</v>
      </c>
    </row>
    <row r="11" spans="1:7" s="186" customFormat="1" ht="22.5" customHeight="1">
      <c r="A11" s="592"/>
      <c r="B11" s="594"/>
      <c r="C11" s="536"/>
      <c r="D11" s="539"/>
      <c r="E11" s="543" t="s">
        <v>291</v>
      </c>
      <c r="F11" s="544"/>
      <c r="G11" s="545"/>
    </row>
    <row r="12" spans="1:7" ht="13.5" thickBot="1">
      <c r="A12" s="592"/>
      <c r="B12" s="594"/>
      <c r="C12" s="536"/>
      <c r="D12" s="539"/>
      <c r="E12" s="595"/>
      <c r="F12" s="596"/>
      <c r="G12" s="597"/>
    </row>
    <row r="13" spans="1:7" ht="30.75" thickBot="1">
      <c r="A13" s="200" t="s">
        <v>42</v>
      </c>
      <c r="B13" s="384" t="s">
        <v>192</v>
      </c>
      <c r="C13" s="385" t="s">
        <v>193</v>
      </c>
      <c r="D13" s="396">
        <f>SUM(E13:G13)</f>
        <v>22822312</v>
      </c>
      <c r="E13" s="391">
        <v>19073318</v>
      </c>
      <c r="F13" s="386">
        <f>1145421+2603573</f>
        <v>3748994</v>
      </c>
      <c r="G13" s="387"/>
    </row>
    <row r="14" spans="1:7" ht="15">
      <c r="A14" s="363" t="s">
        <v>25</v>
      </c>
      <c r="B14" s="382" t="s">
        <v>194</v>
      </c>
      <c r="C14" s="383" t="s">
        <v>34</v>
      </c>
      <c r="D14" s="397">
        <f aca="true" t="shared" si="0" ref="D14:D34">SUM(E14:G14)</f>
        <v>68150</v>
      </c>
      <c r="E14" s="392">
        <v>68150</v>
      </c>
      <c r="F14" s="196"/>
      <c r="G14" s="197"/>
    </row>
    <row r="15" spans="1:7" ht="15">
      <c r="A15" s="359" t="s">
        <v>43</v>
      </c>
      <c r="B15" s="357" t="s">
        <v>195</v>
      </c>
      <c r="C15" s="134" t="s">
        <v>196</v>
      </c>
      <c r="D15" s="398">
        <f t="shared" si="0"/>
        <v>507808</v>
      </c>
      <c r="E15" s="393">
        <v>507808</v>
      </c>
      <c r="F15" s="198"/>
      <c r="G15" s="199"/>
    </row>
    <row r="16" spans="1:7" ht="15">
      <c r="A16" s="359" t="s">
        <v>99</v>
      </c>
      <c r="B16" s="357" t="s">
        <v>292</v>
      </c>
      <c r="C16" s="134" t="s">
        <v>293</v>
      </c>
      <c r="D16" s="398">
        <f>SUM(E16:G16)</f>
        <v>1449359</v>
      </c>
      <c r="E16" s="393">
        <v>1449359</v>
      </c>
      <c r="F16" s="198"/>
      <c r="G16" s="199"/>
    </row>
    <row r="17" spans="1:7" ht="15">
      <c r="A17" s="359" t="s">
        <v>100</v>
      </c>
      <c r="B17" s="357" t="s">
        <v>465</v>
      </c>
      <c r="C17" s="134" t="s">
        <v>466</v>
      </c>
      <c r="D17" s="398">
        <f>SUM(E17:G17)</f>
        <v>1200000</v>
      </c>
      <c r="E17" s="393">
        <v>1200000</v>
      </c>
      <c r="F17" s="198">
        <v>0</v>
      </c>
      <c r="G17" s="199"/>
    </row>
    <row r="18" spans="1:7" ht="15">
      <c r="A18" s="359" t="s">
        <v>106</v>
      </c>
      <c r="B18" s="135" t="s">
        <v>467</v>
      </c>
      <c r="C18" s="134" t="s">
        <v>468</v>
      </c>
      <c r="D18" s="398">
        <f>SUM(E18:G18)</f>
        <v>127000</v>
      </c>
      <c r="E18" s="393">
        <v>127000</v>
      </c>
      <c r="F18" s="198"/>
      <c r="G18" s="199"/>
    </row>
    <row r="19" spans="1:7" ht="27" customHeight="1">
      <c r="A19" s="359" t="s">
        <v>238</v>
      </c>
      <c r="B19" s="357" t="s">
        <v>197</v>
      </c>
      <c r="C19" s="134" t="s">
        <v>198</v>
      </c>
      <c r="D19" s="398">
        <f t="shared" si="0"/>
        <v>26670</v>
      </c>
      <c r="E19" s="393">
        <v>26670</v>
      </c>
      <c r="F19" s="198"/>
      <c r="G19" s="199"/>
    </row>
    <row r="20" spans="1:7" ht="15">
      <c r="A20" s="359" t="s">
        <v>240</v>
      </c>
      <c r="B20" s="357" t="s">
        <v>442</v>
      </c>
      <c r="C20" s="134" t="s">
        <v>443</v>
      </c>
      <c r="D20" s="398">
        <f t="shared" si="0"/>
        <v>74676</v>
      </c>
      <c r="E20" s="394">
        <v>74676</v>
      </c>
      <c r="F20" s="140"/>
      <c r="G20" s="388"/>
    </row>
    <row r="21" spans="1:7" ht="15">
      <c r="A21" s="359" t="s">
        <v>242</v>
      </c>
      <c r="B21" s="357" t="s">
        <v>199</v>
      </c>
      <c r="C21" s="134" t="s">
        <v>200</v>
      </c>
      <c r="D21" s="398">
        <f t="shared" si="0"/>
        <v>6283419</v>
      </c>
      <c r="E21" s="393">
        <v>6283419</v>
      </c>
      <c r="F21" s="198"/>
      <c r="G21" s="199"/>
    </row>
    <row r="22" spans="1:7" ht="15">
      <c r="A22" s="359" t="s">
        <v>248</v>
      </c>
      <c r="B22" s="357" t="s">
        <v>201</v>
      </c>
      <c r="C22" s="134" t="s">
        <v>202</v>
      </c>
      <c r="D22" s="398">
        <f t="shared" si="0"/>
        <v>1000000</v>
      </c>
      <c r="E22" s="393"/>
      <c r="F22" s="198">
        <v>1000000</v>
      </c>
      <c r="G22" s="199"/>
    </row>
    <row r="23" spans="1:7" ht="15">
      <c r="A23" s="359" t="s">
        <v>250</v>
      </c>
      <c r="B23" s="357" t="s">
        <v>203</v>
      </c>
      <c r="C23" s="134" t="s">
        <v>204</v>
      </c>
      <c r="D23" s="398">
        <f t="shared" si="0"/>
        <v>1943100</v>
      </c>
      <c r="E23" s="393">
        <v>1943100</v>
      </c>
      <c r="F23" s="198"/>
      <c r="G23" s="199"/>
    </row>
    <row r="24" spans="1:7" ht="15">
      <c r="A24" s="359" t="s">
        <v>252</v>
      </c>
      <c r="B24" s="357" t="s">
        <v>205</v>
      </c>
      <c r="C24" s="134" t="s">
        <v>206</v>
      </c>
      <c r="D24" s="398">
        <f t="shared" si="0"/>
        <v>232410</v>
      </c>
      <c r="E24" s="393">
        <v>232410</v>
      </c>
      <c r="F24" s="198"/>
      <c r="G24" s="199"/>
    </row>
    <row r="25" spans="1:7" ht="15">
      <c r="A25" s="359" t="s">
        <v>257</v>
      </c>
      <c r="B25" s="357" t="s">
        <v>207</v>
      </c>
      <c r="C25" s="134" t="s">
        <v>208</v>
      </c>
      <c r="D25" s="398">
        <f t="shared" si="0"/>
        <v>102088691</v>
      </c>
      <c r="E25" s="393">
        <v>102017141</v>
      </c>
      <c r="F25" s="198">
        <v>71550</v>
      </c>
      <c r="G25" s="199"/>
    </row>
    <row r="26" spans="1:7" ht="15">
      <c r="A26" s="359" t="s">
        <v>259</v>
      </c>
      <c r="B26" s="357" t="s">
        <v>209</v>
      </c>
      <c r="C26" s="134" t="s">
        <v>32</v>
      </c>
      <c r="D26" s="398">
        <f t="shared" si="0"/>
        <v>146050</v>
      </c>
      <c r="E26" s="393">
        <v>146050</v>
      </c>
      <c r="F26" s="198"/>
      <c r="G26" s="199"/>
    </row>
    <row r="27" spans="1:7" ht="15">
      <c r="A27" s="359" t="s">
        <v>261</v>
      </c>
      <c r="B27" s="357" t="s">
        <v>210</v>
      </c>
      <c r="C27" s="134" t="s">
        <v>211</v>
      </c>
      <c r="D27" s="398">
        <f t="shared" si="0"/>
        <v>675000</v>
      </c>
      <c r="E27" s="393">
        <v>675000</v>
      </c>
      <c r="F27" s="198"/>
      <c r="G27" s="199"/>
    </row>
    <row r="28" spans="1:7" ht="15">
      <c r="A28" s="359" t="s">
        <v>268</v>
      </c>
      <c r="B28" s="357" t="s">
        <v>212</v>
      </c>
      <c r="C28" s="134" t="s">
        <v>35</v>
      </c>
      <c r="D28" s="398">
        <f t="shared" si="0"/>
        <v>1097824</v>
      </c>
      <c r="E28" s="393">
        <v>1083514</v>
      </c>
      <c r="F28" s="198">
        <v>14310</v>
      </c>
      <c r="G28" s="199"/>
    </row>
    <row r="29" spans="1:7" ht="15">
      <c r="A29" s="359" t="s">
        <v>271</v>
      </c>
      <c r="B29" s="357" t="s">
        <v>437</v>
      </c>
      <c r="C29" s="134" t="s">
        <v>444</v>
      </c>
      <c r="D29" s="398">
        <f t="shared" si="0"/>
        <v>3545527</v>
      </c>
      <c r="E29" s="393">
        <v>3524062</v>
      </c>
      <c r="F29" s="198">
        <v>21465</v>
      </c>
      <c r="G29" s="199"/>
    </row>
    <row r="30" spans="1:7" ht="15">
      <c r="A30" s="359" t="s">
        <v>273</v>
      </c>
      <c r="B30" s="357" t="s">
        <v>445</v>
      </c>
      <c r="C30" s="134" t="s">
        <v>446</v>
      </c>
      <c r="D30" s="398">
        <f t="shared" si="0"/>
        <v>231500</v>
      </c>
      <c r="E30" s="393">
        <v>231500</v>
      </c>
      <c r="F30" s="198"/>
      <c r="G30" s="199"/>
    </row>
    <row r="31" spans="1:7" ht="15">
      <c r="A31" s="359" t="s">
        <v>345</v>
      </c>
      <c r="B31" s="357" t="s">
        <v>213</v>
      </c>
      <c r="C31" s="134" t="s">
        <v>33</v>
      </c>
      <c r="D31" s="398">
        <f t="shared" si="0"/>
        <v>120000</v>
      </c>
      <c r="E31" s="393"/>
      <c r="F31" s="198">
        <v>120000</v>
      </c>
      <c r="G31" s="199"/>
    </row>
    <row r="32" spans="1:7" ht="15">
      <c r="A32" s="359" t="s">
        <v>347</v>
      </c>
      <c r="B32" s="357" t="s">
        <v>214</v>
      </c>
      <c r="C32" s="134" t="s">
        <v>215</v>
      </c>
      <c r="D32" s="398">
        <f t="shared" si="0"/>
        <v>100000</v>
      </c>
      <c r="E32" s="393"/>
      <c r="F32" s="198">
        <v>100000</v>
      </c>
      <c r="G32" s="199"/>
    </row>
    <row r="33" spans="1:7" ht="15">
      <c r="A33" s="359" t="s">
        <v>470</v>
      </c>
      <c r="B33" s="357">
        <v>104051</v>
      </c>
      <c r="C33" s="137" t="s">
        <v>353</v>
      </c>
      <c r="D33" s="398">
        <f t="shared" si="0"/>
        <v>0</v>
      </c>
      <c r="E33" s="393"/>
      <c r="F33" s="198"/>
      <c r="G33" s="199"/>
    </row>
    <row r="34" spans="1:14" ht="15">
      <c r="A34" s="359" t="s">
        <v>471</v>
      </c>
      <c r="B34" s="357">
        <v>107052</v>
      </c>
      <c r="C34" s="137" t="s">
        <v>217</v>
      </c>
      <c r="D34" s="398">
        <f t="shared" si="0"/>
        <v>132050</v>
      </c>
      <c r="E34" s="395">
        <v>132050</v>
      </c>
      <c r="F34" s="140"/>
      <c r="G34" s="388"/>
      <c r="H34" s="337"/>
      <c r="I34" s="337"/>
      <c r="J34" s="338"/>
      <c r="K34" s="339"/>
      <c r="L34" s="339"/>
      <c r="M34" s="339"/>
      <c r="N34" s="338"/>
    </row>
    <row r="35" spans="1:7" ht="15.75" thickBot="1">
      <c r="A35" s="359" t="s">
        <v>472</v>
      </c>
      <c r="B35" s="357">
        <v>107060</v>
      </c>
      <c r="C35" s="134" t="s">
        <v>218</v>
      </c>
      <c r="D35" s="398">
        <f>SUM(E35:G35)</f>
        <v>2730000</v>
      </c>
      <c r="E35" s="393">
        <v>2730000</v>
      </c>
      <c r="F35" s="198"/>
      <c r="G35" s="199"/>
    </row>
    <row r="36" spans="1:7" ht="18.75" customHeight="1" thickBot="1">
      <c r="A36" s="389" t="s">
        <v>473</v>
      </c>
      <c r="B36" s="374"/>
      <c r="C36" s="390" t="s">
        <v>530</v>
      </c>
      <c r="D36" s="460">
        <f>SUM(D13:D35)</f>
        <v>146601546</v>
      </c>
      <c r="E36" s="461">
        <f>SUM(E13:E35)</f>
        <v>141525227</v>
      </c>
      <c r="F36" s="460">
        <f>SUM(F13:F35)</f>
        <v>5076319</v>
      </c>
      <c r="G36" s="460">
        <f>SUM(G13:G35)</f>
        <v>0</v>
      </c>
    </row>
    <row r="37" ht="12.75">
      <c r="A37" s="336"/>
    </row>
    <row r="38" spans="1:7" ht="15">
      <c r="A38" s="452" t="s">
        <v>474</v>
      </c>
      <c r="B38" s="357" t="s">
        <v>523</v>
      </c>
      <c r="C38" s="134" t="s">
        <v>524</v>
      </c>
      <c r="D38" s="398">
        <f>SUM(E38:G38)</f>
        <v>89479</v>
      </c>
      <c r="E38" s="393">
        <v>89479</v>
      </c>
      <c r="F38" s="490"/>
      <c r="G38" s="490"/>
    </row>
    <row r="39" spans="1:7" ht="15">
      <c r="A39" s="359" t="s">
        <v>475</v>
      </c>
      <c r="B39" s="357" t="s">
        <v>294</v>
      </c>
      <c r="C39" s="134" t="s">
        <v>295</v>
      </c>
      <c r="D39" s="398">
        <f>SUM(E39:G39)</f>
        <v>7798338</v>
      </c>
      <c r="E39" s="393">
        <v>7737176</v>
      </c>
      <c r="F39" s="198">
        <v>61162</v>
      </c>
      <c r="G39" s="199"/>
    </row>
    <row r="40" spans="1:7" ht="15">
      <c r="A40" s="359" t="s">
        <v>476</v>
      </c>
      <c r="B40" s="357" t="s">
        <v>296</v>
      </c>
      <c r="C40" s="134" t="s">
        <v>297</v>
      </c>
      <c r="D40" s="398">
        <f>SUM(E40:G40)</f>
        <v>1876128</v>
      </c>
      <c r="E40" s="393"/>
      <c r="F40" s="198">
        <v>1876128</v>
      </c>
      <c r="G40" s="199"/>
    </row>
    <row r="41" spans="1:7" ht="15">
      <c r="A41" s="359" t="s">
        <v>505</v>
      </c>
      <c r="B41" s="357" t="s">
        <v>296</v>
      </c>
      <c r="C41" s="134" t="s">
        <v>532</v>
      </c>
      <c r="D41" s="398">
        <f>SUM(E41:G41)</f>
        <v>1628924</v>
      </c>
      <c r="E41" s="393"/>
      <c r="F41" s="198">
        <v>1628924</v>
      </c>
      <c r="G41" s="199"/>
    </row>
    <row r="42" spans="1:7" ht="15.75" thickBot="1">
      <c r="A42" s="452" t="s">
        <v>526</v>
      </c>
      <c r="B42" s="358" t="s">
        <v>216</v>
      </c>
      <c r="C42" s="453" t="s">
        <v>531</v>
      </c>
      <c r="D42" s="454">
        <f>SUM(E42:G42)</f>
        <v>4163641</v>
      </c>
      <c r="E42" s="455">
        <v>4133060</v>
      </c>
      <c r="F42" s="456">
        <v>30581</v>
      </c>
      <c r="G42" s="457"/>
    </row>
    <row r="43" spans="1:7" ht="18" customHeight="1" thickBot="1">
      <c r="A43" s="458" t="s">
        <v>527</v>
      </c>
      <c r="B43" s="458"/>
      <c r="C43" s="445" t="s">
        <v>528</v>
      </c>
      <c r="D43" s="459">
        <f>D39+D40+D41+D42+D38</f>
        <v>15556510</v>
      </c>
      <c r="E43" s="459">
        <f>E39+E40+E41+E42+E38</f>
        <v>11959715</v>
      </c>
      <c r="F43" s="459">
        <f>F39+F40+F41+F42</f>
        <v>3596795</v>
      </c>
      <c r="G43" s="459">
        <f>G39+G40+G41+G42</f>
        <v>0</v>
      </c>
    </row>
    <row r="44" spans="1:7" ht="24.75" customHeight="1" thickBot="1">
      <c r="A44" s="458" t="s">
        <v>569</v>
      </c>
      <c r="B44" s="458"/>
      <c r="C44" s="446" t="s">
        <v>529</v>
      </c>
      <c r="D44" s="459">
        <f>D36+D43</f>
        <v>162158056</v>
      </c>
      <c r="E44" s="459">
        <f>E36+E43</f>
        <v>153484942</v>
      </c>
      <c r="F44" s="459">
        <f>F36+F43</f>
        <v>8673114</v>
      </c>
      <c r="G44" s="459">
        <f>G36+G43</f>
        <v>0</v>
      </c>
    </row>
    <row r="46" ht="12.75">
      <c r="D46" s="491"/>
    </row>
  </sheetData>
  <sheetProtection/>
  <mergeCells count="11">
    <mergeCell ref="E11:G12"/>
    <mergeCell ref="C3:G3"/>
    <mergeCell ref="C5:G5"/>
    <mergeCell ref="C6:G6"/>
    <mergeCell ref="C7:G7"/>
    <mergeCell ref="B2:G2"/>
    <mergeCell ref="A9:A12"/>
    <mergeCell ref="B9:B12"/>
    <mergeCell ref="C9:C12"/>
    <mergeCell ref="D9:D12"/>
    <mergeCell ref="E9:G9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U39"/>
  <sheetViews>
    <sheetView zoomScalePageLayoutView="0" workbookViewId="0" topLeftCell="A1">
      <selection activeCell="I35" sqref="I35"/>
    </sheetView>
  </sheetViews>
  <sheetFormatPr defaultColWidth="9.00390625" defaultRowHeight="12.75"/>
  <cols>
    <col min="1" max="2" width="9.125" style="11" customWidth="1"/>
    <col min="3" max="3" width="23.125" style="11" customWidth="1"/>
    <col min="4" max="4" width="17.375" style="11" customWidth="1"/>
    <col min="5" max="5" width="14.375" style="11" customWidth="1"/>
    <col min="6" max="6" width="17.125" style="11" customWidth="1"/>
    <col min="7" max="16384" width="9.125" style="11" customWidth="1"/>
  </cols>
  <sheetData>
    <row r="1" spans="1:10" ht="15.75">
      <c r="A1" s="527" t="s">
        <v>611</v>
      </c>
      <c r="B1" s="527"/>
      <c r="C1" s="527"/>
      <c r="D1" s="527"/>
      <c r="E1" s="527"/>
      <c r="F1" s="527"/>
      <c r="G1" s="105"/>
      <c r="H1" s="105"/>
      <c r="I1" s="105"/>
      <c r="J1" s="105"/>
    </row>
    <row r="2" spans="1:6" ht="15">
      <c r="A2" s="607"/>
      <c r="B2" s="607"/>
      <c r="C2" s="607"/>
      <c r="D2" s="607"/>
      <c r="E2" s="607"/>
      <c r="F2" s="607"/>
    </row>
    <row r="3" spans="1:6" ht="15">
      <c r="A3" s="607"/>
      <c r="B3" s="607"/>
      <c r="C3" s="607"/>
      <c r="D3" s="607"/>
      <c r="E3" s="607"/>
      <c r="F3" s="607"/>
    </row>
    <row r="4" ht="12.75" customHeight="1"/>
    <row r="5" spans="1:6" s="21" customFormat="1" ht="15.75">
      <c r="A5" s="608" t="s">
        <v>4</v>
      </c>
      <c r="B5" s="608"/>
      <c r="C5" s="608"/>
      <c r="D5" s="608"/>
      <c r="E5" s="608"/>
      <c r="F5" s="608"/>
    </row>
    <row r="6" spans="1:6" s="21" customFormat="1" ht="15.75">
      <c r="A6" s="608" t="s">
        <v>447</v>
      </c>
      <c r="B6" s="608"/>
      <c r="C6" s="608"/>
      <c r="D6" s="608"/>
      <c r="E6" s="608"/>
      <c r="F6" s="608"/>
    </row>
    <row r="7" spans="1:6" ht="15">
      <c r="A7" s="607" t="s">
        <v>587</v>
      </c>
      <c r="B7" s="607"/>
      <c r="C7" s="607"/>
      <c r="D7" s="607"/>
      <c r="E7" s="607"/>
      <c r="F7" s="607"/>
    </row>
    <row r="8" ht="15">
      <c r="F8" s="138" t="s">
        <v>460</v>
      </c>
    </row>
    <row r="9" spans="1:6" ht="15">
      <c r="A9" s="598" t="s">
        <v>0</v>
      </c>
      <c r="B9" s="599"/>
      <c r="C9" s="599"/>
      <c r="D9" s="599"/>
      <c r="E9" s="600"/>
      <c r="F9" s="612" t="s">
        <v>10</v>
      </c>
    </row>
    <row r="10" spans="1:6" ht="15">
      <c r="A10" s="601"/>
      <c r="B10" s="602"/>
      <c r="C10" s="602"/>
      <c r="D10" s="602"/>
      <c r="E10" s="603"/>
      <c r="F10" s="613"/>
    </row>
    <row r="11" spans="1:6" ht="15">
      <c r="A11" s="604"/>
      <c r="B11" s="605"/>
      <c r="C11" s="605"/>
      <c r="D11" s="605"/>
      <c r="E11" s="606"/>
      <c r="F11" s="614"/>
    </row>
    <row r="12" spans="1:6" ht="15">
      <c r="A12" s="13" t="s">
        <v>219</v>
      </c>
      <c r="E12" s="22"/>
      <c r="F12" s="23"/>
    </row>
    <row r="13" spans="1:2" s="13" customFormat="1" ht="15">
      <c r="A13" s="138"/>
      <c r="B13" s="11"/>
    </row>
    <row r="14" spans="1:5" ht="29.25" customHeight="1">
      <c r="A14" s="138"/>
      <c r="B14" s="508" t="s">
        <v>220</v>
      </c>
      <c r="C14" s="508"/>
      <c r="D14" s="508"/>
      <c r="E14" s="508"/>
    </row>
    <row r="15" spans="1:6" ht="15.75">
      <c r="A15" s="139" t="s">
        <v>42</v>
      </c>
      <c r="B15" s="15" t="s">
        <v>577</v>
      </c>
      <c r="F15" s="52">
        <v>74200</v>
      </c>
    </row>
    <row r="16" spans="1:6" ht="15">
      <c r="A16" s="12" t="s">
        <v>25</v>
      </c>
      <c r="B16" s="11" t="s">
        <v>26</v>
      </c>
      <c r="F16" s="52">
        <v>222600</v>
      </c>
    </row>
    <row r="17" spans="1:6" ht="15">
      <c r="A17" s="12" t="s">
        <v>43</v>
      </c>
      <c r="B17" s="11" t="s">
        <v>594</v>
      </c>
      <c r="F17" s="52">
        <v>148400</v>
      </c>
    </row>
    <row r="18" spans="1:6" ht="15.75">
      <c r="A18" s="12" t="s">
        <v>99</v>
      </c>
      <c r="B18" s="14" t="s">
        <v>515</v>
      </c>
      <c r="F18" s="52">
        <v>100000</v>
      </c>
    </row>
    <row r="19" spans="1:6" ht="37.5" customHeight="1">
      <c r="A19" s="462" t="s">
        <v>100</v>
      </c>
      <c r="B19" s="615" t="s">
        <v>533</v>
      </c>
      <c r="C19" s="610"/>
      <c r="D19" s="610"/>
      <c r="E19" s="610"/>
      <c r="F19" s="52">
        <v>1200000</v>
      </c>
    </row>
    <row r="20" ht="13.5" customHeight="1">
      <c r="F20" s="52"/>
    </row>
    <row r="21" spans="1:6" ht="33.75" customHeight="1">
      <c r="A21" s="13"/>
      <c r="B21" s="508" t="s">
        <v>221</v>
      </c>
      <c r="C21" s="508"/>
      <c r="D21" s="508"/>
      <c r="E21" s="508"/>
      <c r="F21" s="53">
        <f>SUM(F15:F20)</f>
        <v>1745200</v>
      </c>
    </row>
    <row r="22" ht="13.5" customHeight="1">
      <c r="F22" s="52"/>
    </row>
    <row r="23" spans="1:6" ht="33" customHeight="1">
      <c r="A23" s="13"/>
      <c r="B23" s="508" t="s">
        <v>222</v>
      </c>
      <c r="C23" s="508"/>
      <c r="D23" s="508"/>
      <c r="E23" s="508"/>
      <c r="F23" s="52"/>
    </row>
    <row r="24" spans="1:6" ht="13.5" customHeight="1">
      <c r="A24" s="12"/>
      <c r="F24" s="52"/>
    </row>
    <row r="25" spans="1:255" ht="15.75">
      <c r="A25" s="12" t="s">
        <v>42</v>
      </c>
      <c r="B25" s="17" t="s">
        <v>24</v>
      </c>
      <c r="C25" s="17"/>
      <c r="D25" s="17"/>
      <c r="E25" s="17"/>
      <c r="F25" s="52">
        <v>40000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</row>
    <row r="26" spans="1:255" ht="15.75">
      <c r="A26" s="12" t="s">
        <v>25</v>
      </c>
      <c r="B26" s="17" t="s">
        <v>578</v>
      </c>
      <c r="C26" s="17"/>
      <c r="D26" s="17"/>
      <c r="E26" s="17"/>
      <c r="F26" s="52">
        <v>40000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</row>
    <row r="27" spans="1:255" ht="15.75">
      <c r="A27" s="12" t="s">
        <v>43</v>
      </c>
      <c r="B27" s="17" t="s">
        <v>579</v>
      </c>
      <c r="C27" s="17"/>
      <c r="D27" s="17"/>
      <c r="E27" s="17"/>
      <c r="F27" s="52">
        <v>40000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</row>
    <row r="28" spans="1:255" ht="15.75">
      <c r="A28" s="12" t="s">
        <v>99</v>
      </c>
      <c r="B28" s="17" t="s">
        <v>45</v>
      </c>
      <c r="C28" s="17"/>
      <c r="D28" s="17"/>
      <c r="E28" s="17"/>
      <c r="F28" s="52">
        <v>75000</v>
      </c>
      <c r="G28" s="6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</row>
    <row r="29" spans="1:6" ht="13.5" customHeight="1">
      <c r="A29" s="12" t="s">
        <v>100</v>
      </c>
      <c r="B29" s="17" t="s">
        <v>74</v>
      </c>
      <c r="F29" s="52">
        <v>600000</v>
      </c>
    </row>
    <row r="30" spans="1:6" ht="13.5" customHeight="1">
      <c r="A30" s="493" t="s">
        <v>106</v>
      </c>
      <c r="B30" s="11" t="s">
        <v>580</v>
      </c>
      <c r="F30" s="52">
        <v>30000</v>
      </c>
    </row>
    <row r="31" spans="1:8" ht="32.25" customHeight="1">
      <c r="A31" s="13"/>
      <c r="B31" s="508" t="s">
        <v>223</v>
      </c>
      <c r="C31" s="508"/>
      <c r="D31" s="508"/>
      <c r="E31" s="508"/>
      <c r="F31" s="53">
        <f>SUM(F24:F30)</f>
        <v>825000</v>
      </c>
      <c r="G31" s="16"/>
      <c r="H31" s="16"/>
    </row>
    <row r="32" spans="1:8" ht="6.75" customHeight="1">
      <c r="A32" s="13"/>
      <c r="F32" s="52"/>
      <c r="G32" s="16"/>
      <c r="H32" s="16"/>
    </row>
    <row r="33" spans="1:7" s="18" customFormat="1" ht="15.75">
      <c r="A33" s="13" t="s">
        <v>224</v>
      </c>
      <c r="F33" s="53">
        <f>F31+F21</f>
        <v>2570200</v>
      </c>
      <c r="G33" s="19"/>
    </row>
    <row r="34" spans="1:7" s="18" customFormat="1" ht="15.75">
      <c r="A34" s="13"/>
      <c r="F34" s="53"/>
      <c r="G34" s="19"/>
    </row>
    <row r="35" spans="1:7" s="18" customFormat="1" ht="28.5" customHeight="1">
      <c r="A35" s="54"/>
      <c r="B35" s="609" t="s">
        <v>582</v>
      </c>
      <c r="C35" s="616"/>
      <c r="D35" s="616"/>
      <c r="E35" s="616"/>
      <c r="F35" s="52"/>
      <c r="G35" s="19"/>
    </row>
    <row r="36" spans="1:7" s="18" customFormat="1" ht="37.5" customHeight="1">
      <c r="A36" s="412" t="s">
        <v>259</v>
      </c>
      <c r="B36" s="611" t="s">
        <v>592</v>
      </c>
      <c r="C36" s="610"/>
      <c r="D36" s="610"/>
      <c r="E36" s="610"/>
      <c r="F36" s="52">
        <v>650894</v>
      </c>
      <c r="G36" s="19"/>
    </row>
    <row r="37" spans="1:6" s="20" customFormat="1" ht="39" customHeight="1">
      <c r="A37" s="412" t="s">
        <v>261</v>
      </c>
      <c r="B37" s="611" t="s">
        <v>593</v>
      </c>
      <c r="C37" s="610"/>
      <c r="D37" s="610"/>
      <c r="E37" s="610"/>
      <c r="F37" s="52">
        <v>1952679</v>
      </c>
    </row>
    <row r="38" ht="6" customHeight="1"/>
    <row r="39" spans="1:6" ht="52.5" customHeight="1">
      <c r="A39" s="609" t="s">
        <v>583</v>
      </c>
      <c r="B39" s="610"/>
      <c r="C39" s="610"/>
      <c r="D39" s="610"/>
      <c r="E39" s="610"/>
      <c r="F39" s="495">
        <f>F36+F37</f>
        <v>2603573</v>
      </c>
    </row>
  </sheetData>
  <sheetProtection/>
  <mergeCells count="17">
    <mergeCell ref="A39:E39"/>
    <mergeCell ref="B36:E36"/>
    <mergeCell ref="B37:E37"/>
    <mergeCell ref="B14:E14"/>
    <mergeCell ref="B21:E21"/>
    <mergeCell ref="F9:F11"/>
    <mergeCell ref="B19:E19"/>
    <mergeCell ref="B35:E35"/>
    <mergeCell ref="B23:E23"/>
    <mergeCell ref="B31:E31"/>
    <mergeCell ref="A9:E11"/>
    <mergeCell ref="A1:F1"/>
    <mergeCell ref="A2:F2"/>
    <mergeCell ref="A3:F3"/>
    <mergeCell ref="A5:F5"/>
    <mergeCell ref="A7:F7"/>
    <mergeCell ref="A6:F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37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4.125" style="39" customWidth="1"/>
    <col min="2" max="2" width="67.875" style="39" customWidth="1"/>
    <col min="3" max="3" width="18.00390625" style="39" customWidth="1"/>
    <col min="4" max="16384" width="9.125" style="39" customWidth="1"/>
  </cols>
  <sheetData>
    <row r="1" spans="2:4" ht="15.75">
      <c r="B1" s="527" t="s">
        <v>612</v>
      </c>
      <c r="C1" s="527"/>
      <c r="D1" s="105"/>
    </row>
    <row r="2" spans="2:4" ht="15">
      <c r="B2" s="106"/>
      <c r="C2" s="106"/>
      <c r="D2" s="105"/>
    </row>
    <row r="3" spans="2:3" ht="15.75" customHeight="1">
      <c r="B3" s="617"/>
      <c r="C3" s="617"/>
    </row>
    <row r="4" spans="2:3" ht="15">
      <c r="B4" s="40"/>
      <c r="C4" s="40"/>
    </row>
    <row r="5" spans="2:3" s="14" customFormat="1" ht="15.75" customHeight="1">
      <c r="B5" s="618" t="s">
        <v>37</v>
      </c>
      <c r="C5" s="618"/>
    </row>
    <row r="6" spans="2:6" s="21" customFormat="1" ht="15.75">
      <c r="B6" s="608" t="s">
        <v>38</v>
      </c>
      <c r="C6" s="608"/>
      <c r="D6" s="55"/>
      <c r="E6" s="55"/>
      <c r="F6" s="55"/>
    </row>
    <row r="7" spans="2:6" s="11" customFormat="1" ht="15">
      <c r="B7" s="607" t="s">
        <v>588</v>
      </c>
      <c r="C7" s="607"/>
      <c r="D7" s="54"/>
      <c r="E7" s="54"/>
      <c r="F7" s="54"/>
    </row>
    <row r="8" ht="15.75" customHeight="1" thickBot="1">
      <c r="C8" s="41"/>
    </row>
    <row r="9" spans="1:3" ht="15" customHeight="1">
      <c r="A9" s="619" t="s">
        <v>463</v>
      </c>
      <c r="B9" s="42"/>
      <c r="C9" s="43" t="s">
        <v>18</v>
      </c>
    </row>
    <row r="10" spans="1:3" ht="15.75" customHeight="1">
      <c r="A10" s="620"/>
      <c r="B10" s="44" t="s">
        <v>0</v>
      </c>
      <c r="C10" s="45"/>
    </row>
    <row r="11" spans="1:3" ht="15.75" thickBot="1">
      <c r="A11" s="621"/>
      <c r="B11" s="46"/>
      <c r="C11" s="47" t="s">
        <v>9</v>
      </c>
    </row>
    <row r="12" ht="11.25" customHeight="1"/>
    <row r="13" ht="11.25" customHeight="1">
      <c r="C13" s="52"/>
    </row>
    <row r="14" spans="1:3" ht="15">
      <c r="A14" s="39" t="s">
        <v>42</v>
      </c>
      <c r="B14" s="48" t="s">
        <v>27</v>
      </c>
      <c r="C14" s="52"/>
    </row>
    <row r="15" spans="2:3" ht="15">
      <c r="B15" s="48" t="s">
        <v>8</v>
      </c>
      <c r="C15" s="52"/>
    </row>
    <row r="16" spans="1:3" ht="28.5" customHeight="1">
      <c r="A16" s="412" t="s">
        <v>25</v>
      </c>
      <c r="B16" s="182" t="s">
        <v>357</v>
      </c>
      <c r="C16" s="53"/>
    </row>
    <row r="17" spans="1:3" ht="28.5" customHeight="1">
      <c r="A17" s="412"/>
      <c r="B17" s="182"/>
      <c r="C17" s="52"/>
    </row>
    <row r="18" spans="1:3" ht="15">
      <c r="A18" s="412" t="s">
        <v>43</v>
      </c>
      <c r="B18" s="39" t="s">
        <v>75</v>
      </c>
      <c r="C18" s="52">
        <v>400000</v>
      </c>
    </row>
    <row r="19" spans="1:3" ht="30">
      <c r="A19" s="412" t="s">
        <v>99</v>
      </c>
      <c r="B19" s="182" t="s">
        <v>354</v>
      </c>
      <c r="C19" s="52">
        <v>250000</v>
      </c>
    </row>
    <row r="20" spans="1:3" ht="15">
      <c r="A20" s="412" t="s">
        <v>100</v>
      </c>
      <c r="B20" s="182" t="s">
        <v>355</v>
      </c>
      <c r="C20" s="52">
        <v>400000</v>
      </c>
    </row>
    <row r="21" spans="1:3" ht="15">
      <c r="A21" s="412" t="s">
        <v>106</v>
      </c>
      <c r="B21" s="182" t="s">
        <v>356</v>
      </c>
      <c r="C21" s="52">
        <v>240000</v>
      </c>
    </row>
    <row r="23" spans="1:3" ht="15">
      <c r="A23" s="412" t="s">
        <v>238</v>
      </c>
      <c r="B23" s="39" t="s">
        <v>79</v>
      </c>
      <c r="C23" s="52">
        <v>210000</v>
      </c>
    </row>
    <row r="24" spans="1:3" ht="14.25" customHeight="1">
      <c r="A24" s="412" t="s">
        <v>240</v>
      </c>
      <c r="B24" s="39" t="s">
        <v>581</v>
      </c>
      <c r="C24" s="52">
        <v>1200000</v>
      </c>
    </row>
    <row r="25" spans="1:3" ht="15">
      <c r="A25" s="412" t="s">
        <v>242</v>
      </c>
      <c r="B25" s="48" t="s">
        <v>27</v>
      </c>
      <c r="C25" s="52"/>
    </row>
    <row r="26" spans="1:3" ht="15">
      <c r="A26" s="412"/>
      <c r="B26" s="48" t="s">
        <v>28</v>
      </c>
      <c r="C26" s="53">
        <f>SUM(C18:C25)</f>
        <v>2700000</v>
      </c>
    </row>
    <row r="27" spans="1:3" ht="11.25" customHeight="1">
      <c r="A27" s="412"/>
      <c r="C27" s="52"/>
    </row>
    <row r="28" spans="1:3" ht="15">
      <c r="A28" s="412" t="s">
        <v>248</v>
      </c>
      <c r="B28" s="48" t="s">
        <v>29</v>
      </c>
      <c r="C28" s="53">
        <f>C26+C16</f>
        <v>2700000</v>
      </c>
    </row>
    <row r="29" spans="1:3" ht="15">
      <c r="A29" s="412"/>
      <c r="B29" s="48"/>
      <c r="C29" s="53"/>
    </row>
    <row r="30" spans="1:5" ht="13.5" customHeight="1">
      <c r="A30" s="412"/>
      <c r="B30" s="14"/>
      <c r="C30" s="14"/>
      <c r="D30" s="11"/>
      <c r="E30" s="52"/>
    </row>
    <row r="31" spans="1:3" s="48" customFormat="1" ht="14.25">
      <c r="A31" s="413" t="s">
        <v>252</v>
      </c>
      <c r="B31" s="48" t="s">
        <v>278</v>
      </c>
      <c r="C31" s="53"/>
    </row>
    <row r="32" spans="1:3" ht="11.25" customHeight="1">
      <c r="A32" s="412"/>
      <c r="C32" s="52"/>
    </row>
    <row r="33" spans="1:3" ht="30" customHeight="1">
      <c r="A33" s="412" t="s">
        <v>257</v>
      </c>
      <c r="B33" s="182" t="s">
        <v>279</v>
      </c>
      <c r="C33" s="52">
        <v>1000000</v>
      </c>
    </row>
    <row r="34" spans="1:3" ht="18.75" customHeight="1">
      <c r="A34" s="412" t="s">
        <v>259</v>
      </c>
      <c r="B34" s="48" t="s">
        <v>280</v>
      </c>
      <c r="C34" s="53">
        <f>C33</f>
        <v>1000000</v>
      </c>
    </row>
    <row r="35" spans="1:3" ht="11.25" customHeight="1">
      <c r="A35" s="412"/>
      <c r="C35" s="52"/>
    </row>
    <row r="36" spans="1:3" s="49" customFormat="1" ht="16.5">
      <c r="A36" s="496" t="s">
        <v>261</v>
      </c>
      <c r="B36" s="497" t="s">
        <v>30</v>
      </c>
      <c r="C36" s="50"/>
    </row>
    <row r="37" spans="1:3" s="49" customFormat="1" ht="16.5">
      <c r="A37" s="496"/>
      <c r="B37" s="497" t="s">
        <v>31</v>
      </c>
      <c r="C37" s="51">
        <f>C28+C34</f>
        <v>3700000</v>
      </c>
    </row>
  </sheetData>
  <sheetProtection/>
  <mergeCells count="6">
    <mergeCell ref="B7:C7"/>
    <mergeCell ref="B6:C6"/>
    <mergeCell ref="B3:C3"/>
    <mergeCell ref="B5:C5"/>
    <mergeCell ref="B1:C1"/>
    <mergeCell ref="A9:A11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30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6.125" style="15" customWidth="1"/>
    <col min="2" max="2" width="70.375" style="15" customWidth="1"/>
    <col min="3" max="3" width="20.00390625" style="15" customWidth="1"/>
    <col min="4" max="16384" width="9.125" style="15" customWidth="1"/>
  </cols>
  <sheetData>
    <row r="1" spans="2:5" s="202" customFormat="1" ht="15.75">
      <c r="B1" s="527" t="s">
        <v>613</v>
      </c>
      <c r="C1" s="527"/>
      <c r="D1" s="143"/>
      <c r="E1" s="405"/>
    </row>
    <row r="2" spans="2:5" s="202" customFormat="1" ht="15.75">
      <c r="B2" s="622"/>
      <c r="C2" s="622"/>
      <c r="D2" s="143"/>
      <c r="E2" s="405"/>
    </row>
    <row r="4" spans="2:5" s="204" customFormat="1" ht="18.75">
      <c r="B4" s="203" t="s">
        <v>305</v>
      </c>
      <c r="C4" s="203"/>
      <c r="D4" s="15"/>
      <c r="E4" s="15"/>
    </row>
    <row r="5" spans="2:5" s="204" customFormat="1" ht="18.75">
      <c r="B5" s="514" t="s">
        <v>306</v>
      </c>
      <c r="C5" s="514"/>
      <c r="D5" s="15"/>
      <c r="E5" s="15"/>
    </row>
    <row r="6" spans="2:5" s="204" customFormat="1" ht="18.75">
      <c r="B6" s="514" t="s">
        <v>586</v>
      </c>
      <c r="C6" s="514"/>
      <c r="D6" s="15"/>
      <c r="E6" s="15"/>
    </row>
    <row r="7" ht="16.5" thickBot="1"/>
    <row r="8" spans="1:3" ht="15.75">
      <c r="A8" s="623" t="s">
        <v>463</v>
      </c>
      <c r="B8" s="205"/>
      <c r="C8" s="206" t="s">
        <v>9</v>
      </c>
    </row>
    <row r="9" spans="1:3" ht="15.75">
      <c r="A9" s="624"/>
      <c r="B9" s="207" t="s">
        <v>307</v>
      </c>
      <c r="C9" s="207"/>
    </row>
    <row r="10" spans="1:3" ht="16.5" thickBot="1">
      <c r="A10" s="625"/>
      <c r="B10" s="208"/>
      <c r="C10" s="209" t="s">
        <v>510</v>
      </c>
    </row>
    <row r="11" spans="2:3" ht="15.75">
      <c r="B11" s="210"/>
      <c r="C11" s="211"/>
    </row>
    <row r="12" spans="1:3" ht="31.5" customHeight="1">
      <c r="A12" s="414" t="s">
        <v>42</v>
      </c>
      <c r="B12" s="406" t="s">
        <v>511</v>
      </c>
      <c r="C12" s="211"/>
    </row>
    <row r="13" spans="1:3" ht="18" customHeight="1">
      <c r="A13" s="414" t="s">
        <v>480</v>
      </c>
      <c r="B13" s="214" t="s">
        <v>448</v>
      </c>
      <c r="C13" s="213">
        <v>80000</v>
      </c>
    </row>
    <row r="14" spans="1:3" ht="18" customHeight="1">
      <c r="A14" s="414"/>
      <c r="B14" s="214" t="s">
        <v>308</v>
      </c>
      <c r="C14" s="327">
        <v>21600</v>
      </c>
    </row>
    <row r="15" spans="1:3" ht="18" customHeight="1">
      <c r="A15" s="414"/>
      <c r="B15" s="210" t="s">
        <v>2</v>
      </c>
      <c r="C15" s="215">
        <f>SUM(C13:C14)</f>
        <v>101600</v>
      </c>
    </row>
    <row r="16" spans="1:3" ht="18" customHeight="1">
      <c r="A16" s="414"/>
      <c r="B16" s="210"/>
      <c r="C16" s="215"/>
    </row>
    <row r="17" spans="1:3" ht="18" customHeight="1">
      <c r="A17" s="414" t="s">
        <v>25</v>
      </c>
      <c r="B17" s="407" t="s">
        <v>449</v>
      </c>
      <c r="C17" s="215"/>
    </row>
    <row r="18" spans="1:3" ht="18" customHeight="1">
      <c r="A18" s="414" t="s">
        <v>514</v>
      </c>
      <c r="B18" s="214" t="s">
        <v>450</v>
      </c>
      <c r="C18" s="213">
        <v>141700</v>
      </c>
    </row>
    <row r="19" spans="1:3" ht="18" customHeight="1">
      <c r="A19" s="414"/>
      <c r="B19" s="214" t="s">
        <v>308</v>
      </c>
      <c r="C19" s="328">
        <v>38259</v>
      </c>
    </row>
    <row r="20" spans="1:3" ht="18" customHeight="1">
      <c r="A20" s="414"/>
      <c r="B20" s="210" t="s">
        <v>2</v>
      </c>
      <c r="C20" s="215">
        <f>SUM(C18:C19)</f>
        <v>179959</v>
      </c>
    </row>
    <row r="21" spans="1:3" ht="18" customHeight="1">
      <c r="A21" s="414"/>
      <c r="B21" s="210"/>
      <c r="C21" s="215"/>
    </row>
    <row r="22" spans="1:3" ht="18" customHeight="1">
      <c r="A22" s="414" t="s">
        <v>43</v>
      </c>
      <c r="B22" s="407" t="s">
        <v>571</v>
      </c>
      <c r="C22" s="211"/>
    </row>
    <row r="23" spans="1:3" ht="18" customHeight="1">
      <c r="A23" s="414" t="s">
        <v>492</v>
      </c>
      <c r="B23" s="408" t="s">
        <v>572</v>
      </c>
      <c r="C23" s="326">
        <v>6096007</v>
      </c>
    </row>
    <row r="24" spans="1:3" ht="18" customHeight="1">
      <c r="A24" s="414" t="s">
        <v>597</v>
      </c>
      <c r="B24" s="408" t="s">
        <v>596</v>
      </c>
      <c r="C24" s="326">
        <v>1574709</v>
      </c>
    </row>
    <row r="25" spans="1:3" ht="18" customHeight="1">
      <c r="A25" s="414"/>
      <c r="B25" s="408"/>
      <c r="C25" s="326"/>
    </row>
    <row r="26" spans="1:3" ht="18" customHeight="1">
      <c r="A26" s="414"/>
      <c r="B26" s="214" t="s">
        <v>308</v>
      </c>
      <c r="C26" s="327">
        <f>C23*0.27+C24*0.27</f>
        <v>2071093.3200000003</v>
      </c>
    </row>
    <row r="27" spans="1:3" ht="18" customHeight="1">
      <c r="A27" s="414"/>
      <c r="B27" s="210" t="s">
        <v>2</v>
      </c>
      <c r="C27" s="215">
        <f>SUM(C23:C26)</f>
        <v>9741809.32</v>
      </c>
    </row>
    <row r="28" spans="1:3" ht="18" customHeight="1">
      <c r="A28" s="414"/>
      <c r="B28" s="210"/>
      <c r="C28" s="215"/>
    </row>
    <row r="29" spans="1:3" ht="18" customHeight="1">
      <c r="A29" s="414"/>
      <c r="B29" s="210"/>
      <c r="C29" s="212"/>
    </row>
    <row r="30" spans="1:3" ht="18" customHeight="1">
      <c r="A30" s="414" t="s">
        <v>238</v>
      </c>
      <c r="B30" s="210" t="s">
        <v>309</v>
      </c>
      <c r="C30" s="215">
        <f>C15+C20+C27</f>
        <v>10023368.32</v>
      </c>
    </row>
  </sheetData>
  <sheetProtection/>
  <mergeCells count="5">
    <mergeCell ref="B5:C5"/>
    <mergeCell ref="B6:C6"/>
    <mergeCell ref="B2:C2"/>
    <mergeCell ref="B1:C1"/>
    <mergeCell ref="A8:A10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Biróné Kálmán Andrea</cp:lastModifiedBy>
  <cp:lastPrinted>2020-02-13T12:10:02Z</cp:lastPrinted>
  <dcterms:created xsi:type="dcterms:W3CDTF">2002-11-26T17:22:50Z</dcterms:created>
  <dcterms:modified xsi:type="dcterms:W3CDTF">2020-02-13T12:14:05Z</dcterms:modified>
  <cp:category/>
  <cp:version/>
  <cp:contentType/>
  <cp:contentStatus/>
</cp:coreProperties>
</file>