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Előterjesztés 2018\"/>
    </mc:Choice>
  </mc:AlternateContent>
  <bookViews>
    <workbookView xWindow="0" yWindow="0" windowWidth="28800" windowHeight="11835" tabRatio="783" firstSheet="12" activeTab="18"/>
  </bookViews>
  <sheets>
    <sheet name="1. sz. melléklet" sheetId="1" r:id="rId1"/>
    <sheet name="2. sz. melléklet" sheetId="2" r:id="rId2"/>
    <sheet name="3. sz. melléklet" sheetId="3" r:id="rId3"/>
    <sheet name="4.sz. melléklet" sheetId="4" r:id="rId4"/>
    <sheet name="5.sz.melléklet1" sheetId="62" r:id="rId5"/>
    <sheet name="5.sz.melléklet" sheetId="59" r:id="rId6"/>
    <sheet name="6 sz. melléklet" sheetId="60" r:id="rId7"/>
    <sheet name="7. sz. melléklet " sheetId="46" r:id="rId8"/>
    <sheet name="8. sz. melléklet " sheetId="47" r:id="rId9"/>
    <sheet name="9. sz. melléklet " sheetId="48" r:id="rId10"/>
    <sheet name="10. sz. melléklet" sheetId="49" r:id="rId11"/>
    <sheet name="11. sz. melléklet " sheetId="50" r:id="rId12"/>
    <sheet name="12. melléklet" sheetId="63" r:id="rId13"/>
    <sheet name="13. sz. melléklet" sheetId="45" r:id="rId14"/>
    <sheet name="13B" sheetId="64" r:id="rId15"/>
    <sheet name="14. sz. melléklet " sheetId="51" r:id="rId16"/>
    <sheet name="15. sz. melléklet" sheetId="58" r:id="rId17"/>
    <sheet name="16. sz. melléklet " sheetId="52" r:id="rId18"/>
    <sheet name="17. sz." sheetId="65" r:id="rId19"/>
  </sheets>
  <externalReferences>
    <externalReference r:id="rId20"/>
    <externalReference r:id="rId21"/>
    <externalReference r:id="rId22"/>
    <externalReference r:id="rId23"/>
    <externalReference r:id="rId24"/>
  </externalReferences>
  <definedNames>
    <definedName name="__c" localSheetId="10">#REF!</definedName>
    <definedName name="__c" localSheetId="11">#REF!</definedName>
    <definedName name="__c" localSheetId="15">#REF!</definedName>
    <definedName name="__c" localSheetId="17">#REF!</definedName>
    <definedName name="__c" localSheetId="7">#REF!</definedName>
    <definedName name="__c" localSheetId="8">#REF!</definedName>
    <definedName name="__c" localSheetId="9">#REF!</definedName>
    <definedName name="__c">#REF!</definedName>
    <definedName name="__xlnm.Print_Titles_1">"'5. sz. melléklet - önkormányzat'[.#HIV!$4]:6"</definedName>
    <definedName name="_c" localSheetId="10">#REF!</definedName>
    <definedName name="_c" localSheetId="11">#REF!</definedName>
    <definedName name="_c" localSheetId="15">#REF!</definedName>
    <definedName name="_c" localSheetId="17">#REF!</definedName>
    <definedName name="_c" localSheetId="7">#REF!</definedName>
    <definedName name="_c" localSheetId="8">#REF!</definedName>
    <definedName name="_c" localSheetId="9">#REF!</definedName>
    <definedName name="_c">#REF!</definedName>
    <definedName name="Beszúrás" localSheetId="10">SUM(#REF!,#REF!,#REF!,#REF!,#REF!,#REF!)</definedName>
    <definedName name="Beszúrás" localSheetId="11">SUM(#REF!,#REF!,#REF!,#REF!,#REF!,#REF!)</definedName>
    <definedName name="Beszúrás" localSheetId="15">SUM(#REF!,#REF!,#REF!,#REF!,#REF!,#REF!)</definedName>
    <definedName name="Beszúrás" localSheetId="17">SUM(#REF!,#REF!,#REF!,#REF!,#REF!,#REF!)</definedName>
    <definedName name="Beszúrás" localSheetId="7">SUM(#REF!,#REF!,#REF!,#REF!,#REF!,#REF!)</definedName>
    <definedName name="Beszúrás" localSheetId="8">SUM(#REF!,#REF!,#REF!,#REF!,#REF!,#REF!)</definedName>
    <definedName name="Beszúrás" localSheetId="9">SUM(#REF!,#REF!,#REF!,#REF!,#REF!,#REF!)</definedName>
    <definedName name="Beszúrás">SUM(#REF!,#REF!,#REF!,#REF!,#REF!,#REF!)</definedName>
    <definedName name="Excel_BuiltIn__FilterDatabase_5" localSheetId="10">'[1]4. sz. melléklet'!#REF!</definedName>
    <definedName name="Excel_BuiltIn__FilterDatabase_5" localSheetId="11">'[1]4. sz. melléklet'!#REF!</definedName>
    <definedName name="Excel_BuiltIn__FilterDatabase_5" localSheetId="15">#REF!</definedName>
    <definedName name="Excel_BuiltIn__FilterDatabase_5" localSheetId="17">#REF!</definedName>
    <definedName name="Excel_BuiltIn__FilterDatabase_5" localSheetId="2">#REF!</definedName>
    <definedName name="Excel_BuiltIn__FilterDatabase_5" localSheetId="3">#REF!</definedName>
    <definedName name="Excel_BuiltIn__FilterDatabase_5" localSheetId="7">#REF!</definedName>
    <definedName name="Excel_BuiltIn__FilterDatabase_5" localSheetId="8">#REF!</definedName>
    <definedName name="Excel_BuiltIn__FilterDatabase_5" localSheetId="9">#REF!</definedName>
    <definedName name="Excel_BuiltIn__FilterDatabase_5">#REF!</definedName>
    <definedName name="Excel_BuiltIn__FilterDatabase_5_1" localSheetId="10">'[2]4. sz. melléklet'!#REF!</definedName>
    <definedName name="Excel_BuiltIn__FilterDatabase_5_1" localSheetId="11">'[2]4. sz. melléklet'!#REF!</definedName>
    <definedName name="Excel_BuiltIn__FilterDatabase_5_1" localSheetId="15">'[2]4. sz. melléklet'!#REF!</definedName>
    <definedName name="Excel_BuiltIn__FilterDatabase_5_1" localSheetId="17">'[2]4. sz. melléklet'!#REF!</definedName>
    <definedName name="Excel_BuiltIn__FilterDatabase_5_1" localSheetId="7">'[2]4. sz. melléklet'!#REF!</definedName>
    <definedName name="Excel_BuiltIn__FilterDatabase_5_1" localSheetId="8">'[2]4. sz. melléklet'!#REF!</definedName>
    <definedName name="Excel_BuiltIn__FilterDatabase_5_1" localSheetId="9">'[2]4. sz. melléklet'!#REF!</definedName>
    <definedName name="Excel_BuiltIn__FilterDatabase_5_1">'[2]4. sz. melléklet'!#REF!</definedName>
    <definedName name="Excel_BuiltIn__FilterDatabase_5_10">NA()</definedName>
    <definedName name="Excel_BuiltIn__FilterDatabase_5_11" localSheetId="10">'[3]4. sz. melléklet'!#REF!</definedName>
    <definedName name="Excel_BuiltIn__FilterDatabase_5_11" localSheetId="11">'[3]4. sz. melléklet'!#REF!</definedName>
    <definedName name="Excel_BuiltIn__FilterDatabase_5_11" localSheetId="15">'[3]4. sz. melléklet'!#REF!</definedName>
    <definedName name="Excel_BuiltIn__FilterDatabase_5_11" localSheetId="17">'[3]4. sz. melléklet'!#REF!</definedName>
    <definedName name="Excel_BuiltIn__FilterDatabase_5_11" localSheetId="7">'[3]4. sz. melléklet'!#REF!</definedName>
    <definedName name="Excel_BuiltIn__FilterDatabase_5_11" localSheetId="8">'[3]4. sz. melléklet'!#REF!</definedName>
    <definedName name="Excel_BuiltIn__FilterDatabase_5_11" localSheetId="9">'[3]4. sz. melléklet'!#REF!</definedName>
    <definedName name="Excel_BuiltIn__FilterDatabase_5_11">'[3]4. sz. melléklet'!#REF!</definedName>
    <definedName name="Excel_BuiltIn__FilterDatabase_5_12" localSheetId="10">'[3]4. sz. melléklet'!#REF!</definedName>
    <definedName name="Excel_BuiltIn__FilterDatabase_5_12" localSheetId="11">'[3]4. sz. melléklet'!#REF!</definedName>
    <definedName name="Excel_BuiltIn__FilterDatabase_5_12" localSheetId="15">'[3]4. sz. melléklet'!#REF!</definedName>
    <definedName name="Excel_BuiltIn__FilterDatabase_5_12" localSheetId="17">'[3]4. sz. melléklet'!#REF!</definedName>
    <definedName name="Excel_BuiltIn__FilterDatabase_5_12" localSheetId="7">'[3]4. sz. melléklet'!#REF!</definedName>
    <definedName name="Excel_BuiltIn__FilterDatabase_5_12" localSheetId="8">'[3]4. sz. melléklet'!#REF!</definedName>
    <definedName name="Excel_BuiltIn__FilterDatabase_5_12" localSheetId="9">'[3]4. sz. melléklet'!#REF!</definedName>
    <definedName name="Excel_BuiltIn__FilterDatabase_5_12">'[3]4. sz. melléklet'!#REF!</definedName>
    <definedName name="Excel_BuiltIn__FilterDatabase_5_13" localSheetId="10">#REF!</definedName>
    <definedName name="Excel_BuiltIn__FilterDatabase_5_13" localSheetId="11">#REF!</definedName>
    <definedName name="Excel_BuiltIn__FilterDatabase_5_13" localSheetId="15">#REF!</definedName>
    <definedName name="Excel_BuiltIn__FilterDatabase_5_13" localSheetId="17">#REF!</definedName>
    <definedName name="Excel_BuiltIn__FilterDatabase_5_13" localSheetId="2">#REF!</definedName>
    <definedName name="Excel_BuiltIn__FilterDatabase_5_13" localSheetId="3">#REF!</definedName>
    <definedName name="Excel_BuiltIn__FilterDatabase_5_13" localSheetId="7">#REF!</definedName>
    <definedName name="Excel_BuiltIn__FilterDatabase_5_13" localSheetId="8">#REF!</definedName>
    <definedName name="Excel_BuiltIn__FilterDatabase_5_13" localSheetId="9">#REF!</definedName>
    <definedName name="Excel_BuiltIn__FilterDatabase_5_13">#REF!</definedName>
    <definedName name="Excel_BuiltIn__FilterDatabase_5_15" localSheetId="10">'[4]4. sz. melléklet'!#REF!</definedName>
    <definedName name="Excel_BuiltIn__FilterDatabase_5_15" localSheetId="11">'[4]4. sz. melléklet'!#REF!</definedName>
    <definedName name="Excel_BuiltIn__FilterDatabase_5_15" localSheetId="15">'[4]4. sz. melléklet'!#REF!</definedName>
    <definedName name="Excel_BuiltIn__FilterDatabase_5_15" localSheetId="17">'[4]4. sz. melléklet'!#REF!</definedName>
    <definedName name="Excel_BuiltIn__FilterDatabase_5_15" localSheetId="7">'[4]4. sz. melléklet'!#REF!</definedName>
    <definedName name="Excel_BuiltIn__FilterDatabase_5_15" localSheetId="8">'[4]4. sz. melléklet'!#REF!</definedName>
    <definedName name="Excel_BuiltIn__FilterDatabase_5_15" localSheetId="9">'[4]4. sz. melléklet'!#REF!</definedName>
    <definedName name="Excel_BuiltIn__FilterDatabase_5_15">'[4]4. sz. melléklet'!#REF!</definedName>
    <definedName name="Excel_BuiltIn__FilterDatabase_5_17" localSheetId="10">#REF!</definedName>
    <definedName name="Excel_BuiltIn__FilterDatabase_5_17" localSheetId="11">#REF!</definedName>
    <definedName name="Excel_BuiltIn__FilterDatabase_5_17" localSheetId="15">#REF!</definedName>
    <definedName name="Excel_BuiltIn__FilterDatabase_5_17" localSheetId="17">#REF!</definedName>
    <definedName name="Excel_BuiltIn__FilterDatabase_5_17" localSheetId="2">#REF!</definedName>
    <definedName name="Excel_BuiltIn__FilterDatabase_5_17" localSheetId="3">#REF!</definedName>
    <definedName name="Excel_BuiltIn__FilterDatabase_5_17" localSheetId="7">#REF!</definedName>
    <definedName name="Excel_BuiltIn__FilterDatabase_5_17" localSheetId="8">#REF!</definedName>
    <definedName name="Excel_BuiltIn__FilterDatabase_5_17" localSheetId="9">#REF!</definedName>
    <definedName name="Excel_BuiltIn__FilterDatabase_5_17">#REF!</definedName>
    <definedName name="Excel_BuiltIn__FilterDatabase_5_5" localSheetId="10">'[5]4.A sz. melléklet'!#REF!</definedName>
    <definedName name="Excel_BuiltIn__FilterDatabase_5_5" localSheetId="11">'[5]4.A sz. melléklet'!#REF!</definedName>
    <definedName name="Excel_BuiltIn__FilterDatabase_5_5" localSheetId="15">'[5]4.A sz. melléklet'!#REF!</definedName>
    <definedName name="Excel_BuiltIn__FilterDatabase_5_5" localSheetId="17">'[5]4.A sz. melléklet'!#REF!</definedName>
    <definedName name="Excel_BuiltIn__FilterDatabase_5_5" localSheetId="7">'[5]4.A sz. melléklet'!#REF!</definedName>
    <definedName name="Excel_BuiltIn__FilterDatabase_5_5" localSheetId="8">'[5]4.A sz. melléklet'!#REF!</definedName>
    <definedName name="Excel_BuiltIn__FilterDatabase_5_5" localSheetId="9">'[5]4.A sz. melléklet'!#REF!</definedName>
    <definedName name="Excel_BuiltIn__FilterDatabase_5_5">'[5]4.A sz. melléklet'!#REF!</definedName>
    <definedName name="Excel_BuiltIn__FilterDatabase_5_6" localSheetId="10">'[5]4.B-C. sz. melléklet'!#REF!</definedName>
    <definedName name="Excel_BuiltIn__FilterDatabase_5_6" localSheetId="11">'[5]4.B-C. sz. melléklet'!#REF!</definedName>
    <definedName name="Excel_BuiltIn__FilterDatabase_5_6" localSheetId="15">'[5]4.B-C. sz. melléklet'!#REF!</definedName>
    <definedName name="Excel_BuiltIn__FilterDatabase_5_6" localSheetId="17">'[5]4.B-C. sz. melléklet'!#REF!</definedName>
    <definedName name="Excel_BuiltIn__FilterDatabase_5_6" localSheetId="7">'[5]4.B-C. sz. melléklet'!#REF!</definedName>
    <definedName name="Excel_BuiltIn__FilterDatabase_5_6" localSheetId="8">'[5]4.B-C. sz. melléklet'!#REF!</definedName>
    <definedName name="Excel_BuiltIn__FilterDatabase_5_6" localSheetId="9">'[5]4.B-C. sz. melléklet'!#REF!</definedName>
    <definedName name="Excel_BuiltIn__FilterDatabase_5_6">'[5]4.B-C. sz. melléklet'!#REF!</definedName>
    <definedName name="Excel_BuiltIn__FilterDatabase_5_7">NA()</definedName>
    <definedName name="Excel_BuiltIn__FilterDatabase_5_8" localSheetId="10">'[3]4. sz. melléklet'!#REF!</definedName>
    <definedName name="Excel_BuiltIn__FilterDatabase_5_8" localSheetId="11">'[3]4. sz. melléklet'!#REF!</definedName>
    <definedName name="Excel_BuiltIn__FilterDatabase_5_8" localSheetId="15">'[3]4. sz. melléklet'!#REF!</definedName>
    <definedName name="Excel_BuiltIn__FilterDatabase_5_8" localSheetId="17">'[3]4. sz. melléklet'!#REF!</definedName>
    <definedName name="Excel_BuiltIn__FilterDatabase_5_8" localSheetId="7">'[3]4. sz. melléklet'!#REF!</definedName>
    <definedName name="Excel_BuiltIn__FilterDatabase_5_8" localSheetId="8">'[3]4. sz. melléklet'!#REF!</definedName>
    <definedName name="Excel_BuiltIn__FilterDatabase_5_8" localSheetId="9">'[3]4. sz. melléklet'!#REF!</definedName>
    <definedName name="Excel_BuiltIn__FilterDatabase_5_8">'[3]4. sz. melléklet'!#REF!</definedName>
    <definedName name="Excel_BuiltIn__FilterDatabase_5_9" localSheetId="10">'[3]4. sz. melléklet'!#REF!</definedName>
    <definedName name="Excel_BuiltIn__FilterDatabase_5_9" localSheetId="11">'[3]4. sz. melléklet'!#REF!</definedName>
    <definedName name="Excel_BuiltIn__FilterDatabase_5_9" localSheetId="15">'[3]4. sz. melléklet'!#REF!</definedName>
    <definedName name="Excel_BuiltIn__FilterDatabase_5_9" localSheetId="17">'[3]4. sz. melléklet'!#REF!</definedName>
    <definedName name="Excel_BuiltIn__FilterDatabase_5_9" localSheetId="7">'[3]4. sz. melléklet'!#REF!</definedName>
    <definedName name="Excel_BuiltIn__FilterDatabase_5_9" localSheetId="8">'[3]4. sz. melléklet'!#REF!</definedName>
    <definedName name="Excel_BuiltIn__FilterDatabase_5_9" localSheetId="9">'[3]4. sz. melléklet'!#REF!</definedName>
    <definedName name="Excel_BuiltIn__FilterDatabase_5_9">'[3]4. sz. melléklet'!#REF!</definedName>
    <definedName name="Excel_BuiltIn_Print_Area_1" localSheetId="10">#REF!</definedName>
    <definedName name="Excel_BuiltIn_Print_Area_1" localSheetId="11">#REF!</definedName>
    <definedName name="Excel_BuiltIn_Print_Area_1" localSheetId="15">'14. sz. melléklet '!#REF!</definedName>
    <definedName name="Excel_BuiltIn_Print_Area_1" localSheetId="17">#REF!</definedName>
    <definedName name="Excel_BuiltIn_Print_Area_1" localSheetId="2">#REF!</definedName>
    <definedName name="Excel_BuiltIn_Print_Area_1" localSheetId="3">#REF!</definedName>
    <definedName name="Excel_BuiltIn_Print_Area_1" localSheetId="7">#REF!</definedName>
    <definedName name="Excel_BuiltIn_Print_Area_1" localSheetId="8">#REF!</definedName>
    <definedName name="Excel_BuiltIn_Print_Area_1" localSheetId="9">#REF!</definedName>
    <definedName name="Excel_BuiltIn_Print_Area_1">#REF!</definedName>
    <definedName name="Excel_BuiltIn_Print_Area_1_1">NA()</definedName>
    <definedName name="Excel_BuiltIn_Print_Area_1_15" localSheetId="10">#REF!</definedName>
    <definedName name="Excel_BuiltIn_Print_Area_1_15" localSheetId="11">#REF!</definedName>
    <definedName name="Excel_BuiltIn_Print_Area_1_15" localSheetId="15">#REF!</definedName>
    <definedName name="Excel_BuiltIn_Print_Area_1_15" localSheetId="17">#REF!</definedName>
    <definedName name="Excel_BuiltIn_Print_Area_1_15" localSheetId="2">#REF!</definedName>
    <definedName name="Excel_BuiltIn_Print_Area_1_15" localSheetId="3">#REF!</definedName>
    <definedName name="Excel_BuiltIn_Print_Area_1_15" localSheetId="7">#REF!</definedName>
    <definedName name="Excel_BuiltIn_Print_Area_1_15" localSheetId="8">#REF!</definedName>
    <definedName name="Excel_BuiltIn_Print_Area_1_15" localSheetId="9">#REF!</definedName>
    <definedName name="Excel_BuiltIn_Print_Area_1_15">#REF!</definedName>
    <definedName name="Excel_BuiltIn_Print_Area_1_21" localSheetId="10">'[5]18.'!#REF!</definedName>
    <definedName name="Excel_BuiltIn_Print_Area_1_21" localSheetId="11">'[5]18.'!#REF!</definedName>
    <definedName name="Excel_BuiltIn_Print_Area_1_21" localSheetId="15">'[5]18.'!#REF!</definedName>
    <definedName name="Excel_BuiltIn_Print_Area_1_21" localSheetId="17">'[5]18.'!#REF!</definedName>
    <definedName name="Excel_BuiltIn_Print_Area_1_21" localSheetId="7">'[5]18.'!#REF!</definedName>
    <definedName name="Excel_BuiltIn_Print_Area_1_21" localSheetId="8">'[5]18.'!#REF!</definedName>
    <definedName name="Excel_BuiltIn_Print_Area_1_21" localSheetId="9">'[5]18.'!#REF!</definedName>
    <definedName name="Excel_BuiltIn_Print_Area_1_21">'[5]18.'!#REF!</definedName>
    <definedName name="Excel_BuiltIn_Print_Area_1_22" localSheetId="10">'[5]19.'!#REF!</definedName>
    <definedName name="Excel_BuiltIn_Print_Area_1_22" localSheetId="11">'[5]19.'!#REF!</definedName>
    <definedName name="Excel_BuiltIn_Print_Area_1_22" localSheetId="15">'[5]19.'!#REF!</definedName>
    <definedName name="Excel_BuiltIn_Print_Area_1_22" localSheetId="17">'[5]19.'!#REF!</definedName>
    <definedName name="Excel_BuiltIn_Print_Area_1_22" localSheetId="7">'[5]19.'!#REF!</definedName>
    <definedName name="Excel_BuiltIn_Print_Area_1_22" localSheetId="8">'[5]19.'!#REF!</definedName>
    <definedName name="Excel_BuiltIn_Print_Area_1_22" localSheetId="9">'[5]19.'!#REF!</definedName>
    <definedName name="Excel_BuiltIn_Print_Area_1_22">'[5]19.'!#REF!</definedName>
    <definedName name="Excel_BuiltIn_Print_Area_2" localSheetId="10">#REF!</definedName>
    <definedName name="Excel_BuiltIn_Print_Area_2" localSheetId="11">#REF!</definedName>
    <definedName name="Excel_BuiltIn_Print_Area_2" localSheetId="15">#REF!</definedName>
    <definedName name="Excel_BuiltIn_Print_Area_2" localSheetId="17">#REF!</definedName>
    <definedName name="Excel_BuiltIn_Print_Area_2" localSheetId="2">#REF!</definedName>
    <definedName name="Excel_BuiltIn_Print_Area_2" localSheetId="3">#REF!</definedName>
    <definedName name="Excel_BuiltIn_Print_Area_2" localSheetId="7">#REF!</definedName>
    <definedName name="Excel_BuiltIn_Print_Area_2" localSheetId="8">#REF!</definedName>
    <definedName name="Excel_BuiltIn_Print_Area_2" localSheetId="9">#REF!</definedName>
    <definedName name="Excel_BuiltIn_Print_Area_2">#REF!</definedName>
    <definedName name="Excel_BuiltIn_Print_Area_2_1" localSheetId="10">#REF!</definedName>
    <definedName name="Excel_BuiltIn_Print_Area_2_1" localSheetId="11">#REF!</definedName>
    <definedName name="Excel_BuiltIn_Print_Area_2_1" localSheetId="15">#REF!</definedName>
    <definedName name="Excel_BuiltIn_Print_Area_2_1" localSheetId="17">#REF!</definedName>
    <definedName name="Excel_BuiltIn_Print_Area_2_1" localSheetId="2">#REF!</definedName>
    <definedName name="Excel_BuiltIn_Print_Area_2_1" localSheetId="3">#REF!</definedName>
    <definedName name="Excel_BuiltIn_Print_Area_2_1" localSheetId="7">#REF!</definedName>
    <definedName name="Excel_BuiltIn_Print_Area_2_1" localSheetId="8">#REF!</definedName>
    <definedName name="Excel_BuiltIn_Print_Area_2_1" localSheetId="9">#REF!</definedName>
    <definedName name="Excel_BuiltIn_Print_Area_2_1">#REF!</definedName>
    <definedName name="Excel_BuiltIn_Print_Area_2_15" localSheetId="10">#REF!</definedName>
    <definedName name="Excel_BuiltIn_Print_Area_2_15" localSheetId="11">#REF!</definedName>
    <definedName name="Excel_BuiltIn_Print_Area_2_15" localSheetId="15">#REF!</definedName>
    <definedName name="Excel_BuiltIn_Print_Area_2_15" localSheetId="17">#REF!</definedName>
    <definedName name="Excel_BuiltIn_Print_Area_2_15" localSheetId="2">#REF!</definedName>
    <definedName name="Excel_BuiltIn_Print_Area_2_15" localSheetId="3">#REF!</definedName>
    <definedName name="Excel_BuiltIn_Print_Area_2_15" localSheetId="7">#REF!</definedName>
    <definedName name="Excel_BuiltIn_Print_Area_2_15" localSheetId="8">#REF!</definedName>
    <definedName name="Excel_BuiltIn_Print_Area_2_15" localSheetId="9">#REF!</definedName>
    <definedName name="Excel_BuiltIn_Print_Area_2_15">#REF!</definedName>
    <definedName name="Excel_BuiltIn_Print_Area_2_5" localSheetId="10">#REF!</definedName>
    <definedName name="Excel_BuiltIn_Print_Area_2_5" localSheetId="11">#REF!</definedName>
    <definedName name="Excel_BuiltIn_Print_Area_2_5" localSheetId="15">#REF!</definedName>
    <definedName name="Excel_BuiltIn_Print_Area_2_5" localSheetId="17">#REF!</definedName>
    <definedName name="Excel_BuiltIn_Print_Area_2_5" localSheetId="2">#REF!</definedName>
    <definedName name="Excel_BuiltIn_Print_Area_2_5" localSheetId="3">#REF!</definedName>
    <definedName name="Excel_BuiltIn_Print_Area_2_5" localSheetId="7">#REF!</definedName>
    <definedName name="Excel_BuiltIn_Print_Area_2_5" localSheetId="8">#REF!</definedName>
    <definedName name="Excel_BuiltIn_Print_Area_2_5" localSheetId="9">#REF!</definedName>
    <definedName name="Excel_BuiltIn_Print_Area_2_5">#REF!</definedName>
    <definedName name="Excel_BuiltIn_Print_Area_2_6" localSheetId="10">#REF!</definedName>
    <definedName name="Excel_BuiltIn_Print_Area_2_6" localSheetId="11">#REF!</definedName>
    <definedName name="Excel_BuiltIn_Print_Area_2_6" localSheetId="15">#REF!</definedName>
    <definedName name="Excel_BuiltIn_Print_Area_2_6" localSheetId="17">#REF!</definedName>
    <definedName name="Excel_BuiltIn_Print_Area_2_6" localSheetId="2">#REF!</definedName>
    <definedName name="Excel_BuiltIn_Print_Area_2_6" localSheetId="3">#REF!</definedName>
    <definedName name="Excel_BuiltIn_Print_Area_2_6" localSheetId="7">#REF!</definedName>
    <definedName name="Excel_BuiltIn_Print_Area_2_6" localSheetId="8">#REF!</definedName>
    <definedName name="Excel_BuiltIn_Print_Area_2_6" localSheetId="9">#REF!</definedName>
    <definedName name="Excel_BuiltIn_Print_Area_2_6">#REF!</definedName>
    <definedName name="Excel_BuiltIn_Print_Titles_6" localSheetId="10">'[5]4.B-C. sz. melléklet'!#REF!</definedName>
    <definedName name="Excel_BuiltIn_Print_Titles_6" localSheetId="11">'[5]4.B-C. sz. melléklet'!#REF!</definedName>
    <definedName name="Excel_BuiltIn_Print_Titles_6" localSheetId="15">'[5]4.B-C. sz. melléklet'!#REF!</definedName>
    <definedName name="Excel_BuiltIn_Print_Titles_6" localSheetId="17">'[5]4.B-C. sz. melléklet'!#REF!</definedName>
    <definedName name="Excel_BuiltIn_Print_Titles_6" localSheetId="7">'[5]4.B-C. sz. melléklet'!#REF!</definedName>
    <definedName name="Excel_BuiltIn_Print_Titles_6" localSheetId="8">'[5]4.B-C. sz. melléklet'!#REF!</definedName>
    <definedName name="Excel_BuiltIn_Print_Titles_6" localSheetId="9">'[5]4.B-C. sz. melléklet'!#REF!</definedName>
    <definedName name="Excel_BuiltIn_Print_Titles_6">'[5]4.B-C. sz. melléklet'!#REF!</definedName>
    <definedName name="fff" localSheetId="10">#REF!</definedName>
    <definedName name="fff" localSheetId="11">#REF!</definedName>
    <definedName name="fff" localSheetId="15">#REF!</definedName>
    <definedName name="fff" localSheetId="17">#REF!</definedName>
    <definedName name="fff" localSheetId="7">#REF!</definedName>
    <definedName name="fff" localSheetId="8">#REF!</definedName>
    <definedName name="fff" localSheetId="9">#REF!</definedName>
    <definedName name="fff">#REF!</definedName>
    <definedName name="melléklet" localSheetId="10">SUM(#REF!)-#REF!-#REF!-#REF!</definedName>
    <definedName name="melléklet" localSheetId="11">SUM(#REF!)-#REF!-#REF!-#REF!</definedName>
    <definedName name="melléklet" localSheetId="15">SUM(#REF!)-#REF!-#REF!-#REF!</definedName>
    <definedName name="melléklet" localSheetId="17">SUM(#REF!)-#REF!-#REF!-#REF!</definedName>
    <definedName name="melléklet" localSheetId="7">SUM(#REF!)-#REF!-#REF!-#REF!</definedName>
    <definedName name="melléklet" localSheetId="8">SUM(#REF!)-#REF!-#REF!-#REF!</definedName>
    <definedName name="melléklet" localSheetId="9">SUM(#REF!)-#REF!-#REF!-#REF!</definedName>
    <definedName name="melléklet">SUM(#REF!)-#REF!-#REF!-#REF!</definedName>
    <definedName name="_xlnm.Print_Titles" localSheetId="10">'10. sz. melléklet'!$3:$3</definedName>
    <definedName name="_xlnm.Print_Titles" localSheetId="7">'7. sz. melléklet '!$3:$3</definedName>
    <definedName name="_xlnm.Print_Area" localSheetId="0">'1. sz. melléklet'!$A$1:$I$57</definedName>
    <definedName name="_xlnm.Print_Area" localSheetId="10">'10. sz. melléklet'!$A$1:$E$63</definedName>
    <definedName name="_xlnm.Print_Area" localSheetId="11">'11. sz. melléklet '!$A$1:$D$98</definedName>
    <definedName name="_xlnm.Print_Area" localSheetId="15">'14. sz. melléklet '!$A$1:$T$34</definedName>
    <definedName name="_xlnm.Print_Area" localSheetId="16">'15. sz. melléklet'!$A$1:$I$115</definedName>
    <definedName name="_xlnm.Print_Area" localSheetId="17">'16. sz. melléklet '!$A$1:$C$21</definedName>
    <definedName name="_xlnm.Print_Area" localSheetId="1">'2. sz. melléklet'!$A$1:$H$69</definedName>
    <definedName name="_xlnm.Print_Area" localSheetId="2">'3. sz. melléklet'!$A$1:$K$47</definedName>
    <definedName name="_xlnm.Print_Area" localSheetId="3">'4.sz. melléklet'!$C$1:$K$32</definedName>
    <definedName name="_xlnm.Print_Area" localSheetId="7">'7. sz. melléklet '!$A$1:$D$113</definedName>
    <definedName name="_xlnm.Print_Area" localSheetId="9">'9. sz. melléklet '!$A$1:$D$21</definedName>
    <definedName name="SHARED_FORMULA_1_10_1_10_2" localSheetId="10">SUM(#REF!,#REF!,#REF!,#REF!,#REF!,#REF!)</definedName>
    <definedName name="SHARED_FORMULA_1_10_1_10_2" localSheetId="11">SUM(#REF!,#REF!,#REF!,#REF!,#REF!,#REF!)</definedName>
    <definedName name="SHARED_FORMULA_1_10_1_10_2" localSheetId="15">SUM(#REF!,#REF!,#REF!,#REF!,#REF!,#REF!)</definedName>
    <definedName name="SHARED_FORMULA_1_10_1_10_2" localSheetId="17">SUM(#REF!,#REF!,#REF!,#REF!,#REF!,#REF!)</definedName>
    <definedName name="SHARED_FORMULA_1_10_1_10_2" localSheetId="7">SUM(#REF!,#REF!,#REF!,#REF!,#REF!,#REF!)</definedName>
    <definedName name="SHARED_FORMULA_1_10_1_10_2" localSheetId="8">SUM(#REF!,#REF!,#REF!,#REF!,#REF!,#REF!)</definedName>
    <definedName name="SHARED_FORMULA_1_10_1_10_2" localSheetId="9">SUM(#REF!,#REF!,#REF!,#REF!,#REF!,#REF!)</definedName>
    <definedName name="SHARED_FORMULA_1_10_1_10_2">SUM(#REF!,#REF!,#REF!,#REF!,#REF!,#REF!)</definedName>
    <definedName name="SHARED_FORMULA_1_26_1_26_2" localSheetId="10">SUM(#REF!,#REF!,#REF!)</definedName>
    <definedName name="SHARED_FORMULA_1_26_1_26_2" localSheetId="11">SUM(#REF!,#REF!,#REF!)</definedName>
    <definedName name="SHARED_FORMULA_1_26_1_26_2" localSheetId="15">SUM(#REF!,#REF!,#REF!)</definedName>
    <definedName name="SHARED_FORMULA_1_26_1_26_2" localSheetId="17">SUM(#REF!,#REF!,#REF!)</definedName>
    <definedName name="SHARED_FORMULA_1_26_1_26_2" localSheetId="7">SUM(#REF!,#REF!,#REF!)</definedName>
    <definedName name="SHARED_FORMULA_1_26_1_26_2" localSheetId="8">SUM(#REF!,#REF!,#REF!)</definedName>
    <definedName name="SHARED_FORMULA_1_26_1_26_2" localSheetId="9">SUM(#REF!,#REF!,#REF!)</definedName>
    <definedName name="SHARED_FORMULA_1_26_1_26_2">SUM(#REF!,#REF!,#REF!)</definedName>
    <definedName name="SHARED_FORMULA_1_38_1_38_8" localSheetId="10">SUM(#REF!)</definedName>
    <definedName name="SHARED_FORMULA_1_38_1_38_8" localSheetId="11">SUM(#REF!)</definedName>
    <definedName name="SHARED_FORMULA_1_38_1_38_8" localSheetId="15">SUM(#REF!)</definedName>
    <definedName name="SHARED_FORMULA_1_38_1_38_8" localSheetId="17">SUM(#REF!)</definedName>
    <definedName name="SHARED_FORMULA_1_38_1_38_8" localSheetId="7">SUM(#REF!)</definedName>
    <definedName name="SHARED_FORMULA_1_38_1_38_8" localSheetId="8">SUM(#REF!)</definedName>
    <definedName name="SHARED_FORMULA_1_38_1_38_8" localSheetId="9">SUM(#REF!)</definedName>
    <definedName name="SHARED_FORMULA_1_38_1_38_8">SUM(#REF!)</definedName>
    <definedName name="SHARED_FORMULA_1_42_1_42_8" localSheetId="10">SUM(#REF!,#REF!)</definedName>
    <definedName name="SHARED_FORMULA_1_42_1_42_8" localSheetId="11">SUM(#REF!,#REF!)</definedName>
    <definedName name="SHARED_FORMULA_1_42_1_42_8" localSheetId="15">SUM(#REF!,#REF!)</definedName>
    <definedName name="SHARED_FORMULA_1_42_1_42_8" localSheetId="17">SUM(#REF!,#REF!)</definedName>
    <definedName name="SHARED_FORMULA_1_42_1_42_8" localSheetId="7">SUM(#REF!,#REF!)</definedName>
    <definedName name="SHARED_FORMULA_1_42_1_42_8" localSheetId="8">SUM(#REF!,#REF!)</definedName>
    <definedName name="SHARED_FORMULA_1_42_1_42_8" localSheetId="9">SUM(#REF!,#REF!)</definedName>
    <definedName name="SHARED_FORMULA_1_42_1_42_8">SUM(#REF!,#REF!)</definedName>
    <definedName name="SHARED_FORMULA_10_41_10_41_2" localSheetId="10">SUM(#REF!+#REF!+#REF!)</definedName>
    <definedName name="SHARED_FORMULA_10_41_10_41_2" localSheetId="11">SUM(#REF!+#REF!+#REF!)</definedName>
    <definedName name="SHARED_FORMULA_10_41_10_41_2" localSheetId="15">SUM(#REF!+#REF!+#REF!)</definedName>
    <definedName name="SHARED_FORMULA_10_41_10_41_2" localSheetId="17">SUM(#REF!+#REF!+#REF!)</definedName>
    <definedName name="SHARED_FORMULA_10_41_10_41_2" localSheetId="7">SUM(#REF!+#REF!+#REF!)</definedName>
    <definedName name="SHARED_FORMULA_10_41_10_41_2" localSheetId="8">SUM(#REF!+#REF!+#REF!)</definedName>
    <definedName name="SHARED_FORMULA_10_41_10_41_2" localSheetId="9">SUM(#REF!+#REF!+#REF!)</definedName>
    <definedName name="SHARED_FORMULA_10_41_10_41_2">SUM(#REF!+#REF!+#REF!)</definedName>
    <definedName name="SHARED_FORMULA_10_5_10_5_2" localSheetId="10">SUM(#REF!+#REF!+#REF!)</definedName>
    <definedName name="SHARED_FORMULA_10_5_10_5_2" localSheetId="11">SUM(#REF!+#REF!+#REF!)</definedName>
    <definedName name="SHARED_FORMULA_10_5_10_5_2" localSheetId="15">SUM(#REF!+#REF!+#REF!)</definedName>
    <definedName name="SHARED_FORMULA_10_5_10_5_2" localSheetId="17">SUM(#REF!+#REF!+#REF!)</definedName>
    <definedName name="SHARED_FORMULA_10_5_10_5_2" localSheetId="7">SUM(#REF!+#REF!+#REF!)</definedName>
    <definedName name="SHARED_FORMULA_10_5_10_5_2" localSheetId="8">SUM(#REF!+#REF!+#REF!)</definedName>
    <definedName name="SHARED_FORMULA_10_5_10_5_2" localSheetId="9">SUM(#REF!+#REF!+#REF!)</definedName>
    <definedName name="SHARED_FORMULA_10_5_10_5_2">SUM(#REF!+#REF!+#REF!)</definedName>
    <definedName name="SHARED_FORMULA_11_40_11_40_2" localSheetId="10">SUM(#REF!+#REF!+#REF!)</definedName>
    <definedName name="SHARED_FORMULA_11_40_11_40_2" localSheetId="11">SUM(#REF!+#REF!+#REF!)</definedName>
    <definedName name="SHARED_FORMULA_11_40_11_40_2" localSheetId="15">SUM(#REF!+#REF!+#REF!)</definedName>
    <definedName name="SHARED_FORMULA_11_40_11_40_2" localSheetId="17">SUM(#REF!+#REF!+#REF!)</definedName>
    <definedName name="SHARED_FORMULA_11_40_11_40_2" localSheetId="7">SUM(#REF!+#REF!+#REF!)</definedName>
    <definedName name="SHARED_FORMULA_11_40_11_40_2" localSheetId="8">SUM(#REF!+#REF!+#REF!)</definedName>
    <definedName name="SHARED_FORMULA_11_40_11_40_2" localSheetId="9">SUM(#REF!+#REF!+#REF!)</definedName>
    <definedName name="SHARED_FORMULA_11_40_11_40_2">SUM(#REF!+#REF!+#REF!)</definedName>
    <definedName name="SHARED_FORMULA_11_5_11_5_2" localSheetId="10">SUM(#REF!+#REF!+#REF!)</definedName>
    <definedName name="SHARED_FORMULA_11_5_11_5_2" localSheetId="11">SUM(#REF!+#REF!+#REF!)</definedName>
    <definedName name="SHARED_FORMULA_11_5_11_5_2" localSheetId="15">SUM(#REF!+#REF!+#REF!)</definedName>
    <definedName name="SHARED_FORMULA_11_5_11_5_2" localSheetId="17">SUM(#REF!+#REF!+#REF!)</definedName>
    <definedName name="SHARED_FORMULA_11_5_11_5_2" localSheetId="7">SUM(#REF!+#REF!+#REF!)</definedName>
    <definedName name="SHARED_FORMULA_11_5_11_5_2" localSheetId="8">SUM(#REF!+#REF!+#REF!)</definedName>
    <definedName name="SHARED_FORMULA_11_5_11_5_2" localSheetId="9">SUM(#REF!+#REF!+#REF!)</definedName>
    <definedName name="SHARED_FORMULA_11_5_11_5_2">SUM(#REF!+#REF!+#REF!)</definedName>
    <definedName name="SHARED_FORMULA_12_13_12_13_3" localSheetId="10">SUM(#REF!+#REF!+#REF!)</definedName>
    <definedName name="SHARED_FORMULA_12_13_12_13_3" localSheetId="11">SUM(#REF!+#REF!+#REF!)</definedName>
    <definedName name="SHARED_FORMULA_12_13_12_13_3" localSheetId="15">SUM(#REF!+#REF!+#REF!)</definedName>
    <definedName name="SHARED_FORMULA_12_13_12_13_3" localSheetId="17">SUM(#REF!+#REF!+#REF!)</definedName>
    <definedName name="SHARED_FORMULA_12_13_12_13_3" localSheetId="7">SUM(#REF!+#REF!+#REF!)</definedName>
    <definedName name="SHARED_FORMULA_12_13_12_13_3" localSheetId="8">SUM(#REF!+#REF!+#REF!)</definedName>
    <definedName name="SHARED_FORMULA_12_13_12_13_3" localSheetId="9">SUM(#REF!+#REF!+#REF!)</definedName>
    <definedName name="SHARED_FORMULA_12_13_12_13_3">SUM(#REF!+#REF!+#REF!)</definedName>
    <definedName name="SHARED_FORMULA_12_133_12_133_5" localSheetId="10">SUM(#REF!)-#REF!-#REF!-#REF!</definedName>
    <definedName name="SHARED_FORMULA_12_133_12_133_5" localSheetId="11">SUM(#REF!)-#REF!-#REF!-#REF!</definedName>
    <definedName name="SHARED_FORMULA_12_133_12_133_5" localSheetId="15">SUM(#REF!)-#REF!-#REF!-#REF!</definedName>
    <definedName name="SHARED_FORMULA_12_133_12_133_5" localSheetId="17">SUM(#REF!)-#REF!-#REF!-#REF!</definedName>
    <definedName name="SHARED_FORMULA_12_133_12_133_5" localSheetId="7">SUM(#REF!)-#REF!-#REF!-#REF!</definedName>
    <definedName name="SHARED_FORMULA_12_133_12_133_5" localSheetId="8">SUM(#REF!)-#REF!-#REF!-#REF!</definedName>
    <definedName name="SHARED_FORMULA_12_133_12_133_5" localSheetId="9">SUM(#REF!)-#REF!-#REF!-#REF!</definedName>
    <definedName name="SHARED_FORMULA_12_133_12_133_5">SUM(#REF!)-#REF!-#REF!-#REF!</definedName>
    <definedName name="SHARED_FORMULA_12_40_12_40_2" localSheetId="10">SUM(#REF!+#REF!+#REF!)</definedName>
    <definedName name="SHARED_FORMULA_12_40_12_40_2" localSheetId="11">SUM(#REF!+#REF!+#REF!)</definedName>
    <definedName name="SHARED_FORMULA_12_40_12_40_2" localSheetId="15">SUM(#REF!+#REF!+#REF!)</definedName>
    <definedName name="SHARED_FORMULA_12_40_12_40_2" localSheetId="17">SUM(#REF!+#REF!+#REF!)</definedName>
    <definedName name="SHARED_FORMULA_12_40_12_40_2" localSheetId="7">SUM(#REF!+#REF!+#REF!)</definedName>
    <definedName name="SHARED_FORMULA_12_40_12_40_2" localSheetId="8">SUM(#REF!+#REF!+#REF!)</definedName>
    <definedName name="SHARED_FORMULA_12_40_12_40_2" localSheetId="9">SUM(#REF!+#REF!+#REF!)</definedName>
    <definedName name="SHARED_FORMULA_12_40_12_40_2">SUM(#REF!+#REF!+#REF!)</definedName>
    <definedName name="SHARED_FORMULA_12_5_12_5_2" localSheetId="10">SUM(#REF!+#REF!+#REF!)</definedName>
    <definedName name="SHARED_FORMULA_12_5_12_5_2" localSheetId="11">SUM(#REF!+#REF!+#REF!)</definedName>
    <definedName name="SHARED_FORMULA_12_5_12_5_2" localSheetId="15">SUM(#REF!+#REF!+#REF!)</definedName>
    <definedName name="SHARED_FORMULA_12_5_12_5_2" localSheetId="17">SUM(#REF!+#REF!+#REF!)</definedName>
    <definedName name="SHARED_FORMULA_12_5_12_5_2" localSheetId="7">SUM(#REF!+#REF!+#REF!)</definedName>
    <definedName name="SHARED_FORMULA_12_5_12_5_2" localSheetId="8">SUM(#REF!+#REF!+#REF!)</definedName>
    <definedName name="SHARED_FORMULA_12_5_12_5_2" localSheetId="9">SUM(#REF!+#REF!+#REF!)</definedName>
    <definedName name="SHARED_FORMULA_12_5_12_5_2">SUM(#REF!+#REF!+#REF!)</definedName>
    <definedName name="SHARED_FORMULA_12_5_12_5_3" localSheetId="10">SUM(#REF!+#REF!+#REF!)</definedName>
    <definedName name="SHARED_FORMULA_12_5_12_5_3" localSheetId="11">SUM(#REF!+#REF!+#REF!)</definedName>
    <definedName name="SHARED_FORMULA_12_5_12_5_3" localSheetId="15">SUM(#REF!+#REF!+#REF!)</definedName>
    <definedName name="SHARED_FORMULA_12_5_12_5_3" localSheetId="17">SUM(#REF!+#REF!+#REF!)</definedName>
    <definedName name="SHARED_FORMULA_12_5_12_5_3" localSheetId="7">SUM(#REF!+#REF!+#REF!)</definedName>
    <definedName name="SHARED_FORMULA_12_5_12_5_3" localSheetId="8">SUM(#REF!+#REF!+#REF!)</definedName>
    <definedName name="SHARED_FORMULA_12_5_12_5_3" localSheetId="9">SUM(#REF!+#REF!+#REF!)</definedName>
    <definedName name="SHARED_FORMULA_12_5_12_5_3">SUM(#REF!+#REF!+#REF!)</definedName>
    <definedName name="SHARED_FORMULA_12_6_12_6_0" localSheetId="10">#REF!/#REF!*100</definedName>
    <definedName name="SHARED_FORMULA_12_6_12_6_0" localSheetId="11">#REF!/#REF!*100</definedName>
    <definedName name="SHARED_FORMULA_12_6_12_6_0" localSheetId="15">#REF!/#REF!*100</definedName>
    <definedName name="SHARED_FORMULA_12_6_12_6_0" localSheetId="17">#REF!/#REF!*100</definedName>
    <definedName name="SHARED_FORMULA_12_6_12_6_0" localSheetId="7">#REF!/#REF!*100</definedName>
    <definedName name="SHARED_FORMULA_12_6_12_6_0" localSheetId="8">#REF!/#REF!*100</definedName>
    <definedName name="SHARED_FORMULA_12_6_12_6_0" localSheetId="9">#REF!/#REF!*100</definedName>
    <definedName name="SHARED_FORMULA_12_6_12_6_0">#REF!/#REF!*100</definedName>
    <definedName name="SHARED_FORMULA_13_105_13_105_5" localSheetId="10">SUM(#REF!)-#REF!</definedName>
    <definedName name="SHARED_FORMULA_13_105_13_105_5" localSheetId="11">SUM(#REF!)-#REF!</definedName>
    <definedName name="SHARED_FORMULA_13_105_13_105_5" localSheetId="15">SUM(#REF!)-#REF!</definedName>
    <definedName name="SHARED_FORMULA_13_105_13_105_5" localSheetId="17">SUM(#REF!)-#REF!</definedName>
    <definedName name="SHARED_FORMULA_13_105_13_105_5" localSheetId="7">SUM(#REF!)-#REF!</definedName>
    <definedName name="SHARED_FORMULA_13_105_13_105_5" localSheetId="8">SUM(#REF!)-#REF!</definedName>
    <definedName name="SHARED_FORMULA_13_105_13_105_5" localSheetId="9">SUM(#REF!)-#REF!</definedName>
    <definedName name="SHARED_FORMULA_13_105_13_105_5">SUM(#REF!)-#REF!</definedName>
    <definedName name="SHARED_FORMULA_13_3_13_3_5" localSheetId="10">SUM(#REF!)-#REF!</definedName>
    <definedName name="SHARED_FORMULA_13_3_13_3_5" localSheetId="11">SUM(#REF!)-#REF!</definedName>
    <definedName name="SHARED_FORMULA_13_3_13_3_5" localSheetId="15">SUM(#REF!)-#REF!</definedName>
    <definedName name="SHARED_FORMULA_13_3_13_3_5" localSheetId="17">SUM(#REF!)-#REF!</definedName>
    <definedName name="SHARED_FORMULA_13_3_13_3_5" localSheetId="7">SUM(#REF!)-#REF!</definedName>
    <definedName name="SHARED_FORMULA_13_3_13_3_5" localSheetId="8">SUM(#REF!)-#REF!</definedName>
    <definedName name="SHARED_FORMULA_13_3_13_3_5" localSheetId="9">SUM(#REF!)-#REF!</definedName>
    <definedName name="SHARED_FORMULA_13_3_13_3_5">SUM(#REF!)-#REF!</definedName>
    <definedName name="SHARED_FORMULA_13_41_13_41_5" localSheetId="10">SUM(#REF!)-#REF!</definedName>
    <definedName name="SHARED_FORMULA_13_41_13_41_5" localSheetId="11">SUM(#REF!)-#REF!</definedName>
    <definedName name="SHARED_FORMULA_13_41_13_41_5" localSheetId="15">SUM(#REF!)-#REF!</definedName>
    <definedName name="SHARED_FORMULA_13_41_13_41_5" localSheetId="17">SUM(#REF!)-#REF!</definedName>
    <definedName name="SHARED_FORMULA_13_41_13_41_5" localSheetId="7">SUM(#REF!)-#REF!</definedName>
    <definedName name="SHARED_FORMULA_13_41_13_41_5" localSheetId="8">SUM(#REF!)-#REF!</definedName>
    <definedName name="SHARED_FORMULA_13_41_13_41_5" localSheetId="9">SUM(#REF!)-#REF!</definedName>
    <definedName name="SHARED_FORMULA_13_41_13_41_5">SUM(#REF!)-#REF!</definedName>
    <definedName name="SHARED_FORMULA_13_73_13_73_5" localSheetId="10">SUM(#REF!)-#REF!</definedName>
    <definedName name="SHARED_FORMULA_13_73_13_73_5" localSheetId="11">SUM(#REF!)-#REF!</definedName>
    <definedName name="SHARED_FORMULA_13_73_13_73_5" localSheetId="15">SUM(#REF!)-#REF!</definedName>
    <definedName name="SHARED_FORMULA_13_73_13_73_5" localSheetId="17">SUM(#REF!)-#REF!</definedName>
    <definedName name="SHARED_FORMULA_13_73_13_73_5" localSheetId="7">SUM(#REF!)-#REF!</definedName>
    <definedName name="SHARED_FORMULA_13_73_13_73_5" localSheetId="8">SUM(#REF!)-#REF!</definedName>
    <definedName name="SHARED_FORMULA_13_73_13_73_5" localSheetId="9">SUM(#REF!)-#REF!</definedName>
    <definedName name="SHARED_FORMULA_13_73_13_73_5">SUM(#REF!)-#REF!</definedName>
    <definedName name="SHARED_FORMULA_13_9_13_9_3" localSheetId="10">SUM(#REF!+#REF!+#REF!)</definedName>
    <definedName name="SHARED_FORMULA_13_9_13_9_3" localSheetId="11">SUM(#REF!+#REF!+#REF!)</definedName>
    <definedName name="SHARED_FORMULA_13_9_13_9_3" localSheetId="15">SUM(#REF!+#REF!+#REF!)</definedName>
    <definedName name="SHARED_FORMULA_13_9_13_9_3" localSheetId="17">SUM(#REF!+#REF!+#REF!)</definedName>
    <definedName name="SHARED_FORMULA_13_9_13_9_3" localSheetId="7">SUM(#REF!+#REF!+#REF!)</definedName>
    <definedName name="SHARED_FORMULA_13_9_13_9_3" localSheetId="8">SUM(#REF!+#REF!+#REF!)</definedName>
    <definedName name="SHARED_FORMULA_13_9_13_9_3" localSheetId="9">SUM(#REF!+#REF!+#REF!)</definedName>
    <definedName name="SHARED_FORMULA_13_9_13_9_3">SUM(#REF!+#REF!+#REF!)</definedName>
    <definedName name="SHARED_FORMULA_14_102_14_102_5" localSheetId="10">#REF!</definedName>
    <definedName name="SHARED_FORMULA_14_102_14_102_5" localSheetId="11">#REF!</definedName>
    <definedName name="SHARED_FORMULA_14_102_14_102_5" localSheetId="15">#REF!</definedName>
    <definedName name="SHARED_FORMULA_14_102_14_102_5" localSheetId="17">#REF!</definedName>
    <definedName name="SHARED_FORMULA_14_102_14_102_5" localSheetId="7">#REF!</definedName>
    <definedName name="SHARED_FORMULA_14_102_14_102_5" localSheetId="8">#REF!</definedName>
    <definedName name="SHARED_FORMULA_14_102_14_102_5" localSheetId="9">#REF!</definedName>
    <definedName name="SHARED_FORMULA_14_102_14_102_5">#REF!</definedName>
    <definedName name="SHARED_FORMULA_14_121_14_121_5" localSheetId="10">#REF!+#REF!+#REF!+#REF!</definedName>
    <definedName name="SHARED_FORMULA_14_121_14_121_5" localSheetId="11">#REF!+#REF!+#REF!+#REF!</definedName>
    <definedName name="SHARED_FORMULA_14_121_14_121_5" localSheetId="15">#REF!+#REF!+#REF!+#REF!</definedName>
    <definedName name="SHARED_FORMULA_14_121_14_121_5" localSheetId="17">#REF!+#REF!+#REF!+#REF!</definedName>
    <definedName name="SHARED_FORMULA_14_121_14_121_5" localSheetId="7">#REF!+#REF!+#REF!+#REF!</definedName>
    <definedName name="SHARED_FORMULA_14_121_14_121_5" localSheetId="8">#REF!+#REF!+#REF!+#REF!</definedName>
    <definedName name="SHARED_FORMULA_14_121_14_121_5" localSheetId="9">#REF!+#REF!+#REF!+#REF!</definedName>
    <definedName name="SHARED_FORMULA_14_121_14_121_5">#REF!+#REF!+#REF!+#REF!</definedName>
    <definedName name="SHARED_FORMULA_14_131_14_131_5" localSheetId="10">#REF!+#REF!+#REF!+#REF!+#REF!+#REF!+#REF!+#REF!+#REF!+#REF!+#REF!+#REF!+#REF!+#REF!+#REF!+#REF!+#REF!+#REF!+#REF!+#REF!+#REF!+#REF!+#REF!</definedName>
    <definedName name="SHARED_FORMULA_14_131_14_131_5" localSheetId="11">#REF!+#REF!+#REF!+#REF!+#REF!+#REF!+#REF!+#REF!+#REF!+#REF!+#REF!+#REF!+#REF!+#REF!+#REF!+#REF!+#REF!+#REF!+#REF!+#REF!+#REF!+#REF!+#REF!</definedName>
    <definedName name="SHARED_FORMULA_14_131_14_131_5" localSheetId="15">#REF!+#REF!+#REF!+#REF!+#REF!+#REF!+#REF!+#REF!+#REF!+#REF!+#REF!+#REF!+#REF!+#REF!+#REF!+#REF!+#REF!+#REF!+#REF!+#REF!+#REF!+#REF!+#REF!</definedName>
    <definedName name="SHARED_FORMULA_14_131_14_131_5" localSheetId="17">#REF!+#REF!+#REF!+#REF!+#REF!+#REF!+#REF!+#REF!+#REF!+#REF!+#REF!+#REF!+#REF!+#REF!+#REF!+#REF!+#REF!+#REF!+#REF!+#REF!+#REF!+#REF!+#REF!</definedName>
    <definedName name="SHARED_FORMULA_14_131_14_131_5" localSheetId="7">#REF!+#REF!+#REF!+#REF!+#REF!+#REF!+#REF!+#REF!+#REF!+#REF!+#REF!+#REF!+#REF!+#REF!+#REF!+#REF!+#REF!+#REF!+#REF!+#REF!+#REF!+#REF!+#REF!</definedName>
    <definedName name="SHARED_FORMULA_14_131_14_131_5" localSheetId="8">#REF!+#REF!+#REF!+#REF!+#REF!+#REF!+#REF!+#REF!+#REF!+#REF!+#REF!+#REF!+#REF!+#REF!+#REF!+#REF!+#REF!+#REF!+#REF!+#REF!+#REF!+#REF!+#REF!</definedName>
    <definedName name="SHARED_FORMULA_14_131_14_131_5" localSheetId="9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10">#REF!+#REF!</definedName>
    <definedName name="SHARED_FORMULA_14_150_14_150_5" localSheetId="11">#REF!+#REF!</definedName>
    <definedName name="SHARED_FORMULA_14_150_14_150_5" localSheetId="15">#REF!+#REF!</definedName>
    <definedName name="SHARED_FORMULA_14_150_14_150_5" localSheetId="17">#REF!+#REF!</definedName>
    <definedName name="SHARED_FORMULA_14_150_14_150_5" localSheetId="7">#REF!+#REF!</definedName>
    <definedName name="SHARED_FORMULA_14_150_14_150_5" localSheetId="8">#REF!+#REF!</definedName>
    <definedName name="SHARED_FORMULA_14_150_14_150_5" localSheetId="9">#REF!+#REF!</definedName>
    <definedName name="SHARED_FORMULA_14_150_14_150_5">#REF!+#REF!</definedName>
    <definedName name="SHARED_FORMULA_14_151_14_151_5" localSheetId="10">#REF!-#REF!</definedName>
    <definedName name="SHARED_FORMULA_14_151_14_151_5" localSheetId="11">#REF!-#REF!</definedName>
    <definedName name="SHARED_FORMULA_14_151_14_151_5" localSheetId="15">#REF!-#REF!</definedName>
    <definedName name="SHARED_FORMULA_14_151_14_151_5" localSheetId="17">#REF!-#REF!</definedName>
    <definedName name="SHARED_FORMULA_14_151_14_151_5" localSheetId="7">#REF!-#REF!</definedName>
    <definedName name="SHARED_FORMULA_14_151_14_151_5" localSheetId="8">#REF!-#REF!</definedName>
    <definedName name="SHARED_FORMULA_14_151_14_151_5" localSheetId="9">#REF!-#REF!</definedName>
    <definedName name="SHARED_FORMULA_14_151_14_151_5">#REF!-#REF!</definedName>
    <definedName name="SHARED_FORMULA_14_71_14_71_5" localSheetId="10">#REF!+#REF!+#REF!+#REF!</definedName>
    <definedName name="SHARED_FORMULA_14_71_14_71_5" localSheetId="11">#REF!+#REF!+#REF!+#REF!</definedName>
    <definedName name="SHARED_FORMULA_14_71_14_71_5" localSheetId="15">#REF!+#REF!+#REF!+#REF!</definedName>
    <definedName name="SHARED_FORMULA_14_71_14_71_5" localSheetId="17">#REF!+#REF!+#REF!+#REF!</definedName>
    <definedName name="SHARED_FORMULA_14_71_14_71_5" localSheetId="7">#REF!+#REF!+#REF!+#REF!</definedName>
    <definedName name="SHARED_FORMULA_14_71_14_71_5" localSheetId="8">#REF!+#REF!+#REF!+#REF!</definedName>
    <definedName name="SHARED_FORMULA_14_71_14_71_5" localSheetId="9">#REF!+#REF!+#REF!+#REF!</definedName>
    <definedName name="SHARED_FORMULA_14_71_14_71_5">#REF!+#REF!+#REF!+#REF!</definedName>
    <definedName name="SHARED_FORMULA_14_72_14_72_5" localSheetId="10">#REF!+#REF!+#REF!+#REF!</definedName>
    <definedName name="SHARED_FORMULA_14_72_14_72_5" localSheetId="11">#REF!+#REF!+#REF!+#REF!</definedName>
    <definedName name="SHARED_FORMULA_14_72_14_72_5" localSheetId="15">#REF!+#REF!+#REF!+#REF!</definedName>
    <definedName name="SHARED_FORMULA_14_72_14_72_5" localSheetId="17">#REF!+#REF!+#REF!+#REF!</definedName>
    <definedName name="SHARED_FORMULA_14_72_14_72_5" localSheetId="7">#REF!+#REF!+#REF!+#REF!</definedName>
    <definedName name="SHARED_FORMULA_14_72_14_72_5" localSheetId="8">#REF!+#REF!+#REF!+#REF!</definedName>
    <definedName name="SHARED_FORMULA_14_72_14_72_5" localSheetId="9">#REF!+#REF!+#REF!+#REF!</definedName>
    <definedName name="SHARED_FORMULA_14_72_14_72_5">#REF!+#REF!+#REF!+#REF!</definedName>
    <definedName name="SHARED_FORMULA_14_73_14_73_5" localSheetId="10">#REF!+#REF!+#REF!+#REF!</definedName>
    <definedName name="SHARED_FORMULA_14_73_14_73_5" localSheetId="11">#REF!+#REF!+#REF!+#REF!</definedName>
    <definedName name="SHARED_FORMULA_14_73_14_73_5" localSheetId="15">#REF!+#REF!+#REF!+#REF!</definedName>
    <definedName name="SHARED_FORMULA_14_73_14_73_5" localSheetId="17">#REF!+#REF!+#REF!+#REF!</definedName>
    <definedName name="SHARED_FORMULA_14_73_14_73_5" localSheetId="7">#REF!+#REF!+#REF!+#REF!</definedName>
    <definedName name="SHARED_FORMULA_14_73_14_73_5" localSheetId="8">#REF!+#REF!+#REF!+#REF!</definedName>
    <definedName name="SHARED_FORMULA_14_73_14_73_5" localSheetId="9">#REF!+#REF!+#REF!+#REF!</definedName>
    <definedName name="SHARED_FORMULA_14_73_14_73_5">#REF!+#REF!+#REF!+#REF!</definedName>
    <definedName name="SHARED_FORMULA_14_74_14_74_5" localSheetId="10">#REF!+#REF!+#REF!+#REF!</definedName>
    <definedName name="SHARED_FORMULA_14_74_14_74_5" localSheetId="11">#REF!+#REF!+#REF!+#REF!</definedName>
    <definedName name="SHARED_FORMULA_14_74_14_74_5" localSheetId="15">#REF!+#REF!+#REF!+#REF!</definedName>
    <definedName name="SHARED_FORMULA_14_74_14_74_5" localSheetId="17">#REF!+#REF!+#REF!+#REF!</definedName>
    <definedName name="SHARED_FORMULA_14_74_14_74_5" localSheetId="7">#REF!+#REF!+#REF!+#REF!</definedName>
    <definedName name="SHARED_FORMULA_14_74_14_74_5" localSheetId="8">#REF!+#REF!+#REF!+#REF!</definedName>
    <definedName name="SHARED_FORMULA_14_74_14_74_5" localSheetId="9">#REF!+#REF!+#REF!+#REF!</definedName>
    <definedName name="SHARED_FORMULA_14_74_14_74_5">#REF!+#REF!+#REF!+#REF!</definedName>
    <definedName name="SHARED_FORMULA_14_75_14_75_5" localSheetId="10">#REF!+#REF!+#REF!+#REF!</definedName>
    <definedName name="SHARED_FORMULA_14_75_14_75_5" localSheetId="11">#REF!+#REF!+#REF!+#REF!</definedName>
    <definedName name="SHARED_FORMULA_14_75_14_75_5" localSheetId="15">#REF!+#REF!+#REF!+#REF!</definedName>
    <definedName name="SHARED_FORMULA_14_75_14_75_5" localSheetId="17">#REF!+#REF!+#REF!+#REF!</definedName>
    <definedName name="SHARED_FORMULA_14_75_14_75_5" localSheetId="7">#REF!+#REF!+#REF!+#REF!</definedName>
    <definedName name="SHARED_FORMULA_14_75_14_75_5" localSheetId="8">#REF!+#REF!+#REF!+#REF!</definedName>
    <definedName name="SHARED_FORMULA_14_75_14_75_5" localSheetId="9">#REF!+#REF!+#REF!+#REF!</definedName>
    <definedName name="SHARED_FORMULA_14_75_14_75_5">#REF!+#REF!+#REF!+#REF!</definedName>
    <definedName name="SHARED_FORMULA_14_86_14_86_5" localSheetId="10">#REF!+#REF!</definedName>
    <definedName name="SHARED_FORMULA_14_86_14_86_5" localSheetId="11">#REF!+#REF!</definedName>
    <definedName name="SHARED_FORMULA_14_86_14_86_5" localSheetId="15">#REF!+#REF!</definedName>
    <definedName name="SHARED_FORMULA_14_86_14_86_5" localSheetId="17">#REF!+#REF!</definedName>
    <definedName name="SHARED_FORMULA_14_86_14_86_5" localSheetId="7">#REF!+#REF!</definedName>
    <definedName name="SHARED_FORMULA_14_86_14_86_5" localSheetId="8">#REF!+#REF!</definedName>
    <definedName name="SHARED_FORMULA_14_86_14_86_5" localSheetId="9">#REF!+#REF!</definedName>
    <definedName name="SHARED_FORMULA_14_86_14_86_5">#REF!+#REF!</definedName>
    <definedName name="SHARED_FORMULA_14_9_14_9_3" localSheetId="10">SUM(#REF!+#REF!+#REF!)</definedName>
    <definedName name="SHARED_FORMULA_14_9_14_9_3" localSheetId="11">SUM(#REF!+#REF!+#REF!)</definedName>
    <definedName name="SHARED_FORMULA_14_9_14_9_3" localSheetId="15">SUM(#REF!+#REF!+#REF!)</definedName>
    <definedName name="SHARED_FORMULA_14_9_14_9_3" localSheetId="17">SUM(#REF!+#REF!+#REF!)</definedName>
    <definedName name="SHARED_FORMULA_14_9_14_9_3" localSheetId="7">SUM(#REF!+#REF!+#REF!)</definedName>
    <definedName name="SHARED_FORMULA_14_9_14_9_3" localSheetId="8">SUM(#REF!+#REF!+#REF!)</definedName>
    <definedName name="SHARED_FORMULA_14_9_14_9_3" localSheetId="9">SUM(#REF!+#REF!+#REF!)</definedName>
    <definedName name="SHARED_FORMULA_14_9_14_9_3">SUM(#REF!+#REF!+#REF!)</definedName>
    <definedName name="SHARED_FORMULA_16_112_16_112_5" localSheetId="10">#REF!</definedName>
    <definedName name="SHARED_FORMULA_16_112_16_112_5" localSheetId="11">#REF!</definedName>
    <definedName name="SHARED_FORMULA_16_112_16_112_5" localSheetId="15">#REF!</definedName>
    <definedName name="SHARED_FORMULA_16_112_16_112_5" localSheetId="17">#REF!</definedName>
    <definedName name="SHARED_FORMULA_16_112_16_112_5" localSheetId="7">#REF!</definedName>
    <definedName name="SHARED_FORMULA_16_112_16_112_5" localSheetId="8">#REF!</definedName>
    <definedName name="SHARED_FORMULA_16_112_16_112_5" localSheetId="9">#REF!</definedName>
    <definedName name="SHARED_FORMULA_16_112_16_112_5">#REF!</definedName>
    <definedName name="SHARED_FORMULA_17_108_17_108_5" localSheetId="10">#REF!</definedName>
    <definedName name="SHARED_FORMULA_17_108_17_108_5" localSheetId="11">#REF!</definedName>
    <definedName name="SHARED_FORMULA_17_108_17_108_5" localSheetId="15">#REF!</definedName>
    <definedName name="SHARED_FORMULA_17_108_17_108_5" localSheetId="17">#REF!</definedName>
    <definedName name="SHARED_FORMULA_17_108_17_108_5" localSheetId="7">#REF!</definedName>
    <definedName name="SHARED_FORMULA_17_108_17_108_5" localSheetId="8">#REF!</definedName>
    <definedName name="SHARED_FORMULA_17_108_17_108_5" localSheetId="9">#REF!</definedName>
    <definedName name="SHARED_FORMULA_17_108_17_108_5">#REF!</definedName>
    <definedName name="SHARED_FORMULA_17_117_17_117_5" localSheetId="10">#REF!</definedName>
    <definedName name="SHARED_FORMULA_17_117_17_117_5" localSheetId="11">#REF!</definedName>
    <definedName name="SHARED_FORMULA_17_117_17_117_5" localSheetId="15">#REF!</definedName>
    <definedName name="SHARED_FORMULA_17_117_17_117_5" localSheetId="17">#REF!</definedName>
    <definedName name="SHARED_FORMULA_17_117_17_117_5" localSheetId="7">#REF!</definedName>
    <definedName name="SHARED_FORMULA_17_117_17_117_5" localSheetId="8">#REF!</definedName>
    <definedName name="SHARED_FORMULA_17_117_17_117_5" localSheetId="9">#REF!</definedName>
    <definedName name="SHARED_FORMULA_17_117_17_117_5">#REF!</definedName>
    <definedName name="SHARED_FORMULA_17_127_17_127_5" localSheetId="10">#REF!</definedName>
    <definedName name="SHARED_FORMULA_17_127_17_127_5" localSheetId="11">#REF!</definedName>
    <definedName name="SHARED_FORMULA_17_127_17_127_5" localSheetId="15">#REF!</definedName>
    <definedName name="SHARED_FORMULA_17_127_17_127_5" localSheetId="17">#REF!</definedName>
    <definedName name="SHARED_FORMULA_17_127_17_127_5" localSheetId="7">#REF!</definedName>
    <definedName name="SHARED_FORMULA_17_127_17_127_5" localSheetId="8">#REF!</definedName>
    <definedName name="SHARED_FORMULA_17_127_17_127_5" localSheetId="9">#REF!</definedName>
    <definedName name="SHARED_FORMULA_17_127_17_127_5">#REF!</definedName>
    <definedName name="SHARED_FORMULA_17_22_17_22_5" localSheetId="10">#REF!</definedName>
    <definedName name="SHARED_FORMULA_17_22_17_22_5" localSheetId="11">#REF!</definedName>
    <definedName name="SHARED_FORMULA_17_22_17_22_5" localSheetId="15">#REF!</definedName>
    <definedName name="SHARED_FORMULA_17_22_17_22_5" localSheetId="17">#REF!</definedName>
    <definedName name="SHARED_FORMULA_17_22_17_22_5" localSheetId="7">#REF!</definedName>
    <definedName name="SHARED_FORMULA_17_22_17_22_5" localSheetId="8">#REF!</definedName>
    <definedName name="SHARED_FORMULA_17_22_17_22_5" localSheetId="9">#REF!</definedName>
    <definedName name="SHARED_FORMULA_17_22_17_22_5">#REF!</definedName>
    <definedName name="SHARED_FORMULA_17_27_17_27_5" localSheetId="10">#REF!</definedName>
    <definedName name="SHARED_FORMULA_17_27_17_27_5" localSheetId="11">#REF!</definedName>
    <definedName name="SHARED_FORMULA_17_27_17_27_5" localSheetId="15">#REF!</definedName>
    <definedName name="SHARED_FORMULA_17_27_17_27_5" localSheetId="17">#REF!</definedName>
    <definedName name="SHARED_FORMULA_17_27_17_27_5" localSheetId="7">#REF!</definedName>
    <definedName name="SHARED_FORMULA_17_27_17_27_5" localSheetId="8">#REF!</definedName>
    <definedName name="SHARED_FORMULA_17_27_17_27_5" localSheetId="9">#REF!</definedName>
    <definedName name="SHARED_FORMULA_17_27_17_27_5">#REF!</definedName>
    <definedName name="SHARED_FORMULA_17_32_17_32_5" localSheetId="10">#REF!</definedName>
    <definedName name="SHARED_FORMULA_17_32_17_32_5" localSheetId="11">#REF!</definedName>
    <definedName name="SHARED_FORMULA_17_32_17_32_5" localSheetId="15">#REF!</definedName>
    <definedName name="SHARED_FORMULA_17_32_17_32_5" localSheetId="17">#REF!</definedName>
    <definedName name="SHARED_FORMULA_17_32_17_32_5" localSheetId="7">#REF!</definedName>
    <definedName name="SHARED_FORMULA_17_32_17_32_5" localSheetId="8">#REF!</definedName>
    <definedName name="SHARED_FORMULA_17_32_17_32_5" localSheetId="9">#REF!</definedName>
    <definedName name="SHARED_FORMULA_17_32_17_32_5">#REF!</definedName>
    <definedName name="SHARED_FORMULA_17_37_17_37_5" localSheetId="10">#REF!</definedName>
    <definedName name="SHARED_FORMULA_17_37_17_37_5" localSheetId="11">#REF!</definedName>
    <definedName name="SHARED_FORMULA_17_37_17_37_5" localSheetId="15">#REF!</definedName>
    <definedName name="SHARED_FORMULA_17_37_17_37_5" localSheetId="17">#REF!</definedName>
    <definedName name="SHARED_FORMULA_17_37_17_37_5" localSheetId="7">#REF!</definedName>
    <definedName name="SHARED_FORMULA_17_37_17_37_5" localSheetId="8">#REF!</definedName>
    <definedName name="SHARED_FORMULA_17_37_17_37_5" localSheetId="9">#REF!</definedName>
    <definedName name="SHARED_FORMULA_17_37_17_37_5">#REF!</definedName>
    <definedName name="SHARED_FORMULA_17_4_17_4_5" localSheetId="10">#REF!</definedName>
    <definedName name="SHARED_FORMULA_17_4_17_4_5" localSheetId="11">#REF!</definedName>
    <definedName name="SHARED_FORMULA_17_4_17_4_5" localSheetId="15">#REF!</definedName>
    <definedName name="SHARED_FORMULA_17_4_17_4_5" localSheetId="17">#REF!</definedName>
    <definedName name="SHARED_FORMULA_17_4_17_4_5" localSheetId="7">#REF!</definedName>
    <definedName name="SHARED_FORMULA_17_4_17_4_5" localSheetId="8">#REF!</definedName>
    <definedName name="SHARED_FORMULA_17_4_17_4_5" localSheetId="9">#REF!</definedName>
    <definedName name="SHARED_FORMULA_17_4_17_4_5">#REF!</definedName>
    <definedName name="SHARED_FORMULA_17_43_17_43_5" localSheetId="10">#REF!</definedName>
    <definedName name="SHARED_FORMULA_17_43_17_43_5" localSheetId="11">#REF!</definedName>
    <definedName name="SHARED_FORMULA_17_43_17_43_5" localSheetId="15">#REF!</definedName>
    <definedName name="SHARED_FORMULA_17_43_17_43_5" localSheetId="17">#REF!</definedName>
    <definedName name="SHARED_FORMULA_17_43_17_43_5" localSheetId="7">#REF!</definedName>
    <definedName name="SHARED_FORMULA_17_43_17_43_5" localSheetId="8">#REF!</definedName>
    <definedName name="SHARED_FORMULA_17_43_17_43_5" localSheetId="9">#REF!</definedName>
    <definedName name="SHARED_FORMULA_17_43_17_43_5">#REF!</definedName>
    <definedName name="SHARED_FORMULA_17_47_17_47_5" localSheetId="10">#REF!</definedName>
    <definedName name="SHARED_FORMULA_17_47_17_47_5" localSheetId="11">#REF!</definedName>
    <definedName name="SHARED_FORMULA_17_47_17_47_5" localSheetId="15">#REF!</definedName>
    <definedName name="SHARED_FORMULA_17_47_17_47_5" localSheetId="17">#REF!</definedName>
    <definedName name="SHARED_FORMULA_17_47_17_47_5" localSheetId="7">#REF!</definedName>
    <definedName name="SHARED_FORMULA_17_47_17_47_5" localSheetId="8">#REF!</definedName>
    <definedName name="SHARED_FORMULA_17_47_17_47_5" localSheetId="9">#REF!</definedName>
    <definedName name="SHARED_FORMULA_17_47_17_47_5">#REF!</definedName>
    <definedName name="SHARED_FORMULA_17_52_17_52_5" localSheetId="10">#REF!</definedName>
    <definedName name="SHARED_FORMULA_17_52_17_52_5" localSheetId="11">#REF!</definedName>
    <definedName name="SHARED_FORMULA_17_52_17_52_5" localSheetId="15">#REF!</definedName>
    <definedName name="SHARED_FORMULA_17_52_17_52_5" localSheetId="17">#REF!</definedName>
    <definedName name="SHARED_FORMULA_17_52_17_52_5" localSheetId="7">#REF!</definedName>
    <definedName name="SHARED_FORMULA_17_52_17_52_5" localSheetId="8">#REF!</definedName>
    <definedName name="SHARED_FORMULA_17_52_17_52_5" localSheetId="9">#REF!</definedName>
    <definedName name="SHARED_FORMULA_17_52_17_52_5">#REF!</definedName>
    <definedName name="SHARED_FORMULA_17_57_17_57_5" localSheetId="10">#REF!</definedName>
    <definedName name="SHARED_FORMULA_17_57_17_57_5" localSheetId="11">#REF!</definedName>
    <definedName name="SHARED_FORMULA_17_57_17_57_5" localSheetId="15">#REF!</definedName>
    <definedName name="SHARED_FORMULA_17_57_17_57_5" localSheetId="17">#REF!</definedName>
    <definedName name="SHARED_FORMULA_17_57_17_57_5" localSheetId="7">#REF!</definedName>
    <definedName name="SHARED_FORMULA_17_57_17_57_5" localSheetId="8">#REF!</definedName>
    <definedName name="SHARED_FORMULA_17_57_17_57_5" localSheetId="9">#REF!</definedName>
    <definedName name="SHARED_FORMULA_17_57_17_57_5">#REF!</definedName>
    <definedName name="SHARED_FORMULA_17_62_17_62_5" localSheetId="10">#REF!</definedName>
    <definedName name="SHARED_FORMULA_17_62_17_62_5" localSheetId="11">#REF!</definedName>
    <definedName name="SHARED_FORMULA_17_62_17_62_5" localSheetId="15">#REF!</definedName>
    <definedName name="SHARED_FORMULA_17_62_17_62_5" localSheetId="17">#REF!</definedName>
    <definedName name="SHARED_FORMULA_17_62_17_62_5" localSheetId="7">#REF!</definedName>
    <definedName name="SHARED_FORMULA_17_62_17_62_5" localSheetId="8">#REF!</definedName>
    <definedName name="SHARED_FORMULA_17_62_17_62_5" localSheetId="9">#REF!</definedName>
    <definedName name="SHARED_FORMULA_17_62_17_62_5">#REF!</definedName>
    <definedName name="SHARED_FORMULA_17_67_17_67_5" localSheetId="10">#REF!</definedName>
    <definedName name="SHARED_FORMULA_17_67_17_67_5" localSheetId="11">#REF!</definedName>
    <definedName name="SHARED_FORMULA_17_67_17_67_5" localSheetId="15">#REF!</definedName>
    <definedName name="SHARED_FORMULA_17_67_17_67_5" localSheetId="17">#REF!</definedName>
    <definedName name="SHARED_FORMULA_17_67_17_67_5" localSheetId="7">#REF!</definedName>
    <definedName name="SHARED_FORMULA_17_67_17_67_5" localSheetId="8">#REF!</definedName>
    <definedName name="SHARED_FORMULA_17_67_17_67_5" localSheetId="9">#REF!</definedName>
    <definedName name="SHARED_FORMULA_17_67_17_67_5">#REF!</definedName>
    <definedName name="SHARED_FORMULA_17_77_17_77_5" localSheetId="10">#REF!</definedName>
    <definedName name="SHARED_FORMULA_17_77_17_77_5" localSheetId="11">#REF!</definedName>
    <definedName name="SHARED_FORMULA_17_77_17_77_5" localSheetId="15">#REF!</definedName>
    <definedName name="SHARED_FORMULA_17_77_17_77_5" localSheetId="17">#REF!</definedName>
    <definedName name="SHARED_FORMULA_17_77_17_77_5" localSheetId="7">#REF!</definedName>
    <definedName name="SHARED_FORMULA_17_77_17_77_5" localSheetId="8">#REF!</definedName>
    <definedName name="SHARED_FORMULA_17_77_17_77_5" localSheetId="9">#REF!</definedName>
    <definedName name="SHARED_FORMULA_17_77_17_77_5">#REF!</definedName>
    <definedName name="SHARED_FORMULA_17_82_17_82_5" localSheetId="10">#REF!</definedName>
    <definedName name="SHARED_FORMULA_17_82_17_82_5" localSheetId="11">#REF!</definedName>
    <definedName name="SHARED_FORMULA_17_82_17_82_5" localSheetId="15">#REF!</definedName>
    <definedName name="SHARED_FORMULA_17_82_17_82_5" localSheetId="17">#REF!</definedName>
    <definedName name="SHARED_FORMULA_17_82_17_82_5" localSheetId="7">#REF!</definedName>
    <definedName name="SHARED_FORMULA_17_82_17_82_5" localSheetId="8">#REF!</definedName>
    <definedName name="SHARED_FORMULA_17_82_17_82_5" localSheetId="9">#REF!</definedName>
    <definedName name="SHARED_FORMULA_17_82_17_82_5">#REF!</definedName>
    <definedName name="SHARED_FORMULA_17_9_17_9_5" localSheetId="10">#REF!</definedName>
    <definedName name="SHARED_FORMULA_17_9_17_9_5" localSheetId="11">#REF!</definedName>
    <definedName name="SHARED_FORMULA_17_9_17_9_5" localSheetId="15">#REF!</definedName>
    <definedName name="SHARED_FORMULA_17_9_17_9_5" localSheetId="17">#REF!</definedName>
    <definedName name="SHARED_FORMULA_17_9_17_9_5" localSheetId="7">#REF!</definedName>
    <definedName name="SHARED_FORMULA_17_9_17_9_5" localSheetId="8">#REF!</definedName>
    <definedName name="SHARED_FORMULA_17_9_17_9_5" localSheetId="9">#REF!</definedName>
    <definedName name="SHARED_FORMULA_17_9_17_9_5">#REF!</definedName>
    <definedName name="SHARED_FORMULA_17_92_17_92_5" localSheetId="10">#REF!</definedName>
    <definedName name="SHARED_FORMULA_17_92_17_92_5" localSheetId="11">#REF!</definedName>
    <definedName name="SHARED_FORMULA_17_92_17_92_5" localSheetId="15">#REF!</definedName>
    <definedName name="SHARED_FORMULA_17_92_17_92_5" localSheetId="17">#REF!</definedName>
    <definedName name="SHARED_FORMULA_17_92_17_92_5" localSheetId="7">#REF!</definedName>
    <definedName name="SHARED_FORMULA_17_92_17_92_5" localSheetId="8">#REF!</definedName>
    <definedName name="SHARED_FORMULA_17_92_17_92_5" localSheetId="9">#REF!</definedName>
    <definedName name="SHARED_FORMULA_17_92_17_92_5">#REF!</definedName>
    <definedName name="SHARED_FORMULA_17_97_17_97_5" localSheetId="10">#REF!</definedName>
    <definedName name="SHARED_FORMULA_17_97_17_97_5" localSheetId="11">#REF!</definedName>
    <definedName name="SHARED_FORMULA_17_97_17_97_5" localSheetId="15">#REF!</definedName>
    <definedName name="SHARED_FORMULA_17_97_17_97_5" localSheetId="17">#REF!</definedName>
    <definedName name="SHARED_FORMULA_17_97_17_97_5" localSheetId="7">#REF!</definedName>
    <definedName name="SHARED_FORMULA_17_97_17_97_5" localSheetId="8">#REF!</definedName>
    <definedName name="SHARED_FORMULA_17_97_17_97_5" localSheetId="9">#REF!</definedName>
    <definedName name="SHARED_FORMULA_17_97_17_97_5">#REF!</definedName>
    <definedName name="SHARED_FORMULA_2_102_2_102_5" localSheetId="10">#REF!</definedName>
    <definedName name="SHARED_FORMULA_2_102_2_102_5" localSheetId="11">#REF!</definedName>
    <definedName name="SHARED_FORMULA_2_102_2_102_5" localSheetId="15">#REF!</definedName>
    <definedName name="SHARED_FORMULA_2_102_2_102_5" localSheetId="17">#REF!</definedName>
    <definedName name="SHARED_FORMULA_2_102_2_102_5" localSheetId="7">#REF!</definedName>
    <definedName name="SHARED_FORMULA_2_102_2_102_5" localSheetId="8">#REF!</definedName>
    <definedName name="SHARED_FORMULA_2_102_2_102_5" localSheetId="9">#REF!</definedName>
    <definedName name="SHARED_FORMULA_2_102_2_102_5">#REF!</definedName>
    <definedName name="SHARED_FORMULA_2_107_2_107_5" localSheetId="10">#REF!</definedName>
    <definedName name="SHARED_FORMULA_2_107_2_107_5" localSheetId="11">#REF!</definedName>
    <definedName name="SHARED_FORMULA_2_107_2_107_5" localSheetId="15">#REF!</definedName>
    <definedName name="SHARED_FORMULA_2_107_2_107_5" localSheetId="17">#REF!</definedName>
    <definedName name="SHARED_FORMULA_2_107_2_107_5" localSheetId="7">#REF!</definedName>
    <definedName name="SHARED_FORMULA_2_107_2_107_5" localSheetId="8">#REF!</definedName>
    <definedName name="SHARED_FORMULA_2_107_2_107_5" localSheetId="9">#REF!</definedName>
    <definedName name="SHARED_FORMULA_2_107_2_107_5">#REF!</definedName>
    <definedName name="SHARED_FORMULA_2_112_2_112_5" localSheetId="10">#REF!</definedName>
    <definedName name="SHARED_FORMULA_2_112_2_112_5" localSheetId="11">#REF!</definedName>
    <definedName name="SHARED_FORMULA_2_112_2_112_5" localSheetId="15">#REF!</definedName>
    <definedName name="SHARED_FORMULA_2_112_2_112_5" localSheetId="17">#REF!</definedName>
    <definedName name="SHARED_FORMULA_2_112_2_112_5" localSheetId="7">#REF!</definedName>
    <definedName name="SHARED_FORMULA_2_112_2_112_5" localSheetId="8">#REF!</definedName>
    <definedName name="SHARED_FORMULA_2_112_2_112_5" localSheetId="9">#REF!</definedName>
    <definedName name="SHARED_FORMULA_2_112_2_112_5">#REF!</definedName>
    <definedName name="SHARED_FORMULA_2_121_2_121_5" localSheetId="10">#REF!+#REF!+#REF!+#REF!</definedName>
    <definedName name="SHARED_FORMULA_2_121_2_121_5" localSheetId="11">#REF!+#REF!+#REF!+#REF!</definedName>
    <definedName name="SHARED_FORMULA_2_121_2_121_5" localSheetId="15">#REF!+#REF!+#REF!+#REF!</definedName>
    <definedName name="SHARED_FORMULA_2_121_2_121_5" localSheetId="17">#REF!+#REF!+#REF!+#REF!</definedName>
    <definedName name="SHARED_FORMULA_2_121_2_121_5" localSheetId="7">#REF!+#REF!+#REF!+#REF!</definedName>
    <definedName name="SHARED_FORMULA_2_121_2_121_5" localSheetId="8">#REF!+#REF!+#REF!+#REF!</definedName>
    <definedName name="SHARED_FORMULA_2_121_2_121_5" localSheetId="9">#REF!+#REF!+#REF!+#REF!</definedName>
    <definedName name="SHARED_FORMULA_2_121_2_121_5">#REF!+#REF!+#REF!+#REF!</definedName>
    <definedName name="SHARED_FORMULA_2_122_2_122_5" localSheetId="10">#REF!+#REF!+#REF!+#REF!</definedName>
    <definedName name="SHARED_FORMULA_2_122_2_122_5" localSheetId="11">#REF!+#REF!+#REF!+#REF!</definedName>
    <definedName name="SHARED_FORMULA_2_122_2_122_5" localSheetId="15">#REF!+#REF!+#REF!+#REF!</definedName>
    <definedName name="SHARED_FORMULA_2_122_2_122_5" localSheetId="17">#REF!+#REF!+#REF!+#REF!</definedName>
    <definedName name="SHARED_FORMULA_2_122_2_122_5" localSheetId="7">#REF!+#REF!+#REF!+#REF!</definedName>
    <definedName name="SHARED_FORMULA_2_122_2_122_5" localSheetId="8">#REF!+#REF!+#REF!+#REF!</definedName>
    <definedName name="SHARED_FORMULA_2_122_2_122_5" localSheetId="9">#REF!+#REF!+#REF!+#REF!</definedName>
    <definedName name="SHARED_FORMULA_2_122_2_122_5">#REF!+#REF!+#REF!+#REF!</definedName>
    <definedName name="SHARED_FORMULA_2_123_2_123_5" localSheetId="10">#REF!+#REF!+#REF!+#REF!</definedName>
    <definedName name="SHARED_FORMULA_2_123_2_123_5" localSheetId="11">#REF!+#REF!+#REF!+#REF!</definedName>
    <definedName name="SHARED_FORMULA_2_123_2_123_5" localSheetId="15">#REF!+#REF!+#REF!+#REF!</definedName>
    <definedName name="SHARED_FORMULA_2_123_2_123_5" localSheetId="17">#REF!+#REF!+#REF!+#REF!</definedName>
    <definedName name="SHARED_FORMULA_2_123_2_123_5" localSheetId="7">#REF!+#REF!+#REF!+#REF!</definedName>
    <definedName name="SHARED_FORMULA_2_123_2_123_5" localSheetId="8">#REF!+#REF!+#REF!+#REF!</definedName>
    <definedName name="SHARED_FORMULA_2_123_2_123_5" localSheetId="9">#REF!+#REF!+#REF!+#REF!</definedName>
    <definedName name="SHARED_FORMULA_2_123_2_123_5">#REF!+#REF!+#REF!+#REF!</definedName>
    <definedName name="SHARED_FORMULA_2_124_2_124_5" localSheetId="10">#REF!+#REF!+#REF!+#REF!</definedName>
    <definedName name="SHARED_FORMULA_2_124_2_124_5" localSheetId="11">#REF!+#REF!+#REF!+#REF!</definedName>
    <definedName name="SHARED_FORMULA_2_124_2_124_5" localSheetId="15">#REF!+#REF!+#REF!+#REF!</definedName>
    <definedName name="SHARED_FORMULA_2_124_2_124_5" localSheetId="17">#REF!+#REF!+#REF!+#REF!</definedName>
    <definedName name="SHARED_FORMULA_2_124_2_124_5" localSheetId="7">#REF!+#REF!+#REF!+#REF!</definedName>
    <definedName name="SHARED_FORMULA_2_124_2_124_5" localSheetId="8">#REF!+#REF!+#REF!+#REF!</definedName>
    <definedName name="SHARED_FORMULA_2_124_2_124_5" localSheetId="9">#REF!+#REF!+#REF!+#REF!</definedName>
    <definedName name="SHARED_FORMULA_2_124_2_124_5">#REF!+#REF!+#REF!+#REF!</definedName>
    <definedName name="SHARED_FORMULA_2_125_2_125_5" localSheetId="10">#REF!+#REF!+#REF!+#REF!</definedName>
    <definedName name="SHARED_FORMULA_2_125_2_125_5" localSheetId="11">#REF!+#REF!+#REF!+#REF!</definedName>
    <definedName name="SHARED_FORMULA_2_125_2_125_5" localSheetId="15">#REF!+#REF!+#REF!+#REF!</definedName>
    <definedName name="SHARED_FORMULA_2_125_2_125_5" localSheetId="17">#REF!+#REF!+#REF!+#REF!</definedName>
    <definedName name="SHARED_FORMULA_2_125_2_125_5" localSheetId="7">#REF!+#REF!+#REF!+#REF!</definedName>
    <definedName name="SHARED_FORMULA_2_125_2_125_5" localSheetId="8">#REF!+#REF!+#REF!+#REF!</definedName>
    <definedName name="SHARED_FORMULA_2_125_2_125_5" localSheetId="9">#REF!+#REF!+#REF!+#REF!</definedName>
    <definedName name="SHARED_FORMULA_2_125_2_125_5">#REF!+#REF!+#REF!+#REF!</definedName>
    <definedName name="SHARED_FORMULA_2_127_2_127_5" localSheetId="10">#REF!</definedName>
    <definedName name="SHARED_FORMULA_2_127_2_127_5" localSheetId="11">#REF!</definedName>
    <definedName name="SHARED_FORMULA_2_127_2_127_5" localSheetId="15">#REF!</definedName>
    <definedName name="SHARED_FORMULA_2_127_2_127_5" localSheetId="17">#REF!</definedName>
    <definedName name="SHARED_FORMULA_2_127_2_127_5" localSheetId="7">#REF!</definedName>
    <definedName name="SHARED_FORMULA_2_127_2_127_5" localSheetId="8">#REF!</definedName>
    <definedName name="SHARED_FORMULA_2_127_2_127_5" localSheetId="9">#REF!</definedName>
    <definedName name="SHARED_FORMULA_2_127_2_127_5">#REF!</definedName>
    <definedName name="SHARED_FORMULA_2_131_2_131_5" localSheetId="10">#REF!+#REF!+#REF!+#REF!+#REF!+#REF!+#REF!+#REF!+#REF!+#REF!+#REF!+#REF!+#REF!+#REF!+#REF!+#REF!+#REF!+#REF!+#REF!+#REF!+#REF!+#REF!+#REF!</definedName>
    <definedName name="SHARED_FORMULA_2_131_2_131_5" localSheetId="11">#REF!+#REF!+#REF!+#REF!+#REF!+#REF!+#REF!+#REF!+#REF!+#REF!+#REF!+#REF!+#REF!+#REF!+#REF!+#REF!+#REF!+#REF!+#REF!+#REF!+#REF!+#REF!+#REF!</definedName>
    <definedName name="SHARED_FORMULA_2_131_2_131_5" localSheetId="15">#REF!+#REF!+#REF!+#REF!+#REF!+#REF!+#REF!+#REF!+#REF!+#REF!+#REF!+#REF!+#REF!+#REF!+#REF!+#REF!+#REF!+#REF!+#REF!+#REF!+#REF!+#REF!+#REF!</definedName>
    <definedName name="SHARED_FORMULA_2_131_2_131_5" localSheetId="17">#REF!+#REF!+#REF!+#REF!+#REF!+#REF!+#REF!+#REF!+#REF!+#REF!+#REF!+#REF!+#REF!+#REF!+#REF!+#REF!+#REF!+#REF!+#REF!+#REF!+#REF!+#REF!+#REF!</definedName>
    <definedName name="SHARED_FORMULA_2_131_2_131_5" localSheetId="7">#REF!+#REF!+#REF!+#REF!+#REF!+#REF!+#REF!+#REF!+#REF!+#REF!+#REF!+#REF!+#REF!+#REF!+#REF!+#REF!+#REF!+#REF!+#REF!+#REF!+#REF!+#REF!+#REF!</definedName>
    <definedName name="SHARED_FORMULA_2_131_2_131_5" localSheetId="8">#REF!+#REF!+#REF!+#REF!+#REF!+#REF!+#REF!+#REF!+#REF!+#REF!+#REF!+#REF!+#REF!+#REF!+#REF!+#REF!+#REF!+#REF!+#REF!+#REF!+#REF!+#REF!+#REF!</definedName>
    <definedName name="SHARED_FORMULA_2_131_2_131_5" localSheetId="9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10">#REF!+#REF!+#REF!+#REF!+#REF!+#REF!+#REF!+#REF!+#REF!+#REF!+#REF!+#REF!+#REF!+#REF!+#REF!+#REF!+#REF!+#REF!+#REF!+#REF!+#REF!+#REF!+#REF!</definedName>
    <definedName name="SHARED_FORMULA_2_132_2_132_5" localSheetId="11">#REF!+#REF!+#REF!+#REF!+#REF!+#REF!+#REF!+#REF!+#REF!+#REF!+#REF!+#REF!+#REF!+#REF!+#REF!+#REF!+#REF!+#REF!+#REF!+#REF!+#REF!+#REF!+#REF!</definedName>
    <definedName name="SHARED_FORMULA_2_132_2_132_5" localSheetId="15">#REF!+#REF!+#REF!+#REF!+#REF!+#REF!+#REF!+#REF!+#REF!+#REF!+#REF!+#REF!+#REF!+#REF!+#REF!+#REF!+#REF!+#REF!+#REF!+#REF!+#REF!+#REF!+#REF!</definedName>
    <definedName name="SHARED_FORMULA_2_132_2_132_5" localSheetId="17">#REF!+#REF!+#REF!+#REF!+#REF!+#REF!+#REF!+#REF!+#REF!+#REF!+#REF!+#REF!+#REF!+#REF!+#REF!+#REF!+#REF!+#REF!+#REF!+#REF!+#REF!+#REF!+#REF!</definedName>
    <definedName name="SHARED_FORMULA_2_132_2_132_5" localSheetId="7">#REF!+#REF!+#REF!+#REF!+#REF!+#REF!+#REF!+#REF!+#REF!+#REF!+#REF!+#REF!+#REF!+#REF!+#REF!+#REF!+#REF!+#REF!+#REF!+#REF!+#REF!+#REF!+#REF!</definedName>
    <definedName name="SHARED_FORMULA_2_132_2_132_5" localSheetId="8">#REF!+#REF!+#REF!+#REF!+#REF!+#REF!+#REF!+#REF!+#REF!+#REF!+#REF!+#REF!+#REF!+#REF!+#REF!+#REF!+#REF!+#REF!+#REF!+#REF!+#REF!+#REF!+#REF!</definedName>
    <definedName name="SHARED_FORMULA_2_132_2_132_5" localSheetId="9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10">#REF!+#REF!+#REF!+#REF!+#REF!+#REF!+#REF!+#REF!+#REF!+#REF!+#REF!+#REF!+#REF!+#REF!+#REF!+#REF!+#REF!+#REF!+#REF!+#REF!+#REF!+#REF!+#REF!</definedName>
    <definedName name="SHARED_FORMULA_2_134_2_134_5" localSheetId="11">#REF!+#REF!+#REF!+#REF!+#REF!+#REF!+#REF!+#REF!+#REF!+#REF!+#REF!+#REF!+#REF!+#REF!+#REF!+#REF!+#REF!+#REF!+#REF!+#REF!+#REF!+#REF!+#REF!</definedName>
    <definedName name="SHARED_FORMULA_2_134_2_134_5" localSheetId="15">#REF!+#REF!+#REF!+#REF!+#REF!+#REF!+#REF!+#REF!+#REF!+#REF!+#REF!+#REF!+#REF!+#REF!+#REF!+#REF!+#REF!+#REF!+#REF!+#REF!+#REF!+#REF!+#REF!</definedName>
    <definedName name="SHARED_FORMULA_2_134_2_134_5" localSheetId="17">#REF!+#REF!+#REF!+#REF!+#REF!+#REF!+#REF!+#REF!+#REF!+#REF!+#REF!+#REF!+#REF!+#REF!+#REF!+#REF!+#REF!+#REF!+#REF!+#REF!+#REF!+#REF!+#REF!</definedName>
    <definedName name="SHARED_FORMULA_2_134_2_134_5" localSheetId="7">#REF!+#REF!+#REF!+#REF!+#REF!+#REF!+#REF!+#REF!+#REF!+#REF!+#REF!+#REF!+#REF!+#REF!+#REF!+#REF!+#REF!+#REF!+#REF!+#REF!+#REF!+#REF!+#REF!</definedName>
    <definedName name="SHARED_FORMULA_2_134_2_134_5" localSheetId="8">#REF!+#REF!+#REF!+#REF!+#REF!+#REF!+#REF!+#REF!+#REF!+#REF!+#REF!+#REF!+#REF!+#REF!+#REF!+#REF!+#REF!+#REF!+#REF!+#REF!+#REF!+#REF!+#REF!</definedName>
    <definedName name="SHARED_FORMULA_2_134_2_134_5" localSheetId="9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10">#REF!+#REF!+#REF!+#REF!+#REF!+#REF!+#REF!+#REF!+#REF!+#REF!+#REF!+#REF!+#REF!+#REF!+#REF!+#REF!+#REF!+#REF!+#REF!+#REF!+#REF!+#REF!+#REF!</definedName>
    <definedName name="SHARED_FORMULA_2_137_2_137_5" localSheetId="11">#REF!+#REF!+#REF!+#REF!+#REF!+#REF!+#REF!+#REF!+#REF!+#REF!+#REF!+#REF!+#REF!+#REF!+#REF!+#REF!+#REF!+#REF!+#REF!+#REF!+#REF!+#REF!+#REF!</definedName>
    <definedName name="SHARED_FORMULA_2_137_2_137_5" localSheetId="15">#REF!+#REF!+#REF!+#REF!+#REF!+#REF!+#REF!+#REF!+#REF!+#REF!+#REF!+#REF!+#REF!+#REF!+#REF!+#REF!+#REF!+#REF!+#REF!+#REF!+#REF!+#REF!+#REF!</definedName>
    <definedName name="SHARED_FORMULA_2_137_2_137_5" localSheetId="17">#REF!+#REF!+#REF!+#REF!+#REF!+#REF!+#REF!+#REF!+#REF!+#REF!+#REF!+#REF!+#REF!+#REF!+#REF!+#REF!+#REF!+#REF!+#REF!+#REF!+#REF!+#REF!+#REF!</definedName>
    <definedName name="SHARED_FORMULA_2_137_2_137_5" localSheetId="7">#REF!+#REF!+#REF!+#REF!+#REF!+#REF!+#REF!+#REF!+#REF!+#REF!+#REF!+#REF!+#REF!+#REF!+#REF!+#REF!+#REF!+#REF!+#REF!+#REF!+#REF!+#REF!+#REF!</definedName>
    <definedName name="SHARED_FORMULA_2_137_2_137_5" localSheetId="8">#REF!+#REF!+#REF!+#REF!+#REF!+#REF!+#REF!+#REF!+#REF!+#REF!+#REF!+#REF!+#REF!+#REF!+#REF!+#REF!+#REF!+#REF!+#REF!+#REF!+#REF!+#REF!+#REF!</definedName>
    <definedName name="SHARED_FORMULA_2_137_2_137_5" localSheetId="9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10">#REF!</definedName>
    <definedName name="SHARED_FORMULA_2_14_2_14_5" localSheetId="11">#REF!</definedName>
    <definedName name="SHARED_FORMULA_2_14_2_14_5" localSheetId="15">#REF!</definedName>
    <definedName name="SHARED_FORMULA_2_14_2_14_5" localSheetId="17">#REF!</definedName>
    <definedName name="SHARED_FORMULA_2_14_2_14_5" localSheetId="7">#REF!</definedName>
    <definedName name="SHARED_FORMULA_2_14_2_14_5" localSheetId="8">#REF!</definedName>
    <definedName name="SHARED_FORMULA_2_14_2_14_5" localSheetId="9">#REF!</definedName>
    <definedName name="SHARED_FORMULA_2_14_2_14_5">#REF!</definedName>
    <definedName name="SHARED_FORMULA_2_140_2_140_5" localSheetId="10">#REF!+#REF!+#REF!+#REF!+#REF!+#REF!+#REF!+#REF!+#REF!+#REF!+#REF!+#REF!+#REF!+#REF!+#REF!+#REF!+#REF!+#REF!+#REF!+#REF!+#REF!+#REF!</definedName>
    <definedName name="SHARED_FORMULA_2_140_2_140_5" localSheetId="11">#REF!+#REF!+#REF!+#REF!+#REF!+#REF!+#REF!+#REF!+#REF!+#REF!+#REF!+#REF!+#REF!+#REF!+#REF!+#REF!+#REF!+#REF!+#REF!+#REF!+#REF!+#REF!</definedName>
    <definedName name="SHARED_FORMULA_2_140_2_140_5" localSheetId="15">#REF!+#REF!+#REF!+#REF!+#REF!+#REF!+#REF!+#REF!+#REF!+#REF!+#REF!+#REF!+#REF!+#REF!+#REF!+#REF!+#REF!+#REF!+#REF!+#REF!+#REF!+#REF!</definedName>
    <definedName name="SHARED_FORMULA_2_140_2_140_5" localSheetId="17">#REF!+#REF!+#REF!+#REF!+#REF!+#REF!+#REF!+#REF!+#REF!+#REF!+#REF!+#REF!+#REF!+#REF!+#REF!+#REF!+#REF!+#REF!+#REF!+#REF!+#REF!+#REF!</definedName>
    <definedName name="SHARED_FORMULA_2_140_2_140_5" localSheetId="7">#REF!+#REF!+#REF!+#REF!+#REF!+#REF!+#REF!+#REF!+#REF!+#REF!+#REF!+#REF!+#REF!+#REF!+#REF!+#REF!+#REF!+#REF!+#REF!+#REF!+#REF!+#REF!</definedName>
    <definedName name="SHARED_FORMULA_2_140_2_140_5" localSheetId="8">#REF!+#REF!+#REF!+#REF!+#REF!+#REF!+#REF!+#REF!+#REF!+#REF!+#REF!+#REF!+#REF!+#REF!+#REF!+#REF!+#REF!+#REF!+#REF!+#REF!+#REF!+#REF!</definedName>
    <definedName name="SHARED_FORMULA_2_140_2_140_5" localSheetId="9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10">#REF!+#REF!+#REF!+#REF!+#REF!+#REF!+#REF!+#REF!+#REF!+#REF!+#REF!+#REF!+#REF!+#REF!+#REF!+#REF!+#REF!+#REF!+#REF!+#REF!+#REF!+#REF!</definedName>
    <definedName name="SHARED_FORMULA_2_141_2_141_5" localSheetId="11">#REF!+#REF!+#REF!+#REF!+#REF!+#REF!+#REF!+#REF!+#REF!+#REF!+#REF!+#REF!+#REF!+#REF!+#REF!+#REF!+#REF!+#REF!+#REF!+#REF!+#REF!+#REF!</definedName>
    <definedName name="SHARED_FORMULA_2_141_2_141_5" localSheetId="15">#REF!+#REF!+#REF!+#REF!+#REF!+#REF!+#REF!+#REF!+#REF!+#REF!+#REF!+#REF!+#REF!+#REF!+#REF!+#REF!+#REF!+#REF!+#REF!+#REF!+#REF!+#REF!</definedName>
    <definedName name="SHARED_FORMULA_2_141_2_141_5" localSheetId="17">#REF!+#REF!+#REF!+#REF!+#REF!+#REF!+#REF!+#REF!+#REF!+#REF!+#REF!+#REF!+#REF!+#REF!+#REF!+#REF!+#REF!+#REF!+#REF!+#REF!+#REF!+#REF!</definedName>
    <definedName name="SHARED_FORMULA_2_141_2_141_5" localSheetId="7">#REF!+#REF!+#REF!+#REF!+#REF!+#REF!+#REF!+#REF!+#REF!+#REF!+#REF!+#REF!+#REF!+#REF!+#REF!+#REF!+#REF!+#REF!+#REF!+#REF!+#REF!+#REF!</definedName>
    <definedName name="SHARED_FORMULA_2_141_2_141_5" localSheetId="8">#REF!+#REF!+#REF!+#REF!+#REF!+#REF!+#REF!+#REF!+#REF!+#REF!+#REF!+#REF!+#REF!+#REF!+#REF!+#REF!+#REF!+#REF!+#REF!+#REF!+#REF!+#REF!</definedName>
    <definedName name="SHARED_FORMULA_2_141_2_141_5" localSheetId="9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10">#REF!+#REF!+#REF!+#REF!+#REF!+#REF!+#REF!+#REF!+#REF!+#REF!+#REF!+#REF!+#REF!+#REF!+#REF!+#REF!+#REF!+#REF!+#REF!+#REF!+#REF!+#REF!</definedName>
    <definedName name="SHARED_FORMULA_2_142_2_142_5" localSheetId="11">#REF!+#REF!+#REF!+#REF!+#REF!+#REF!+#REF!+#REF!+#REF!+#REF!+#REF!+#REF!+#REF!+#REF!+#REF!+#REF!+#REF!+#REF!+#REF!+#REF!+#REF!+#REF!</definedName>
    <definedName name="SHARED_FORMULA_2_142_2_142_5" localSheetId="15">#REF!+#REF!+#REF!+#REF!+#REF!+#REF!+#REF!+#REF!+#REF!+#REF!+#REF!+#REF!+#REF!+#REF!+#REF!+#REF!+#REF!+#REF!+#REF!+#REF!+#REF!+#REF!</definedName>
    <definedName name="SHARED_FORMULA_2_142_2_142_5" localSheetId="17">#REF!+#REF!+#REF!+#REF!+#REF!+#REF!+#REF!+#REF!+#REF!+#REF!+#REF!+#REF!+#REF!+#REF!+#REF!+#REF!+#REF!+#REF!+#REF!+#REF!+#REF!+#REF!</definedName>
    <definedName name="SHARED_FORMULA_2_142_2_142_5" localSheetId="7">#REF!+#REF!+#REF!+#REF!+#REF!+#REF!+#REF!+#REF!+#REF!+#REF!+#REF!+#REF!+#REF!+#REF!+#REF!+#REF!+#REF!+#REF!+#REF!+#REF!+#REF!+#REF!</definedName>
    <definedName name="SHARED_FORMULA_2_142_2_142_5" localSheetId="8">#REF!+#REF!+#REF!+#REF!+#REF!+#REF!+#REF!+#REF!+#REF!+#REF!+#REF!+#REF!+#REF!+#REF!+#REF!+#REF!+#REF!+#REF!+#REF!+#REF!+#REF!+#REF!</definedName>
    <definedName name="SHARED_FORMULA_2_142_2_142_5" localSheetId="9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10">#REF!+#REF!+#REF!+#REF!+#REF!+#REF!+#REF!+#REF!+#REF!+#REF!+#REF!+#REF!+#REF!+#REF!+#REF!+#REF!+#REF!+#REF!+#REF!+#REF!+#REF!+#REF!</definedName>
    <definedName name="SHARED_FORMULA_2_143_2_143_5" localSheetId="11">#REF!+#REF!+#REF!+#REF!+#REF!+#REF!+#REF!+#REF!+#REF!+#REF!+#REF!+#REF!+#REF!+#REF!+#REF!+#REF!+#REF!+#REF!+#REF!+#REF!+#REF!+#REF!</definedName>
    <definedName name="SHARED_FORMULA_2_143_2_143_5" localSheetId="15">#REF!+#REF!+#REF!+#REF!+#REF!+#REF!+#REF!+#REF!+#REF!+#REF!+#REF!+#REF!+#REF!+#REF!+#REF!+#REF!+#REF!+#REF!+#REF!+#REF!+#REF!+#REF!</definedName>
    <definedName name="SHARED_FORMULA_2_143_2_143_5" localSheetId="17">#REF!+#REF!+#REF!+#REF!+#REF!+#REF!+#REF!+#REF!+#REF!+#REF!+#REF!+#REF!+#REF!+#REF!+#REF!+#REF!+#REF!+#REF!+#REF!+#REF!+#REF!+#REF!</definedName>
    <definedName name="SHARED_FORMULA_2_143_2_143_5" localSheetId="7">#REF!+#REF!+#REF!+#REF!+#REF!+#REF!+#REF!+#REF!+#REF!+#REF!+#REF!+#REF!+#REF!+#REF!+#REF!+#REF!+#REF!+#REF!+#REF!+#REF!+#REF!+#REF!</definedName>
    <definedName name="SHARED_FORMULA_2_143_2_143_5" localSheetId="8">#REF!+#REF!+#REF!+#REF!+#REF!+#REF!+#REF!+#REF!+#REF!+#REF!+#REF!+#REF!+#REF!+#REF!+#REF!+#REF!+#REF!+#REF!+#REF!+#REF!+#REF!+#REF!</definedName>
    <definedName name="SHARED_FORMULA_2_143_2_143_5" localSheetId="9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10">#REF!+#REF!+#REF!+#REF!+#REF!+#REF!+#REF!+#REF!+#REF!+#REF!+#REF!+#REF!+#REF!+#REF!+#REF!+#REF!+#REF!+#REF!+#REF!+#REF!+#REF!+#REF!</definedName>
    <definedName name="SHARED_FORMULA_2_144_2_144_5" localSheetId="11">#REF!+#REF!+#REF!+#REF!+#REF!+#REF!+#REF!+#REF!+#REF!+#REF!+#REF!+#REF!+#REF!+#REF!+#REF!+#REF!+#REF!+#REF!+#REF!+#REF!+#REF!+#REF!</definedName>
    <definedName name="SHARED_FORMULA_2_144_2_144_5" localSheetId="15">#REF!+#REF!+#REF!+#REF!+#REF!+#REF!+#REF!+#REF!+#REF!+#REF!+#REF!+#REF!+#REF!+#REF!+#REF!+#REF!+#REF!+#REF!+#REF!+#REF!+#REF!+#REF!</definedName>
    <definedName name="SHARED_FORMULA_2_144_2_144_5" localSheetId="17">#REF!+#REF!+#REF!+#REF!+#REF!+#REF!+#REF!+#REF!+#REF!+#REF!+#REF!+#REF!+#REF!+#REF!+#REF!+#REF!+#REF!+#REF!+#REF!+#REF!+#REF!+#REF!</definedName>
    <definedName name="SHARED_FORMULA_2_144_2_144_5" localSheetId="7">#REF!+#REF!+#REF!+#REF!+#REF!+#REF!+#REF!+#REF!+#REF!+#REF!+#REF!+#REF!+#REF!+#REF!+#REF!+#REF!+#REF!+#REF!+#REF!+#REF!+#REF!+#REF!</definedName>
    <definedName name="SHARED_FORMULA_2_144_2_144_5" localSheetId="8">#REF!+#REF!+#REF!+#REF!+#REF!+#REF!+#REF!+#REF!+#REF!+#REF!+#REF!+#REF!+#REF!+#REF!+#REF!+#REF!+#REF!+#REF!+#REF!+#REF!+#REF!+#REF!</definedName>
    <definedName name="SHARED_FORMULA_2_144_2_144_5" localSheetId="9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10">#REF!+#REF!+#REF!+#REF!+#REF!+#REF!+#REF!+#REF!+#REF!+#REF!+#REF!+#REF!+#REF!+#REF!+#REF!+#REF!+#REF!+#REF!+#REF!+#REF!+#REF!+#REF!</definedName>
    <definedName name="SHARED_FORMULA_2_145_2_145_5" localSheetId="11">#REF!+#REF!+#REF!+#REF!+#REF!+#REF!+#REF!+#REF!+#REF!+#REF!+#REF!+#REF!+#REF!+#REF!+#REF!+#REF!+#REF!+#REF!+#REF!+#REF!+#REF!+#REF!</definedName>
    <definedName name="SHARED_FORMULA_2_145_2_145_5" localSheetId="15">#REF!+#REF!+#REF!+#REF!+#REF!+#REF!+#REF!+#REF!+#REF!+#REF!+#REF!+#REF!+#REF!+#REF!+#REF!+#REF!+#REF!+#REF!+#REF!+#REF!+#REF!+#REF!</definedName>
    <definedName name="SHARED_FORMULA_2_145_2_145_5" localSheetId="17">#REF!+#REF!+#REF!+#REF!+#REF!+#REF!+#REF!+#REF!+#REF!+#REF!+#REF!+#REF!+#REF!+#REF!+#REF!+#REF!+#REF!+#REF!+#REF!+#REF!+#REF!+#REF!</definedName>
    <definedName name="SHARED_FORMULA_2_145_2_145_5" localSheetId="7">#REF!+#REF!+#REF!+#REF!+#REF!+#REF!+#REF!+#REF!+#REF!+#REF!+#REF!+#REF!+#REF!+#REF!+#REF!+#REF!+#REF!+#REF!+#REF!+#REF!+#REF!+#REF!</definedName>
    <definedName name="SHARED_FORMULA_2_145_2_145_5" localSheetId="8">#REF!+#REF!+#REF!+#REF!+#REF!+#REF!+#REF!+#REF!+#REF!+#REF!+#REF!+#REF!+#REF!+#REF!+#REF!+#REF!+#REF!+#REF!+#REF!+#REF!+#REF!+#REF!</definedName>
    <definedName name="SHARED_FORMULA_2_145_2_145_5" localSheetId="9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10">#REF!-#REF!</definedName>
    <definedName name="SHARED_FORMULA_2_146_2_146_5" localSheetId="11">#REF!-#REF!</definedName>
    <definedName name="SHARED_FORMULA_2_146_2_146_5" localSheetId="15">#REF!-#REF!</definedName>
    <definedName name="SHARED_FORMULA_2_146_2_146_5" localSheetId="17">#REF!-#REF!</definedName>
    <definedName name="SHARED_FORMULA_2_146_2_146_5" localSheetId="7">#REF!-#REF!</definedName>
    <definedName name="SHARED_FORMULA_2_146_2_146_5" localSheetId="8">#REF!-#REF!</definedName>
    <definedName name="SHARED_FORMULA_2_146_2_146_5" localSheetId="9">#REF!-#REF!</definedName>
    <definedName name="SHARED_FORMULA_2_146_2_146_5">#REF!-#REF!</definedName>
    <definedName name="SHARED_FORMULA_2_22_2_22_5" localSheetId="10">#REF!</definedName>
    <definedName name="SHARED_FORMULA_2_22_2_22_5" localSheetId="11">#REF!</definedName>
    <definedName name="SHARED_FORMULA_2_22_2_22_5" localSheetId="15">#REF!</definedName>
    <definedName name="SHARED_FORMULA_2_22_2_22_5" localSheetId="17">#REF!</definedName>
    <definedName name="SHARED_FORMULA_2_22_2_22_5" localSheetId="7">#REF!</definedName>
    <definedName name="SHARED_FORMULA_2_22_2_22_5" localSheetId="8">#REF!</definedName>
    <definedName name="SHARED_FORMULA_2_22_2_22_5" localSheetId="9">#REF!</definedName>
    <definedName name="SHARED_FORMULA_2_22_2_22_5">#REF!</definedName>
    <definedName name="SHARED_FORMULA_2_27_2_27_5" localSheetId="10">#REF!</definedName>
    <definedName name="SHARED_FORMULA_2_27_2_27_5" localSheetId="11">#REF!</definedName>
    <definedName name="SHARED_FORMULA_2_27_2_27_5" localSheetId="15">#REF!</definedName>
    <definedName name="SHARED_FORMULA_2_27_2_27_5" localSheetId="17">#REF!</definedName>
    <definedName name="SHARED_FORMULA_2_27_2_27_5" localSheetId="7">#REF!</definedName>
    <definedName name="SHARED_FORMULA_2_27_2_27_5" localSheetId="8">#REF!</definedName>
    <definedName name="SHARED_FORMULA_2_27_2_27_5" localSheetId="9">#REF!</definedName>
    <definedName name="SHARED_FORMULA_2_27_2_27_5">#REF!</definedName>
    <definedName name="SHARED_FORMULA_2_32_2_32_5" localSheetId="10">#REF!</definedName>
    <definedName name="SHARED_FORMULA_2_32_2_32_5" localSheetId="11">#REF!</definedName>
    <definedName name="SHARED_FORMULA_2_32_2_32_5" localSheetId="15">#REF!</definedName>
    <definedName name="SHARED_FORMULA_2_32_2_32_5" localSheetId="17">#REF!</definedName>
    <definedName name="SHARED_FORMULA_2_32_2_32_5" localSheetId="7">#REF!</definedName>
    <definedName name="SHARED_FORMULA_2_32_2_32_5" localSheetId="8">#REF!</definedName>
    <definedName name="SHARED_FORMULA_2_32_2_32_5" localSheetId="9">#REF!</definedName>
    <definedName name="SHARED_FORMULA_2_32_2_32_5">#REF!</definedName>
    <definedName name="SHARED_FORMULA_2_37_2_37_5" localSheetId="10">#REF!</definedName>
    <definedName name="SHARED_FORMULA_2_37_2_37_5" localSheetId="11">#REF!</definedName>
    <definedName name="SHARED_FORMULA_2_37_2_37_5" localSheetId="15">#REF!</definedName>
    <definedName name="SHARED_FORMULA_2_37_2_37_5" localSheetId="17">#REF!</definedName>
    <definedName name="SHARED_FORMULA_2_37_2_37_5" localSheetId="7">#REF!</definedName>
    <definedName name="SHARED_FORMULA_2_37_2_37_5" localSheetId="8">#REF!</definedName>
    <definedName name="SHARED_FORMULA_2_37_2_37_5" localSheetId="9">#REF!</definedName>
    <definedName name="SHARED_FORMULA_2_37_2_37_5">#REF!</definedName>
    <definedName name="SHARED_FORMULA_2_4_2_4_5" localSheetId="10">#REF!</definedName>
    <definedName name="SHARED_FORMULA_2_4_2_4_5" localSheetId="11">#REF!</definedName>
    <definedName name="SHARED_FORMULA_2_4_2_4_5" localSheetId="15">#REF!</definedName>
    <definedName name="SHARED_FORMULA_2_4_2_4_5" localSheetId="17">#REF!</definedName>
    <definedName name="SHARED_FORMULA_2_4_2_4_5" localSheetId="7">#REF!</definedName>
    <definedName name="SHARED_FORMULA_2_4_2_4_5" localSheetId="8">#REF!</definedName>
    <definedName name="SHARED_FORMULA_2_4_2_4_5" localSheetId="9">#REF!</definedName>
    <definedName name="SHARED_FORMULA_2_4_2_4_5">#REF!</definedName>
    <definedName name="SHARED_FORMULA_2_42_2_42_5" localSheetId="10">#REF!</definedName>
    <definedName name="SHARED_FORMULA_2_42_2_42_5" localSheetId="11">#REF!</definedName>
    <definedName name="SHARED_FORMULA_2_42_2_42_5" localSheetId="15">#REF!</definedName>
    <definedName name="SHARED_FORMULA_2_42_2_42_5" localSheetId="17">#REF!</definedName>
    <definedName name="SHARED_FORMULA_2_42_2_42_5" localSheetId="7">#REF!</definedName>
    <definedName name="SHARED_FORMULA_2_42_2_42_5" localSheetId="8">#REF!</definedName>
    <definedName name="SHARED_FORMULA_2_42_2_42_5" localSheetId="9">#REF!</definedName>
    <definedName name="SHARED_FORMULA_2_42_2_42_5">#REF!</definedName>
    <definedName name="SHARED_FORMULA_2_44_2_44_5" localSheetId="10">#REF!</definedName>
    <definedName name="SHARED_FORMULA_2_44_2_44_5" localSheetId="11">#REF!</definedName>
    <definedName name="SHARED_FORMULA_2_44_2_44_5" localSheetId="15">#REF!</definedName>
    <definedName name="SHARED_FORMULA_2_44_2_44_5" localSheetId="17">#REF!</definedName>
    <definedName name="SHARED_FORMULA_2_44_2_44_5" localSheetId="7">#REF!</definedName>
    <definedName name="SHARED_FORMULA_2_44_2_44_5" localSheetId="8">#REF!</definedName>
    <definedName name="SHARED_FORMULA_2_44_2_44_5" localSheetId="9">#REF!</definedName>
    <definedName name="SHARED_FORMULA_2_44_2_44_5">#REF!</definedName>
    <definedName name="SHARED_FORMULA_2_47_2_47_5" localSheetId="10">#REF!</definedName>
    <definedName name="SHARED_FORMULA_2_47_2_47_5" localSheetId="11">#REF!</definedName>
    <definedName name="SHARED_FORMULA_2_47_2_47_5" localSheetId="15">#REF!</definedName>
    <definedName name="SHARED_FORMULA_2_47_2_47_5" localSheetId="17">#REF!</definedName>
    <definedName name="SHARED_FORMULA_2_47_2_47_5" localSheetId="7">#REF!</definedName>
    <definedName name="SHARED_FORMULA_2_47_2_47_5" localSheetId="8">#REF!</definedName>
    <definedName name="SHARED_FORMULA_2_47_2_47_5" localSheetId="9">#REF!</definedName>
    <definedName name="SHARED_FORMULA_2_47_2_47_5">#REF!</definedName>
    <definedName name="SHARED_FORMULA_2_48_2_48_5" localSheetId="10">#REF!</definedName>
    <definedName name="SHARED_FORMULA_2_48_2_48_5" localSheetId="11">#REF!</definedName>
    <definedName name="SHARED_FORMULA_2_48_2_48_5" localSheetId="15">#REF!</definedName>
    <definedName name="SHARED_FORMULA_2_48_2_48_5" localSheetId="17">#REF!</definedName>
    <definedName name="SHARED_FORMULA_2_48_2_48_5" localSheetId="7">#REF!</definedName>
    <definedName name="SHARED_FORMULA_2_48_2_48_5" localSheetId="8">#REF!</definedName>
    <definedName name="SHARED_FORMULA_2_48_2_48_5" localSheetId="9">#REF!</definedName>
    <definedName name="SHARED_FORMULA_2_48_2_48_5">#REF!</definedName>
    <definedName name="SHARED_FORMULA_2_52_2_52_5" localSheetId="10">#REF!</definedName>
    <definedName name="SHARED_FORMULA_2_52_2_52_5" localSheetId="11">#REF!</definedName>
    <definedName name="SHARED_FORMULA_2_52_2_52_5" localSheetId="15">#REF!</definedName>
    <definedName name="SHARED_FORMULA_2_52_2_52_5" localSheetId="17">#REF!</definedName>
    <definedName name="SHARED_FORMULA_2_52_2_52_5" localSheetId="7">#REF!</definedName>
    <definedName name="SHARED_FORMULA_2_52_2_52_5" localSheetId="8">#REF!</definedName>
    <definedName name="SHARED_FORMULA_2_52_2_52_5" localSheetId="9">#REF!</definedName>
    <definedName name="SHARED_FORMULA_2_52_2_52_5">#REF!</definedName>
    <definedName name="SHARED_FORMULA_2_57_2_57_5" localSheetId="10">#REF!</definedName>
    <definedName name="SHARED_FORMULA_2_57_2_57_5" localSheetId="11">#REF!</definedName>
    <definedName name="SHARED_FORMULA_2_57_2_57_5" localSheetId="15">#REF!</definedName>
    <definedName name="SHARED_FORMULA_2_57_2_57_5" localSheetId="17">#REF!</definedName>
    <definedName name="SHARED_FORMULA_2_57_2_57_5" localSheetId="7">#REF!</definedName>
    <definedName name="SHARED_FORMULA_2_57_2_57_5" localSheetId="8">#REF!</definedName>
    <definedName name="SHARED_FORMULA_2_57_2_57_5" localSheetId="9">#REF!</definedName>
    <definedName name="SHARED_FORMULA_2_57_2_57_5">#REF!</definedName>
    <definedName name="SHARED_FORMULA_2_67_2_67_5" localSheetId="10">#REF!</definedName>
    <definedName name="SHARED_FORMULA_2_67_2_67_5" localSheetId="11">#REF!</definedName>
    <definedName name="SHARED_FORMULA_2_67_2_67_5" localSheetId="15">#REF!</definedName>
    <definedName name="SHARED_FORMULA_2_67_2_67_5" localSheetId="17">#REF!</definedName>
    <definedName name="SHARED_FORMULA_2_67_2_67_5" localSheetId="7">#REF!</definedName>
    <definedName name="SHARED_FORMULA_2_67_2_67_5" localSheetId="8">#REF!</definedName>
    <definedName name="SHARED_FORMULA_2_67_2_67_5" localSheetId="9">#REF!</definedName>
    <definedName name="SHARED_FORMULA_2_67_2_67_5">#REF!</definedName>
    <definedName name="SHARED_FORMULA_2_71_2_71_5" localSheetId="10">#REF!+#REF!+#REF!+#REF!</definedName>
    <definedName name="SHARED_FORMULA_2_71_2_71_5" localSheetId="11">#REF!+#REF!+#REF!+#REF!</definedName>
    <definedName name="SHARED_FORMULA_2_71_2_71_5" localSheetId="15">#REF!+#REF!+#REF!+#REF!</definedName>
    <definedName name="SHARED_FORMULA_2_71_2_71_5" localSheetId="17">#REF!+#REF!+#REF!+#REF!</definedName>
    <definedName name="SHARED_FORMULA_2_71_2_71_5" localSheetId="7">#REF!+#REF!+#REF!+#REF!</definedName>
    <definedName name="SHARED_FORMULA_2_71_2_71_5" localSheetId="8">#REF!+#REF!+#REF!+#REF!</definedName>
    <definedName name="SHARED_FORMULA_2_71_2_71_5" localSheetId="9">#REF!+#REF!+#REF!+#REF!</definedName>
    <definedName name="SHARED_FORMULA_2_71_2_71_5">#REF!+#REF!+#REF!+#REF!</definedName>
    <definedName name="SHARED_FORMULA_2_72_2_72_5" localSheetId="10">#REF!+#REF!+#REF!+#REF!</definedName>
    <definedName name="SHARED_FORMULA_2_72_2_72_5" localSheetId="11">#REF!+#REF!+#REF!+#REF!</definedName>
    <definedName name="SHARED_FORMULA_2_72_2_72_5" localSheetId="15">#REF!+#REF!+#REF!+#REF!</definedName>
    <definedName name="SHARED_FORMULA_2_72_2_72_5" localSheetId="17">#REF!+#REF!+#REF!+#REF!</definedName>
    <definedName name="SHARED_FORMULA_2_72_2_72_5" localSheetId="7">#REF!+#REF!+#REF!+#REF!</definedName>
    <definedName name="SHARED_FORMULA_2_72_2_72_5" localSheetId="8">#REF!+#REF!+#REF!+#REF!</definedName>
    <definedName name="SHARED_FORMULA_2_72_2_72_5" localSheetId="9">#REF!+#REF!+#REF!+#REF!</definedName>
    <definedName name="SHARED_FORMULA_2_72_2_72_5">#REF!+#REF!+#REF!+#REF!</definedName>
    <definedName name="SHARED_FORMULA_2_73_2_73_5" localSheetId="10">#REF!+#REF!+#REF!+#REF!</definedName>
    <definedName name="SHARED_FORMULA_2_73_2_73_5" localSheetId="11">#REF!+#REF!+#REF!+#REF!</definedName>
    <definedName name="SHARED_FORMULA_2_73_2_73_5" localSheetId="15">#REF!+#REF!+#REF!+#REF!</definedName>
    <definedName name="SHARED_FORMULA_2_73_2_73_5" localSheetId="17">#REF!+#REF!+#REF!+#REF!</definedName>
    <definedName name="SHARED_FORMULA_2_73_2_73_5" localSheetId="7">#REF!+#REF!+#REF!+#REF!</definedName>
    <definedName name="SHARED_FORMULA_2_73_2_73_5" localSheetId="8">#REF!+#REF!+#REF!+#REF!</definedName>
    <definedName name="SHARED_FORMULA_2_73_2_73_5" localSheetId="9">#REF!+#REF!+#REF!+#REF!</definedName>
    <definedName name="SHARED_FORMULA_2_73_2_73_5">#REF!+#REF!+#REF!+#REF!</definedName>
    <definedName name="SHARED_FORMULA_2_74_2_74_5" localSheetId="10">#REF!+#REF!+#REF!+#REF!</definedName>
    <definedName name="SHARED_FORMULA_2_74_2_74_5" localSheetId="11">#REF!+#REF!+#REF!+#REF!</definedName>
    <definedName name="SHARED_FORMULA_2_74_2_74_5" localSheetId="15">#REF!+#REF!+#REF!+#REF!</definedName>
    <definedName name="SHARED_FORMULA_2_74_2_74_5" localSheetId="17">#REF!+#REF!+#REF!+#REF!</definedName>
    <definedName name="SHARED_FORMULA_2_74_2_74_5" localSheetId="7">#REF!+#REF!+#REF!+#REF!</definedName>
    <definedName name="SHARED_FORMULA_2_74_2_74_5" localSheetId="8">#REF!+#REF!+#REF!+#REF!</definedName>
    <definedName name="SHARED_FORMULA_2_74_2_74_5" localSheetId="9">#REF!+#REF!+#REF!+#REF!</definedName>
    <definedName name="SHARED_FORMULA_2_74_2_74_5">#REF!+#REF!+#REF!+#REF!</definedName>
    <definedName name="SHARED_FORMULA_2_75_2_75_5" localSheetId="10">#REF!+#REF!+#REF!+#REF!</definedName>
    <definedName name="SHARED_FORMULA_2_75_2_75_5" localSheetId="11">#REF!+#REF!+#REF!+#REF!</definedName>
    <definedName name="SHARED_FORMULA_2_75_2_75_5" localSheetId="15">#REF!+#REF!+#REF!+#REF!</definedName>
    <definedName name="SHARED_FORMULA_2_75_2_75_5" localSheetId="17">#REF!+#REF!+#REF!+#REF!</definedName>
    <definedName name="SHARED_FORMULA_2_75_2_75_5" localSheetId="7">#REF!+#REF!+#REF!+#REF!</definedName>
    <definedName name="SHARED_FORMULA_2_75_2_75_5" localSheetId="8">#REF!+#REF!+#REF!+#REF!</definedName>
    <definedName name="SHARED_FORMULA_2_75_2_75_5" localSheetId="9">#REF!+#REF!+#REF!+#REF!</definedName>
    <definedName name="SHARED_FORMULA_2_75_2_75_5">#REF!+#REF!+#REF!+#REF!</definedName>
    <definedName name="SHARED_FORMULA_2_82_2_82_5" localSheetId="10">#REF!</definedName>
    <definedName name="SHARED_FORMULA_2_82_2_82_5" localSheetId="11">#REF!</definedName>
    <definedName name="SHARED_FORMULA_2_82_2_82_5" localSheetId="15">#REF!</definedName>
    <definedName name="SHARED_FORMULA_2_82_2_82_5" localSheetId="17">#REF!</definedName>
    <definedName name="SHARED_FORMULA_2_82_2_82_5" localSheetId="7">#REF!</definedName>
    <definedName name="SHARED_FORMULA_2_82_2_82_5" localSheetId="8">#REF!</definedName>
    <definedName name="SHARED_FORMULA_2_82_2_82_5" localSheetId="9">#REF!</definedName>
    <definedName name="SHARED_FORMULA_2_82_2_82_5">#REF!</definedName>
    <definedName name="SHARED_FORMULA_2_86_2_86_5" localSheetId="10">#REF!+#REF!</definedName>
    <definedName name="SHARED_FORMULA_2_86_2_86_5" localSheetId="11">#REF!+#REF!</definedName>
    <definedName name="SHARED_FORMULA_2_86_2_86_5" localSheetId="15">#REF!+#REF!</definedName>
    <definedName name="SHARED_FORMULA_2_86_2_86_5" localSheetId="17">#REF!+#REF!</definedName>
    <definedName name="SHARED_FORMULA_2_86_2_86_5" localSheetId="7">#REF!+#REF!</definedName>
    <definedName name="SHARED_FORMULA_2_86_2_86_5" localSheetId="8">#REF!+#REF!</definedName>
    <definedName name="SHARED_FORMULA_2_86_2_86_5" localSheetId="9">#REF!+#REF!</definedName>
    <definedName name="SHARED_FORMULA_2_86_2_86_5">#REF!+#REF!</definedName>
    <definedName name="SHARED_FORMULA_2_87_2_87_5" localSheetId="10">#REF!+#REF!</definedName>
    <definedName name="SHARED_FORMULA_2_87_2_87_5" localSheetId="11">#REF!+#REF!</definedName>
    <definedName name="SHARED_FORMULA_2_87_2_87_5" localSheetId="15">#REF!+#REF!</definedName>
    <definedName name="SHARED_FORMULA_2_87_2_87_5" localSheetId="17">#REF!+#REF!</definedName>
    <definedName name="SHARED_FORMULA_2_87_2_87_5" localSheetId="7">#REF!+#REF!</definedName>
    <definedName name="SHARED_FORMULA_2_87_2_87_5" localSheetId="8">#REF!+#REF!</definedName>
    <definedName name="SHARED_FORMULA_2_87_2_87_5" localSheetId="9">#REF!+#REF!</definedName>
    <definedName name="SHARED_FORMULA_2_87_2_87_5">#REF!+#REF!</definedName>
    <definedName name="SHARED_FORMULA_2_88_2_88_5" localSheetId="10">#REF!+#REF!</definedName>
    <definedName name="SHARED_FORMULA_2_88_2_88_5" localSheetId="11">#REF!+#REF!</definedName>
    <definedName name="SHARED_FORMULA_2_88_2_88_5" localSheetId="15">#REF!+#REF!</definedName>
    <definedName name="SHARED_FORMULA_2_88_2_88_5" localSheetId="17">#REF!+#REF!</definedName>
    <definedName name="SHARED_FORMULA_2_88_2_88_5" localSheetId="7">#REF!+#REF!</definedName>
    <definedName name="SHARED_FORMULA_2_88_2_88_5" localSheetId="8">#REF!+#REF!</definedName>
    <definedName name="SHARED_FORMULA_2_88_2_88_5" localSheetId="9">#REF!+#REF!</definedName>
    <definedName name="SHARED_FORMULA_2_88_2_88_5">#REF!+#REF!</definedName>
    <definedName name="SHARED_FORMULA_2_89_2_89_5" localSheetId="10">#REF!+#REF!</definedName>
    <definedName name="SHARED_FORMULA_2_89_2_89_5" localSheetId="11">#REF!+#REF!</definedName>
    <definedName name="SHARED_FORMULA_2_89_2_89_5" localSheetId="15">#REF!+#REF!</definedName>
    <definedName name="SHARED_FORMULA_2_89_2_89_5" localSheetId="17">#REF!+#REF!</definedName>
    <definedName name="SHARED_FORMULA_2_89_2_89_5" localSheetId="7">#REF!+#REF!</definedName>
    <definedName name="SHARED_FORMULA_2_89_2_89_5" localSheetId="8">#REF!+#REF!</definedName>
    <definedName name="SHARED_FORMULA_2_89_2_89_5" localSheetId="9">#REF!+#REF!</definedName>
    <definedName name="SHARED_FORMULA_2_89_2_89_5">#REF!+#REF!</definedName>
    <definedName name="SHARED_FORMULA_2_9_2_9_5" localSheetId="10">#REF!</definedName>
    <definedName name="SHARED_FORMULA_2_9_2_9_5" localSheetId="11">#REF!</definedName>
    <definedName name="SHARED_FORMULA_2_9_2_9_5" localSheetId="15">#REF!</definedName>
    <definedName name="SHARED_FORMULA_2_9_2_9_5" localSheetId="17">#REF!</definedName>
    <definedName name="SHARED_FORMULA_2_9_2_9_5" localSheetId="7">#REF!</definedName>
    <definedName name="SHARED_FORMULA_2_9_2_9_5" localSheetId="8">#REF!</definedName>
    <definedName name="SHARED_FORMULA_2_9_2_9_5" localSheetId="9">#REF!</definedName>
    <definedName name="SHARED_FORMULA_2_9_2_9_5">#REF!</definedName>
    <definedName name="SHARED_FORMULA_2_90_2_90_5" localSheetId="10">#REF!+#REF!</definedName>
    <definedName name="SHARED_FORMULA_2_90_2_90_5" localSheetId="11">#REF!+#REF!</definedName>
    <definedName name="SHARED_FORMULA_2_90_2_90_5" localSheetId="15">#REF!+#REF!</definedName>
    <definedName name="SHARED_FORMULA_2_90_2_90_5" localSheetId="17">#REF!+#REF!</definedName>
    <definedName name="SHARED_FORMULA_2_90_2_90_5" localSheetId="7">#REF!+#REF!</definedName>
    <definedName name="SHARED_FORMULA_2_90_2_90_5" localSheetId="8">#REF!+#REF!</definedName>
    <definedName name="SHARED_FORMULA_2_90_2_90_5" localSheetId="9">#REF!+#REF!</definedName>
    <definedName name="SHARED_FORMULA_2_90_2_90_5">#REF!+#REF!</definedName>
    <definedName name="SHARED_FORMULA_2_92_2_92_5" localSheetId="10">#REF!</definedName>
    <definedName name="SHARED_FORMULA_2_92_2_92_5" localSheetId="11">#REF!</definedName>
    <definedName name="SHARED_FORMULA_2_92_2_92_5" localSheetId="15">#REF!</definedName>
    <definedName name="SHARED_FORMULA_2_92_2_92_5" localSheetId="17">#REF!</definedName>
    <definedName name="SHARED_FORMULA_2_92_2_92_5" localSheetId="7">#REF!</definedName>
    <definedName name="SHARED_FORMULA_2_92_2_92_5" localSheetId="8">#REF!</definedName>
    <definedName name="SHARED_FORMULA_2_92_2_92_5" localSheetId="9">#REF!</definedName>
    <definedName name="SHARED_FORMULA_2_92_2_92_5">#REF!</definedName>
    <definedName name="SHARED_FORMULA_2_97_2_97_5" localSheetId="10">#REF!</definedName>
    <definedName name="SHARED_FORMULA_2_97_2_97_5" localSheetId="11">#REF!</definedName>
    <definedName name="SHARED_FORMULA_2_97_2_97_5" localSheetId="15">#REF!</definedName>
    <definedName name="SHARED_FORMULA_2_97_2_97_5" localSheetId="17">#REF!</definedName>
    <definedName name="SHARED_FORMULA_2_97_2_97_5" localSheetId="7">#REF!</definedName>
    <definedName name="SHARED_FORMULA_2_97_2_97_5" localSheetId="8">#REF!</definedName>
    <definedName name="SHARED_FORMULA_2_97_2_97_5" localSheetId="9">#REF!</definedName>
    <definedName name="SHARED_FORMULA_2_97_2_97_5">#REF!</definedName>
    <definedName name="SHARED_FORMULA_20_10_20_10_5" localSheetId="10">#REF!</definedName>
    <definedName name="SHARED_FORMULA_20_10_20_10_5" localSheetId="11">#REF!</definedName>
    <definedName name="SHARED_FORMULA_20_10_20_10_5" localSheetId="15">#REF!</definedName>
    <definedName name="SHARED_FORMULA_20_10_20_10_5" localSheetId="17">#REF!</definedName>
    <definedName name="SHARED_FORMULA_20_10_20_10_5" localSheetId="7">#REF!</definedName>
    <definedName name="SHARED_FORMULA_20_10_20_10_5" localSheetId="8">#REF!</definedName>
    <definedName name="SHARED_FORMULA_20_10_20_10_5" localSheetId="9">#REF!</definedName>
    <definedName name="SHARED_FORMULA_20_10_20_10_5">#REF!</definedName>
    <definedName name="SHARED_FORMULA_20_102_20_102_5" localSheetId="10">#REF!</definedName>
    <definedName name="SHARED_FORMULA_20_102_20_102_5" localSheetId="11">#REF!</definedName>
    <definedName name="SHARED_FORMULA_20_102_20_102_5" localSheetId="15">#REF!</definedName>
    <definedName name="SHARED_FORMULA_20_102_20_102_5" localSheetId="17">#REF!</definedName>
    <definedName name="SHARED_FORMULA_20_102_20_102_5" localSheetId="7">#REF!</definedName>
    <definedName name="SHARED_FORMULA_20_102_20_102_5" localSheetId="8">#REF!</definedName>
    <definedName name="SHARED_FORMULA_20_102_20_102_5" localSheetId="9">#REF!</definedName>
    <definedName name="SHARED_FORMULA_20_102_20_102_5">#REF!</definedName>
    <definedName name="SHARED_FORMULA_20_112_20_112_5" localSheetId="10">#REF!</definedName>
    <definedName name="SHARED_FORMULA_20_112_20_112_5" localSheetId="11">#REF!</definedName>
    <definedName name="SHARED_FORMULA_20_112_20_112_5" localSheetId="15">#REF!</definedName>
    <definedName name="SHARED_FORMULA_20_112_20_112_5" localSheetId="17">#REF!</definedName>
    <definedName name="SHARED_FORMULA_20_112_20_112_5" localSheetId="7">#REF!</definedName>
    <definedName name="SHARED_FORMULA_20_112_20_112_5" localSheetId="8">#REF!</definedName>
    <definedName name="SHARED_FORMULA_20_112_20_112_5" localSheetId="9">#REF!</definedName>
    <definedName name="SHARED_FORMULA_20_112_20_112_5">#REF!</definedName>
    <definedName name="SHARED_FORMULA_20_117_20_117_5" localSheetId="10">#REF!</definedName>
    <definedName name="SHARED_FORMULA_20_117_20_117_5" localSheetId="11">#REF!</definedName>
    <definedName name="SHARED_FORMULA_20_117_20_117_5" localSheetId="15">#REF!</definedName>
    <definedName name="SHARED_FORMULA_20_117_20_117_5" localSheetId="17">#REF!</definedName>
    <definedName name="SHARED_FORMULA_20_117_20_117_5" localSheetId="7">#REF!</definedName>
    <definedName name="SHARED_FORMULA_20_117_20_117_5" localSheetId="8">#REF!</definedName>
    <definedName name="SHARED_FORMULA_20_117_20_117_5" localSheetId="9">#REF!</definedName>
    <definedName name="SHARED_FORMULA_20_117_20_117_5">#REF!</definedName>
    <definedName name="SHARED_FORMULA_20_121_20_121_5" localSheetId="10">#REF!+#REF!+#REF!+#REF!</definedName>
    <definedName name="SHARED_FORMULA_20_121_20_121_5" localSheetId="11">#REF!+#REF!+#REF!+#REF!</definedName>
    <definedName name="SHARED_FORMULA_20_121_20_121_5" localSheetId="15">#REF!+#REF!+#REF!+#REF!</definedName>
    <definedName name="SHARED_FORMULA_20_121_20_121_5" localSheetId="17">#REF!+#REF!+#REF!+#REF!</definedName>
    <definedName name="SHARED_FORMULA_20_121_20_121_5" localSheetId="7">#REF!+#REF!+#REF!+#REF!</definedName>
    <definedName name="SHARED_FORMULA_20_121_20_121_5" localSheetId="8">#REF!+#REF!+#REF!+#REF!</definedName>
    <definedName name="SHARED_FORMULA_20_121_20_121_5" localSheetId="9">#REF!+#REF!+#REF!+#REF!</definedName>
    <definedName name="SHARED_FORMULA_20_121_20_121_5">#REF!+#REF!+#REF!+#REF!</definedName>
    <definedName name="SHARED_FORMULA_20_127_20_127_5" localSheetId="10">#REF!</definedName>
    <definedName name="SHARED_FORMULA_20_127_20_127_5" localSheetId="11">#REF!</definedName>
    <definedName name="SHARED_FORMULA_20_127_20_127_5" localSheetId="15">#REF!</definedName>
    <definedName name="SHARED_FORMULA_20_127_20_127_5" localSheetId="17">#REF!</definedName>
    <definedName name="SHARED_FORMULA_20_127_20_127_5" localSheetId="7">#REF!</definedName>
    <definedName name="SHARED_FORMULA_20_127_20_127_5" localSheetId="8">#REF!</definedName>
    <definedName name="SHARED_FORMULA_20_127_20_127_5" localSheetId="9">#REF!</definedName>
    <definedName name="SHARED_FORMULA_20_127_20_127_5">#REF!</definedName>
    <definedName name="SHARED_FORMULA_20_131_20_131_5" localSheetId="10">#REF!+#REF!+#REF!+#REF!+#REF!+#REF!+#REF!+#REF!+#REF!+#REF!+#REF!+#REF!+#REF!+#REF!+#REF!+#REF!+#REF!+#REF!+#REF!+#REF!+#REF!+#REF!+#REF!</definedName>
    <definedName name="SHARED_FORMULA_20_131_20_131_5" localSheetId="11">#REF!+#REF!+#REF!+#REF!+#REF!+#REF!+#REF!+#REF!+#REF!+#REF!+#REF!+#REF!+#REF!+#REF!+#REF!+#REF!+#REF!+#REF!+#REF!+#REF!+#REF!+#REF!+#REF!</definedName>
    <definedName name="SHARED_FORMULA_20_131_20_131_5" localSheetId="15">#REF!+#REF!+#REF!+#REF!+#REF!+#REF!+#REF!+#REF!+#REF!+#REF!+#REF!+#REF!+#REF!+#REF!+#REF!+#REF!+#REF!+#REF!+#REF!+#REF!+#REF!+#REF!+#REF!</definedName>
    <definedName name="SHARED_FORMULA_20_131_20_131_5" localSheetId="17">#REF!+#REF!+#REF!+#REF!+#REF!+#REF!+#REF!+#REF!+#REF!+#REF!+#REF!+#REF!+#REF!+#REF!+#REF!+#REF!+#REF!+#REF!+#REF!+#REF!+#REF!+#REF!+#REF!</definedName>
    <definedName name="SHARED_FORMULA_20_131_20_131_5" localSheetId="7">#REF!+#REF!+#REF!+#REF!+#REF!+#REF!+#REF!+#REF!+#REF!+#REF!+#REF!+#REF!+#REF!+#REF!+#REF!+#REF!+#REF!+#REF!+#REF!+#REF!+#REF!+#REF!+#REF!</definedName>
    <definedName name="SHARED_FORMULA_20_131_20_131_5" localSheetId="8">#REF!+#REF!+#REF!+#REF!+#REF!+#REF!+#REF!+#REF!+#REF!+#REF!+#REF!+#REF!+#REF!+#REF!+#REF!+#REF!+#REF!+#REF!+#REF!+#REF!+#REF!+#REF!+#REF!</definedName>
    <definedName name="SHARED_FORMULA_20_131_20_131_5" localSheetId="9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10">#REF!</definedName>
    <definedName name="SHARED_FORMULA_20_14_20_14_5" localSheetId="11">#REF!</definedName>
    <definedName name="SHARED_FORMULA_20_14_20_14_5" localSheetId="15">#REF!</definedName>
    <definedName name="SHARED_FORMULA_20_14_20_14_5" localSheetId="17">#REF!</definedName>
    <definedName name="SHARED_FORMULA_20_14_20_14_5" localSheetId="7">#REF!</definedName>
    <definedName name="SHARED_FORMULA_20_14_20_14_5" localSheetId="8">#REF!</definedName>
    <definedName name="SHARED_FORMULA_20_14_20_14_5" localSheetId="9">#REF!</definedName>
    <definedName name="SHARED_FORMULA_20_14_20_14_5">#REF!</definedName>
    <definedName name="SHARED_FORMULA_20_141_20_141_5" localSheetId="10">#REF!+#REF!+#REF!+#REF!+#REF!+#REF!+#REF!+#REF!+#REF!+#REF!+#REF!+#REF!+#REF!+#REF!+#REF!+#REF!+#REF!+#REF!+#REF!+#REF!+#REF!+#REF!</definedName>
    <definedName name="SHARED_FORMULA_20_141_20_141_5" localSheetId="11">#REF!+#REF!+#REF!+#REF!+#REF!+#REF!+#REF!+#REF!+#REF!+#REF!+#REF!+#REF!+#REF!+#REF!+#REF!+#REF!+#REF!+#REF!+#REF!+#REF!+#REF!+#REF!</definedName>
    <definedName name="SHARED_FORMULA_20_141_20_141_5" localSheetId="15">#REF!+#REF!+#REF!+#REF!+#REF!+#REF!+#REF!+#REF!+#REF!+#REF!+#REF!+#REF!+#REF!+#REF!+#REF!+#REF!+#REF!+#REF!+#REF!+#REF!+#REF!+#REF!</definedName>
    <definedName name="SHARED_FORMULA_20_141_20_141_5" localSheetId="17">#REF!+#REF!+#REF!+#REF!+#REF!+#REF!+#REF!+#REF!+#REF!+#REF!+#REF!+#REF!+#REF!+#REF!+#REF!+#REF!+#REF!+#REF!+#REF!+#REF!+#REF!+#REF!</definedName>
    <definedName name="SHARED_FORMULA_20_141_20_141_5" localSheetId="7">#REF!+#REF!+#REF!+#REF!+#REF!+#REF!+#REF!+#REF!+#REF!+#REF!+#REF!+#REF!+#REF!+#REF!+#REF!+#REF!+#REF!+#REF!+#REF!+#REF!+#REF!+#REF!</definedName>
    <definedName name="SHARED_FORMULA_20_141_20_141_5" localSheetId="8">#REF!+#REF!+#REF!+#REF!+#REF!+#REF!+#REF!+#REF!+#REF!+#REF!+#REF!+#REF!+#REF!+#REF!+#REF!+#REF!+#REF!+#REF!+#REF!+#REF!+#REF!+#REF!</definedName>
    <definedName name="SHARED_FORMULA_20_141_20_141_5" localSheetId="9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10">#REF!</definedName>
    <definedName name="SHARED_FORMULA_20_19_20_19_5" localSheetId="11">#REF!</definedName>
    <definedName name="SHARED_FORMULA_20_19_20_19_5" localSheetId="15">#REF!</definedName>
    <definedName name="SHARED_FORMULA_20_19_20_19_5" localSheetId="17">#REF!</definedName>
    <definedName name="SHARED_FORMULA_20_19_20_19_5" localSheetId="7">#REF!</definedName>
    <definedName name="SHARED_FORMULA_20_19_20_19_5" localSheetId="8">#REF!</definedName>
    <definedName name="SHARED_FORMULA_20_19_20_19_5" localSheetId="9">#REF!</definedName>
    <definedName name="SHARED_FORMULA_20_19_20_19_5">#REF!</definedName>
    <definedName name="SHARED_FORMULA_20_22_20_22_5" localSheetId="10">#REF!</definedName>
    <definedName name="SHARED_FORMULA_20_22_20_22_5" localSheetId="11">#REF!</definedName>
    <definedName name="SHARED_FORMULA_20_22_20_22_5" localSheetId="15">#REF!</definedName>
    <definedName name="SHARED_FORMULA_20_22_20_22_5" localSheetId="17">#REF!</definedName>
    <definedName name="SHARED_FORMULA_20_22_20_22_5" localSheetId="7">#REF!</definedName>
    <definedName name="SHARED_FORMULA_20_22_20_22_5" localSheetId="8">#REF!</definedName>
    <definedName name="SHARED_FORMULA_20_22_20_22_5" localSheetId="9">#REF!</definedName>
    <definedName name="SHARED_FORMULA_20_22_20_22_5">#REF!</definedName>
    <definedName name="SHARED_FORMULA_20_27_20_27_5" localSheetId="10">#REF!</definedName>
    <definedName name="SHARED_FORMULA_20_27_20_27_5" localSheetId="11">#REF!</definedName>
    <definedName name="SHARED_FORMULA_20_27_20_27_5" localSheetId="15">#REF!</definedName>
    <definedName name="SHARED_FORMULA_20_27_20_27_5" localSheetId="17">#REF!</definedName>
    <definedName name="SHARED_FORMULA_20_27_20_27_5" localSheetId="7">#REF!</definedName>
    <definedName name="SHARED_FORMULA_20_27_20_27_5" localSheetId="8">#REF!</definedName>
    <definedName name="SHARED_FORMULA_20_27_20_27_5" localSheetId="9">#REF!</definedName>
    <definedName name="SHARED_FORMULA_20_27_20_27_5">#REF!</definedName>
    <definedName name="SHARED_FORMULA_20_33_20_33_5" localSheetId="10">#REF!</definedName>
    <definedName name="SHARED_FORMULA_20_33_20_33_5" localSheetId="11">#REF!</definedName>
    <definedName name="SHARED_FORMULA_20_33_20_33_5" localSheetId="15">#REF!</definedName>
    <definedName name="SHARED_FORMULA_20_33_20_33_5" localSheetId="17">#REF!</definedName>
    <definedName name="SHARED_FORMULA_20_33_20_33_5" localSheetId="7">#REF!</definedName>
    <definedName name="SHARED_FORMULA_20_33_20_33_5" localSheetId="8">#REF!</definedName>
    <definedName name="SHARED_FORMULA_20_33_20_33_5" localSheetId="9">#REF!</definedName>
    <definedName name="SHARED_FORMULA_20_33_20_33_5">#REF!</definedName>
    <definedName name="SHARED_FORMULA_20_37_20_37_5" localSheetId="10">#REF!</definedName>
    <definedName name="SHARED_FORMULA_20_37_20_37_5" localSheetId="11">#REF!</definedName>
    <definedName name="SHARED_FORMULA_20_37_20_37_5" localSheetId="15">#REF!</definedName>
    <definedName name="SHARED_FORMULA_20_37_20_37_5" localSheetId="17">#REF!</definedName>
    <definedName name="SHARED_FORMULA_20_37_20_37_5" localSheetId="7">#REF!</definedName>
    <definedName name="SHARED_FORMULA_20_37_20_37_5" localSheetId="8">#REF!</definedName>
    <definedName name="SHARED_FORMULA_20_37_20_37_5" localSheetId="9">#REF!</definedName>
    <definedName name="SHARED_FORMULA_20_37_20_37_5">#REF!</definedName>
    <definedName name="SHARED_FORMULA_20_42_20_42_5" localSheetId="10">#REF!</definedName>
    <definedName name="SHARED_FORMULA_20_42_20_42_5" localSheetId="11">#REF!</definedName>
    <definedName name="SHARED_FORMULA_20_42_20_42_5" localSheetId="15">#REF!</definedName>
    <definedName name="SHARED_FORMULA_20_42_20_42_5" localSheetId="17">#REF!</definedName>
    <definedName name="SHARED_FORMULA_20_42_20_42_5" localSheetId="7">#REF!</definedName>
    <definedName name="SHARED_FORMULA_20_42_20_42_5" localSheetId="8">#REF!</definedName>
    <definedName name="SHARED_FORMULA_20_42_20_42_5" localSheetId="9">#REF!</definedName>
    <definedName name="SHARED_FORMULA_20_42_20_42_5">#REF!</definedName>
    <definedName name="SHARED_FORMULA_20_57_20_57_5" localSheetId="10">#REF!</definedName>
    <definedName name="SHARED_FORMULA_20_57_20_57_5" localSheetId="11">#REF!</definedName>
    <definedName name="SHARED_FORMULA_20_57_20_57_5" localSheetId="15">#REF!</definedName>
    <definedName name="SHARED_FORMULA_20_57_20_57_5" localSheetId="17">#REF!</definedName>
    <definedName name="SHARED_FORMULA_20_57_20_57_5" localSheetId="7">#REF!</definedName>
    <definedName name="SHARED_FORMULA_20_57_20_57_5" localSheetId="8">#REF!</definedName>
    <definedName name="SHARED_FORMULA_20_57_20_57_5" localSheetId="9">#REF!</definedName>
    <definedName name="SHARED_FORMULA_20_57_20_57_5">#REF!</definedName>
    <definedName name="SHARED_FORMULA_20_63_20_63_5" localSheetId="10">#REF!</definedName>
    <definedName name="SHARED_FORMULA_20_63_20_63_5" localSheetId="11">#REF!</definedName>
    <definedName name="SHARED_FORMULA_20_63_20_63_5" localSheetId="15">#REF!</definedName>
    <definedName name="SHARED_FORMULA_20_63_20_63_5" localSheetId="17">#REF!</definedName>
    <definedName name="SHARED_FORMULA_20_63_20_63_5" localSheetId="7">#REF!</definedName>
    <definedName name="SHARED_FORMULA_20_63_20_63_5" localSheetId="8">#REF!</definedName>
    <definedName name="SHARED_FORMULA_20_63_20_63_5" localSheetId="9">#REF!</definedName>
    <definedName name="SHARED_FORMULA_20_63_20_63_5">#REF!</definedName>
    <definedName name="SHARED_FORMULA_20_67_20_67_5" localSheetId="10">#REF!</definedName>
    <definedName name="SHARED_FORMULA_20_67_20_67_5" localSheetId="11">#REF!</definedName>
    <definedName name="SHARED_FORMULA_20_67_20_67_5" localSheetId="15">#REF!</definedName>
    <definedName name="SHARED_FORMULA_20_67_20_67_5" localSheetId="17">#REF!</definedName>
    <definedName name="SHARED_FORMULA_20_67_20_67_5" localSheetId="7">#REF!</definedName>
    <definedName name="SHARED_FORMULA_20_67_20_67_5" localSheetId="8">#REF!</definedName>
    <definedName name="SHARED_FORMULA_20_67_20_67_5" localSheetId="9">#REF!</definedName>
    <definedName name="SHARED_FORMULA_20_67_20_67_5">#REF!</definedName>
    <definedName name="SHARED_FORMULA_20_78_20_78_5" localSheetId="10">#REF!</definedName>
    <definedName name="SHARED_FORMULA_20_78_20_78_5" localSheetId="11">#REF!</definedName>
    <definedName name="SHARED_FORMULA_20_78_20_78_5" localSheetId="15">#REF!</definedName>
    <definedName name="SHARED_FORMULA_20_78_20_78_5" localSheetId="17">#REF!</definedName>
    <definedName name="SHARED_FORMULA_20_78_20_78_5" localSheetId="7">#REF!</definedName>
    <definedName name="SHARED_FORMULA_20_78_20_78_5" localSheetId="8">#REF!</definedName>
    <definedName name="SHARED_FORMULA_20_78_20_78_5" localSheetId="9">#REF!</definedName>
    <definedName name="SHARED_FORMULA_20_78_20_78_5">#REF!</definedName>
    <definedName name="SHARED_FORMULA_20_82_20_82_5" localSheetId="10">#REF!</definedName>
    <definedName name="SHARED_FORMULA_20_82_20_82_5" localSheetId="11">#REF!</definedName>
    <definedName name="SHARED_FORMULA_20_82_20_82_5" localSheetId="15">#REF!</definedName>
    <definedName name="SHARED_FORMULA_20_82_20_82_5" localSheetId="17">#REF!</definedName>
    <definedName name="SHARED_FORMULA_20_82_20_82_5" localSheetId="7">#REF!</definedName>
    <definedName name="SHARED_FORMULA_20_82_20_82_5" localSheetId="8">#REF!</definedName>
    <definedName name="SHARED_FORMULA_20_82_20_82_5" localSheetId="9">#REF!</definedName>
    <definedName name="SHARED_FORMULA_20_82_20_82_5">#REF!</definedName>
    <definedName name="SHARED_FORMULA_20_86_20_86_5" localSheetId="10">#REF!+#REF!</definedName>
    <definedName name="SHARED_FORMULA_20_86_20_86_5" localSheetId="11">#REF!+#REF!</definedName>
    <definedName name="SHARED_FORMULA_20_86_20_86_5" localSheetId="15">#REF!+#REF!</definedName>
    <definedName name="SHARED_FORMULA_20_86_20_86_5" localSheetId="17">#REF!+#REF!</definedName>
    <definedName name="SHARED_FORMULA_20_86_20_86_5" localSheetId="7">#REF!+#REF!</definedName>
    <definedName name="SHARED_FORMULA_20_86_20_86_5" localSheetId="8">#REF!+#REF!</definedName>
    <definedName name="SHARED_FORMULA_20_86_20_86_5" localSheetId="9">#REF!+#REF!</definedName>
    <definedName name="SHARED_FORMULA_20_86_20_86_5">#REF!+#REF!</definedName>
    <definedName name="SHARED_FORMULA_20_92_20_92_5" localSheetId="10">#REF!</definedName>
    <definedName name="SHARED_FORMULA_20_92_20_92_5" localSheetId="11">#REF!</definedName>
    <definedName name="SHARED_FORMULA_20_92_20_92_5" localSheetId="15">#REF!</definedName>
    <definedName name="SHARED_FORMULA_20_92_20_92_5" localSheetId="17">#REF!</definedName>
    <definedName name="SHARED_FORMULA_20_92_20_92_5" localSheetId="7">#REF!</definedName>
    <definedName name="SHARED_FORMULA_20_92_20_92_5" localSheetId="8">#REF!</definedName>
    <definedName name="SHARED_FORMULA_20_92_20_92_5" localSheetId="9">#REF!</definedName>
    <definedName name="SHARED_FORMULA_20_92_20_92_5">#REF!</definedName>
    <definedName name="SHARED_FORMULA_23_3_23_3_5" localSheetId="10">SUM(#REF!)-#REF!</definedName>
    <definedName name="SHARED_FORMULA_23_3_23_3_5" localSheetId="11">SUM(#REF!)-#REF!</definedName>
    <definedName name="SHARED_FORMULA_23_3_23_3_5" localSheetId="15">SUM(#REF!)-#REF!</definedName>
    <definedName name="SHARED_FORMULA_23_3_23_3_5" localSheetId="17">SUM(#REF!)-#REF!</definedName>
    <definedName name="SHARED_FORMULA_23_3_23_3_5" localSheetId="7">SUM(#REF!)-#REF!</definedName>
    <definedName name="SHARED_FORMULA_23_3_23_3_5" localSheetId="8">SUM(#REF!)-#REF!</definedName>
    <definedName name="SHARED_FORMULA_23_3_23_3_5" localSheetId="9">SUM(#REF!)-#REF!</definedName>
    <definedName name="SHARED_FORMULA_23_3_23_3_5">SUM(#REF!)-#REF!</definedName>
    <definedName name="SHARED_FORMULA_23_32_23_32_5" localSheetId="10">SUM(#REF!)-#REF!</definedName>
    <definedName name="SHARED_FORMULA_23_32_23_32_5" localSheetId="11">SUM(#REF!)-#REF!</definedName>
    <definedName name="SHARED_FORMULA_23_32_23_32_5" localSheetId="15">SUM(#REF!)-#REF!</definedName>
    <definedName name="SHARED_FORMULA_23_32_23_32_5" localSheetId="17">SUM(#REF!)-#REF!</definedName>
    <definedName name="SHARED_FORMULA_23_32_23_32_5" localSheetId="7">SUM(#REF!)-#REF!</definedName>
    <definedName name="SHARED_FORMULA_23_32_23_32_5" localSheetId="8">SUM(#REF!)-#REF!</definedName>
    <definedName name="SHARED_FORMULA_23_32_23_32_5" localSheetId="9">SUM(#REF!)-#REF!</definedName>
    <definedName name="SHARED_FORMULA_23_32_23_32_5">SUM(#REF!)-#REF!</definedName>
    <definedName name="SHARED_FORMULA_23_64_23_64_5" localSheetId="10">SUM(#REF!)-#REF!</definedName>
    <definedName name="SHARED_FORMULA_23_64_23_64_5" localSheetId="11">SUM(#REF!)-#REF!</definedName>
    <definedName name="SHARED_FORMULA_23_64_23_64_5" localSheetId="15">SUM(#REF!)-#REF!</definedName>
    <definedName name="SHARED_FORMULA_23_64_23_64_5" localSheetId="17">SUM(#REF!)-#REF!</definedName>
    <definedName name="SHARED_FORMULA_23_64_23_64_5" localSheetId="7">SUM(#REF!)-#REF!</definedName>
    <definedName name="SHARED_FORMULA_23_64_23_64_5" localSheetId="8">SUM(#REF!)-#REF!</definedName>
    <definedName name="SHARED_FORMULA_23_64_23_64_5" localSheetId="9">SUM(#REF!)-#REF!</definedName>
    <definedName name="SHARED_FORMULA_23_64_23_64_5">SUM(#REF!)-#REF!</definedName>
    <definedName name="SHARED_FORMULA_23_96_23_96_5" localSheetId="10">SUM(#REF!)-#REF!</definedName>
    <definedName name="SHARED_FORMULA_23_96_23_96_5" localSheetId="11">SUM(#REF!)-#REF!</definedName>
    <definedName name="SHARED_FORMULA_23_96_23_96_5" localSheetId="15">SUM(#REF!)-#REF!</definedName>
    <definedName name="SHARED_FORMULA_23_96_23_96_5" localSheetId="17">SUM(#REF!)-#REF!</definedName>
    <definedName name="SHARED_FORMULA_23_96_23_96_5" localSheetId="7">SUM(#REF!)-#REF!</definedName>
    <definedName name="SHARED_FORMULA_23_96_23_96_5" localSheetId="8">SUM(#REF!)-#REF!</definedName>
    <definedName name="SHARED_FORMULA_23_96_23_96_5" localSheetId="9">SUM(#REF!)-#REF!</definedName>
    <definedName name="SHARED_FORMULA_23_96_23_96_5">SUM(#REF!)-#REF!</definedName>
    <definedName name="SHARED_FORMULA_25_131_25_131_5" localSheetId="10">SUM(#REF!)-#REF!</definedName>
    <definedName name="SHARED_FORMULA_25_131_25_131_5" localSheetId="11">SUM(#REF!)-#REF!</definedName>
    <definedName name="SHARED_FORMULA_25_131_25_131_5" localSheetId="15">SUM(#REF!)-#REF!</definedName>
    <definedName name="SHARED_FORMULA_25_131_25_131_5" localSheetId="17">SUM(#REF!)-#REF!</definedName>
    <definedName name="SHARED_FORMULA_25_131_25_131_5" localSheetId="7">SUM(#REF!)-#REF!</definedName>
    <definedName name="SHARED_FORMULA_25_131_25_131_5" localSheetId="8">SUM(#REF!)-#REF!</definedName>
    <definedName name="SHARED_FORMULA_25_131_25_131_5" localSheetId="9">SUM(#REF!)-#REF!</definedName>
    <definedName name="SHARED_FORMULA_25_131_25_131_5">SUM(#REF!)-#REF!</definedName>
    <definedName name="SHARED_FORMULA_3_10_3_10_3" localSheetId="10">SUM(#REF!)</definedName>
    <definedName name="SHARED_FORMULA_3_10_3_10_3" localSheetId="11">SUM(#REF!)</definedName>
    <definedName name="SHARED_FORMULA_3_10_3_10_3" localSheetId="15">SUM(#REF!)</definedName>
    <definedName name="SHARED_FORMULA_3_10_3_10_3" localSheetId="17">SUM(#REF!)</definedName>
    <definedName name="SHARED_FORMULA_3_10_3_10_3" localSheetId="7">SUM(#REF!)</definedName>
    <definedName name="SHARED_FORMULA_3_10_3_10_3" localSheetId="8">SUM(#REF!)</definedName>
    <definedName name="SHARED_FORMULA_3_10_3_10_3" localSheetId="9">SUM(#REF!)</definedName>
    <definedName name="SHARED_FORMULA_3_10_3_10_3">SUM(#REF!)</definedName>
    <definedName name="SHARED_FORMULA_3_308_3_308_4" localSheetId="10">SUM(#REF!+#REF!+#REF!)</definedName>
    <definedName name="SHARED_FORMULA_3_308_3_308_4" localSheetId="11">SUM(#REF!+#REF!+#REF!)</definedName>
    <definedName name="SHARED_FORMULA_3_308_3_308_4" localSheetId="15">SUM(#REF!+#REF!+#REF!)</definedName>
    <definedName name="SHARED_FORMULA_3_308_3_308_4" localSheetId="17">SUM(#REF!+#REF!+#REF!)</definedName>
    <definedName name="SHARED_FORMULA_3_308_3_308_4" localSheetId="7">SUM(#REF!+#REF!+#REF!)</definedName>
    <definedName name="SHARED_FORMULA_3_308_3_308_4" localSheetId="8">SUM(#REF!+#REF!+#REF!)</definedName>
    <definedName name="SHARED_FORMULA_3_308_3_308_4" localSheetId="9">SUM(#REF!+#REF!+#REF!)</definedName>
    <definedName name="SHARED_FORMULA_3_308_3_308_4">SUM(#REF!+#REF!+#REF!)</definedName>
    <definedName name="SHARED_FORMULA_3_309_3_309_4" localSheetId="10">#REF!+#REF!+#REF!</definedName>
    <definedName name="SHARED_FORMULA_3_309_3_309_4" localSheetId="11">#REF!+#REF!+#REF!</definedName>
    <definedName name="SHARED_FORMULA_3_309_3_309_4" localSheetId="15">#REF!+#REF!+#REF!</definedName>
    <definedName name="SHARED_FORMULA_3_309_3_309_4" localSheetId="17">#REF!+#REF!+#REF!</definedName>
    <definedName name="SHARED_FORMULA_3_309_3_309_4" localSheetId="7">#REF!+#REF!+#REF!</definedName>
    <definedName name="SHARED_FORMULA_3_309_3_309_4" localSheetId="8">#REF!+#REF!+#REF!</definedName>
    <definedName name="SHARED_FORMULA_3_309_3_309_4" localSheetId="9">#REF!+#REF!+#REF!</definedName>
    <definedName name="SHARED_FORMULA_3_309_3_309_4">#REF!+#REF!+#REF!</definedName>
    <definedName name="SHARED_FORMULA_3_312_3_312_4" localSheetId="10">SUM(#REF!+#REF!+#REF!)</definedName>
    <definedName name="SHARED_FORMULA_3_312_3_312_4" localSheetId="11">SUM(#REF!+#REF!+#REF!)</definedName>
    <definedName name="SHARED_FORMULA_3_312_3_312_4" localSheetId="15">SUM(#REF!+#REF!+#REF!)</definedName>
    <definedName name="SHARED_FORMULA_3_312_3_312_4" localSheetId="17">SUM(#REF!+#REF!+#REF!)</definedName>
    <definedName name="SHARED_FORMULA_3_312_3_312_4" localSheetId="7">SUM(#REF!+#REF!+#REF!)</definedName>
    <definedName name="SHARED_FORMULA_3_312_3_312_4" localSheetId="8">SUM(#REF!+#REF!+#REF!)</definedName>
    <definedName name="SHARED_FORMULA_3_312_3_312_4" localSheetId="9">SUM(#REF!+#REF!+#REF!)</definedName>
    <definedName name="SHARED_FORMULA_3_312_3_312_4">SUM(#REF!+#REF!+#REF!)</definedName>
    <definedName name="SHARED_FORMULA_3_32_3_32_2" localSheetId="10">SUM(#REF!)</definedName>
    <definedName name="SHARED_FORMULA_3_32_3_32_2" localSheetId="11">SUM(#REF!)</definedName>
    <definedName name="SHARED_FORMULA_3_32_3_32_2" localSheetId="15">SUM(#REF!)</definedName>
    <definedName name="SHARED_FORMULA_3_32_3_32_2" localSheetId="17">SUM(#REF!)</definedName>
    <definedName name="SHARED_FORMULA_3_32_3_32_2" localSheetId="7">SUM(#REF!)</definedName>
    <definedName name="SHARED_FORMULA_3_32_3_32_2" localSheetId="8">SUM(#REF!)</definedName>
    <definedName name="SHARED_FORMULA_3_32_3_32_2" localSheetId="9">SUM(#REF!)</definedName>
    <definedName name="SHARED_FORMULA_3_32_3_32_2">SUM(#REF!)</definedName>
    <definedName name="SHARED_FORMULA_3_320_3_320_4" localSheetId="10">SUM(#REF!+#REF!+#REF!+#REF!)</definedName>
    <definedName name="SHARED_FORMULA_3_320_3_320_4" localSheetId="11">SUM(#REF!+#REF!+#REF!+#REF!)</definedName>
    <definedName name="SHARED_FORMULA_3_320_3_320_4" localSheetId="15">SUM(#REF!+#REF!+#REF!+#REF!)</definedName>
    <definedName name="SHARED_FORMULA_3_320_3_320_4" localSheetId="17">SUM(#REF!+#REF!+#REF!+#REF!)</definedName>
    <definedName name="SHARED_FORMULA_3_320_3_320_4" localSheetId="7">SUM(#REF!+#REF!+#REF!+#REF!)</definedName>
    <definedName name="SHARED_FORMULA_3_320_3_320_4" localSheetId="8">SUM(#REF!+#REF!+#REF!+#REF!)</definedName>
    <definedName name="SHARED_FORMULA_3_320_3_320_4" localSheetId="9">SUM(#REF!+#REF!+#REF!+#REF!)</definedName>
    <definedName name="SHARED_FORMULA_3_320_3_320_4">SUM(#REF!+#REF!+#REF!+#REF!)</definedName>
    <definedName name="SHARED_FORMULA_3_321_3_321_4" localSheetId="10">SUM(#REF!+#REF!+#REF!+#REF!)</definedName>
    <definedName name="SHARED_FORMULA_3_321_3_321_4" localSheetId="11">SUM(#REF!+#REF!+#REF!+#REF!)</definedName>
    <definedName name="SHARED_FORMULA_3_321_3_321_4" localSheetId="15">SUM(#REF!+#REF!+#REF!+#REF!)</definedName>
    <definedName name="SHARED_FORMULA_3_321_3_321_4" localSheetId="17">SUM(#REF!+#REF!+#REF!+#REF!)</definedName>
    <definedName name="SHARED_FORMULA_3_321_3_321_4" localSheetId="7">SUM(#REF!+#REF!+#REF!+#REF!)</definedName>
    <definedName name="SHARED_FORMULA_3_321_3_321_4" localSheetId="8">SUM(#REF!+#REF!+#REF!+#REF!)</definedName>
    <definedName name="SHARED_FORMULA_3_321_3_321_4" localSheetId="9">SUM(#REF!+#REF!+#REF!+#REF!)</definedName>
    <definedName name="SHARED_FORMULA_3_321_3_321_4">SUM(#REF!+#REF!+#REF!+#REF!)</definedName>
    <definedName name="SHARED_FORMULA_3_37_3_37_2" localSheetId="10">SUM(#REF!)</definedName>
    <definedName name="SHARED_FORMULA_3_37_3_37_2" localSheetId="11">SUM(#REF!)</definedName>
    <definedName name="SHARED_FORMULA_3_37_3_37_2" localSheetId="15">SUM(#REF!)</definedName>
    <definedName name="SHARED_FORMULA_3_37_3_37_2" localSheetId="17">SUM(#REF!)</definedName>
    <definedName name="SHARED_FORMULA_3_37_3_37_2" localSheetId="7">SUM(#REF!)</definedName>
    <definedName name="SHARED_FORMULA_3_37_3_37_2" localSheetId="8">SUM(#REF!)</definedName>
    <definedName name="SHARED_FORMULA_3_37_3_37_2" localSheetId="9">SUM(#REF!)</definedName>
    <definedName name="SHARED_FORMULA_3_37_3_37_2">SUM(#REF!)</definedName>
    <definedName name="SHARED_FORMULA_3_47_3_47_2" localSheetId="10">SUM(#REF!)</definedName>
    <definedName name="SHARED_FORMULA_3_47_3_47_2" localSheetId="11">SUM(#REF!)</definedName>
    <definedName name="SHARED_FORMULA_3_47_3_47_2" localSheetId="15">SUM(#REF!)</definedName>
    <definedName name="SHARED_FORMULA_3_47_3_47_2" localSheetId="17">SUM(#REF!)</definedName>
    <definedName name="SHARED_FORMULA_3_47_3_47_2" localSheetId="7">SUM(#REF!)</definedName>
    <definedName name="SHARED_FORMULA_3_47_3_47_2" localSheetId="8">SUM(#REF!)</definedName>
    <definedName name="SHARED_FORMULA_3_47_3_47_2" localSheetId="9">SUM(#REF!)</definedName>
    <definedName name="SHARED_FORMULA_3_47_3_47_2">SUM(#REF!)</definedName>
    <definedName name="SHARED_FORMULA_3_59_3_59_5" localSheetId="10">#REF!</definedName>
    <definedName name="SHARED_FORMULA_3_59_3_59_5" localSheetId="11">#REF!</definedName>
    <definedName name="SHARED_FORMULA_3_59_3_59_5" localSheetId="15">#REF!</definedName>
    <definedName name="SHARED_FORMULA_3_59_3_59_5" localSheetId="17">#REF!</definedName>
    <definedName name="SHARED_FORMULA_3_59_3_59_5" localSheetId="7">#REF!</definedName>
    <definedName name="SHARED_FORMULA_3_59_3_59_5" localSheetId="8">#REF!</definedName>
    <definedName name="SHARED_FORMULA_3_59_3_59_5" localSheetId="9">#REF!</definedName>
    <definedName name="SHARED_FORMULA_3_59_3_59_5">#REF!</definedName>
    <definedName name="SHARED_FORMULA_3_77_3_77_5" localSheetId="10">#REF!</definedName>
    <definedName name="SHARED_FORMULA_3_77_3_77_5" localSheetId="11">#REF!</definedName>
    <definedName name="SHARED_FORMULA_3_77_3_77_5" localSheetId="15">#REF!</definedName>
    <definedName name="SHARED_FORMULA_3_77_3_77_5" localSheetId="17">#REF!</definedName>
    <definedName name="SHARED_FORMULA_3_77_3_77_5" localSheetId="7">#REF!</definedName>
    <definedName name="SHARED_FORMULA_3_77_3_77_5" localSheetId="8">#REF!</definedName>
    <definedName name="SHARED_FORMULA_3_77_3_77_5" localSheetId="9">#REF!</definedName>
    <definedName name="SHARED_FORMULA_3_77_3_77_5">#REF!</definedName>
    <definedName name="SHARED_FORMULA_3_94_3_94_5" localSheetId="10">#REF!</definedName>
    <definedName name="SHARED_FORMULA_3_94_3_94_5" localSheetId="11">#REF!</definedName>
    <definedName name="SHARED_FORMULA_3_94_3_94_5" localSheetId="15">#REF!</definedName>
    <definedName name="SHARED_FORMULA_3_94_3_94_5" localSheetId="17">#REF!</definedName>
    <definedName name="SHARED_FORMULA_3_94_3_94_5" localSheetId="7">#REF!</definedName>
    <definedName name="SHARED_FORMULA_3_94_3_94_5" localSheetId="8">#REF!</definedName>
    <definedName name="SHARED_FORMULA_3_94_3_94_5" localSheetId="9">#REF!</definedName>
    <definedName name="SHARED_FORMULA_3_94_3_94_5">#REF!</definedName>
    <definedName name="SHARED_FORMULA_4_133_4_133_5" localSheetId="10">SUM(#REF!)-#REF!-#REF!-#REF!</definedName>
    <definedName name="SHARED_FORMULA_4_133_4_133_5" localSheetId="11">SUM(#REF!)-#REF!-#REF!-#REF!</definedName>
    <definedName name="SHARED_FORMULA_4_133_4_133_5" localSheetId="15">SUM(#REF!)-#REF!-#REF!-#REF!</definedName>
    <definedName name="SHARED_FORMULA_4_133_4_133_5" localSheetId="17">SUM(#REF!)-#REF!-#REF!-#REF!</definedName>
    <definedName name="SHARED_FORMULA_4_133_4_133_5" localSheetId="7">SUM(#REF!)-#REF!-#REF!-#REF!</definedName>
    <definedName name="SHARED_FORMULA_4_133_4_133_5" localSheetId="8">SUM(#REF!)-#REF!-#REF!-#REF!</definedName>
    <definedName name="SHARED_FORMULA_4_133_4_133_5" localSheetId="9">SUM(#REF!)-#REF!-#REF!-#REF!</definedName>
    <definedName name="SHARED_FORMULA_4_133_4_133_5">SUM(#REF!)-#REF!-#REF!-#REF!</definedName>
    <definedName name="SHARED_FORMULA_4_136_4_136_4" localSheetId="10">SUM(#REF!)</definedName>
    <definedName name="SHARED_FORMULA_4_136_4_136_4" localSheetId="11">SUM(#REF!)</definedName>
    <definedName name="SHARED_FORMULA_4_136_4_136_4" localSheetId="15">SUM(#REF!)</definedName>
    <definedName name="SHARED_FORMULA_4_136_4_136_4" localSheetId="17">SUM(#REF!)</definedName>
    <definedName name="SHARED_FORMULA_4_136_4_136_4" localSheetId="7">SUM(#REF!)</definedName>
    <definedName name="SHARED_FORMULA_4_136_4_136_4" localSheetId="8">SUM(#REF!)</definedName>
    <definedName name="SHARED_FORMULA_4_136_4_136_4" localSheetId="9">SUM(#REF!)</definedName>
    <definedName name="SHARED_FORMULA_4_136_4_136_4">SUM(#REF!)</definedName>
    <definedName name="SHARED_FORMULA_4_200_4_200_4" localSheetId="10">SUM(#REF!)</definedName>
    <definedName name="SHARED_FORMULA_4_200_4_200_4" localSheetId="11">SUM(#REF!)</definedName>
    <definedName name="SHARED_FORMULA_4_200_4_200_4" localSheetId="15">SUM(#REF!)</definedName>
    <definedName name="SHARED_FORMULA_4_200_4_200_4" localSheetId="17">SUM(#REF!)</definedName>
    <definedName name="SHARED_FORMULA_4_200_4_200_4" localSheetId="7">SUM(#REF!)</definedName>
    <definedName name="SHARED_FORMULA_4_200_4_200_4" localSheetId="8">SUM(#REF!)</definedName>
    <definedName name="SHARED_FORMULA_4_200_4_200_4" localSheetId="9">SUM(#REF!)</definedName>
    <definedName name="SHARED_FORMULA_4_200_4_200_4">SUM(#REF!)</definedName>
    <definedName name="SHARED_FORMULA_4_264_4_264_4" localSheetId="10">SUM(#REF!)</definedName>
    <definedName name="SHARED_FORMULA_4_264_4_264_4" localSheetId="11">SUM(#REF!)</definedName>
    <definedName name="SHARED_FORMULA_4_264_4_264_4" localSheetId="15">SUM(#REF!)</definedName>
    <definedName name="SHARED_FORMULA_4_264_4_264_4" localSheetId="17">SUM(#REF!)</definedName>
    <definedName name="SHARED_FORMULA_4_264_4_264_4" localSheetId="7">SUM(#REF!)</definedName>
    <definedName name="SHARED_FORMULA_4_264_4_264_4" localSheetId="8">SUM(#REF!)</definedName>
    <definedName name="SHARED_FORMULA_4_264_4_264_4" localSheetId="9">SUM(#REF!)</definedName>
    <definedName name="SHARED_FORMULA_4_264_4_264_4">SUM(#REF!)</definedName>
    <definedName name="SHARED_FORMULA_4_322_4_322_4" localSheetId="10">SUM(#REF!,#REF!,#REF!)</definedName>
    <definedName name="SHARED_FORMULA_4_322_4_322_4" localSheetId="11">SUM(#REF!,#REF!,#REF!)</definedName>
    <definedName name="SHARED_FORMULA_4_322_4_322_4" localSheetId="15">SUM(#REF!,#REF!,#REF!)</definedName>
    <definedName name="SHARED_FORMULA_4_322_4_322_4" localSheetId="17">SUM(#REF!,#REF!,#REF!)</definedName>
    <definedName name="SHARED_FORMULA_4_322_4_322_4" localSheetId="7">SUM(#REF!,#REF!,#REF!)</definedName>
    <definedName name="SHARED_FORMULA_4_322_4_322_4" localSheetId="8">SUM(#REF!,#REF!,#REF!)</definedName>
    <definedName name="SHARED_FORMULA_4_322_4_322_4" localSheetId="9">SUM(#REF!,#REF!,#REF!)</definedName>
    <definedName name="SHARED_FORMULA_4_322_4_322_4">SUM(#REF!,#REF!,#REF!)</definedName>
    <definedName name="SHARED_FORMULA_4_43_4_43_3" localSheetId="10">SUM(#REF!,#REF!,#REF!,#REF!,#REF!,#REF!,#REF!,#REF!,#REF!,#REF!,#REF!,#REF!,#REF!,#REF!)</definedName>
    <definedName name="SHARED_FORMULA_4_43_4_43_3" localSheetId="11">SUM(#REF!,#REF!,#REF!,#REF!,#REF!,#REF!,#REF!,#REF!,#REF!,#REF!,#REF!,#REF!,#REF!,#REF!)</definedName>
    <definedName name="SHARED_FORMULA_4_43_4_43_3" localSheetId="15">SUM(#REF!,#REF!,#REF!,#REF!,#REF!,#REF!,#REF!,#REF!,#REF!,#REF!,#REF!,#REF!,#REF!,#REF!)</definedName>
    <definedName name="SHARED_FORMULA_4_43_4_43_3" localSheetId="17">SUM(#REF!,#REF!,#REF!,#REF!,#REF!,#REF!,#REF!,#REF!,#REF!,#REF!,#REF!,#REF!,#REF!,#REF!)</definedName>
    <definedName name="SHARED_FORMULA_4_43_4_43_3" localSheetId="7">SUM(#REF!,#REF!,#REF!,#REF!,#REF!,#REF!,#REF!,#REF!,#REF!,#REF!,#REF!,#REF!,#REF!,#REF!)</definedName>
    <definedName name="SHARED_FORMULA_4_43_4_43_3" localSheetId="8">SUM(#REF!,#REF!,#REF!,#REF!,#REF!,#REF!,#REF!,#REF!,#REF!,#REF!,#REF!,#REF!,#REF!,#REF!)</definedName>
    <definedName name="SHARED_FORMULA_4_43_4_43_3" localSheetId="9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10">SUM(#REF!,#REF!,#REF!,#REF!,#REF!,#REF!,#REF!,#REF!,#REF!,#REF!,#REF!)</definedName>
    <definedName name="SHARED_FORMULA_4_58_4_58_2" localSheetId="11">SUM(#REF!,#REF!,#REF!,#REF!,#REF!,#REF!,#REF!,#REF!,#REF!,#REF!,#REF!)</definedName>
    <definedName name="SHARED_FORMULA_4_58_4_58_2" localSheetId="15">SUM(#REF!,#REF!,#REF!,#REF!,#REF!,#REF!,#REF!,#REF!,#REF!,#REF!,#REF!)</definedName>
    <definedName name="SHARED_FORMULA_4_58_4_58_2" localSheetId="17">SUM(#REF!,#REF!,#REF!,#REF!,#REF!,#REF!,#REF!,#REF!,#REF!,#REF!,#REF!)</definedName>
    <definedName name="SHARED_FORMULA_4_58_4_58_2" localSheetId="7">SUM(#REF!,#REF!,#REF!,#REF!,#REF!,#REF!,#REF!,#REF!,#REF!,#REF!,#REF!)</definedName>
    <definedName name="SHARED_FORMULA_4_58_4_58_2" localSheetId="8">SUM(#REF!,#REF!,#REF!,#REF!,#REF!,#REF!,#REF!,#REF!,#REF!,#REF!,#REF!)</definedName>
    <definedName name="SHARED_FORMULA_4_58_4_58_2" localSheetId="9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10">SUM(#REF!)</definedName>
    <definedName name="SHARED_FORMULA_4_73_4_73_4" localSheetId="11">SUM(#REF!)</definedName>
    <definedName name="SHARED_FORMULA_4_73_4_73_4" localSheetId="15">SUM(#REF!)</definedName>
    <definedName name="SHARED_FORMULA_4_73_4_73_4" localSheetId="17">SUM(#REF!)</definedName>
    <definedName name="SHARED_FORMULA_4_73_4_73_4" localSheetId="7">SUM(#REF!)</definedName>
    <definedName name="SHARED_FORMULA_4_73_4_73_4" localSheetId="8">SUM(#REF!)</definedName>
    <definedName name="SHARED_FORMULA_4_73_4_73_4" localSheetId="9">SUM(#REF!)</definedName>
    <definedName name="SHARED_FORMULA_4_73_4_73_4">SUM(#REF!)</definedName>
    <definedName name="SHARED_FORMULA_4_8_4_8_4" localSheetId="10">SUM(#REF!)</definedName>
    <definedName name="SHARED_FORMULA_4_8_4_8_4" localSheetId="11">SUM(#REF!)</definedName>
    <definedName name="SHARED_FORMULA_4_8_4_8_4" localSheetId="15">SUM(#REF!)</definedName>
    <definedName name="SHARED_FORMULA_4_8_4_8_4" localSheetId="17">SUM(#REF!)</definedName>
    <definedName name="SHARED_FORMULA_4_8_4_8_4" localSheetId="7">SUM(#REF!)</definedName>
    <definedName name="SHARED_FORMULA_4_8_4_8_4" localSheetId="8">SUM(#REF!)</definedName>
    <definedName name="SHARED_FORMULA_4_8_4_8_4" localSheetId="9">SUM(#REF!)</definedName>
    <definedName name="SHARED_FORMULA_4_8_4_8_4">SUM(#REF!)</definedName>
    <definedName name="SHARED_FORMULA_4_9_4_9_3" localSheetId="10">SUM(#REF!)</definedName>
    <definedName name="SHARED_FORMULA_4_9_4_9_3" localSheetId="11">SUM(#REF!)</definedName>
    <definedName name="SHARED_FORMULA_4_9_4_9_3" localSheetId="15">SUM(#REF!)</definedName>
    <definedName name="SHARED_FORMULA_4_9_4_9_3" localSheetId="17">SUM(#REF!)</definedName>
    <definedName name="SHARED_FORMULA_4_9_4_9_3" localSheetId="7">SUM(#REF!)</definedName>
    <definedName name="SHARED_FORMULA_4_9_4_9_3" localSheetId="8">SUM(#REF!)</definedName>
    <definedName name="SHARED_FORMULA_4_9_4_9_3" localSheetId="9">SUM(#REF!)</definedName>
    <definedName name="SHARED_FORMULA_4_9_4_9_3">SUM(#REF!)</definedName>
    <definedName name="SHARED_FORMULA_5_108_5_108_5" localSheetId="10">#REF!</definedName>
    <definedName name="SHARED_FORMULA_5_108_5_108_5" localSheetId="11">#REF!</definedName>
    <definedName name="SHARED_FORMULA_5_108_5_108_5" localSheetId="15">#REF!</definedName>
    <definedName name="SHARED_FORMULA_5_108_5_108_5" localSheetId="17">#REF!</definedName>
    <definedName name="SHARED_FORMULA_5_108_5_108_5" localSheetId="7">#REF!</definedName>
    <definedName name="SHARED_FORMULA_5_108_5_108_5" localSheetId="8">#REF!</definedName>
    <definedName name="SHARED_FORMULA_5_108_5_108_5" localSheetId="9">#REF!</definedName>
    <definedName name="SHARED_FORMULA_5_108_5_108_5">#REF!</definedName>
    <definedName name="SHARED_FORMULA_5_109_5_109_5" localSheetId="10">#REF!</definedName>
    <definedName name="SHARED_FORMULA_5_109_5_109_5" localSheetId="11">#REF!</definedName>
    <definedName name="SHARED_FORMULA_5_109_5_109_5" localSheetId="15">#REF!</definedName>
    <definedName name="SHARED_FORMULA_5_109_5_109_5" localSheetId="17">#REF!</definedName>
    <definedName name="SHARED_FORMULA_5_109_5_109_5" localSheetId="7">#REF!</definedName>
    <definedName name="SHARED_FORMULA_5_109_5_109_5" localSheetId="8">#REF!</definedName>
    <definedName name="SHARED_FORMULA_5_109_5_109_5" localSheetId="9">#REF!</definedName>
    <definedName name="SHARED_FORMULA_5_109_5_109_5">#REF!</definedName>
    <definedName name="SHARED_FORMULA_5_129_5_129_5" localSheetId="10">#REF!</definedName>
    <definedName name="SHARED_FORMULA_5_129_5_129_5" localSheetId="11">#REF!</definedName>
    <definedName name="SHARED_FORMULA_5_129_5_129_5" localSheetId="15">#REF!</definedName>
    <definedName name="SHARED_FORMULA_5_129_5_129_5" localSheetId="17">#REF!</definedName>
    <definedName name="SHARED_FORMULA_5_129_5_129_5" localSheetId="7">#REF!</definedName>
    <definedName name="SHARED_FORMULA_5_129_5_129_5" localSheetId="8">#REF!</definedName>
    <definedName name="SHARED_FORMULA_5_129_5_129_5" localSheetId="9">#REF!</definedName>
    <definedName name="SHARED_FORMULA_5_129_5_129_5">#REF!</definedName>
    <definedName name="SHARED_FORMULA_5_19_5_19_5" localSheetId="10">#REF!</definedName>
    <definedName name="SHARED_FORMULA_5_19_5_19_5" localSheetId="11">#REF!</definedName>
    <definedName name="SHARED_FORMULA_5_19_5_19_5" localSheetId="15">#REF!</definedName>
    <definedName name="SHARED_FORMULA_5_19_5_19_5" localSheetId="17">#REF!</definedName>
    <definedName name="SHARED_FORMULA_5_19_5_19_5" localSheetId="7">#REF!</definedName>
    <definedName name="SHARED_FORMULA_5_19_5_19_5" localSheetId="8">#REF!</definedName>
    <definedName name="SHARED_FORMULA_5_19_5_19_5" localSheetId="9">#REF!</definedName>
    <definedName name="SHARED_FORMULA_5_19_5_19_5">#REF!</definedName>
    <definedName name="SHARED_FORMULA_5_28_5_28_5" localSheetId="10">#REF!</definedName>
    <definedName name="SHARED_FORMULA_5_28_5_28_5" localSheetId="11">#REF!</definedName>
    <definedName name="SHARED_FORMULA_5_28_5_28_5" localSheetId="15">#REF!</definedName>
    <definedName name="SHARED_FORMULA_5_28_5_28_5" localSheetId="17">#REF!</definedName>
    <definedName name="SHARED_FORMULA_5_28_5_28_5" localSheetId="7">#REF!</definedName>
    <definedName name="SHARED_FORMULA_5_28_5_28_5" localSheetId="8">#REF!</definedName>
    <definedName name="SHARED_FORMULA_5_28_5_28_5" localSheetId="9">#REF!</definedName>
    <definedName name="SHARED_FORMULA_5_28_5_28_5">#REF!</definedName>
    <definedName name="SHARED_FORMULA_5_288_5_288_4" localSheetId="1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1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5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7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7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8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9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1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1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5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7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7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8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9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10">#REF!</definedName>
    <definedName name="SHARED_FORMULA_5_35_5_35_5" localSheetId="11">#REF!</definedName>
    <definedName name="SHARED_FORMULA_5_35_5_35_5" localSheetId="15">#REF!</definedName>
    <definedName name="SHARED_FORMULA_5_35_5_35_5" localSheetId="17">#REF!</definedName>
    <definedName name="SHARED_FORMULA_5_35_5_35_5" localSheetId="7">#REF!</definedName>
    <definedName name="SHARED_FORMULA_5_35_5_35_5" localSheetId="8">#REF!</definedName>
    <definedName name="SHARED_FORMULA_5_35_5_35_5" localSheetId="9">#REF!</definedName>
    <definedName name="SHARED_FORMULA_5_35_5_35_5">#REF!</definedName>
    <definedName name="SHARED_FORMULA_5_69_5_69_5" localSheetId="10">#REF!</definedName>
    <definedName name="SHARED_FORMULA_5_69_5_69_5" localSheetId="11">#REF!</definedName>
    <definedName name="SHARED_FORMULA_5_69_5_69_5" localSheetId="15">#REF!</definedName>
    <definedName name="SHARED_FORMULA_5_69_5_69_5" localSheetId="17">#REF!</definedName>
    <definedName name="SHARED_FORMULA_5_69_5_69_5" localSheetId="7">#REF!</definedName>
    <definedName name="SHARED_FORMULA_5_69_5_69_5" localSheetId="8">#REF!</definedName>
    <definedName name="SHARED_FORMULA_5_69_5_69_5" localSheetId="9">#REF!</definedName>
    <definedName name="SHARED_FORMULA_5_69_5_69_5">#REF!</definedName>
    <definedName name="SHARED_FORMULA_5_7_5_7_5" localSheetId="10">#REF!</definedName>
    <definedName name="SHARED_FORMULA_5_7_5_7_5" localSheetId="11">#REF!</definedName>
    <definedName name="SHARED_FORMULA_5_7_5_7_5" localSheetId="15">#REF!</definedName>
    <definedName name="SHARED_FORMULA_5_7_5_7_5" localSheetId="17">#REF!</definedName>
    <definedName name="SHARED_FORMULA_5_7_5_7_5" localSheetId="7">#REF!</definedName>
    <definedName name="SHARED_FORMULA_5_7_5_7_5" localSheetId="8">#REF!</definedName>
    <definedName name="SHARED_FORMULA_5_7_5_7_5" localSheetId="9">#REF!</definedName>
    <definedName name="SHARED_FORMULA_5_7_5_7_5">#REF!</definedName>
    <definedName name="SHARED_FORMULA_6_5_6_5_0" localSheetId="10">#REF!/#REF!*100</definedName>
    <definedName name="SHARED_FORMULA_6_5_6_5_0" localSheetId="11">#REF!/#REF!*100</definedName>
    <definedName name="SHARED_FORMULA_6_5_6_5_0" localSheetId="15">#REF!/#REF!*100</definedName>
    <definedName name="SHARED_FORMULA_6_5_6_5_0" localSheetId="17">#REF!/#REF!*100</definedName>
    <definedName name="SHARED_FORMULA_6_5_6_5_0" localSheetId="7">#REF!/#REF!*100</definedName>
    <definedName name="SHARED_FORMULA_6_5_6_5_0" localSheetId="8">#REF!/#REF!*100</definedName>
    <definedName name="SHARED_FORMULA_6_5_6_5_0" localSheetId="9">#REF!/#REF!*100</definedName>
    <definedName name="SHARED_FORMULA_6_5_6_5_0">#REF!/#REF!*100</definedName>
    <definedName name="SHARED_FORMULA_7_62_7_62_5" localSheetId="10">#REF!</definedName>
    <definedName name="SHARED_FORMULA_7_62_7_62_5" localSheetId="11">#REF!</definedName>
    <definedName name="SHARED_FORMULA_7_62_7_62_5" localSheetId="15">#REF!</definedName>
    <definedName name="SHARED_FORMULA_7_62_7_62_5" localSheetId="17">#REF!</definedName>
    <definedName name="SHARED_FORMULA_7_62_7_62_5" localSheetId="7">#REF!</definedName>
    <definedName name="SHARED_FORMULA_7_62_7_62_5" localSheetId="8">#REF!</definedName>
    <definedName name="SHARED_FORMULA_7_62_7_62_5" localSheetId="9">#REF!</definedName>
    <definedName name="SHARED_FORMULA_7_62_7_62_5">#REF!</definedName>
    <definedName name="SHARED_FORMULA_7_82_7_82_5" localSheetId="10">#REF!</definedName>
    <definedName name="SHARED_FORMULA_7_82_7_82_5" localSheetId="11">#REF!</definedName>
    <definedName name="SHARED_FORMULA_7_82_7_82_5" localSheetId="15">#REF!</definedName>
    <definedName name="SHARED_FORMULA_7_82_7_82_5" localSheetId="17">#REF!</definedName>
    <definedName name="SHARED_FORMULA_7_82_7_82_5" localSheetId="7">#REF!</definedName>
    <definedName name="SHARED_FORMULA_7_82_7_82_5" localSheetId="8">#REF!</definedName>
    <definedName name="SHARED_FORMULA_7_82_7_82_5" localSheetId="9">#REF!</definedName>
    <definedName name="SHARED_FORMULA_7_82_7_82_5">#REF!</definedName>
    <definedName name="SHARED_FORMULA_7_93_7_93_5" localSheetId="10">#REF!</definedName>
    <definedName name="SHARED_FORMULA_7_93_7_93_5" localSheetId="11">#REF!</definedName>
    <definedName name="SHARED_FORMULA_7_93_7_93_5" localSheetId="15">#REF!</definedName>
    <definedName name="SHARED_FORMULA_7_93_7_93_5" localSheetId="17">#REF!</definedName>
    <definedName name="SHARED_FORMULA_7_93_7_93_5" localSheetId="7">#REF!</definedName>
    <definedName name="SHARED_FORMULA_7_93_7_93_5" localSheetId="8">#REF!</definedName>
    <definedName name="SHARED_FORMULA_7_93_7_93_5" localSheetId="9">#REF!</definedName>
    <definedName name="SHARED_FORMULA_7_93_7_93_5">#REF!</definedName>
    <definedName name="SHARED_FORMULA_8_48_8_48_5" localSheetId="10">#REF!</definedName>
    <definedName name="SHARED_FORMULA_8_48_8_48_5" localSheetId="11">#REF!</definedName>
    <definedName name="SHARED_FORMULA_8_48_8_48_5" localSheetId="15">#REF!</definedName>
    <definedName name="SHARED_FORMULA_8_48_8_48_5" localSheetId="17">#REF!</definedName>
    <definedName name="SHARED_FORMULA_8_48_8_48_5" localSheetId="7">#REF!</definedName>
    <definedName name="SHARED_FORMULA_8_48_8_48_5" localSheetId="8">#REF!</definedName>
    <definedName name="SHARED_FORMULA_8_48_8_48_5" localSheetId="9">#REF!</definedName>
    <definedName name="SHARED_FORMULA_8_48_8_48_5">#REF!</definedName>
    <definedName name="SHARED_FORMULA_9_112_9_112_5" localSheetId="10">#REF!</definedName>
    <definedName name="SHARED_FORMULA_9_112_9_112_5" localSheetId="11">#REF!</definedName>
    <definedName name="SHARED_FORMULA_9_112_9_112_5" localSheetId="15">#REF!</definedName>
    <definedName name="SHARED_FORMULA_9_112_9_112_5" localSheetId="17">#REF!</definedName>
    <definedName name="SHARED_FORMULA_9_112_9_112_5" localSheetId="7">#REF!</definedName>
    <definedName name="SHARED_FORMULA_9_112_9_112_5" localSheetId="8">#REF!</definedName>
    <definedName name="SHARED_FORMULA_9_112_9_112_5" localSheetId="9">#REF!</definedName>
    <definedName name="SHARED_FORMULA_9_112_9_112_5">#REF!</definedName>
    <definedName name="SHARED_FORMULA_9_118_9_118_5" localSheetId="10">#REF!</definedName>
    <definedName name="SHARED_FORMULA_9_118_9_118_5" localSheetId="11">#REF!</definedName>
    <definedName name="SHARED_FORMULA_9_118_9_118_5" localSheetId="15">#REF!</definedName>
    <definedName name="SHARED_FORMULA_9_118_9_118_5" localSheetId="17">#REF!</definedName>
    <definedName name="SHARED_FORMULA_9_118_9_118_5" localSheetId="7">#REF!</definedName>
    <definedName name="SHARED_FORMULA_9_118_9_118_5" localSheetId="8">#REF!</definedName>
    <definedName name="SHARED_FORMULA_9_118_9_118_5" localSheetId="9">#REF!</definedName>
    <definedName name="SHARED_FORMULA_9_118_9_118_5">#REF!</definedName>
    <definedName name="SHARED_FORMULA_9_44_9_44_5" localSheetId="10">#REF!</definedName>
    <definedName name="SHARED_FORMULA_9_44_9_44_5" localSheetId="11">#REF!</definedName>
    <definedName name="SHARED_FORMULA_9_44_9_44_5" localSheetId="15">#REF!</definedName>
    <definedName name="SHARED_FORMULA_9_44_9_44_5" localSheetId="17">#REF!</definedName>
    <definedName name="SHARED_FORMULA_9_44_9_44_5" localSheetId="7">#REF!</definedName>
    <definedName name="SHARED_FORMULA_9_44_9_44_5" localSheetId="8">#REF!</definedName>
    <definedName name="SHARED_FORMULA_9_44_9_44_5" localSheetId="9">#REF!</definedName>
    <definedName name="SHARED_FORMULA_9_44_9_44_5">#REF!</definedName>
    <definedName name="SHARED_FORMULA_9_53_9_53_5" localSheetId="10">#REF!</definedName>
    <definedName name="SHARED_FORMULA_9_53_9_53_5" localSheetId="11">#REF!</definedName>
    <definedName name="SHARED_FORMULA_9_53_9_53_5" localSheetId="15">#REF!</definedName>
    <definedName name="SHARED_FORMULA_9_53_9_53_5" localSheetId="17">#REF!</definedName>
    <definedName name="SHARED_FORMULA_9_53_9_53_5" localSheetId="7">#REF!</definedName>
    <definedName name="SHARED_FORMULA_9_53_9_53_5" localSheetId="8">#REF!</definedName>
    <definedName name="SHARED_FORMULA_9_53_9_53_5" localSheetId="9">#REF!</definedName>
    <definedName name="SHARED_FORMULA_9_53_9_53_5">#REF!</definedName>
    <definedName name="SHARED_FORMULA_9_77_9_77_5" localSheetId="10">#REF!</definedName>
    <definedName name="SHARED_FORMULA_9_77_9_77_5" localSheetId="11">#REF!</definedName>
    <definedName name="SHARED_FORMULA_9_77_9_77_5" localSheetId="15">#REF!</definedName>
    <definedName name="SHARED_FORMULA_9_77_9_77_5" localSheetId="17">#REF!</definedName>
    <definedName name="SHARED_FORMULA_9_77_9_77_5" localSheetId="7">#REF!</definedName>
    <definedName name="SHARED_FORMULA_9_77_9_77_5" localSheetId="8">#REF!</definedName>
    <definedName name="SHARED_FORMULA_9_77_9_77_5" localSheetId="9">#REF!</definedName>
    <definedName name="SHARED_FORMULA_9_77_9_77_5">#REF!</definedName>
    <definedName name="SHARED_FORMULA_9_98_9_98_5" localSheetId="10">#REF!</definedName>
    <definedName name="SHARED_FORMULA_9_98_9_98_5" localSheetId="11">#REF!</definedName>
    <definedName name="SHARED_FORMULA_9_98_9_98_5" localSheetId="15">#REF!</definedName>
    <definedName name="SHARED_FORMULA_9_98_9_98_5" localSheetId="17">#REF!</definedName>
    <definedName name="SHARED_FORMULA_9_98_9_98_5" localSheetId="7">#REF!</definedName>
    <definedName name="SHARED_FORMULA_9_98_9_98_5" localSheetId="8">#REF!</definedName>
    <definedName name="SHARED_FORMULA_9_98_9_98_5" localSheetId="9">#REF!</definedName>
    <definedName name="SHARED_FORMULA_9_98_9_98_5">#REF!</definedName>
    <definedName name="x" localSheetId="10">#REF!</definedName>
    <definedName name="x" localSheetId="11">#REF!</definedName>
    <definedName name="x" localSheetId="15">#REF!</definedName>
    <definedName name="x" localSheetId="17">#REF!</definedName>
    <definedName name="x" localSheetId="7">#REF!</definedName>
    <definedName name="x" localSheetId="8">#REF!</definedName>
    <definedName name="x" localSheetId="9">#REF!</definedName>
    <definedName name="x">#REF!</definedName>
  </definedNames>
  <calcPr calcId="152511" iterateDelta="1E-4"/>
  <fileRecoveryPr autoRecover="0"/>
</workbook>
</file>

<file path=xl/calcChain.xml><?xml version="1.0" encoding="utf-8"?>
<calcChain xmlns="http://schemas.openxmlformats.org/spreadsheetml/2006/main">
  <c r="G47" i="1" l="1"/>
  <c r="H47" i="1"/>
  <c r="D48" i="1"/>
  <c r="C48" i="1"/>
  <c r="S111" i="62"/>
  <c r="R111" i="62"/>
  <c r="Q111" i="62"/>
  <c r="P111" i="62"/>
  <c r="O111" i="62"/>
  <c r="N111" i="62"/>
  <c r="M111" i="62"/>
  <c r="L111" i="62"/>
  <c r="K111" i="62"/>
  <c r="J111" i="62"/>
  <c r="I111" i="62"/>
  <c r="H111" i="62"/>
  <c r="G111" i="62"/>
  <c r="E111" i="62"/>
  <c r="S110" i="62"/>
  <c r="R110" i="62"/>
  <c r="Q110" i="62"/>
  <c r="P110" i="62"/>
  <c r="O110" i="62"/>
  <c r="N110" i="62"/>
  <c r="M110" i="62"/>
  <c r="L110" i="62"/>
  <c r="K110" i="62"/>
  <c r="J110" i="62"/>
  <c r="I110" i="62"/>
  <c r="H110" i="62"/>
  <c r="G110" i="62"/>
  <c r="E110" i="62"/>
  <c r="S109" i="62"/>
  <c r="R109" i="62"/>
  <c r="Q109" i="62"/>
  <c r="P109" i="62"/>
  <c r="O109" i="62"/>
  <c r="N109" i="62"/>
  <c r="M109" i="62"/>
  <c r="L109" i="62"/>
  <c r="K109" i="62"/>
  <c r="J109" i="62"/>
  <c r="I109" i="62"/>
  <c r="H109" i="62"/>
  <c r="G109" i="62"/>
  <c r="E109" i="62"/>
  <c r="S108" i="62"/>
  <c r="R108" i="62"/>
  <c r="Q108" i="62"/>
  <c r="P108" i="62"/>
  <c r="O108" i="62"/>
  <c r="N108" i="62"/>
  <c r="M108" i="62"/>
  <c r="L108" i="62"/>
  <c r="K108" i="62"/>
  <c r="J108" i="62"/>
  <c r="I108" i="62"/>
  <c r="H108" i="62"/>
  <c r="G108" i="62"/>
  <c r="E108" i="62"/>
  <c r="S107" i="62"/>
  <c r="R107" i="62"/>
  <c r="Q107" i="62"/>
  <c r="P107" i="62"/>
  <c r="O107" i="62"/>
  <c r="N107" i="62"/>
  <c r="M107" i="62"/>
  <c r="L107" i="62"/>
  <c r="K107" i="62"/>
  <c r="J107" i="62"/>
  <c r="I107" i="62"/>
  <c r="H107" i="62"/>
  <c r="G107" i="62"/>
  <c r="E107" i="62"/>
  <c r="S106" i="62"/>
  <c r="R106" i="62"/>
  <c r="Q106" i="62"/>
  <c r="P106" i="62"/>
  <c r="O106" i="62"/>
  <c r="N106" i="62"/>
  <c r="M106" i="62"/>
  <c r="L106" i="62"/>
  <c r="K106" i="62"/>
  <c r="J106" i="62"/>
  <c r="I106" i="62"/>
  <c r="H106" i="62"/>
  <c r="G106" i="62"/>
  <c r="E106" i="62"/>
  <c r="S105" i="62"/>
  <c r="R105" i="62"/>
  <c r="Q105" i="62"/>
  <c r="P105" i="62"/>
  <c r="O105" i="62"/>
  <c r="N105" i="62"/>
  <c r="M105" i="62"/>
  <c r="L105" i="62"/>
  <c r="K105" i="62"/>
  <c r="J105" i="62"/>
  <c r="I105" i="62"/>
  <c r="H105" i="62"/>
  <c r="G105" i="62"/>
  <c r="E105" i="62"/>
  <c r="S104" i="62"/>
  <c r="R104" i="62"/>
  <c r="Q104" i="62"/>
  <c r="P104" i="62"/>
  <c r="O104" i="62"/>
  <c r="N104" i="62"/>
  <c r="M104" i="62"/>
  <c r="L104" i="62"/>
  <c r="K104" i="62"/>
  <c r="J104" i="62"/>
  <c r="I104" i="62"/>
  <c r="H104" i="62"/>
  <c r="G104" i="62"/>
  <c r="E104" i="62"/>
  <c r="F103" i="62"/>
  <c r="F102" i="62"/>
  <c r="F101" i="62"/>
  <c r="F100" i="62"/>
  <c r="F99" i="62"/>
  <c r="F98" i="62"/>
  <c r="F97" i="62"/>
  <c r="F96" i="62"/>
  <c r="F95" i="62"/>
  <c r="F94" i="62"/>
  <c r="F93" i="62"/>
  <c r="F92" i="62"/>
  <c r="F91" i="62"/>
  <c r="F90" i="62"/>
  <c r="F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106" i="62" s="1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0" i="62"/>
  <c r="F19" i="62"/>
  <c r="F18" i="62"/>
  <c r="F17" i="62"/>
  <c r="F107" i="62" s="1"/>
  <c r="F16" i="62"/>
  <c r="F15" i="62"/>
  <c r="F14" i="62"/>
  <c r="F13" i="62"/>
  <c r="F12" i="62"/>
  <c r="F11" i="62"/>
  <c r="F109" i="62" s="1"/>
  <c r="F10" i="62"/>
  <c r="F108" i="62" s="1"/>
  <c r="F9" i="62"/>
  <c r="F111" i="62" s="1"/>
  <c r="F8" i="62"/>
  <c r="F7" i="62"/>
  <c r="F105" i="62" s="1"/>
  <c r="F6" i="62"/>
  <c r="F104" i="62" s="1"/>
  <c r="F110" i="62" l="1"/>
  <c r="F62" i="2" l="1"/>
  <c r="E62" i="2"/>
  <c r="F58" i="2"/>
  <c r="E58" i="2"/>
  <c r="J30" i="4" l="1"/>
  <c r="B37" i="2"/>
  <c r="B65" i="2" l="1"/>
  <c r="B63" i="2"/>
  <c r="I43" i="3"/>
  <c r="H43" i="3"/>
  <c r="R70" i="59" l="1"/>
  <c r="Q70" i="59"/>
  <c r="P70" i="59"/>
  <c r="O70" i="59"/>
  <c r="N70" i="59"/>
  <c r="M70" i="59"/>
  <c r="L70" i="59"/>
  <c r="K70" i="59"/>
  <c r="J70" i="59"/>
  <c r="I70" i="59"/>
  <c r="H70" i="59"/>
  <c r="G70" i="59"/>
  <c r="F70" i="59"/>
  <c r="E70" i="59"/>
  <c r="R68" i="59"/>
  <c r="Q68" i="59"/>
  <c r="P68" i="59"/>
  <c r="O68" i="59"/>
  <c r="N68" i="59"/>
  <c r="M68" i="59"/>
  <c r="L68" i="59"/>
  <c r="K68" i="59"/>
  <c r="J68" i="59"/>
  <c r="I68" i="59"/>
  <c r="H68" i="59"/>
  <c r="G68" i="59"/>
  <c r="F68" i="59"/>
  <c r="E68" i="59"/>
  <c r="O67" i="59"/>
  <c r="N65" i="59"/>
  <c r="N67" i="59" s="1"/>
  <c r="M65" i="59"/>
  <c r="M67" i="59" s="1"/>
  <c r="L65" i="59"/>
  <c r="L67" i="59" s="1"/>
  <c r="K65" i="59"/>
  <c r="K67" i="59" s="1"/>
  <c r="Q64" i="59"/>
  <c r="Q66" i="59" s="1"/>
  <c r="M64" i="59"/>
  <c r="M66" i="59" s="1"/>
  <c r="I64" i="59"/>
  <c r="I66" i="59" s="1"/>
  <c r="E64" i="59"/>
  <c r="E66" i="59" s="1"/>
  <c r="K62" i="59"/>
  <c r="J62" i="59"/>
  <c r="E62" i="59"/>
  <c r="R61" i="59"/>
  <c r="R64" i="59" s="1"/>
  <c r="Q61" i="59"/>
  <c r="P61" i="59"/>
  <c r="O61" i="59"/>
  <c r="N61" i="59"/>
  <c r="N64" i="59" s="1"/>
  <c r="M61" i="59"/>
  <c r="L61" i="59"/>
  <c r="K61" i="59"/>
  <c r="J61" i="59"/>
  <c r="J64" i="59" s="1"/>
  <c r="I61" i="59"/>
  <c r="H61" i="59"/>
  <c r="G61" i="59"/>
  <c r="F61" i="59"/>
  <c r="E61" i="59"/>
  <c r="E57" i="59"/>
  <c r="I55" i="59"/>
  <c r="I62" i="59" s="1"/>
  <c r="H55" i="59"/>
  <c r="H62" i="59" s="1"/>
  <c r="G55" i="59"/>
  <c r="G62" i="59" s="1"/>
  <c r="F54" i="59"/>
  <c r="F55" i="59" s="1"/>
  <c r="F62" i="59" s="1"/>
  <c r="E51" i="59"/>
  <c r="R50" i="59"/>
  <c r="Q50" i="59"/>
  <c r="P50" i="59"/>
  <c r="O50" i="59"/>
  <c r="O64" i="59" s="1"/>
  <c r="N50" i="59"/>
  <c r="M50" i="59"/>
  <c r="L50" i="59"/>
  <c r="K50" i="59"/>
  <c r="K64" i="59" s="1"/>
  <c r="J50" i="59"/>
  <c r="I50" i="59"/>
  <c r="H50" i="59"/>
  <c r="G50" i="59"/>
  <c r="G64" i="59" s="1"/>
  <c r="F50" i="59"/>
  <c r="E50" i="59"/>
  <c r="E46" i="59"/>
  <c r="I44" i="59"/>
  <c r="I51" i="59" s="1"/>
  <c r="H44" i="59"/>
  <c r="H51" i="59" s="1"/>
  <c r="G44" i="59"/>
  <c r="G51" i="59" s="1"/>
  <c r="F44" i="59"/>
  <c r="F51" i="59" s="1"/>
  <c r="J41" i="59"/>
  <c r="J65" i="59" s="1"/>
  <c r="J67" i="59" s="1"/>
  <c r="R40" i="59"/>
  <c r="Q40" i="59"/>
  <c r="P40" i="59"/>
  <c r="P64" i="59" s="1"/>
  <c r="O40" i="59"/>
  <c r="N40" i="59"/>
  <c r="M40" i="59"/>
  <c r="L40" i="59"/>
  <c r="L64" i="59" s="1"/>
  <c r="K40" i="59"/>
  <c r="J40" i="59"/>
  <c r="I40" i="59"/>
  <c r="H40" i="59"/>
  <c r="H64" i="59" s="1"/>
  <c r="G40" i="59"/>
  <c r="E40" i="59"/>
  <c r="E37" i="59"/>
  <c r="E41" i="59" s="1"/>
  <c r="E65" i="59" s="1"/>
  <c r="J35" i="59"/>
  <c r="I35" i="59"/>
  <c r="I41" i="59" s="1"/>
  <c r="I65" i="59" s="1"/>
  <c r="H35" i="59"/>
  <c r="H41" i="59" s="1"/>
  <c r="H65" i="59" s="1"/>
  <c r="G35" i="59"/>
  <c r="G41" i="59" s="1"/>
  <c r="G65" i="59" s="1"/>
  <c r="F34" i="59"/>
  <c r="F35" i="59" s="1"/>
  <c r="F41" i="59" s="1"/>
  <c r="F65" i="59" s="1"/>
  <c r="I31" i="59"/>
  <c r="I67" i="59" s="1"/>
  <c r="H31" i="59"/>
  <c r="H67" i="59" s="1"/>
  <c r="R30" i="59"/>
  <c r="Q30" i="59"/>
  <c r="P30" i="59"/>
  <c r="P66" i="59" s="1"/>
  <c r="O30" i="59"/>
  <c r="O66" i="59" s="1"/>
  <c r="N30" i="59"/>
  <c r="M30" i="59"/>
  <c r="L30" i="59"/>
  <c r="L66" i="59" s="1"/>
  <c r="K30" i="59"/>
  <c r="K66" i="59" s="1"/>
  <c r="J30" i="59"/>
  <c r="I30" i="59"/>
  <c r="H30" i="59"/>
  <c r="H66" i="59" s="1"/>
  <c r="G30" i="59"/>
  <c r="G66" i="59" s="1"/>
  <c r="F30" i="59"/>
  <c r="E30" i="59"/>
  <c r="H27" i="59"/>
  <c r="G27" i="59"/>
  <c r="F27" i="59"/>
  <c r="H23" i="59"/>
  <c r="G23" i="59"/>
  <c r="F23" i="59"/>
  <c r="E19" i="59"/>
  <c r="E31" i="59" s="1"/>
  <c r="E67" i="59" s="1"/>
  <c r="I13" i="59"/>
  <c r="H13" i="59"/>
  <c r="G13" i="59"/>
  <c r="F13" i="59"/>
  <c r="H11" i="59"/>
  <c r="G11" i="59"/>
  <c r="G31" i="59" s="1"/>
  <c r="G67" i="59" s="1"/>
  <c r="F11" i="59"/>
  <c r="F31" i="59" s="1"/>
  <c r="F67" i="59" s="1"/>
  <c r="C14" i="1"/>
  <c r="D15" i="1"/>
  <c r="D14" i="1" s="1"/>
  <c r="C15" i="1"/>
  <c r="J66" i="59" l="1"/>
  <c r="N66" i="59"/>
  <c r="R66" i="59"/>
  <c r="F40" i="59"/>
  <c r="F64" i="59" s="1"/>
  <c r="F66" i="59" s="1"/>
  <c r="J16" i="64"/>
  <c r="J15" i="64"/>
  <c r="K14" i="64"/>
  <c r="K17" i="64" s="1"/>
  <c r="I14" i="64"/>
  <c r="I17" i="64" s="1"/>
  <c r="H14" i="64"/>
  <c r="H17" i="64" s="1"/>
  <c r="G14" i="64"/>
  <c r="G17" i="64" s="1"/>
  <c r="F14" i="64"/>
  <c r="F17" i="64" s="1"/>
  <c r="E14" i="64"/>
  <c r="E17" i="64" s="1"/>
  <c r="D14" i="64"/>
  <c r="D17" i="64" s="1"/>
  <c r="C14" i="64"/>
  <c r="C17" i="64" s="1"/>
  <c r="B14" i="64"/>
  <c r="B17" i="64" s="1"/>
  <c r="K12" i="64"/>
  <c r="K13" i="64" s="1"/>
  <c r="K18" i="64" s="1"/>
  <c r="H12" i="64"/>
  <c r="H13" i="64" s="1"/>
  <c r="H18" i="64" s="1"/>
  <c r="G12" i="64"/>
  <c r="G13" i="64" s="1"/>
  <c r="G18" i="64" s="1"/>
  <c r="D12" i="64"/>
  <c r="D13" i="64" s="1"/>
  <c r="D18" i="64" s="1"/>
  <c r="C12" i="64"/>
  <c r="C13" i="64" s="1"/>
  <c r="C18" i="64" s="1"/>
  <c r="J11" i="64"/>
  <c r="J10" i="64"/>
  <c r="J9" i="64"/>
  <c r="J8" i="64"/>
  <c r="J7" i="64"/>
  <c r="K6" i="64"/>
  <c r="I6" i="64"/>
  <c r="I12" i="64" s="1"/>
  <c r="I13" i="64" s="1"/>
  <c r="H6" i="64"/>
  <c r="G6" i="64"/>
  <c r="F6" i="64"/>
  <c r="F12" i="64" s="1"/>
  <c r="F13" i="64" s="1"/>
  <c r="E6" i="64"/>
  <c r="E12" i="64" s="1"/>
  <c r="E13" i="64" s="1"/>
  <c r="D6" i="64"/>
  <c r="C6" i="64"/>
  <c r="B6" i="64"/>
  <c r="J6" i="64" s="1"/>
  <c r="J5" i="64"/>
  <c r="J4" i="64"/>
  <c r="E18" i="64" l="1"/>
  <c r="F18" i="64"/>
  <c r="I18" i="64"/>
  <c r="J17" i="64"/>
  <c r="B12" i="64"/>
  <c r="J14" i="64"/>
  <c r="B13" i="64" l="1"/>
  <c r="J12" i="64"/>
  <c r="B18" i="64" l="1"/>
  <c r="J13" i="64"/>
  <c r="J18" i="64" s="1"/>
  <c r="D20" i="4" l="1"/>
  <c r="J26" i="4"/>
  <c r="J32" i="4" s="1"/>
  <c r="B40" i="63" l="1"/>
  <c r="C28" i="63"/>
  <c r="B28" i="63"/>
  <c r="C13" i="63"/>
  <c r="B13" i="63"/>
  <c r="B14" i="63" s="1"/>
  <c r="B20" i="63" s="1"/>
  <c r="B21" i="63" s="1"/>
  <c r="B32" i="63" s="1"/>
  <c r="C8" i="63"/>
  <c r="C14" i="63" s="1"/>
  <c r="C20" i="63" s="1"/>
  <c r="C21" i="63" s="1"/>
  <c r="C32" i="63" s="1"/>
  <c r="D51" i="47"/>
  <c r="C51" i="47"/>
  <c r="E31" i="47"/>
  <c r="D31" i="47"/>
  <c r="C31" i="47"/>
  <c r="E5" i="47"/>
  <c r="E51" i="47" s="1"/>
  <c r="D5" i="47"/>
  <c r="C5" i="47"/>
  <c r="D69" i="46"/>
  <c r="C69" i="46"/>
  <c r="D66" i="46"/>
  <c r="C66" i="46"/>
  <c r="D63" i="46"/>
  <c r="C63" i="46"/>
  <c r="D53" i="46"/>
  <c r="C53" i="46"/>
  <c r="D26" i="46"/>
  <c r="C26" i="46"/>
  <c r="D6" i="46"/>
  <c r="C6" i="46"/>
  <c r="D51" i="46" l="1"/>
  <c r="G19" i="4" s="1"/>
  <c r="C4" i="46"/>
  <c r="D19" i="4" s="1"/>
  <c r="D4" i="46"/>
  <c r="C51" i="46"/>
  <c r="F19" i="4" s="1"/>
  <c r="F26" i="4" s="1"/>
  <c r="C113" i="46" l="1"/>
  <c r="D113" i="46"/>
  <c r="E19" i="4"/>
  <c r="W51" i="60"/>
  <c r="V51" i="60"/>
  <c r="T51" i="60"/>
  <c r="S51" i="60"/>
  <c r="N51" i="60"/>
  <c r="M51" i="60"/>
  <c r="L51" i="60"/>
  <c r="K51" i="60"/>
  <c r="J51" i="60"/>
  <c r="I51" i="60"/>
  <c r="H51" i="60"/>
  <c r="G51" i="60"/>
  <c r="F51" i="60"/>
  <c r="E51" i="60"/>
  <c r="D51" i="60"/>
  <c r="D47" i="60"/>
  <c r="D49" i="60" s="1"/>
  <c r="U45" i="60"/>
  <c r="T45" i="60"/>
  <c r="S45" i="60"/>
  <c r="K45" i="60"/>
  <c r="P45" i="60" s="1"/>
  <c r="T43" i="60"/>
  <c r="S43" i="60"/>
  <c r="X43" i="60" s="1"/>
  <c r="O43" i="60" s="1"/>
  <c r="Q43" i="60" s="1"/>
  <c r="P43" i="60"/>
  <c r="V42" i="60"/>
  <c r="V41" i="60"/>
  <c r="U41" i="60"/>
  <c r="T41" i="60"/>
  <c r="S41" i="60"/>
  <c r="I41" i="60"/>
  <c r="P41" i="60" s="1"/>
  <c r="U37" i="60"/>
  <c r="U51" i="60" s="1"/>
  <c r="P37" i="60"/>
  <c r="P51" i="60" s="1"/>
  <c r="U35" i="60"/>
  <c r="X35" i="60" s="1"/>
  <c r="O35" i="60" s="1"/>
  <c r="Q35" i="60" s="1"/>
  <c r="G35" i="60"/>
  <c r="P35" i="60" s="1"/>
  <c r="U33" i="60"/>
  <c r="X33" i="60" s="1"/>
  <c r="G33" i="60"/>
  <c r="P33" i="60" s="1"/>
  <c r="W31" i="60"/>
  <c r="V31" i="60"/>
  <c r="T31" i="60"/>
  <c r="T39" i="60" s="1"/>
  <c r="S31" i="60"/>
  <c r="N31" i="60"/>
  <c r="M31" i="60"/>
  <c r="L31" i="60"/>
  <c r="K31" i="60"/>
  <c r="J31" i="60"/>
  <c r="I31" i="60"/>
  <c r="H31" i="60"/>
  <c r="F31" i="60"/>
  <c r="E31" i="60"/>
  <c r="U29" i="60"/>
  <c r="X29" i="60" s="1"/>
  <c r="G29" i="60"/>
  <c r="P29" i="60" s="1"/>
  <c r="U27" i="60"/>
  <c r="X27" i="60" s="1"/>
  <c r="G27" i="60"/>
  <c r="P27" i="60" s="1"/>
  <c r="W25" i="60"/>
  <c r="V25" i="60"/>
  <c r="T25" i="60"/>
  <c r="S25" i="60"/>
  <c r="N25" i="60"/>
  <c r="M25" i="60"/>
  <c r="L25" i="60"/>
  <c r="K25" i="60"/>
  <c r="J25" i="60"/>
  <c r="I25" i="60"/>
  <c r="H25" i="60"/>
  <c r="F25" i="60"/>
  <c r="E25" i="60"/>
  <c r="U23" i="60"/>
  <c r="X23" i="60" s="1"/>
  <c r="G23" i="60"/>
  <c r="P23" i="60" s="1"/>
  <c r="U21" i="60"/>
  <c r="X21" i="60" s="1"/>
  <c r="G21" i="60"/>
  <c r="P21" i="60" s="1"/>
  <c r="U19" i="60"/>
  <c r="T19" i="60"/>
  <c r="S19" i="60"/>
  <c r="G19" i="60"/>
  <c r="P19" i="60" s="1"/>
  <c r="U17" i="60"/>
  <c r="X17" i="60" s="1"/>
  <c r="G17" i="60"/>
  <c r="P17" i="60" s="1"/>
  <c r="U15" i="60"/>
  <c r="T15" i="60"/>
  <c r="S15" i="60"/>
  <c r="G15" i="60"/>
  <c r="P15" i="60" s="1"/>
  <c r="U13" i="60"/>
  <c r="T13" i="60"/>
  <c r="S13" i="60"/>
  <c r="X13" i="60" s="1"/>
  <c r="G13" i="60"/>
  <c r="P13" i="60" s="1"/>
  <c r="U11" i="60"/>
  <c r="T11" i="60"/>
  <c r="S11" i="60"/>
  <c r="X11" i="60" s="1"/>
  <c r="G11" i="60"/>
  <c r="P11" i="60" s="1"/>
  <c r="U9" i="60"/>
  <c r="T9" i="60"/>
  <c r="S9" i="60"/>
  <c r="G9" i="60"/>
  <c r="P9" i="60" s="1"/>
  <c r="U7" i="60"/>
  <c r="X7" i="60" s="1"/>
  <c r="G7" i="60"/>
  <c r="P7" i="60" s="1"/>
  <c r="U5" i="60"/>
  <c r="T5" i="60"/>
  <c r="S5" i="60"/>
  <c r="G5" i="60"/>
  <c r="P5" i="60" s="1"/>
  <c r="X9" i="60" l="1"/>
  <c r="O9" i="60" s="1"/>
  <c r="Q9" i="60" s="1"/>
  <c r="X19" i="60"/>
  <c r="O19" i="60" s="1"/>
  <c r="Q19" i="60" s="1"/>
  <c r="O7" i="60"/>
  <c r="Q7" i="60" s="1"/>
  <c r="E47" i="60"/>
  <c r="E49" i="60" s="1"/>
  <c r="X5" i="60"/>
  <c r="X15" i="60"/>
  <c r="K47" i="60"/>
  <c r="K49" i="60" s="1"/>
  <c r="X41" i="60"/>
  <c r="X45" i="60"/>
  <c r="O45" i="60" s="1"/>
  <c r="Q45" i="60" s="1"/>
  <c r="O21" i="60"/>
  <c r="Q21" i="60" s="1"/>
  <c r="U25" i="60"/>
  <c r="J47" i="60"/>
  <c r="J49" i="60" s="1"/>
  <c r="N47" i="60"/>
  <c r="N49" i="60" s="1"/>
  <c r="O33" i="60"/>
  <c r="Q33" i="60" s="1"/>
  <c r="O17" i="60"/>
  <c r="Q17" i="60" s="1"/>
  <c r="F47" i="60"/>
  <c r="F49" i="60" s="1"/>
  <c r="S39" i="60"/>
  <c r="W47" i="60"/>
  <c r="W49" i="60" s="1"/>
  <c r="S47" i="60"/>
  <c r="S49" i="60" s="1"/>
  <c r="H47" i="60"/>
  <c r="H49" i="60" s="1"/>
  <c r="L47" i="60"/>
  <c r="L49" i="60" s="1"/>
  <c r="I47" i="60"/>
  <c r="I49" i="60" s="1"/>
  <c r="M47" i="60"/>
  <c r="M49" i="60" s="1"/>
  <c r="V47" i="60"/>
  <c r="V49" i="60" s="1"/>
  <c r="O15" i="60"/>
  <c r="Q15" i="60" s="1"/>
  <c r="P25" i="60"/>
  <c r="P47" i="60" s="1"/>
  <c r="P49" i="60" s="1"/>
  <c r="O23" i="60"/>
  <c r="Q23" i="60" s="1"/>
  <c r="O11" i="60"/>
  <c r="Q11" i="60" s="1"/>
  <c r="O29" i="60"/>
  <c r="Q29" i="60" s="1"/>
  <c r="O5" i="60"/>
  <c r="O13" i="60"/>
  <c r="Q13" i="60" s="1"/>
  <c r="P31" i="60"/>
  <c r="O41" i="60"/>
  <c r="Q41" i="60" s="1"/>
  <c r="O27" i="60"/>
  <c r="X31" i="60"/>
  <c r="G31" i="60"/>
  <c r="K39" i="60"/>
  <c r="T47" i="60"/>
  <c r="T49" i="60" s="1"/>
  <c r="G25" i="60"/>
  <c r="X25" i="60"/>
  <c r="U31" i="60"/>
  <c r="U47" i="60" s="1"/>
  <c r="U49" i="60" s="1"/>
  <c r="X37" i="60"/>
  <c r="H39" i="60"/>
  <c r="L39" i="60"/>
  <c r="E39" i="60"/>
  <c r="I39" i="60"/>
  <c r="M39" i="60"/>
  <c r="V39" i="60"/>
  <c r="F39" i="60"/>
  <c r="J39" i="60"/>
  <c r="N39" i="60"/>
  <c r="W39" i="60"/>
  <c r="C48" i="2"/>
  <c r="B48" i="2"/>
  <c r="H42" i="3"/>
  <c r="B33" i="2" s="1"/>
  <c r="I42" i="3"/>
  <c r="F33" i="2"/>
  <c r="E33" i="2"/>
  <c r="C33" i="2"/>
  <c r="I19" i="4"/>
  <c r="E7" i="49"/>
  <c r="I45" i="3"/>
  <c r="G46" i="3"/>
  <c r="F46" i="3"/>
  <c r="E46" i="3"/>
  <c r="D46" i="3"/>
  <c r="C46" i="3"/>
  <c r="B46" i="3"/>
  <c r="E24" i="3"/>
  <c r="E13" i="4"/>
  <c r="I31" i="4"/>
  <c r="H31" i="4"/>
  <c r="G31" i="4"/>
  <c r="F31" i="4"/>
  <c r="E31" i="4"/>
  <c r="D31" i="4"/>
  <c r="J28" i="4"/>
  <c r="K28" i="4"/>
  <c r="G38" i="3"/>
  <c r="F38" i="3"/>
  <c r="G35" i="3"/>
  <c r="G24" i="3"/>
  <c r="E9" i="4"/>
  <c r="D17" i="48"/>
  <c r="D7" i="48"/>
  <c r="G22" i="4"/>
  <c r="E23" i="4"/>
  <c r="D10" i="49"/>
  <c r="E10" i="49"/>
  <c r="E42" i="49"/>
  <c r="D42" i="49"/>
  <c r="E33" i="49"/>
  <c r="D33" i="49"/>
  <c r="D10" i="3"/>
  <c r="E10" i="3"/>
  <c r="E9" i="3" s="1"/>
  <c r="E35" i="3"/>
  <c r="E38" i="3"/>
  <c r="E39" i="3"/>
  <c r="G17" i="3"/>
  <c r="F17" i="3"/>
  <c r="E17" i="3"/>
  <c r="D17" i="3"/>
  <c r="G14" i="3"/>
  <c r="F14" i="3"/>
  <c r="E14" i="3"/>
  <c r="D14" i="3"/>
  <c r="G13" i="3"/>
  <c r="F13" i="3"/>
  <c r="E13" i="3"/>
  <c r="G11" i="3"/>
  <c r="F11" i="3"/>
  <c r="E11" i="3"/>
  <c r="G9" i="3"/>
  <c r="G41" i="3" s="1"/>
  <c r="F9" i="3"/>
  <c r="C12" i="3"/>
  <c r="B12" i="3"/>
  <c r="H12" i="3" s="1"/>
  <c r="I12" i="3"/>
  <c r="D11" i="3"/>
  <c r="C40" i="3"/>
  <c r="C39" i="3"/>
  <c r="C37" i="3"/>
  <c r="C36" i="3"/>
  <c r="C10" i="3"/>
  <c r="D92" i="50"/>
  <c r="C92" i="50"/>
  <c r="D87" i="50"/>
  <c r="C87" i="50"/>
  <c r="D82" i="50"/>
  <c r="C82" i="50"/>
  <c r="D77" i="50"/>
  <c r="C78" i="50"/>
  <c r="C77" i="50" s="1"/>
  <c r="D78" i="50"/>
  <c r="D30" i="50"/>
  <c r="C30" i="50"/>
  <c r="D36" i="50"/>
  <c r="D49" i="50" s="1"/>
  <c r="C36" i="50"/>
  <c r="C49" i="50" s="1"/>
  <c r="D8" i="50"/>
  <c r="E27" i="4"/>
  <c r="D27" i="4"/>
  <c r="F10" i="45"/>
  <c r="F13" i="45" s="1"/>
  <c r="F16" i="45" s="1"/>
  <c r="F19" i="45" s="1"/>
  <c r="F22" i="45" s="1"/>
  <c r="F25" i="45" s="1"/>
  <c r="D10" i="45"/>
  <c r="D13" i="45" s="1"/>
  <c r="C58" i="2"/>
  <c r="C32" i="2"/>
  <c r="C44" i="3"/>
  <c r="Q31" i="51"/>
  <c r="P31" i="51"/>
  <c r="O31" i="51"/>
  <c r="N31" i="51"/>
  <c r="M31" i="51"/>
  <c r="L31" i="51"/>
  <c r="K31" i="51"/>
  <c r="J31" i="51"/>
  <c r="I31" i="51"/>
  <c r="H31" i="51"/>
  <c r="G31" i="51"/>
  <c r="F31" i="51"/>
  <c r="Q21" i="51"/>
  <c r="P21" i="51"/>
  <c r="O21" i="51"/>
  <c r="N21" i="51"/>
  <c r="M21" i="51"/>
  <c r="L21" i="51"/>
  <c r="K21" i="51"/>
  <c r="J21" i="51"/>
  <c r="I21" i="51"/>
  <c r="H21" i="51"/>
  <c r="G21" i="51"/>
  <c r="F21" i="51"/>
  <c r="R21" i="51" s="1"/>
  <c r="S29" i="51"/>
  <c r="R29" i="51"/>
  <c r="S28" i="51"/>
  <c r="R28" i="51"/>
  <c r="S27" i="51"/>
  <c r="R27" i="51"/>
  <c r="S26" i="51"/>
  <c r="R26" i="51"/>
  <c r="S25" i="51"/>
  <c r="R25" i="51"/>
  <c r="S24" i="51"/>
  <c r="R24" i="51"/>
  <c r="S23" i="51"/>
  <c r="R23" i="51"/>
  <c r="S22" i="51"/>
  <c r="R22" i="51"/>
  <c r="S21" i="51"/>
  <c r="S19" i="51"/>
  <c r="R19" i="51"/>
  <c r="S18" i="51"/>
  <c r="R18" i="51"/>
  <c r="S17" i="51"/>
  <c r="R17" i="51"/>
  <c r="S16" i="51"/>
  <c r="R16" i="51"/>
  <c r="S15" i="51"/>
  <c r="R15" i="51"/>
  <c r="S14" i="51"/>
  <c r="R14" i="51"/>
  <c r="S13" i="51"/>
  <c r="R13" i="51"/>
  <c r="S12" i="51"/>
  <c r="R12" i="51"/>
  <c r="S11" i="51"/>
  <c r="R11" i="51"/>
  <c r="S10" i="51"/>
  <c r="R10" i="51"/>
  <c r="S9" i="51"/>
  <c r="R9" i="51"/>
  <c r="S8" i="51"/>
  <c r="R8" i="51"/>
  <c r="S7" i="51"/>
  <c r="R7" i="51"/>
  <c r="Q7" i="51"/>
  <c r="P7" i="51"/>
  <c r="O7" i="51"/>
  <c r="N7" i="51"/>
  <c r="M7" i="51"/>
  <c r="L7" i="51"/>
  <c r="K7" i="51"/>
  <c r="J7" i="51"/>
  <c r="I7" i="51"/>
  <c r="H7" i="51"/>
  <c r="G7" i="51"/>
  <c r="F7" i="51"/>
  <c r="C21" i="51"/>
  <c r="C31" i="51" s="1"/>
  <c r="C7" i="51"/>
  <c r="X39" i="60" l="1"/>
  <c r="U39" i="60"/>
  <c r="G47" i="60"/>
  <c r="G49" i="60" s="1"/>
  <c r="G39" i="60"/>
  <c r="Q5" i="60"/>
  <c r="O25" i="60"/>
  <c r="O39" i="60" s="1"/>
  <c r="O37" i="60"/>
  <c r="X51" i="60"/>
  <c r="X47" i="60"/>
  <c r="X49" i="60" s="1"/>
  <c r="P39" i="60"/>
  <c r="Q25" i="60"/>
  <c r="Q27" i="60"/>
  <c r="Q31" i="60" s="1"/>
  <c r="O31" i="60"/>
  <c r="E41" i="3"/>
  <c r="E47" i="3" s="1"/>
  <c r="G47" i="3"/>
  <c r="B11" i="3"/>
  <c r="H11" i="3" s="1"/>
  <c r="C11" i="3"/>
  <c r="I11" i="3" s="1"/>
  <c r="O47" i="60" l="1"/>
  <c r="Q47" i="60"/>
  <c r="Q49" i="60" s="1"/>
  <c r="Q37" i="60"/>
  <c r="Q51" i="60" s="1"/>
  <c r="O51" i="60"/>
  <c r="D21" i="51"/>
  <c r="D7" i="51"/>
  <c r="B8" i="3"/>
  <c r="C8" i="3"/>
  <c r="C112" i="58"/>
  <c r="C111" i="58"/>
  <c r="C110" i="58"/>
  <c r="C109" i="58"/>
  <c r="C92" i="58"/>
  <c r="F92" i="58" s="1"/>
  <c r="E106" i="58" s="1"/>
  <c r="F91" i="58"/>
  <c r="H89" i="58"/>
  <c r="G89" i="58"/>
  <c r="F86" i="58"/>
  <c r="F89" i="58" s="1"/>
  <c r="F80" i="58"/>
  <c r="F79" i="58"/>
  <c r="F78" i="58"/>
  <c r="H77" i="58"/>
  <c r="G77" i="58"/>
  <c r="F75" i="58"/>
  <c r="F77" i="58" s="1"/>
  <c r="H73" i="58"/>
  <c r="G73" i="58"/>
  <c r="F71" i="58"/>
  <c r="F73" i="58" s="1"/>
  <c r="G70" i="58"/>
  <c r="G83" i="58" s="1"/>
  <c r="F68" i="58"/>
  <c r="F67" i="58"/>
  <c r="F66" i="58"/>
  <c r="F65" i="58"/>
  <c r="F64" i="58"/>
  <c r="F62" i="58"/>
  <c r="F63" i="58" s="1"/>
  <c r="F60" i="58"/>
  <c r="F61" i="58" s="1"/>
  <c r="F58" i="58"/>
  <c r="F59" i="58" s="1"/>
  <c r="F56" i="58"/>
  <c r="F57" i="58" s="1"/>
  <c r="H55" i="58"/>
  <c r="H70" i="58" s="1"/>
  <c r="G55" i="58"/>
  <c r="F53" i="58"/>
  <c r="F54" i="58" s="1"/>
  <c r="F52" i="58"/>
  <c r="F50" i="58"/>
  <c r="F51" i="58" s="1"/>
  <c r="F49" i="58"/>
  <c r="F48" i="58"/>
  <c r="H44" i="58"/>
  <c r="G44" i="58"/>
  <c r="F43" i="58"/>
  <c r="F42" i="58"/>
  <c r="F44" i="58" s="1"/>
  <c r="H40" i="58"/>
  <c r="G40" i="58"/>
  <c r="F38" i="58"/>
  <c r="F37" i="58"/>
  <c r="F40" i="58" s="1"/>
  <c r="H35" i="58"/>
  <c r="G35" i="58"/>
  <c r="F34" i="58"/>
  <c r="F33" i="58"/>
  <c r="F32" i="58"/>
  <c r="F31" i="58"/>
  <c r="F25" i="58"/>
  <c r="C113" i="58" s="1"/>
  <c r="F23" i="58"/>
  <c r="C108" i="58" s="1"/>
  <c r="F21" i="58"/>
  <c r="C107" i="58" s="1"/>
  <c r="H20" i="58"/>
  <c r="G20" i="58"/>
  <c r="F20" i="58"/>
  <c r="C18" i="58"/>
  <c r="C16" i="58"/>
  <c r="C14" i="58"/>
  <c r="C12" i="58"/>
  <c r="H10" i="58"/>
  <c r="G10" i="58"/>
  <c r="G27" i="58" s="1"/>
  <c r="G29" i="58" s="1"/>
  <c r="F8" i="58"/>
  <c r="F10" i="58" s="1"/>
  <c r="F27" i="58" s="1"/>
  <c r="F29" i="58" s="1"/>
  <c r="O49" i="60" l="1"/>
  <c r="Q39" i="60"/>
  <c r="R31" i="51"/>
  <c r="S31" i="51"/>
  <c r="D31" i="51"/>
  <c r="F82" i="58"/>
  <c r="H27" i="58"/>
  <c r="H29" i="58" s="1"/>
  <c r="H94" i="58" s="1"/>
  <c r="H96" i="58" s="1"/>
  <c r="F35" i="58"/>
  <c r="F45" i="58" s="1"/>
  <c r="G45" i="58"/>
  <c r="G94" i="58" s="1"/>
  <c r="G96" i="58" s="1"/>
  <c r="G98" i="58" s="1"/>
  <c r="B7" i="3" s="1"/>
  <c r="B6" i="3" s="1"/>
  <c r="H45" i="58"/>
  <c r="F55" i="58"/>
  <c r="H83" i="58"/>
  <c r="E107" i="58"/>
  <c r="E108" i="58" s="1"/>
  <c r="E109" i="58" s="1"/>
  <c r="E110" i="58" s="1"/>
  <c r="E111" i="58" s="1"/>
  <c r="E112" i="58" s="1"/>
  <c r="E113" i="58" s="1"/>
  <c r="E114" i="58" s="1"/>
  <c r="F70" i="58"/>
  <c r="F83" i="58" s="1"/>
  <c r="F94" i="58" l="1"/>
  <c r="F96" i="58" s="1"/>
  <c r="F98" i="58" s="1"/>
  <c r="H98" i="58"/>
  <c r="C7" i="3" s="1"/>
  <c r="C6" i="3" s="1"/>
  <c r="D32" i="1" l="1"/>
  <c r="C57" i="2"/>
  <c r="C62" i="2" s="1"/>
  <c r="C54" i="2"/>
  <c r="C53" i="2" s="1"/>
  <c r="C56" i="2" s="1"/>
  <c r="C26" i="2"/>
  <c r="E24" i="4"/>
  <c r="E21" i="4" s="1"/>
  <c r="I10" i="4"/>
  <c r="H10" i="4"/>
  <c r="G10" i="4"/>
  <c r="F10" i="4"/>
  <c r="I21" i="4"/>
  <c r="H21" i="4"/>
  <c r="G21" i="4"/>
  <c r="H26" i="4"/>
  <c r="H32" i="4" s="1"/>
  <c r="K31" i="4"/>
  <c r="H54" i="1" s="1"/>
  <c r="E25" i="4"/>
  <c r="K25" i="4" s="1"/>
  <c r="F54" i="2" s="1"/>
  <c r="J7" i="4"/>
  <c r="K7" i="4"/>
  <c r="F6" i="2" s="1"/>
  <c r="J8" i="4"/>
  <c r="K8" i="4"/>
  <c r="F8" i="2" s="1"/>
  <c r="K9" i="4"/>
  <c r="H19" i="1" s="1"/>
  <c r="J11" i="4"/>
  <c r="K11" i="4"/>
  <c r="F11" i="2" s="1"/>
  <c r="J12" i="4"/>
  <c r="G22" i="1" s="1"/>
  <c r="K12" i="4"/>
  <c r="F12" i="2" s="1"/>
  <c r="K13" i="4"/>
  <c r="F13" i="2" s="1"/>
  <c r="K19" i="4"/>
  <c r="F45" i="2" s="1"/>
  <c r="K20" i="4"/>
  <c r="H33" i="1" s="1"/>
  <c r="K22" i="4"/>
  <c r="F51" i="2" s="1"/>
  <c r="K23" i="4"/>
  <c r="F52" i="2" s="1"/>
  <c r="K24" i="4"/>
  <c r="H38" i="1" s="1"/>
  <c r="J27" i="4"/>
  <c r="K27" i="4"/>
  <c r="H46" i="1" s="1"/>
  <c r="J29" i="4"/>
  <c r="K29" i="4"/>
  <c r="H49" i="1" s="1"/>
  <c r="K30" i="4"/>
  <c r="E18" i="4"/>
  <c r="K18" i="4" s="1"/>
  <c r="D18" i="4"/>
  <c r="J18" i="4" s="1"/>
  <c r="E15" i="4"/>
  <c r="K15" i="4" s="1"/>
  <c r="E16" i="4"/>
  <c r="K16" i="4" s="1"/>
  <c r="E17" i="4"/>
  <c r="K17" i="4" s="1"/>
  <c r="B20" i="52"/>
  <c r="C4" i="52"/>
  <c r="B4" i="52"/>
  <c r="C12" i="52"/>
  <c r="B12" i="52"/>
  <c r="C9" i="52"/>
  <c r="B9" i="52"/>
  <c r="H52" i="1" l="1"/>
  <c r="I26" i="4"/>
  <c r="I32" i="4" s="1"/>
  <c r="H39" i="1"/>
  <c r="E12" i="2"/>
  <c r="F18" i="2"/>
  <c r="H28" i="1"/>
  <c r="F16" i="2"/>
  <c r="H26" i="1"/>
  <c r="F17" i="2"/>
  <c r="H27" i="1"/>
  <c r="H25" i="1"/>
  <c r="F15" i="2"/>
  <c r="E18" i="2"/>
  <c r="G28" i="1"/>
  <c r="F35" i="2"/>
  <c r="G26" i="4"/>
  <c r="G32" i="4" s="1"/>
  <c r="F53" i="2"/>
  <c r="H23" i="1"/>
  <c r="F47" i="2"/>
  <c r="H22" i="1"/>
  <c r="H21" i="1"/>
  <c r="H17" i="1"/>
  <c r="H30" i="1"/>
  <c r="F9" i="2"/>
  <c r="H11" i="1"/>
  <c r="H36" i="1"/>
  <c r="H37" i="1"/>
  <c r="K21" i="4"/>
  <c r="F36" i="2" l="1"/>
  <c r="F50" i="2"/>
  <c r="F56" i="2" s="1"/>
  <c r="F63" i="2" s="1"/>
  <c r="H35" i="1"/>
  <c r="C17" i="52"/>
  <c r="C15" i="52" s="1"/>
  <c r="C20" i="52" s="1"/>
  <c r="C6" i="52"/>
  <c r="H8" i="45" l="1"/>
  <c r="H7" i="45"/>
  <c r="H9" i="45" l="1"/>
  <c r="H10" i="45"/>
  <c r="H11" i="45"/>
  <c r="H12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25" i="45"/>
  <c r="H26" i="45"/>
  <c r="H27" i="45"/>
  <c r="D91" i="50"/>
  <c r="D86" i="50"/>
  <c r="D73" i="50"/>
  <c r="D70" i="50"/>
  <c r="D69" i="50" s="1"/>
  <c r="D56" i="50"/>
  <c r="D51" i="50"/>
  <c r="D25" i="50"/>
  <c r="D34" i="50" s="1"/>
  <c r="D7" i="50"/>
  <c r="D23" i="50" s="1"/>
  <c r="E60" i="49"/>
  <c r="E63" i="49" s="1"/>
  <c r="E47" i="49"/>
  <c r="E51" i="49" s="1"/>
  <c r="E38" i="49"/>
  <c r="E6" i="49"/>
  <c r="D18" i="48"/>
  <c r="D13" i="48"/>
  <c r="I44" i="3"/>
  <c r="D50" i="1" s="1"/>
  <c r="I34" i="3"/>
  <c r="I32" i="3"/>
  <c r="C25" i="2" s="1"/>
  <c r="I31" i="3"/>
  <c r="I30" i="3"/>
  <c r="I29" i="3"/>
  <c r="I28" i="3"/>
  <c r="I27" i="3"/>
  <c r="I26" i="3"/>
  <c r="I25" i="3"/>
  <c r="I23" i="3"/>
  <c r="I22" i="3"/>
  <c r="I21" i="3"/>
  <c r="I20" i="3"/>
  <c r="I19" i="3"/>
  <c r="I18" i="3"/>
  <c r="I16" i="3"/>
  <c r="I15" i="3"/>
  <c r="I6" i="3"/>
  <c r="K6" i="4"/>
  <c r="D22" i="1" l="1"/>
  <c r="C15" i="2"/>
  <c r="C14" i="2"/>
  <c r="D20" i="1"/>
  <c r="D31" i="1"/>
  <c r="C24" i="2"/>
  <c r="D28" i="1"/>
  <c r="C21" i="2"/>
  <c r="D35" i="1"/>
  <c r="D34" i="1" s="1"/>
  <c r="C46" i="2"/>
  <c r="D49" i="1"/>
  <c r="C35" i="2"/>
  <c r="D52" i="1"/>
  <c r="C34" i="2"/>
  <c r="C23" i="2"/>
  <c r="D30" i="1"/>
  <c r="D29" i="1"/>
  <c r="C22" i="2"/>
  <c r="C20" i="2"/>
  <c r="D27" i="1"/>
  <c r="D26" i="1"/>
  <c r="C19" i="2"/>
  <c r="C18" i="2"/>
  <c r="D25" i="1"/>
  <c r="F5" i="2"/>
  <c r="H8" i="1"/>
  <c r="D20" i="48"/>
  <c r="D81" i="50"/>
  <c r="D75" i="50" s="1"/>
  <c r="D61" i="50"/>
  <c r="D63" i="50" s="1"/>
  <c r="C5" i="2"/>
  <c r="D8" i="1"/>
  <c r="E31" i="49"/>
  <c r="E14" i="4" s="1"/>
  <c r="C36" i="2" l="1"/>
  <c r="E10" i="4"/>
  <c r="K14" i="4"/>
  <c r="D24" i="1"/>
  <c r="E40" i="49"/>
  <c r="E53" i="49" s="1"/>
  <c r="D96" i="50"/>
  <c r="D98" i="50" s="1"/>
  <c r="F14" i="2" l="1"/>
  <c r="H24" i="1"/>
  <c r="H20" i="1" s="1"/>
  <c r="H44" i="1" s="1"/>
  <c r="E26" i="4"/>
  <c r="K10" i="4"/>
  <c r="F10" i="2" s="1"/>
  <c r="F31" i="2" s="1"/>
  <c r="F37" i="2" s="1"/>
  <c r="C14" i="3"/>
  <c r="I14" i="3" s="1"/>
  <c r="K26" i="4" l="1"/>
  <c r="E32" i="4"/>
  <c r="K32" i="4" s="1"/>
  <c r="H56" i="1" s="1"/>
  <c r="C10" i="2"/>
  <c r="D18" i="1"/>
  <c r="I46" i="3"/>
  <c r="D54" i="1" s="1"/>
  <c r="I40" i="3"/>
  <c r="I39" i="3"/>
  <c r="I37" i="3"/>
  <c r="I36" i="3"/>
  <c r="C33" i="3"/>
  <c r="I33" i="3" s="1"/>
  <c r="C45" i="2" s="1"/>
  <c r="C24" i="3"/>
  <c r="I24" i="3" s="1"/>
  <c r="C17" i="2" s="1"/>
  <c r="C17" i="3"/>
  <c r="D42" i="1" l="1"/>
  <c r="C51" i="2"/>
  <c r="D43" i="1"/>
  <c r="C52" i="2"/>
  <c r="D39" i="1"/>
  <c r="C30" i="2"/>
  <c r="D38" i="1"/>
  <c r="C29" i="2"/>
  <c r="C13" i="3"/>
  <c r="I17" i="3"/>
  <c r="C9" i="3"/>
  <c r="I10" i="3"/>
  <c r="C35" i="3"/>
  <c r="I35" i="3" s="1"/>
  <c r="C28" i="2" s="1"/>
  <c r="C38" i="3"/>
  <c r="I38" i="3" s="1"/>
  <c r="C50" i="2" s="1"/>
  <c r="C63" i="2" s="1"/>
  <c r="D37" i="1" l="1"/>
  <c r="I13" i="3"/>
  <c r="C9" i="2" s="1"/>
  <c r="C41" i="3"/>
  <c r="D19" i="1"/>
  <c r="D17" i="1" s="1"/>
  <c r="C12" i="2"/>
  <c r="D41" i="1"/>
  <c r="D11" i="1"/>
  <c r="D10" i="1" s="1"/>
  <c r="C7" i="2"/>
  <c r="F65" i="2"/>
  <c r="I9" i="3"/>
  <c r="C6" i="2" s="1"/>
  <c r="C31" i="2" s="1"/>
  <c r="C37" i="2" s="1"/>
  <c r="C65" i="2" s="1"/>
  <c r="D44" i="1" l="1"/>
  <c r="D46" i="1" s="1"/>
  <c r="C47" i="3"/>
  <c r="I41" i="3"/>
  <c r="I47" i="3" s="1"/>
  <c r="D56" i="1" s="1"/>
  <c r="H6" i="3" l="1"/>
  <c r="C8" i="1" s="1"/>
  <c r="D33" i="3"/>
  <c r="B54" i="2"/>
  <c r="F35" i="3" l="1"/>
  <c r="C86" i="50"/>
  <c r="C13" i="48"/>
  <c r="C18" i="48"/>
  <c r="B32" i="2" l="1"/>
  <c r="B58" i="2" l="1"/>
  <c r="C32" i="1" l="1"/>
  <c r="C73" i="50"/>
  <c r="D39" i="3" s="1"/>
  <c r="D38" i="3" s="1"/>
  <c r="C70" i="50"/>
  <c r="C69" i="50" s="1"/>
  <c r="B6" i="52" l="1"/>
  <c r="B17" i="52"/>
  <c r="B44" i="3"/>
  <c r="C91" i="50"/>
  <c r="C56" i="50"/>
  <c r="B39" i="3" s="1"/>
  <c r="C51" i="50"/>
  <c r="B40" i="3" s="1"/>
  <c r="B36" i="3"/>
  <c r="C25" i="50"/>
  <c r="B37" i="3" s="1"/>
  <c r="C7" i="50"/>
  <c r="B10" i="3" s="1"/>
  <c r="B9" i="3" s="1"/>
  <c r="D60" i="49"/>
  <c r="F22" i="4" s="1"/>
  <c r="F21" i="4" s="1"/>
  <c r="D49" i="49"/>
  <c r="D22" i="4" s="1"/>
  <c r="D47" i="49"/>
  <c r="D38" i="49"/>
  <c r="D13" i="4" s="1"/>
  <c r="J13" i="4" s="1"/>
  <c r="D6" i="49"/>
  <c r="J22" i="4" l="1"/>
  <c r="C81" i="50"/>
  <c r="C75" i="50" s="1"/>
  <c r="B15" i="52"/>
  <c r="D24" i="4" s="1"/>
  <c r="J24" i="4" s="1"/>
  <c r="C20" i="48"/>
  <c r="D9" i="4" s="1"/>
  <c r="J9" i="4" s="1"/>
  <c r="D17" i="4"/>
  <c r="J17" i="4" s="1"/>
  <c r="D25" i="4"/>
  <c r="J25" i="4" s="1"/>
  <c r="D16" i="4"/>
  <c r="J16" i="4" s="1"/>
  <c r="C34" i="50"/>
  <c r="C61" i="50"/>
  <c r="D31" i="49"/>
  <c r="D40" i="49" s="1"/>
  <c r="D23" i="4"/>
  <c r="J23" i="4" s="1"/>
  <c r="D51" i="49"/>
  <c r="D63" i="49"/>
  <c r="C23" i="50"/>
  <c r="C96" i="50" l="1"/>
  <c r="C98" i="50" s="1"/>
  <c r="D35" i="3"/>
  <c r="D15" i="4"/>
  <c r="J15" i="4" s="1"/>
  <c r="D14" i="4"/>
  <c r="J14" i="4" s="1"/>
  <c r="D53" i="49"/>
  <c r="C63" i="50"/>
  <c r="C49" i="1"/>
  <c r="B24" i="3"/>
  <c r="B17" i="3"/>
  <c r="B35" i="3"/>
  <c r="H32" i="3"/>
  <c r="B25" i="2" s="1"/>
  <c r="J6" i="4"/>
  <c r="G8" i="1" s="1"/>
  <c r="D21" i="4"/>
  <c r="J21" i="4" s="1"/>
  <c r="D10" i="4" l="1"/>
  <c r="J10" i="4" s="1"/>
  <c r="H37" i="3"/>
  <c r="C39" i="1" s="1"/>
  <c r="F32" i="4"/>
  <c r="B35" i="2"/>
  <c r="B36" i="2" s="1"/>
  <c r="B30" i="2" l="1"/>
  <c r="D26" i="4"/>
  <c r="G27" i="45"/>
  <c r="G26" i="45"/>
  <c r="G24" i="45"/>
  <c r="G23" i="45"/>
  <c r="G21" i="45"/>
  <c r="G20" i="45"/>
  <c r="G18" i="45"/>
  <c r="G17" i="45"/>
  <c r="G15" i="45"/>
  <c r="G14" i="45"/>
  <c r="G12" i="45"/>
  <c r="G11" i="45"/>
  <c r="G9" i="45"/>
  <c r="G8" i="45"/>
  <c r="E10" i="45"/>
  <c r="E13" i="45" s="1"/>
  <c r="E16" i="45" s="1"/>
  <c r="C10" i="45"/>
  <c r="C13" i="45" s="1"/>
  <c r="G7" i="45" l="1"/>
  <c r="G16" i="45"/>
  <c r="E19" i="45"/>
  <c r="G10" i="45"/>
  <c r="G13" i="45"/>
  <c r="H45" i="3"/>
  <c r="H15" i="3"/>
  <c r="H16" i="3"/>
  <c r="H18" i="3"/>
  <c r="H19" i="3"/>
  <c r="H20" i="3"/>
  <c r="H21" i="3"/>
  <c r="H22" i="3"/>
  <c r="H23" i="3"/>
  <c r="H25" i="3"/>
  <c r="H26" i="3"/>
  <c r="H27" i="3"/>
  <c r="H28" i="3"/>
  <c r="H29" i="3"/>
  <c r="H30" i="3"/>
  <c r="H31" i="3"/>
  <c r="H34" i="3"/>
  <c r="H36" i="3"/>
  <c r="H40" i="3"/>
  <c r="F24" i="3"/>
  <c r="F41" i="3" s="1"/>
  <c r="F47" i="3" s="1"/>
  <c r="H17" i="3"/>
  <c r="B14" i="3"/>
  <c r="H14" i="3" s="1"/>
  <c r="B33" i="3"/>
  <c r="B13" i="3" l="1"/>
  <c r="B52" i="2"/>
  <c r="C43" i="1"/>
  <c r="B46" i="2"/>
  <c r="C35" i="1"/>
  <c r="G19" i="45"/>
  <c r="E22" i="45"/>
  <c r="G22" i="45" l="1"/>
  <c r="E25" i="45"/>
  <c r="G25" i="45" s="1"/>
  <c r="C34" i="1" l="1"/>
  <c r="D32" i="4" l="1"/>
  <c r="J31" i="4"/>
  <c r="E11" i="2"/>
  <c r="G21" i="1"/>
  <c r="B38" i="3"/>
  <c r="B41" i="3" s="1"/>
  <c r="H33" i="3"/>
  <c r="B45" i="2" s="1"/>
  <c r="G49" i="1" l="1"/>
  <c r="E35" i="2"/>
  <c r="H44" i="3"/>
  <c r="C31" i="1" l="1"/>
  <c r="B53" i="2"/>
  <c r="B56" i="2" s="1"/>
  <c r="B57" i="2"/>
  <c r="B5" i="2"/>
  <c r="D9" i="3"/>
  <c r="D13" i="3"/>
  <c r="B14" i="2"/>
  <c r="C20" i="1"/>
  <c r="C22" i="1"/>
  <c r="D24" i="3"/>
  <c r="H24" i="3" s="1"/>
  <c r="B17" i="2" s="1"/>
  <c r="C25" i="1"/>
  <c r="C26" i="1"/>
  <c r="C27" i="1"/>
  <c r="B21" i="2"/>
  <c r="B22" i="2"/>
  <c r="C29" i="1"/>
  <c r="B24" i="2"/>
  <c r="C38" i="1"/>
  <c r="C37" i="1" s="1"/>
  <c r="C50" i="1"/>
  <c r="C52" i="1"/>
  <c r="E5" i="2"/>
  <c r="G17" i="1"/>
  <c r="G19" i="1"/>
  <c r="E13" i="2"/>
  <c r="E14" i="2"/>
  <c r="E16" i="2"/>
  <c r="G27" i="1"/>
  <c r="G30" i="1"/>
  <c r="E47" i="2"/>
  <c r="G36" i="1"/>
  <c r="G37" i="1"/>
  <c r="F24" i="4"/>
  <c r="H24" i="4"/>
  <c r="G39" i="1"/>
  <c r="E36" i="2"/>
  <c r="E37" i="2" s="1"/>
  <c r="B34" i="2"/>
  <c r="B19" i="2"/>
  <c r="B29" i="2"/>
  <c r="D41" i="3" l="1"/>
  <c r="H46" i="3"/>
  <c r="C54" i="1" s="1"/>
  <c r="H35" i="3"/>
  <c r="B28" i="2" s="1"/>
  <c r="H13" i="3"/>
  <c r="B9" i="2" s="1"/>
  <c r="G52" i="1"/>
  <c r="G54" i="1"/>
  <c r="B10" i="2"/>
  <c r="B62" i="2"/>
  <c r="G24" i="1"/>
  <c r="B12" i="2"/>
  <c r="E53" i="2"/>
  <c r="E10" i="2"/>
  <c r="E9" i="2"/>
  <c r="G33" i="1"/>
  <c r="E17" i="2"/>
  <c r="E51" i="2"/>
  <c r="G23" i="1"/>
  <c r="E52" i="2"/>
  <c r="E8" i="2"/>
  <c r="B15" i="2"/>
  <c r="E45" i="2"/>
  <c r="G46" i="1"/>
  <c r="B23" i="2"/>
  <c r="C30" i="1"/>
  <c r="C28" i="1"/>
  <c r="B18" i="2"/>
  <c r="G26" i="1"/>
  <c r="B20" i="2"/>
  <c r="E54" i="2"/>
  <c r="G25" i="1" l="1"/>
  <c r="G20" i="1" s="1"/>
  <c r="E15" i="2"/>
  <c r="C18" i="1"/>
  <c r="C24" i="1"/>
  <c r="C19" i="1"/>
  <c r="G38" i="1"/>
  <c r="G11" i="1"/>
  <c r="E6" i="2"/>
  <c r="E31" i="2" s="1"/>
  <c r="C17" i="1" l="1"/>
  <c r="G35" i="1"/>
  <c r="G44" i="1" s="1"/>
  <c r="E50" i="2"/>
  <c r="E56" i="2" s="1"/>
  <c r="E63" i="2" s="1"/>
  <c r="E65" i="2" s="1"/>
  <c r="G56" i="1" l="1"/>
  <c r="H10" i="3"/>
  <c r="B7" i="2" s="1"/>
  <c r="B47" i="3"/>
  <c r="H9" i="3"/>
  <c r="B6" i="2" s="1"/>
  <c r="C11" i="1" l="1"/>
  <c r="C10" i="1" l="1"/>
  <c r="H39" i="3"/>
  <c r="H41" i="3" l="1"/>
  <c r="H47" i="3" s="1"/>
  <c r="H38" i="3"/>
  <c r="B50" i="2" s="1"/>
  <c r="C42" i="1"/>
  <c r="B51" i="2"/>
  <c r="C41" i="1" l="1"/>
  <c r="C44" i="1" s="1"/>
  <c r="C46" i="1" s="1"/>
  <c r="C56" i="1"/>
  <c r="D47" i="3"/>
  <c r="B26" i="2" l="1"/>
  <c r="B31" i="2" l="1"/>
</calcChain>
</file>

<file path=xl/sharedStrings.xml><?xml version="1.0" encoding="utf-8"?>
<sst xmlns="http://schemas.openxmlformats.org/spreadsheetml/2006/main" count="1720" uniqueCount="850">
  <si>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</si>
  <si>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</si>
  <si>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</si>
  <si>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</si>
  <si>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</si>
  <si>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</si>
  <si>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</si>
  <si>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</si>
  <si>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</si>
  <si>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</si>
  <si>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Közhatalmi bevételek</t>
  </si>
  <si>
    <t>Dologi kiadások</t>
  </si>
  <si>
    <t>Vagyoni típusú adók</t>
  </si>
  <si>
    <t>Termékek és szolgáltatások</t>
  </si>
  <si>
    <t>Ellátottak pénzbeli juttatásai</t>
  </si>
  <si>
    <t>Késedelmi pótlék</t>
  </si>
  <si>
    <t>Egyéb működési kiadások</t>
  </si>
  <si>
    <t>Bírság</t>
  </si>
  <si>
    <t>Visszatérítendő támogatások és kölcsönök</t>
  </si>
  <si>
    <t>Egyéb működési célú támogatások (vissza nem térítendő)</t>
  </si>
  <si>
    <t>Működési bevételek</t>
  </si>
  <si>
    <t>Működési tartalékok</t>
  </si>
  <si>
    <t>Áru és készletértékesítés (a döntést követő 3 hónap utáni föld- és ingatlan értékesítés)</t>
  </si>
  <si>
    <t xml:space="preserve"> - Általános tartalék</t>
  </si>
  <si>
    <t>Szolgáltatások ellenértéke</t>
  </si>
  <si>
    <t>Közvetített szolgáltatások ellenértéke</t>
  </si>
  <si>
    <t>Tulajdonosi bevételek</t>
  </si>
  <si>
    <t>Ellátási díjak</t>
  </si>
  <si>
    <t>ÁFA bevétel</t>
  </si>
  <si>
    <t>Beruházási kiadások</t>
  </si>
  <si>
    <t>Kamatbevétel</t>
  </si>
  <si>
    <t>Felújítási kiadások</t>
  </si>
  <si>
    <t>Felhalmozási bevételek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</si>
  <si>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</si>
  <si>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</si>
  <si>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</si>
  <si>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</si>
  <si>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 xml:space="preserve"> - Felhalmozási tartalék</t>
  </si>
  <si>
    <t>KÖLTSÉGVETÉSI BEVÉTELEK ÖSSZESEN:</t>
  </si>
  <si>
    <t>KÖLTSÉGVETÉSI KIADÁSOK ÖSSZESEN:</t>
  </si>
  <si>
    <t xml:space="preserve">Költségvetési egyenleg: </t>
  </si>
  <si>
    <t>Hiteltörlesztés</t>
  </si>
  <si>
    <t xml:space="preserve">  </t>
  </si>
  <si>
    <t>Előző évi költségvetési maradványának igénybevétele</t>
  </si>
  <si>
    <t>Irányítószervi támogatás folyósítás</t>
  </si>
  <si>
    <t>Irányító szervi támogatás folyósítása</t>
  </si>
  <si>
    <t>FINANSZÍROZÁSI BEVÉTELEK ÖSSZESEN:</t>
  </si>
  <si>
    <t>FINANSZÍROZÁSI KIADÁSOK ÖSSZESEN:</t>
  </si>
  <si>
    <t>BEVÉTELEK MINDÖSSZESEN</t>
  </si>
  <si>
    <t>KIADÁSOK MINDÖSSZESEN</t>
  </si>
  <si>
    <t>Járulékok</t>
  </si>
  <si>
    <t>Egyéb működési kiadás</t>
  </si>
  <si>
    <t>Visszatérítendő támogatás és kölcsön</t>
  </si>
  <si>
    <t>Egyéb működési célú támogatás (vissza nem térítendő)</t>
  </si>
  <si>
    <t>Áru- és készletértékesítés (a döntést követő 3 hónap utáni föld- és ingatlan értékesítés)</t>
  </si>
  <si>
    <t>Felhalmozási kiadásokra átcsoportosított (-)</t>
  </si>
  <si>
    <t>Költségvetési bevételek összesen:</t>
  </si>
  <si>
    <t>Költségvetési kiadások összesen:</t>
  </si>
  <si>
    <t>Irányítószervi támogatás</t>
  </si>
  <si>
    <t>Finanszírozási bevételek</t>
  </si>
  <si>
    <t>Finanszírozási kiadások</t>
  </si>
  <si>
    <t>Mindösszesen:</t>
  </si>
  <si>
    <t>Beruházás</t>
  </si>
  <si>
    <t>Felújítás</t>
  </si>
  <si>
    <t>Egyéb felhalmozási kiadás</t>
  </si>
  <si>
    <t>Működési bevételekből átcsoportosított</t>
  </si>
  <si>
    <t>Hiány finanszírozása belső forrásból:</t>
  </si>
  <si>
    <t>Mindösszesen bevételek:</t>
  </si>
  <si>
    <t>Mindösszesen kiadások:</t>
  </si>
  <si>
    <t>Önkormányzat</t>
  </si>
  <si>
    <t>Tatai Közös Önkormányzati Hivatal</t>
  </si>
  <si>
    <t>Intézmények Gazdasági Hivatala és a hozzá tartozó Intézményei</t>
  </si>
  <si>
    <t>Összesen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</si>
  <si>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</si>
  <si>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</si>
  <si>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</si>
  <si>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</si>
  <si>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</si>
  <si>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</si>
  <si>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</si>
  <si>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</si>
  <si>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</si>
  <si>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</si>
  <si>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</si>
  <si>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>Visszatérítendő támogatások és kölcsönök (igénylés és visszatérülés)</t>
  </si>
  <si>
    <t>Felhalmozási célú átvett pénzeszközök (államháztartáson kívülről)</t>
  </si>
  <si>
    <t>KÖLTSÉGVETÉSI BEVÉTELEK ÖSSZESEN</t>
  </si>
  <si>
    <t>Irányító szervi támogatás</t>
  </si>
  <si>
    <t>FINANSZÍROZÁSI BEVÉTELEK ÖSSZESEN</t>
  </si>
  <si>
    <t>Kiadások</t>
  </si>
  <si>
    <t>Munkaadót terhelő járulékok és szociális hozzájárulási adó</t>
  </si>
  <si>
    <t>Beruházás (ÁFA-val )</t>
  </si>
  <si>
    <t>Felújítás (ÁFA-val )</t>
  </si>
  <si>
    <t xml:space="preserve">Felhalmozási tartalékok </t>
  </si>
  <si>
    <t>KÖLTSÉGVETÉSI KIADÁSOK ÖSSZESEN</t>
  </si>
  <si>
    <t>FINANSZÍROZÁSI KIADÁSOK ÖSSZESEN</t>
  </si>
  <si>
    <t>Bevétel</t>
  </si>
  <si>
    <t>Tata</t>
  </si>
  <si>
    <t>011130</t>
  </si>
  <si>
    <t>018030</t>
  </si>
  <si>
    <t>031030</t>
  </si>
  <si>
    <t>061030</t>
  </si>
  <si>
    <t>066020</t>
  </si>
  <si>
    <t>107060</t>
  </si>
  <si>
    <t>Dunaalmási Kirendeltség</t>
  </si>
  <si>
    <t>Dunaszentmiklósi Kirendeltség</t>
  </si>
  <si>
    <t>Mindösszesen</t>
  </si>
  <si>
    <t>Pályázatok és azokhoz kapcsolódó feladatok</t>
  </si>
  <si>
    <t>053010</t>
  </si>
  <si>
    <t>Tatai székhely</t>
  </si>
  <si>
    <t>Tárgyi eszköz beszerzés</t>
  </si>
  <si>
    <t>Intézmények Gazdasági Hivatala és a hozzá tartozó költségvetési szervek</t>
  </si>
  <si>
    <t>Önkormányzati bérlakások felújítása</t>
  </si>
  <si>
    <t>Önkormányzati nem lakás célú helyiségek felújítása</t>
  </si>
  <si>
    <t>(E Ft-ban)</t>
  </si>
  <si>
    <t>Rászorultságtól függő pénzbeli szociális, gyermekvédelmi ellátások összesen</t>
  </si>
  <si>
    <t>Köztemetés</t>
  </si>
  <si>
    <t>KNYKK tanulóbérlet</t>
  </si>
  <si>
    <t>Természetben nyújtott ellátások összesen</t>
  </si>
  <si>
    <t>Önkormányzat által folyósított szociális, gyermekvédelmi ellátások összesen:</t>
  </si>
  <si>
    <t>Működési célú támogatások államháztartáson belülre (vissza nem térítendő)</t>
  </si>
  <si>
    <t>084060</t>
  </si>
  <si>
    <t>084070</t>
  </si>
  <si>
    <t>Rendőrségnek</t>
  </si>
  <si>
    <t>Működési célú támogatások államháztartáson kívülre (vissza nem térítendő)</t>
  </si>
  <si>
    <t>084032</t>
  </si>
  <si>
    <t>Tatai Városgazda Nonprofit Kft. támogatása</t>
  </si>
  <si>
    <t>082092</t>
  </si>
  <si>
    <t>TAC támogatása</t>
  </si>
  <si>
    <t>047460</t>
  </si>
  <si>
    <t>Működési célú visszatérítendő támogatások, kölcsönök nyújtása államháztartáson kívülre</t>
  </si>
  <si>
    <t>Működési célú visszatérítendő támogatások, kölcsönök nyújtása összesen:</t>
  </si>
  <si>
    <t>Működési célú támogatások (visszatérítendő és vissza nem térítendő) mindösszesen:</t>
  </si>
  <si>
    <t>Felhalmozási célú támogatások államháztartáson kívülre (vissza nem térítendő)</t>
  </si>
  <si>
    <t>Felhalmozási célú támogatások (visszatérítendő és vissza nem térítendő) mindösszesen:</t>
  </si>
  <si>
    <t>ÖNKORMÁNYZATI TÁMOGATÁSOK (VISSZATÉRÍTENDŐ ÉS VISSZA NEM TÉRÍTENDŐ) MINDÖSSZESEN:</t>
  </si>
  <si>
    <t>TATAI KÖZÖS ÖNKORMÁNYZATI HIVATAL</t>
  </si>
  <si>
    <t>Felhalmozási célú visszatérítendő támogatások, kölcsönök nyújtása államháztartáson kívülre</t>
  </si>
  <si>
    <t>Munkáltatói kölcsön nyújtása</t>
  </si>
  <si>
    <t>KÖZÖS ÖNKORMÁNYZATI HIVATALI TÁMOGATÁSOK (VISSZATÉRÍTENDŐ ÉS VISSZA NEM TÉRÍTENDŐ) MINDÖSSZESEN:</t>
  </si>
  <si>
    <t>MŰKÖDÉSI VÉGLEGES</t>
  </si>
  <si>
    <t>össz</t>
  </si>
  <si>
    <t>Működési kölcsön</t>
  </si>
  <si>
    <t>FELH. VÉGLEGES</t>
  </si>
  <si>
    <t>ÖSSZ</t>
  </si>
  <si>
    <t>Működési célú támogatások államháztartáson belülről (vissza nem térítendő)</t>
  </si>
  <si>
    <t>Működési célú visszatérítendő támogatások, kölcsönök visszatérülése államháztartáson kívülről</t>
  </si>
  <si>
    <t>Felhalmozási célú támogatások államháztartáson belülről (vissza nem térítendő)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</si>
  <si>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</si>
  <si>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</si>
  <si>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Kamatmentes lakossági kölcsön visszafizetése</t>
  </si>
  <si>
    <t>ÖNKORMÁNYZATI TÁMOGATÁSOK ÉS ÁTVETT PÉNZESZKÖZÖK (VISSZATÉRÍTENDŐ ÉS VISSZA NEM TÉRÍTENDŐ) MINDÖSSZESEN:</t>
  </si>
  <si>
    <t>Munkáltatói kölcsön visszafizetése</t>
  </si>
  <si>
    <t>Dunaalmás</t>
  </si>
  <si>
    <t>Neszmély</t>
  </si>
  <si>
    <t>Neszmély Önkormányzatától</t>
  </si>
  <si>
    <t>Dunaszentmiklós</t>
  </si>
  <si>
    <t>Dunaszentmiklós Önkormányzatától</t>
  </si>
  <si>
    <t>Működési célú támogatások és átvett pénzeszközök (vissza nem térítendő) összesen:</t>
  </si>
  <si>
    <t>Felhalmozási célú támogatások és átvett pénzeszközök összesen:</t>
  </si>
  <si>
    <t>KÖZÖS ÖNKORMÁNYZATI HIVATALI TÁMOGATÁSOK ÉS ÁTVETT PÉNZESZKÖZÖK (VISSZATÉRÍTENDŐ ÉS VISSZA NEM TÉRÍTENDŐ) MINDÖSSZESEN:</t>
  </si>
  <si>
    <t>Kiadás, melyre a pénzmaradvány fordítódik</t>
  </si>
  <si>
    <t>Tata Város Önkormányzata</t>
  </si>
  <si>
    <t>MŰKÖDÉSI TARTALÉK</t>
  </si>
  <si>
    <t>Általános tartalék</t>
  </si>
  <si>
    <t>Működési tartalék</t>
  </si>
  <si>
    <t>FELHALMOZÁSI TARTALÉK</t>
  </si>
  <si>
    <t>Felhalmozási tartalék</t>
  </si>
  <si>
    <t>MINDÖSSZESEN:</t>
  </si>
  <si>
    <t>Bevételek</t>
  </si>
  <si>
    <t>Állami támogatás megelőlegezési hitel törlesztés</t>
  </si>
  <si>
    <t>Rendkívüli települési támogatás (természetbeni)</t>
  </si>
  <si>
    <t>106020</t>
  </si>
  <si>
    <t>Elvonások és befizetések</t>
  </si>
  <si>
    <t>Dunaalmás Önkormányzatától</t>
  </si>
  <si>
    <t xml:space="preserve">Irányító szerv javára teljesített befizetés </t>
  </si>
  <si>
    <t xml:space="preserve">Vissza nem térítendő támogatások </t>
  </si>
  <si>
    <t>Vissza nem térítendő támogatás</t>
  </si>
  <si>
    <t>Adóbírság</t>
  </si>
  <si>
    <t xml:space="preserve"> - Működési tartalék</t>
  </si>
  <si>
    <t>Tárgyi eszköz beszerzés (bútor, szék, szőnyeg, textília, egyéb – gondnoksági feladatokhoz)</t>
  </si>
  <si>
    <t>Tatai fiatalok életkezdési támogatása</t>
  </si>
  <si>
    <t>Rendkívüli települési támogatás (pénzbeli)</t>
  </si>
  <si>
    <t>Arany János Tehetséggondozó Programhoz kapcsolódó szociális támogatás</t>
  </si>
  <si>
    <t>Tatai Kistérségi Többcélú Társulásnak támogatás (tagdíj, állami támogatás és önkormányzati támogatás)</t>
  </si>
  <si>
    <t>Juniorka Alapítványi Óvoda támogatása (köznevelési szerződés alapján)</t>
  </si>
  <si>
    <t>Juniorka Alapítványi Bölcsőde támogatása (ellátási szerződés alapján)</t>
  </si>
  <si>
    <t>Tatai Televízió Közalapítvány támogatása</t>
  </si>
  <si>
    <t>Környezetvédelmi Alap</t>
  </si>
  <si>
    <t>Közösségi közlekedés szolgáltatója részére működési költségtérítés</t>
  </si>
  <si>
    <t>Tata és Környéke Turisztikai Egyesület (Turisztikai Desztináció Menedzsment) támogatása</t>
  </si>
  <si>
    <t>Működési célú támogatások államháztartáson belülre és kívülre (vissza nem térítendő) összesen:</t>
  </si>
  <si>
    <t>Tatai Öreg-tó Kft. részére tagi kölcsön nyújtása</t>
  </si>
  <si>
    <t>Felhalmozási célú támogatások államháztartási belülre és kívülre (vissza nem térítendő) összesen:</t>
  </si>
  <si>
    <t>Tatai Kistérségi Többcélú Társulástól (belső ellenőrzéshez, infrastrukturális háttér biztosításához)</t>
  </si>
  <si>
    <t>Működési célú támogatások államháztartáson belülről (vissza nem térítendő, és visszatérítendő) összesen:</t>
  </si>
  <si>
    <t>Működési célú átvett pénzeszköz államháztartáson kívülről (vissza nem térítendő, és visszatérítendő) összesen:</t>
  </si>
  <si>
    <t>Felhalmozási célú támogatások államháztartáson belülről (vissza nem térítendő és visszatérítendő) összesen:</t>
  </si>
  <si>
    <t>Értékvédelmi feladatokra háztartásnak adott kölcsön visszatérülése</t>
  </si>
  <si>
    <t>Felhalmozási célú átvett pénzeszközök államháztartáson kívülről (vissza nem térítendő és visszatérítendő) összesen:</t>
  </si>
  <si>
    <t>Adósságot keletkeztető ügyletek</t>
  </si>
  <si>
    <t>törlesztés</t>
  </si>
  <si>
    <t>kamat</t>
  </si>
  <si>
    <t>Tartozás 2018.</t>
  </si>
  <si>
    <t>Tartozás 2019.</t>
  </si>
  <si>
    <t>Tartozás 2020.</t>
  </si>
  <si>
    <t>Tartozás 2021.</t>
  </si>
  <si>
    <t>Tartozás 2022.</t>
  </si>
  <si>
    <t>Tartozás 2023.</t>
  </si>
  <si>
    <t>Tartozás 2024.</t>
  </si>
  <si>
    <t>Tárgyi eszköz beszerzés hivatali üdülőkben: Balatonvilágos (hűtő, egyéb konyhai felszerelés, stb.)</t>
  </si>
  <si>
    <t>Tárgyi eszköz beszerzés hivatali üdülőkben: Balatonfüred (falra szerelhető asztal, egyéb konyhai eszközök)</t>
  </si>
  <si>
    <t>Információbiztonsági beruházás, eszközbeszerzés</t>
  </si>
  <si>
    <t>Tárgyi eszköz beszerzés hivatali üdülőkben: Fényes-fürdő (konyhai felszerelések, szék, asztal)</t>
  </si>
  <si>
    <t>Értékvédelmi feladatok támogatása</t>
  </si>
  <si>
    <t>Ingatlanértékesítés</t>
  </si>
  <si>
    <t>166.393 E Ft
1,70 % kamat</t>
  </si>
  <si>
    <t>650.000 E Ft
2,14 % kamat</t>
  </si>
  <si>
    <t xml:space="preserve"> - Működési tartalék </t>
  </si>
  <si>
    <t>Magyary Zoltán Népfőiskolai Társaság támogatása közművelődési megállapodás alapján</t>
  </si>
  <si>
    <t>(kiemelt előirányzatok szerinti részletezésben ) E Ft-ban</t>
  </si>
  <si>
    <t xml:space="preserve"> Tata Város Önkormányzatának 2018. évi közgazdasági mérlege (E Ft-ban)</t>
  </si>
  <si>
    <t>2018. évi működési célú bevételek és kiadások mérlege (E Ft-ban)</t>
  </si>
  <si>
    <t>2018. évi felújítási kiadások célonként (ÁFA-val)</t>
  </si>
  <si>
    <t>Tata Város Önkormányzata által folyósított 2018. évi ellátottak pénzbeli és természetbeni juttatásának részletezése (E Ft-ban)</t>
  </si>
  <si>
    <t>Tata Város Önkormányzata és a Tatai Közös Önkormányzati Hivatal által adott visszatérítendő és vissza nem térítendő támogatások 2018. évi alakulása (E Ft-ban)</t>
  </si>
  <si>
    <t>2018. évi kapott visszatérítendő és vissza nem térítendő támogatások és pénzeszközátvételek alakulása Tata Város Önkormányzatánál és a Tatai Közös Önkormányzati Hivatalnál (E Ft-ban)</t>
  </si>
  <si>
    <t>2018 – 2024-ig a hosszú lejáratú felhalmozási hitel visszafizetéseket figyelembe véve (E Ft-ban)</t>
  </si>
  <si>
    <t>Tata Város Önkormányzatának 2018. évi tartalékai (E Ft-ban)</t>
  </si>
  <si>
    <t>Egyéb működési bevétel</t>
  </si>
  <si>
    <t>Állami támogatás melelőlegezési hitelfelvétel</t>
  </si>
  <si>
    <t>2018. évi beruházási kiadások feladatonként (ÁFA-val) E Ft-ban</t>
  </si>
  <si>
    <t>Csatlakozási konstrukció az önkormányzati ASP rendszer országos kiterjesztéséhez KÖFOP-1.2.1-VEKOP-16-2017-01302</t>
  </si>
  <si>
    <t>A helyi gazdaság erőforrásaira épülő piac- és agrárlogisztikai fejlesztés Tatán TOP-1.1.3-15-KO1-2016-00003</t>
  </si>
  <si>
    <t>Helyi alapanyagokra épülő minőségi közétkeztetésért – iskolai konyhák hálózatos fejlesztés Tatán TOP-1.1.3.-15-KO1-2016-00002</t>
  </si>
  <si>
    <t>013350</t>
  </si>
  <si>
    <t>Társadalmi és környezeti szempontból fenntartható turizmusfejlesztés Angolkert Malomkert - Angolkerti rehabilitáció III. ütem</t>
  </si>
  <si>
    <t>CULTPLAY - Interkatív tematikus parkok létrehozása, kulturális örökség innovatív használata</t>
  </si>
  <si>
    <t xml:space="preserve">A Tatai Kőfaragó-ház kézműves és aktív ökoturisztikai látogatóközpontként való rehabilitációja és a Kálvária-domb egységes turisztikai termékcsomagként való bemutatása TOP-1.2.1.-15-KO1-2016-00005                                                                              </t>
  </si>
  <si>
    <t>Csillagsziget Bölcsőde felújítása Tatán TOP-1.4.1-15-KO1-2016-00020</t>
  </si>
  <si>
    <t>Tatai Építők parkjában városi zöld infrastruktúra fejlesztés TOP-2.1.2-15-KO1-2016-00002</t>
  </si>
  <si>
    <t>KOMBI-Határon Átnyúló Integrált Kerékpárkölcsönző rendszer Interreg V-A Szlovákia-Magyarország Együttműködési Program</t>
  </si>
  <si>
    <t>Sacra Velo Interreg V-A Szlovákia-Magyarország Együttműködési Program</t>
  </si>
  <si>
    <t>063080</t>
  </si>
  <si>
    <t>Malom patak meder rekonstrukció tervezése(2.4 szakasz)</t>
  </si>
  <si>
    <t>Lo presti forrás elvezetése a Hajdú utcai gyű.</t>
  </si>
  <si>
    <t>064010</t>
  </si>
  <si>
    <t>Mikovényi-Jázmin-Gesztenye fasor körforgalom építés, közvilágítás tervezés és kivitelezés</t>
  </si>
  <si>
    <t>Testvérvárosi park melletti Cifra malmi ág meder rendezése</t>
  </si>
  <si>
    <t>Egyéb 2018. évi igények</t>
  </si>
  <si>
    <t>045120</t>
  </si>
  <si>
    <t>Elektromos autótöltő állomás Jedlik Ányos terv</t>
  </si>
  <si>
    <t>Nagyértékű tárgyi eszköz beszerzés, klímaberendezések pótlása, cseréje (gondnoksági feladathoz kapcsolódóan</t>
  </si>
  <si>
    <t>Fényes fürdő területén fejlesztések végrehajtása</t>
  </si>
  <si>
    <t>Malom patak rendbetétele (Ady E. út és Pötörke malom közötti szakasz)</t>
  </si>
  <si>
    <t>Visszatérő forrásokkal kapcsolatos feladatok</t>
  </si>
  <si>
    <t>Hulladékudvar tervezése</t>
  </si>
  <si>
    <t>Gázmotor kiváltása (2017. évi szerződés)</t>
  </si>
  <si>
    <t>Május 1. út 45. vízelvezetés tervezése (2017. évi szerződés)</t>
  </si>
  <si>
    <t>Magasvezetésű tápcsatorna rekonstrukciója</t>
  </si>
  <si>
    <t>066010</t>
  </si>
  <si>
    <t>Mikovényi-Jázmin-Gesztenye fasor körforgalom építés, zöldterületi terv és közvilágítás tervezés</t>
  </si>
  <si>
    <t>Ingatlanvásárlás</t>
  </si>
  <si>
    <t>61/2 hrsz.-ú ingatlan vételár részlete</t>
  </si>
  <si>
    <t>61/1 hrsz.-ú ingatlan vételár részlete</t>
  </si>
  <si>
    <t xml:space="preserve">Építésügyi hatósági hatáskör ellátásához előírt tárgyi eszközök (lézeres távolságmérő, szintező műszer) </t>
  </si>
  <si>
    <t>Jávorka Sándor Mezőgazdasági és Élelmiszeripari Szakképző Iskola és Kollégium mögötti terület fejlesztése (közmű-, útfejlesztés)</t>
  </si>
  <si>
    <t>Piac tér kiszolgáló út II. ütem</t>
  </si>
  <si>
    <t>Tata-Agostyán település közötti kerékpárút "Kanyon" útépítési, engedélyezési terve</t>
  </si>
  <si>
    <t>Mikovényi-Jázmin-Gesztenye fasor körforgalom építés, településrendezési szerződés szerint</t>
  </si>
  <si>
    <t>Építők parkja villamosvezeték kiváltás és erőátvitel</t>
  </si>
  <si>
    <t>Informatikai eszközbeszerzések</t>
  </si>
  <si>
    <t>Egyéb kis értékű tárgyi eszköz beszerzés</t>
  </si>
  <si>
    <t>Dokumentumkezelő rendszer bevezetése</t>
  </si>
  <si>
    <t>I. verzió</t>
  </si>
  <si>
    <t>Csillagsziget Bölcsöde felújítása Tatán TOP-1.4.1-15-KO1-2016-00020</t>
  </si>
  <si>
    <t>Mart aszfaltos utak felújítása (Újvilág, Mária, Nyírfa, Tulipán, Balogh F., Határ, Újhegyi, Nagy L.)</t>
  </si>
  <si>
    <t>Akadálymentesítés, közlekedésbiztonság növelése (járdák, gyalogátkelőhelyek)</t>
  </si>
  <si>
    <t>Járdafelújítások (Május 1., Bezerédi, Keszthelyi, Vértesszőlősi, Oroszlányi, Iskola)</t>
  </si>
  <si>
    <t>Naplókert u. burkolat szélesítése garázssor előtt és Kiss E. utca burkolat szélesítése bevezető szakaszon</t>
  </si>
  <si>
    <t>Körforgalom, Oroszlányi út-Új út csomópont, Fényes áruház mögötti közvilágítások LED-es felújítása</t>
  </si>
  <si>
    <t>Játszóterek felújítása (Dadi utcai játszótér fitness eszközök elhelyezése, Lovardai játszótér fejlesztése, kerítések, Bacsó B. u. 66. Levendula úti játszótéren ivóvízkút elhelyezése, Május 1 út 35-nél térvilágítás)</t>
  </si>
  <si>
    <t>MKB Bank Zrt. előtti előtető felújítása</t>
  </si>
  <si>
    <t>Közösségi Felsőoktatási Képzési Központ - bejárati ajtó és kerítés felújítása</t>
  </si>
  <si>
    <t>Polgármesteri Hivatal kapu kialakítása feltáró, közlekedő úttal a Bláthy utca felé</t>
  </si>
  <si>
    <t>106010</t>
  </si>
  <si>
    <t>Vaszary Villa felújítási munkálataira</t>
  </si>
  <si>
    <t>Tulipán út hiányzó szakasz és Fűzfa utca pormentesítése mart aszfalttal</t>
  </si>
  <si>
    <t>052080</t>
  </si>
  <si>
    <t>Agostyán,Szabadság út 9. sz. alatt járda, árok rendezése</t>
  </si>
  <si>
    <t>101150</t>
  </si>
  <si>
    <t>TATA VÁROS ÖNKORMÁNYZATA</t>
  </si>
  <si>
    <t>Tatai Városkapu Zrt. támogatása</t>
  </si>
  <si>
    <t>Egészségügyi alapellátás támogatása 5 fogászati körzetre</t>
  </si>
  <si>
    <t>Tatai Vadlúd Sokadalom támogatása</t>
  </si>
  <si>
    <t>Felhalmozási célú támogatások államháztartáson kívülre (visszatérítendő)</t>
  </si>
  <si>
    <t>041233</t>
  </si>
  <si>
    <t>Munkaügyi Központtól közfoglalkoztatás, téli közfoglalkoztatás, egyéb támogatásra</t>
  </si>
  <si>
    <t>016080</t>
  </si>
  <si>
    <t>Autómentes nap NFM támogatás</t>
  </si>
  <si>
    <t>Működési célú  támogatások államháztartáson kívülről (vissza nem térítendő)</t>
  </si>
  <si>
    <t>Duna projekt visszatérő források pályázati előkészítése</t>
  </si>
  <si>
    <t>Tatai Öreg-tó Kft. Tagi kölcsön visszatérülés</t>
  </si>
  <si>
    <t>Kismosó-patak meder rendezése (Kormányhatározat alapján)</t>
  </si>
  <si>
    <t>Vis major támogatás (kölcsön) visszafizetése</t>
  </si>
  <si>
    <t>Személyi 
juttatás</t>
  </si>
  <si>
    <t>Járulék</t>
  </si>
  <si>
    <t>Dologi
kiadás</t>
  </si>
  <si>
    <t>2017. évi felhalmozási pénzmaradvány</t>
  </si>
  <si>
    <r>
      <t xml:space="preserve">Csatlakozási konstrukció az önkormányzati ASP rendszer országos kiterjesztéséhez KÖFOP-1.2.1-VEKOP-16-2017-01302 </t>
    </r>
    <r>
      <rPr>
        <b/>
        <sz val="10"/>
        <rFont val="Arial CE"/>
        <family val="1"/>
        <charset val="238"/>
      </rPr>
      <t/>
    </r>
  </si>
  <si>
    <t xml:space="preserve">Helyi alapanyagokra épülő minőségi közétkeztetésért – iskolai konyhák hálózatos fejlesztés Tatán TOP-1.1.3.-15-KO1-2016-00002 </t>
  </si>
  <si>
    <t xml:space="preserve">A Tatai Kőfaragó-ház kézműves és aktív ökoturisztikai látogatóközpontként való rehabilitációja és a Kálvária-domb egységes turisztikai termékcsomagként való bemutatása TOP-1.2.1.-15-KO1-2016-00005                                                                          </t>
  </si>
  <si>
    <t>Tatai Építők parkjában városi zöld infrastruktúra fejlesztés TOP-2.1.2.-15-KO1-2016-00002</t>
  </si>
  <si>
    <t xml:space="preserve">Tatai Építők parkjában városi zöld infrastruktúra fejlesztés TOP-2.1.2.-15-KO1-2016-00002 </t>
  </si>
  <si>
    <t>2017. évi működési pénzmaradvány</t>
  </si>
  <si>
    <r>
      <t>Csatlakozási konstrukció az önkormányzati ASP rendszer országos kiterjesztéséhez KÖFOP-1.2.1-VEKOP-16-2017-01302</t>
    </r>
    <r>
      <rPr>
        <b/>
        <sz val="10"/>
        <rFont val="Arial CE"/>
        <family val="1"/>
        <charset val="238"/>
      </rPr>
      <t xml:space="preserve"> </t>
    </r>
  </si>
  <si>
    <t xml:space="preserve">Irányítószervi támogatás </t>
  </si>
  <si>
    <t>Hajdú utca meglévő vízelvezető rendszer helyreállítása (Kormányhatározat alapján)</t>
  </si>
  <si>
    <t>Visszatérő karsztforrásokkal kapcsolatos előzetes vizsgálatok (Kormányhatározat alapján)</t>
  </si>
  <si>
    <t>Lo presti forrás elvezetése a Hajdú utcai gyűjtőbe (Kormányhatározat alapján)</t>
  </si>
  <si>
    <t>Eszterházy Kastély udvarában található tó meder helyreállítása és csapadékcsatornába vezetése (Kormányhatározat alapján)</t>
  </si>
  <si>
    <t xml:space="preserve">18. életévét betöltött tartósan beteg hozzátartozójának ápolását, gondozását végző személy részére </t>
  </si>
  <si>
    <t xml:space="preserve">Gyógyszer kiadások viseléséhez </t>
  </si>
  <si>
    <t>Lakhatáshoz kapcsolódó rendszeres kiadások viseléséhez</t>
  </si>
  <si>
    <t>Ipari park - 20 kW-os energiaellátása (2017. évről áthúzódó kiadás)</t>
  </si>
  <si>
    <t>2017-ről áthúzódó felhalmozási számlák fedezetére</t>
  </si>
  <si>
    <t>086030</t>
  </si>
  <si>
    <t>Gerlingen városától kapott támogatásból Tatai Nemzetközi Művészeti Csereprogramokra</t>
  </si>
  <si>
    <t>Kismosó-patak mederrendezése</t>
  </si>
  <si>
    <t>Kismosó-patak mederrendezése (Kormányhatározat alapján)</t>
  </si>
  <si>
    <t>Hajdú utcán meglévő vízelvezető rendszer helyreállítása</t>
  </si>
  <si>
    <t>2018. évi felhalmozási célú bevételek és kiadások mérlege (E Ft-ban)</t>
  </si>
  <si>
    <t xml:space="preserve">Viziközműveken 2017.06.30-ig végzett felújítások fizetési határidő miatt 2018-ra áthúzódó része                        </t>
  </si>
  <si>
    <t>Közösségi Felsőoktatási Képzési Központ - tárgyi eszközök beszerzése  (takarító gépek, karbantartási gépek, hűtőszekrény)</t>
  </si>
  <si>
    <t xml:space="preserve">Bursa Hungarica </t>
  </si>
  <si>
    <t xml:space="preserve">Tata Város Önkormányzata és az általa irányított költségvetési szervek 2018. évi kiadásai </t>
  </si>
  <si>
    <t>Tata Város Önkormányzata és az általa irányított költségvetési szervek 2018. évi bevételei forrásonként (E Ft-ban)</t>
  </si>
  <si>
    <t>Tatai Kertvárosi Óvoda kerítés az első urdvarra</t>
  </si>
  <si>
    <t>Tatai Kertvárosi Óvoda homokozó az első udvarra</t>
  </si>
  <si>
    <t>Tatai Kertvárosi Óvoda projektor</t>
  </si>
  <si>
    <t>Tatai Kertvárosi Óvoda sötétítő függöny csoportszobákba</t>
  </si>
  <si>
    <t>Tatai Bartók Béla Óvoda ipari botmixer</t>
  </si>
  <si>
    <t>Tatai Bartók Béla Óvoda óvodai honlap készítés</t>
  </si>
  <si>
    <t>Tatai Csillagsziget Bölcsőde csoportszobákba ventilátor (9 db)</t>
  </si>
  <si>
    <t>Tatai Csillagsziget Bölcsőde gyermek öltözőszekrény (8 db)</t>
  </si>
  <si>
    <t>Tatai Csillagsziget Bölcsőde számítástechnikai eszközök: lézernyomtató, laptop</t>
  </si>
  <si>
    <t>Tatai Kincseskert Óvoda kis értékű tárgyi eszközök: iratmegsemmisítő, vezetékes készülék, ipari porszívó</t>
  </si>
  <si>
    <t>Tatai Kertvárosi Óvoda gyermek asztalok, mindhárom csoportra (24 db)</t>
  </si>
  <si>
    <t>Tatai Geszti Óvoda kis értékű tárgyi eszköz: iratmegsemmisítő</t>
  </si>
  <si>
    <t>Tatai Geszti Óvoda számítástechnikai eszköz: nyomtató</t>
  </si>
  <si>
    <t>Tatai Geszti Óvoda Agostyáni Tagintézménye kis értékű tárgyi eszköz: porszívó, mosógép</t>
  </si>
  <si>
    <t>Tatai Geszti Óvoda Agostyáni Tagintézménye számítástechnikai eszköz: nyomtató</t>
  </si>
  <si>
    <t>Intézmények Gazdasági Hivatala számítástechnikai eszköz: számítógép</t>
  </si>
  <si>
    <t>Intézmények Gazdasági Hivatala menza program</t>
  </si>
  <si>
    <t>Tatai Egészségügyi Alapellátó Intézmény Ifjúság-egészségügyi gondozás: nyomtató</t>
  </si>
  <si>
    <t>Tatai Egészségügyi Alapellátó Intézmény Ifjúság-egészségügyi gondozás: szűrőaudiométer</t>
  </si>
  <si>
    <t>Tatai Egészségügyi Alapellátó Intézmény Ifjúság-egészségügyi gondozás: laptop</t>
  </si>
  <si>
    <t>Tatai Egészségügyi Alapellátó Intézmény Család- és növényvédelem: eü.gondozás: szűrőaudiométer</t>
  </si>
  <si>
    <t>Tatai Egészségügyi Alapellátó Intézmény Család- és növényvédelem: eü.gondozás: magzati szívhang hallgató</t>
  </si>
  <si>
    <t>Tatai Egészségügyi Alapellátó Intézmény Család- és növényvédelem: eü.gondozás: laptop (2 db)</t>
  </si>
  <si>
    <t>Tatai Egészségügyi Alapellátó Intézmény Család- és növényvédelem: eü.gondozás: irodai forgószék (2 db)</t>
  </si>
  <si>
    <t>Tatai Egészségügyi Alapellátó Intézmény Család- és növényvédelem: eü.gondozás: Stefánia védőnői program</t>
  </si>
  <si>
    <t>Kuny Domokos Múzeum szellemi termék: szoftverek</t>
  </si>
  <si>
    <t>Kuny Domokos Múzeum kulturális javak: műtárgy vásárlások</t>
  </si>
  <si>
    <t>Kuny Domokos Múzeum számítátechnikai eszköz: laptop</t>
  </si>
  <si>
    <t>Kuny Domokos Múzeum restaurátor eszközök</t>
  </si>
  <si>
    <t>Kuny Domokos Múzeum karbantartási feladatokhoz kisgépek</t>
  </si>
  <si>
    <t>Kuny Domokos Múzeum bútorzat beszerzés</t>
  </si>
  <si>
    <t>Kuny Domokos Múzeum fix híd (átjáró) Német Nemzetiségi Múzeum</t>
  </si>
  <si>
    <t>Kuny Domokos Múzeum Járásszékhely pályázat (fedezet a 2017. évben megérkezett)</t>
  </si>
  <si>
    <t>Móricz Zsigmond Városi Könyvtár dokumentum beszerzés: könyv, cd</t>
  </si>
  <si>
    <t>Móricz Zsigmond Városi Könyvtár kis értékű tárgyi eszközök: mobilklíma (2 db)</t>
  </si>
  <si>
    <t>Tatai Fürdő Utcai Néphagyományőrző Óvoda számítástechnikai eszköz: laptop</t>
  </si>
  <si>
    <t>Tatai Fürdő Utcai Néphagyományőrző Óvoda irodatechnikai eszköz: fénymásoló</t>
  </si>
  <si>
    <t>Tatai Fürdő Utcai Néphagyományőrző Óvoda csoportszobai kötelező kis értékű tárgyi eszközök</t>
  </si>
  <si>
    <t>Tatai Fürdő Utcai Néphagyományőrző Óvoda csoportszoba laminált parketta fektetése és szegélyezése</t>
  </si>
  <si>
    <t>Tatai Kincseskert Óvoda udvari járda felújítása</t>
  </si>
  <si>
    <t>Tatai Kertvárosi Óvoda parkettacsere 1 csoportszobába</t>
  </si>
  <si>
    <t>Tatai Kertvárosi Óvoda udvari játékok felújítása</t>
  </si>
  <si>
    <t>Tatai Kertvárosi Óvoda régi radiátorok cseréje</t>
  </si>
  <si>
    <t>Tatai Geszti Óvoda udvari játékok felújítása</t>
  </si>
  <si>
    <t>Tatai Geszti Óvoda villanyvezeték korszerűsítése</t>
  </si>
  <si>
    <t>Tatai Geszti Óvoda Agostyáni Tagintézménye egy udvari játék felújítása</t>
  </si>
  <si>
    <t>Tatai Bartók Béla Óvoda szennyvíz átemelő akna gépészeti munkái</t>
  </si>
  <si>
    <t>Kuny Domokos Múzeum víz-, szennyvíz-, villanyhálózat felújítás (Öreg Vár, Német Nemzetiségi Múzeum, Deák F. utcai raktár) azonnali hibaelhárítások</t>
  </si>
  <si>
    <t>Kuny Domokos Múzeum épület állagmegóvás (tető és vizes falak) Zsinagóga</t>
  </si>
  <si>
    <t>Kuny Domokos Múzeum korlátok, romkert, ablakok minimális helyreállítása (látogatók biztonsága: kőomlás, balesetveszély) Öreg Vár</t>
  </si>
  <si>
    <t>Kuny Domokos Múzeum felújítási tervek (műemlékvédelem által elfogadott dokumentáció összeállítása, faldiagnosztika, 3 D felmérés, statikai felmérések, gépészet felülvizsgálata) Öreg Vár</t>
  </si>
  <si>
    <t>Tatai Geszti Óvoda fürdőszoba felújítása</t>
  </si>
  <si>
    <t>Kuny Domokos Múzeum raktár vizesedési problémák (Német Nemzetiségi Múzeum)</t>
  </si>
  <si>
    <t>Móricz Zsigmond Városi Könyvtár buszvégállomás felőli fal szigetelése</t>
  </si>
  <si>
    <t>Móricz Zsigmond Városi Könyvtár nyílászárók cseréje (2 db ajtó, 2 db ablak)</t>
  </si>
  <si>
    <t>Tatai Csillagsziget Bölcsőde folyosó és előterrek burkolatának cseréje</t>
  </si>
  <si>
    <t>Tatai Kincseskert Óvoda számítástechnikai eszköz: nyomtató/scenner</t>
  </si>
  <si>
    <t>Tatai Kincseskert Óvoda Szivárvány Tagintézménye kis értékű eszköz: iratmegsemmisítő</t>
  </si>
  <si>
    <t>Tatai Kincseskert Óvoda Szivárvány Tagintézménye számítástechnikai eszköz: laptop</t>
  </si>
  <si>
    <t>Kuny Domokos Múzeum épületriasztók: Német Nemzetiségi Múzeum, Öreg Vár</t>
  </si>
  <si>
    <t>Áru- és készletértékesítésből</t>
  </si>
  <si>
    <t>Állami támogatás megelőlegezési hitelfelvétel</t>
  </si>
  <si>
    <t>Mód. (IV.25.)</t>
  </si>
  <si>
    <t>Mód.(IV.25.)</t>
  </si>
  <si>
    <t>Mód.(IV. 25.)</t>
  </si>
  <si>
    <t>Mód. (IV. 25.)</t>
  </si>
  <si>
    <t>Előző évi elszámolásból származó kiadások</t>
  </si>
  <si>
    <t>Működési céltartalék</t>
  </si>
  <si>
    <t>Működési céltartalék IGH részére</t>
  </si>
  <si>
    <t xml:space="preserve"> - Működési céltartalék </t>
  </si>
  <si>
    <t>Tata Város Önkormányzata 2018. évi költségvetéséhez</t>
  </si>
  <si>
    <t>a helyi önkormányzatok feladatainak állami támogatásához</t>
  </si>
  <si>
    <t>Törvény- javaslat hivatk.sz.</t>
  </si>
  <si>
    <t>Jogcímek megnevezése</t>
  </si>
  <si>
    <t>Bevétel 2018. év</t>
  </si>
  <si>
    <t>Mutató</t>
  </si>
  <si>
    <t>Fajlagos összeg Ft/mutató</t>
  </si>
  <si>
    <t>2.mell. I.</t>
  </si>
  <si>
    <t>A HELYI ÖNKORMÁNYZATOK MŰKÖDÉSÉNEK ÁLTALÁNOS TÁMOGATÁSA</t>
  </si>
  <si>
    <t>I.1.a)</t>
  </si>
  <si>
    <t>fő</t>
  </si>
  <si>
    <t>Beszámítás után (Beszámítás a V. pontnál és a táblázat alatt részletezve)</t>
  </si>
  <si>
    <t>Önkormányzati Hivatal működésének támogatása beszámítás után</t>
  </si>
  <si>
    <t>I.1.b)</t>
  </si>
  <si>
    <t>Település-üzemeltetéshez kapcsolódó feladatellátás támogatása</t>
  </si>
  <si>
    <t>I.1.ba)</t>
  </si>
  <si>
    <t>A zöldterület-gazdálkodással kapcsolatos feladatok ellátásának támogatása</t>
  </si>
  <si>
    <t>ha</t>
  </si>
  <si>
    <t>I.1.bb)</t>
  </si>
  <si>
    <t>Közvilágítás fenntartásának támogatása</t>
  </si>
  <si>
    <t>km</t>
  </si>
  <si>
    <t>I.1.bc)</t>
  </si>
  <si>
    <t>Köztemető fenntartással kapcsolatos feladatok támogatása</t>
  </si>
  <si>
    <t>m2</t>
  </si>
  <si>
    <t>I.1.bd)</t>
  </si>
  <si>
    <t>Közutak fenntartásának támogatása</t>
  </si>
  <si>
    <t>Település-üzemeltetéshez kapcsolódó feladatellátás támogatása összesen</t>
  </si>
  <si>
    <t>I.1.c)</t>
  </si>
  <si>
    <t>I.1.d)</t>
  </si>
  <si>
    <t>Lakott külterülettel kapcsolatos feladatok támogatása</t>
  </si>
  <si>
    <t>I.1.e)</t>
  </si>
  <si>
    <t>Üdülőhelyi feladatok támogatása</t>
  </si>
  <si>
    <t>id.f.adóft</t>
  </si>
  <si>
    <t>I.1.</t>
  </si>
  <si>
    <t>A települési önkormányzatok működésének támogatása beszámítás után</t>
  </si>
  <si>
    <t>I.5.</t>
  </si>
  <si>
    <t xml:space="preserve">A 2017. évről áthúzódó bérkompenzáció támogatása </t>
  </si>
  <si>
    <t>eredeti előirányzatként nem tervezhető</t>
  </si>
  <si>
    <t xml:space="preserve">A helyi önkormányzatok működésének általános támogatása </t>
  </si>
  <si>
    <t>II.1.</t>
  </si>
  <si>
    <t>Óvodapedagógusok, és az óvodapedagógusok nevelő munkáját közvetlenül segítők bértámogatása</t>
  </si>
  <si>
    <t>Óvodapedagógusok bértámogatása - 8 hónapra</t>
  </si>
  <si>
    <t>Óvodapedagógusok bértámogatása - 4 hónapra</t>
  </si>
  <si>
    <t>Óvodapedagógusok munkáját közvetlenül segítők bértámogatása - 8 hónapra</t>
  </si>
  <si>
    <t>Óvodapedagógusok munkáját közvetlenül segítők bértámogatása - 4 hónapra</t>
  </si>
  <si>
    <t>Óvodapedagógusok, és az óvodapedagógusok nevelő munkáját közvetlenül segítők bértámogatása összesen</t>
  </si>
  <si>
    <t xml:space="preserve">II.2. </t>
  </si>
  <si>
    <t>Óvodaműködtetési támogatás</t>
  </si>
  <si>
    <t>II.2.a)</t>
  </si>
  <si>
    <t>Óvodaműk. támogatás 8 hónapra: gyermekek nevelése a napi 8 órát eléri</t>
  </si>
  <si>
    <t>Óvodaműk. támogatás 4 hónapra: gyermekek nevelése a napi 8 órát eléri</t>
  </si>
  <si>
    <t>II.2.b)</t>
  </si>
  <si>
    <t xml:space="preserve">Kiegészítő támogatás az óvodaműködtetési feladatokhoz </t>
  </si>
  <si>
    <t>II. 2.</t>
  </si>
  <si>
    <t>Óvodaműködtetési támogatás összesen</t>
  </si>
  <si>
    <t>II.4.</t>
  </si>
  <si>
    <t>Kiegészítő támogatás az óvodapedagógusok minősítéséből adódó többletkiadásokhoz</t>
  </si>
  <si>
    <t>- Teljes összeg, akik 2016. dec. 31-ig megszerezték. Alapfokú, Ped. II. kategóriába s.</t>
  </si>
  <si>
    <t>- 11 havi időarányos, akik 2018.01.01-jei átsorolással szerezték meg. Alapfokú, Ped.II. kateg. sorol.</t>
  </si>
  <si>
    <t>2.mell. II.</t>
  </si>
  <si>
    <t>A települési önkormányzatok egyes köznevelési feladatainak támogatása</t>
  </si>
  <si>
    <t>III.1.</t>
  </si>
  <si>
    <t>Szociális ágazati pótlék (MÁK adja pótelőirányzatként majd)</t>
  </si>
  <si>
    <t>III.3.</t>
  </si>
  <si>
    <t>Egyes szociális és gyermekjóléti feladatok támogatása</t>
  </si>
  <si>
    <t>III.3.a)</t>
  </si>
  <si>
    <t>Család- és gyermekjóléti szolgálat (2015.01.01. lakosságszám alapján)</t>
  </si>
  <si>
    <t>III.3.b)</t>
  </si>
  <si>
    <t>Család- és gyermekjóléti központ (2015.01.01. lakosságszám alapján)</t>
  </si>
  <si>
    <t>III.3.c)</t>
  </si>
  <si>
    <t>Szociális étkeztetés - társulási kiegészítéssel (55 360 Ft fajlagos összeg 110 %-a)</t>
  </si>
  <si>
    <t>Társulási kiegészítés szociális étkeztetésre</t>
  </si>
  <si>
    <t>{60896}</t>
  </si>
  <si>
    <t>III.3.da)</t>
  </si>
  <si>
    <t>III.3.db)</t>
  </si>
  <si>
    <t>Társulási kiegészítés személyi gondozáshoz + fajlagos összeg 30%-a</t>
  </si>
  <si>
    <t>{429000}</t>
  </si>
  <si>
    <t>III.3.d)</t>
  </si>
  <si>
    <t>Házi segítségnyújtás - 2017. évben két jogcímen igényelhető támogatás össz.</t>
  </si>
  <si>
    <t>III.3.f)</t>
  </si>
  <si>
    <t>Időskorúak nappali intézményi ellátása</t>
  </si>
  <si>
    <t>Társulási kiegészítés időskorúak nappali ellátásához + fajlagos összeg 50%-a</t>
  </si>
  <si>
    <t>{163500}</t>
  </si>
  <si>
    <t>III.3.g)</t>
  </si>
  <si>
    <t xml:space="preserve">Fogyatékosok személyek nappali intézményi ellátása </t>
  </si>
  <si>
    <t>Társulási kiegészítés fogyatékosok nappali ellátásához + fajlagos összeg 10%-a</t>
  </si>
  <si>
    <t>{550000}</t>
  </si>
  <si>
    <t>III.3.i)</t>
  </si>
  <si>
    <t xml:space="preserve">Hajléktalanok nappali intézményi ellátása </t>
  </si>
  <si>
    <t>Társulási kiegészítés hajléktalanok nappali ellátásához + fajlagos összeg 20%-a</t>
  </si>
  <si>
    <t>{247320}</t>
  </si>
  <si>
    <t>III.3.k)</t>
  </si>
  <si>
    <t>Hajléktalanok átmeneti intézményei (átmeneti szállás, éjjeli menedékhely)</t>
  </si>
  <si>
    <t>fhely</t>
  </si>
  <si>
    <t>Társulási kiegészítés hajléktalanok éjjeli ellátásához + fajlagos összeg 10%-a</t>
  </si>
  <si>
    <t>{539000}</t>
  </si>
  <si>
    <t>III.3.l)</t>
  </si>
  <si>
    <t>Támogató szolgáltatás - alaptámogatás</t>
  </si>
  <si>
    <t>Támogató szolgáltatás - teljesítménytámogatás - személyi segítés</t>
  </si>
  <si>
    <t>felad.egység</t>
  </si>
  <si>
    <t>Támogató szolgáltatás - teljesítménytámogatás - szállításhoz személyi segítés max.50%</t>
  </si>
  <si>
    <t>III.3.m)</t>
  </si>
  <si>
    <t>Közösségi alapellátások - alaptámogatás</t>
  </si>
  <si>
    <t>Ft/év/szolgálat</t>
  </si>
  <si>
    <t>Közösségi alapellátások - teljesítménytámogatás</t>
  </si>
  <si>
    <t>Ft/feladategység</t>
  </si>
  <si>
    <t>III.3.n)</t>
  </si>
  <si>
    <t>Óvodai és iskolai szoc. segítő tevékenység támogatása (család- és gyjóléti központ útján)</t>
  </si>
  <si>
    <t>miniszteri döntés alapján 2018.08.15-ig</t>
  </si>
  <si>
    <t>Egyes szociális és gyermekjóléti feladatok támogatása összesen</t>
  </si>
  <si>
    <t>III.4./</t>
  </si>
  <si>
    <t>Kistérségi Idősk. Otthona állami támogatása - szakmai dolgozók bértám.</t>
  </si>
  <si>
    <t>Kistérségi Idősk. Otthona állami támogatása - intézményüzemeltetés tám.</t>
  </si>
  <si>
    <t>III.4.</t>
  </si>
  <si>
    <t>Kistérségi Időskorúak Otthona állami támogatása - átadandó Kist.Társ.</t>
  </si>
  <si>
    <t xml:space="preserve">III.5. </t>
  </si>
  <si>
    <t>Gyermekétkeztetés támogatása</t>
  </si>
  <si>
    <t>III.5.a)</t>
  </si>
  <si>
    <t>Finanszírozás szempontjából elismert dolgozók bértámogatása</t>
  </si>
  <si>
    <t>fő/év</t>
  </si>
  <si>
    <t>III.5.b)</t>
  </si>
  <si>
    <t xml:space="preserve">Gyermekétkeztetés üzemeltetési támogatása </t>
  </si>
  <si>
    <t>Gyermekétkeztetés támogatása összesen</t>
  </si>
  <si>
    <t>III.6.</t>
  </si>
  <si>
    <t xml:space="preserve">A rászoruló gyermekek intézményen kívüli szünidei étkeztetésének támogatása </t>
  </si>
  <si>
    <t>III.7. a)</t>
  </si>
  <si>
    <t>Felsőfőkú végzettségű kisgyermeknevelők, szaktanácsadók bértámogatása (szoc.hj.adóval)</t>
  </si>
  <si>
    <t>A finanszírozás szempontjából elismert szakmai dolgozók bértámogatása-középf.végzetts.</t>
  </si>
  <si>
    <t>III.7. b)</t>
  </si>
  <si>
    <t>Bölcsődei üzemeltetési támogatás</t>
  </si>
  <si>
    <t>csak a 32000 adóerő alattiaknak</t>
  </si>
  <si>
    <t>III.7.</t>
  </si>
  <si>
    <t>Bölcsőde, mini bölcsőde támogatása összesen</t>
  </si>
  <si>
    <t xml:space="preserve">2.mell. III. </t>
  </si>
  <si>
    <t>A települési önkormányzatok szociális és gyermekjóléti feladatainak támogatása</t>
  </si>
  <si>
    <t>IV.</t>
  </si>
  <si>
    <t>A TELEPÜLÉSI ÖNKORMÁNYZATOK KULTURÁLIS FELADATAINAK TÁMOGATÁSA</t>
  </si>
  <si>
    <t>IV.1.a)</t>
  </si>
  <si>
    <t>Megyei hatókörű városi múzeumok feladatainak támogatása (2018. évben nem ismert)</t>
  </si>
  <si>
    <t>IV.1.d)</t>
  </si>
  <si>
    <t>Települési önk.nyilvános könyvtári és közműv. feladatainak támogatása</t>
  </si>
  <si>
    <t>IV.1.i)</t>
  </si>
  <si>
    <t>Települési önkormányzatok könyvtári célú érdekeltségnövelő támogatása</t>
  </si>
  <si>
    <t>IV.3.</t>
  </si>
  <si>
    <t>Kulturális illetménypótlék</t>
  </si>
  <si>
    <t>Kincstártól havonta pótelőirányzatként</t>
  </si>
  <si>
    <t>2.mell. IV.</t>
  </si>
  <si>
    <t>A települési önkormányzatok kulturális feladatainak támogatása</t>
  </si>
  <si>
    <t>V.</t>
  </si>
  <si>
    <t>BESZÁMÍTÁS</t>
  </si>
  <si>
    <t>Ft</t>
  </si>
  <si>
    <t>2.mell. V.</t>
  </si>
  <si>
    <t>Az elvonás a jogcímeknél beépítve</t>
  </si>
  <si>
    <t>2. melléklet jogcímeihez: ÁLLAMI TÁMOGATÁS BESZÁMÍTÁSSAL CSÖKKENTETT ÖSSZEGE</t>
  </si>
  <si>
    <t>2. melléklet V. Beszámításhoz új szabály további 45 % elvonás szolidaritási hjárulás címén</t>
  </si>
  <si>
    <t>2. melléklet jogcímeihez: ÁLLAMI TÁMOGATÁS ÖSSZESEN</t>
  </si>
  <si>
    <t>462/2017. (XII.28.) Korm.r. 7. melléklet: Bérkompenzáció</t>
  </si>
  <si>
    <t xml:space="preserve">                                </t>
  </si>
  <si>
    <t>Beszámítás kiszámítása sorrend szerint</t>
  </si>
  <si>
    <t>Beszámitás maximum összege: 343 354 893 Ft</t>
  </si>
  <si>
    <t>Csökkentések jogcímek szerint:</t>
  </si>
  <si>
    <t xml:space="preserve"> - állami támogatás működésre</t>
  </si>
  <si>
    <t xml:space="preserve"> - állami támogatás felhalmozásra</t>
  </si>
  <si>
    <t>ÁLLAMI TÁMOGATÁS MŰKÖDÉSRE</t>
  </si>
  <si>
    <t>ÁLLAMI TÁMOGATÁS FELHALMOZÁSRA</t>
  </si>
  <si>
    <t>Mód.
(IV. 25.)</t>
  </si>
  <si>
    <t>Tata Város Önkormányzatának pénzmaradvány igénybevétele cél szerinti tagolásban (E Ft-ban) (költségvetési szervek nélkül)</t>
  </si>
  <si>
    <t>Tata Város Önkormányzat Képviselő-testülete 99/2018. (III.28.) Tata Kt. határozata Tatai Önkéntes Bűnmegelőző Polgárőr Egyesület támogatása</t>
  </si>
  <si>
    <t>Működési célú vissza nem térítendő támogatás</t>
  </si>
  <si>
    <t>Tata Város Önkormányzat Képviselő- testületének 3/2018.(I.31.) Tata Kt. Határozata a Fenntartható települési közlekedésfejlesztés TOP-3.1.1-16 kódszámú pályázat</t>
  </si>
  <si>
    <t>Felhalmozási célú támogatások államháztartáson belülről (visszatérítendő)</t>
  </si>
  <si>
    <t>Tata Város Önkormányzat Képviselő- testületének 4/2018.(I.31.) Tata Kt. Határozata a Társadalmi és környezeti szempontból fenntartható turizmusfejlesztés TOP-1.2.1-16 kódszámú pályázat</t>
  </si>
  <si>
    <t>Tata Város Önkormányzat Képviselő- testületének 5/2018.(I.31.) Tata Kt. Határozata az „Energetikai korszerűsítés a Tatai Kertvárosi Óvodában” című, TOP-3.2.1-16-KO1-2017-00001 azonosítószámú nyertes pályázat</t>
  </si>
  <si>
    <t>Tata Város Önkormányzat Képviselő- testületének 6/2018.(I.31.) Tata Kt. Határozata „A tatai Szivárvány Óvoda épületenergetikai megújítása” című, TOP-3.2.1-16-KO1-2017-00007 azonosítószámú nyertes pályázat</t>
  </si>
  <si>
    <t>Tata Város Önkormányzat Képviselő-testületének 7/2018.(I.31.) Tata Kt. Határozata a Nők a családban és a munkahelyen EFOP-1.2.9-17 kódszámú pályázat</t>
  </si>
  <si>
    <t>Tata Város Önkormányzat Képviselő-testületének 8/2018.(I.31.) Tata Kt. Határozata a Humán szolgáltatások fejlesztése térségi szemléletben EFOP-1.5.2-16 kódszámú pályázat</t>
  </si>
  <si>
    <t>Tata Város Önkormányzat Képviselő-testületének 9/2018.(I.31.) Tata Kt. Határozata a Kulturális intézmények a köznevelés eredményességéért EFOP-3.3.2-16 kódszámú pályázat</t>
  </si>
  <si>
    <t>Tata Város Önkormányzat Képviselő-testületének 10/2018.(I.31.) Tata Kt. Határozata a Közösségi művelődési intézmény- és szervezetrendszer tanulást segítő infrastrukturális fejlesztései EFOP-4.1.7-16 kódszámú pályázat</t>
  </si>
  <si>
    <t>Tata Város Önkormányzat Képviselő-testületének 11/2018.(I.31.) Tata Kt. Határozata a Könyvtári intézményrendszer tanulást segítő infrastrukturális fejlesztései EFOP-4.1.8-16 kódszámú pályázat</t>
  </si>
  <si>
    <t>Tata Város Önkormányzat Képviselő- testületének 68/2018.(II.28.) Tata Kt. határozata A Kőkúti Sasok Diák Sportegyesületnek</t>
  </si>
  <si>
    <t>Tata Város Önkormányzat Képviselő-testületének 115/2018.(III.28.) Tata Kt. határozata a központi orvosi ügyelet működtetéséhez</t>
  </si>
  <si>
    <t>Országgyűlési választások</t>
  </si>
  <si>
    <t>Esterházy Kastély udvarában található tó meder helyreállítása és csapadékcsatornába vezetése (Kormányhatározat alapján)</t>
  </si>
  <si>
    <t>Felhalmozási célú támogatások államháztartáson belülről</t>
  </si>
  <si>
    <t>Tata Város Önkormányzat Képviselő-testületének 41/2018.(I.31.) Tata Kt. határozata a Tatai Kenderke Alapítvány támogatása</t>
  </si>
  <si>
    <t>Tata Város Önkormányzat Képviselő-testületének 41/2018.(I.31.) Tata Kt. határozata a Vaszary Alapítvány támogatása</t>
  </si>
  <si>
    <t>Tata Város Önkormányzat Képviselő-testületének 80/2018.(II.28.) Tata Kt. határozata a Magyar Labdarúgó Szövetség defibrillátor pályázatához</t>
  </si>
  <si>
    <t>Tata Város Önkormányzat Képviselő-testülete 99/2018.(III.28.) Tata Kt. Határozata Tatai Önkéntes Bűnmegelőző Polgárőr Egyesület 2018. évi támogatása</t>
  </si>
  <si>
    <t>Tata Város Önkormányzat Képviselő-testületének 108/2018.(III.28.) Tata Kt. határozata a Kéz a Kézben Alapítvány támogatás</t>
  </si>
  <si>
    <t>Tata Város Önkormányzat Képviselő-testületének 109/2018.(III.28.) Tata Kt. határozata a Cirmos Cica Alapítvány támogatása</t>
  </si>
  <si>
    <t>Tata Város Önkormányzat Képviselő-testületének 111/2018.(III.28.) Tata Kt. határozata az Országos Mentőszolgálat Alapítvány támogatása</t>
  </si>
  <si>
    <t>Tata Város Önkormányzat Képviselő-testületének 110/2018.(III.28.) Tata Kt. határozata a Vaszary Alapítvány támogatása</t>
  </si>
  <si>
    <t>Gölbasi Vitézei Egyesületnek - Tata Várának Janicsárjai támogatása</t>
  </si>
  <si>
    <t>Likvid hitel törlesztés</t>
  </si>
  <si>
    <t>Likvid hitel felvétel</t>
  </si>
  <si>
    <t>Felhalmozási célú átvett pénzeszközök (államháztartáson belülről)</t>
  </si>
  <si>
    <t>Tatai Közös Önkormányzati Hivatal 2018. évi költségvetési terve (kormányzati funkciók és kiemelt előirányzatok szerinti bontásban)
( E Ft-ban)</t>
  </si>
  <si>
    <t>Kiadás</t>
  </si>
  <si>
    <t>Működési kiadások</t>
  </si>
  <si>
    <t>Felhalmozási kiadások</t>
  </si>
  <si>
    <t>M.adókat terh. jár. és szochó</t>
  </si>
  <si>
    <t>Dologi</t>
  </si>
  <si>
    <t>Ellátottak pénzbeli juttatása</t>
  </si>
  <si>
    <t>Hitel- és kölcsön törlesztés</t>
  </si>
  <si>
    <t>Költségvetési szerveknek folyósított támogatás</t>
  </si>
  <si>
    <t>Államigazgatás</t>
  </si>
  <si>
    <t>Önkormányzatok és önkormányzati hivatalok jogalkotás és általános igazgatási tevékenysége</t>
  </si>
  <si>
    <t>011220</t>
  </si>
  <si>
    <t>Adó-, vám és jövedéki igazgatás</t>
  </si>
  <si>
    <t>0161010</t>
  </si>
  <si>
    <t>Országgyűlési,Önkormányzati,parlamenti választások</t>
  </si>
  <si>
    <t>016030</t>
  </si>
  <si>
    <t>Állampolgársági ügyek - Anyakönyv</t>
  </si>
  <si>
    <t>Támogatási célú finanszírozási műveletek</t>
  </si>
  <si>
    <t>Nem kötelező</t>
  </si>
  <si>
    <t>Közterület rendjének fenntartása (közterület fenntartás)</t>
  </si>
  <si>
    <t>044310</t>
  </si>
  <si>
    <t>Építés hatósági ügyek</t>
  </si>
  <si>
    <t>Lakáshoz jutást segítő támogatások</t>
  </si>
  <si>
    <t>Város- községgazdálkodási szolgáltatások</t>
  </si>
  <si>
    <t>Kötelező</t>
  </si>
  <si>
    <t>109010</t>
  </si>
  <si>
    <t>Szociális szolgáltatások igazgatása</t>
  </si>
  <si>
    <t>Tata összesen</t>
  </si>
  <si>
    <t>Neszmélyi Kirendeltség</t>
  </si>
  <si>
    <t>016010</t>
  </si>
  <si>
    <t>Neszmélyi Kirendeltség összesen:</t>
  </si>
  <si>
    <t>Dunaalmási Kirendeltség összesen:</t>
  </si>
  <si>
    <t>Dunaszentmiklósi Kirendeltség összesen:</t>
  </si>
  <si>
    <t>Községek összesen:</t>
  </si>
  <si>
    <t>Eredeti összesen:</t>
  </si>
  <si>
    <t>Kötelező összesen:</t>
  </si>
  <si>
    <t>Nem kötelező összesen:</t>
  </si>
  <si>
    <t>Államigazgatás összesen:</t>
  </si>
  <si>
    <t>Intézmények Gazdasági Hivatalához tartozó önállóan működő intézmények 2018.évi költségvetése E Ft-ban</t>
  </si>
  <si>
    <t>Költségvetési alcím megnevezése</t>
  </si>
  <si>
    <t>Feladat jellege</t>
  </si>
  <si>
    <t>Áru és készletértékesítés</t>
  </si>
  <si>
    <t>Szolgáltatás</t>
  </si>
  <si>
    <t>Közvetített szolgáltatás</t>
  </si>
  <si>
    <t>ÁFA</t>
  </si>
  <si>
    <t>Átvett pénzeszközök</t>
  </si>
  <si>
    <t>Támogatásértékű bevétel</t>
  </si>
  <si>
    <t>Pénzmaradvány</t>
  </si>
  <si>
    <t>Finanszírozás</t>
  </si>
  <si>
    <t>Saját bevételek</t>
  </si>
  <si>
    <t>Bevételek összesen</t>
  </si>
  <si>
    <t>Kiadások összesen</t>
  </si>
  <si>
    <t>működési célra</t>
  </si>
  <si>
    <t>felhalmozási célra</t>
  </si>
  <si>
    <t>Személyi juttatás</t>
  </si>
  <si>
    <t>M.adókat terhelő jár.</t>
  </si>
  <si>
    <t xml:space="preserve"> Tatai Fürdő utcai Óvoda</t>
  </si>
  <si>
    <t>Mód.(04.25)</t>
  </si>
  <si>
    <t>Tatai Kincseskert Óvoda Szivárvány Tagintézménye</t>
  </si>
  <si>
    <t>Tatai Geszti Óvoda</t>
  </si>
  <si>
    <t>Tatai Bartók Béla Óvoda</t>
  </si>
  <si>
    <t>Tatai Kertvárosi Óvoda</t>
  </si>
  <si>
    <t xml:space="preserve"> Tatai Kincseskert Óvoda</t>
  </si>
  <si>
    <t>Tatai Geszti Óvoda Bergengócia Tagintézménye</t>
  </si>
  <si>
    <t xml:space="preserve"> Tatai Csillagsziget Bölcsöde</t>
  </si>
  <si>
    <t>Tatai Vaszary J. Általános Iskola</t>
  </si>
  <si>
    <t>Vaszary J. Általános Iskola Jázmin utcai Tagintézménye</t>
  </si>
  <si>
    <t>Tatai Vaszary J. Általános Iskola ÖSSZESEN</t>
  </si>
  <si>
    <t>Tatai Kőkúti Általános Iskola</t>
  </si>
  <si>
    <t>Kőkúti Általános Iskola - Fazekas utcai Tagintézmény</t>
  </si>
  <si>
    <t>Tatai Kőkúti Általános Iskola ÖSSZESEN</t>
  </si>
  <si>
    <t>KEM-i Óvoda, Ált. Iskola, Speciális Szakiskola, Kollégium és Gyermekotthon</t>
  </si>
  <si>
    <t>Bláthy Ottó Szakközépiskola, Szakiskola és Kollégium</t>
  </si>
  <si>
    <t>Intézmények Gazdasági Hivatala</t>
  </si>
  <si>
    <t>Önként vállalt feladat</t>
  </si>
  <si>
    <t>ISKOLÁK és IGH ÖSSZESEN</t>
  </si>
  <si>
    <t>Tatai Kuny Domokos Múzeum</t>
  </si>
  <si>
    <t>Tata Móricz Zsigmond Városi Könyvtár</t>
  </si>
  <si>
    <t>Tatai Egészségügyi Alapellátó Intézmény</t>
  </si>
  <si>
    <t>Költségvetési  alcímek és szakfeladatok ÖSSZSESEN</t>
  </si>
  <si>
    <t>IGH feladatkörébe tartozó kötelező feladatok</t>
  </si>
  <si>
    <t>Kötelező összesen</t>
  </si>
  <si>
    <t>IGH feladatkörébe tartozó önként vállalt  feladatok</t>
  </si>
  <si>
    <t>Kisértékű tárgyi eszköz beszerés (fényképezőgéphez memóriakártya)</t>
  </si>
  <si>
    <t>Tárgyi eszközök beszerzés  (11 db Apple iPad - általános tartalékból)</t>
  </si>
  <si>
    <t xml:space="preserve">Fenntartható települési közlekedésfejlesztés TOP-3.1.1-16 </t>
  </si>
  <si>
    <t>Lidl Magyarország Betéti Társaság 14/2018.(I.31.) Tata Kt. Határozata alapján</t>
  </si>
  <si>
    <t>Tata, Várárok vízfólyásaihoz zsilipdeszkák és halrácsok gyártása a 399/2017. (XI.29.) Tata Kt. Határozata</t>
  </si>
  <si>
    <t>Eszterházy kastély udvarában található tómeder felújítás, helyreállítása és csapadékcsatornába vezetése</t>
  </si>
  <si>
    <t>Energetikai korszerűsítés a tatai Kertvárosi Óvodában TOP-3.2.1-16-KOI-2017-000001</t>
  </si>
  <si>
    <t>A tatai Szivárvány Óvoda épületenergetikai megújítása TOP-3.2.1-16-KOI-2017-00007</t>
  </si>
  <si>
    <t xml:space="preserve">A közösségi művelődési intézmény- és szervezetrendszer tanulást segítő infrastrukturális fejlesztései EFOP-4.1.7-16 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</si>
  <si>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</si>
  <si>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</si>
  <si>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</si>
  <si>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</si>
  <si>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 - Agostyáni Tagintézménye</t>
  </si>
  <si>
    <t>Tatai Geszti Óvoda összesen</t>
  </si>
  <si>
    <t>Tatai Bartók Béla úti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</si>
  <si>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</si>
  <si>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</si>
  <si>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</si>
  <si>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</si>
  <si>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</si>
  <si>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</si>
  <si>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 xml:space="preserve">Intézmények Gazdasági Hivatala </t>
  </si>
  <si>
    <t>Kuny Domokos Múzeum</t>
  </si>
  <si>
    <t>Intézmények Gazdasági Hivatalához tartozó intézmények</t>
  </si>
  <si>
    <t>Városi Önkormányzat Intézmények összesen:</t>
  </si>
  <si>
    <t>- Közös Hivatal székhely szerinti szervezeti egysége</t>
  </si>
  <si>
    <t>- Dunaalmási Kirendeltség</t>
  </si>
  <si>
    <t>- Dunaszentmiklósi Kirendeltség</t>
  </si>
  <si>
    <t>- Neszmélyi Kirendeltség</t>
  </si>
  <si>
    <t>Tatai Közös Önkormányzati Hivatal összesen:</t>
  </si>
  <si>
    <r>
      <t xml:space="preserve">Tata Város Önkormányzata </t>
    </r>
    <r>
      <rPr>
        <sz val="10"/>
        <rFont val="Times New Roman"/>
        <family val="1"/>
        <charset val="238"/>
      </rPr>
      <t>- választott tisztségviselő</t>
    </r>
  </si>
  <si>
    <t>Önkormányzati közfoglalkoztatottak éves létszám-erőirányzata</t>
  </si>
  <si>
    <t>Eredeti átlag létszám</t>
  </si>
  <si>
    <t>Hosszabb időtartamú közfoglalkoztatás</t>
  </si>
  <si>
    <t>Összesen:</t>
  </si>
  <si>
    <t>Az Önkormányzat adósságot keletkeztető ügyleteinek és azok fedezetére felhasználható saját bevételeink alakulása (E Ft-ban)</t>
  </si>
  <si>
    <t>2018.</t>
  </si>
  <si>
    <t>2018.Mód(IV.25.)</t>
  </si>
  <si>
    <t>2019.</t>
  </si>
  <si>
    <t>2020.</t>
  </si>
  <si>
    <t>2021.</t>
  </si>
  <si>
    <t>2022.</t>
  </si>
  <si>
    <t>2023.</t>
  </si>
  <si>
    <t>7. évet követően lejáratig (2024.)</t>
  </si>
  <si>
    <t>Összesen Mód.(IV.25.)</t>
  </si>
  <si>
    <t>Helyi adók</t>
  </si>
  <si>
    <t>Osztalék, koncessziós díj, hozambevétel (kamatbevétel)</t>
  </si>
  <si>
    <t>Díjak, pótlékok, bírságok</t>
  </si>
  <si>
    <t>Talajterhelési díj</t>
  </si>
  <si>
    <t>Szolgáltatások ellenértéke (temető fenntartási hozzájárulás,sírhelydíj, nevezési díj)</t>
  </si>
  <si>
    <t>Tulajdonosi bevétel (használatba adásból, üzemeltetésbe adásból származó bevétel)</t>
  </si>
  <si>
    <t>Pótlék, bírság</t>
  </si>
  <si>
    <t>Tárgyi eszközök, immateriális javak, és önkormányzati vagyonértékesítésből származó bevétel (ÁFA nélküli, csak önkormányzat)</t>
  </si>
  <si>
    <t>SAJÁT BEVÉTELEK</t>
  </si>
  <si>
    <t>Saját bevételek 50 %-a</t>
  </si>
  <si>
    <t>Előző év (ek) ben keletkezett tárgyévet terhelő fizetési kötelezettség</t>
  </si>
  <si>
    <t>Hosszú lejáratú hitel tőke és kamatfizetési kötelezettsége</t>
  </si>
  <si>
    <t>Tárgyévben keletkezett, illetve keletkező, tárgyévet terhelő fizetési kötelezettség</t>
  </si>
  <si>
    <t>FIZETÉSI KÖTELEZETTSÉG ÖSSZESEN</t>
  </si>
  <si>
    <t xml:space="preserve">Fizetési kötelezettség csökkentett saját bevétel 50 %-a </t>
  </si>
  <si>
    <t>Irányítószervi támogatás:</t>
  </si>
  <si>
    <t>Tata Város Önkormányzat 2018. évi költségvetési terve 
(kormányzati funkciók és kiemelt előirányzatok szerinti bontásban) 
( E Ft-ban)</t>
  </si>
  <si>
    <t>Betét lekötés</t>
  </si>
  <si>
    <t>011 130</t>
  </si>
  <si>
    <t>Önkormányzatok és önkormányzati hivatalok jogalkotó és általános igazgatási tevékenysége (Pénzmaradv.)</t>
  </si>
  <si>
    <t>Önkormányzatok és önkormányzati hivatalok jogalkotó és általános igazgatási tevékenysége</t>
  </si>
  <si>
    <t>011 320</t>
  </si>
  <si>
    <t>Nemzetközi szervezetekben való részvétel</t>
  </si>
  <si>
    <t>013 320</t>
  </si>
  <si>
    <t>Köztemető fenntartás és működtetés</t>
  </si>
  <si>
    <t>013 350</t>
  </si>
  <si>
    <t>Az önkormányzati vagyonnal való gazdálkodással kapcsolatos feladatok</t>
  </si>
  <si>
    <t>013370</t>
  </si>
  <si>
    <t>Informatikai fejlesztések, szolgáltatások</t>
  </si>
  <si>
    <t>016 080</t>
  </si>
  <si>
    <t>Kiemelt állami és önkormányzati rendezvények (Nemzeti ünnepek)</t>
  </si>
  <si>
    <t>Kiemelt állami és önkormányzati rendezvények (Minimarathon)</t>
  </si>
  <si>
    <t>Kiemelt állami és önkormányzati rendezvények (Városi ünnepek)</t>
  </si>
  <si>
    <t>Kiemelt állami és önkormányzati rendezvények</t>
  </si>
  <si>
    <t>018 010</t>
  </si>
  <si>
    <t>Önkormányzatok elszámolásai a központi költségvetéssel</t>
  </si>
  <si>
    <t>018 020</t>
  </si>
  <si>
    <t>Központi költségvetési befizetések</t>
  </si>
  <si>
    <t>018 030</t>
  </si>
  <si>
    <t>031 030</t>
  </si>
  <si>
    <t>Közterület rendjének fenntartása</t>
  </si>
  <si>
    <t>032 020</t>
  </si>
  <si>
    <t>Tűz- és katasztrófavédelmi tevékenységek</t>
  </si>
  <si>
    <t>041 233</t>
  </si>
  <si>
    <t>Bérpótló juttatásra jogosultak hosszabb időtartamú közfoglalkoztatása (Országos)</t>
  </si>
  <si>
    <t>042 220</t>
  </si>
  <si>
    <t>Erdőgazdálkodás</t>
  </si>
  <si>
    <t>045 120</t>
  </si>
  <si>
    <t>Út, autópálya építése</t>
  </si>
  <si>
    <t>045 160</t>
  </si>
  <si>
    <t>Közutak, hidak, alagutak üzemeltetése, fenntartása</t>
  </si>
  <si>
    <t>047 460</t>
  </si>
  <si>
    <t>Kis- és középvállalkozások működési és fejlesztési támogatásai</t>
  </si>
  <si>
    <t>051 030</t>
  </si>
  <si>
    <t>Nem veszélyes (települési) hulladék összetevőinek válogatása, elkülönített begyűjtése, szállítása, átrakása</t>
  </si>
  <si>
    <t>052 080</t>
  </si>
  <si>
    <t>Szennyvíz gyűjtése, tisztítása, elhelyezése</t>
  </si>
  <si>
    <t>053 010</t>
  </si>
  <si>
    <t>Környezetszennyezés csökkentésének igazgatása</t>
  </si>
  <si>
    <t>061 030</t>
  </si>
  <si>
    <t>Önkormányzat által nyújtott lakástámogatás</t>
  </si>
  <si>
    <t>063 080</t>
  </si>
  <si>
    <t>Víztermelés-kezelés ellátás</t>
  </si>
  <si>
    <t>064 010</t>
  </si>
  <si>
    <t>Közvilágítás</t>
  </si>
  <si>
    <t>066 010</t>
  </si>
  <si>
    <t>Zöldterület kezelés (parkfenntartás)</t>
  </si>
  <si>
    <t>Zöldterület kezelés (játszótér)</t>
  </si>
  <si>
    <t>066 020</t>
  </si>
  <si>
    <t>Város- községgazdálkodási egyéb szolgáltatások (Közbeszerzés)</t>
  </si>
  <si>
    <t>Város- községgazdálkodási egyéb szolgáltatások (Építés- és területfejlesztés)</t>
  </si>
  <si>
    <t>Város- községgazdálkodási egyéb szolgáltatások (VKG)</t>
  </si>
  <si>
    <t>Város- községgazdálkodási egyéb szolgáltatások (felsőoktatási központ)</t>
  </si>
  <si>
    <t>072112</t>
  </si>
  <si>
    <t>Háziorvosi ügyelet ellátás</t>
  </si>
  <si>
    <t>081 030</t>
  </si>
  <si>
    <t>Sportlétesítmények, edzőtáborok működtetése és fejlesztése</t>
  </si>
  <si>
    <t>081 045</t>
  </si>
  <si>
    <t>Máshová nem sorolható egyéb sporttámogatás</t>
  </si>
  <si>
    <t>081 061</t>
  </si>
  <si>
    <t>Szabadidős park, fürdő és strandszolgáltatás</t>
  </si>
  <si>
    <t>082 092</t>
  </si>
  <si>
    <t>Közművelődési tevékenységek és támogatásuk</t>
  </si>
  <si>
    <t>083 030</t>
  </si>
  <si>
    <t>Egyéb kiadói tevékenység</t>
  </si>
  <si>
    <t>084 032</t>
  </si>
  <si>
    <t>Civil szervezetek programtámogatása</t>
  </si>
  <si>
    <t>084 070</t>
  </si>
  <si>
    <t>Önkormányzat ifjúsági kezdeményezések és programok</t>
  </si>
  <si>
    <t>086 030</t>
  </si>
  <si>
    <t>Nemzetközi kulturális együttműködés (Testvérvárosi feladatok)</t>
  </si>
  <si>
    <t>098 031</t>
  </si>
  <si>
    <t>Pedagógiai szakmai szolgáltatások szakmai feladatai</t>
  </si>
  <si>
    <t>101 150</t>
  </si>
  <si>
    <t>Betegséggel kapcsolatos pénzbeli ellátások, támogatások</t>
  </si>
  <si>
    <t>106 010</t>
  </si>
  <si>
    <t>Lakóingatlan szociális célú bérbeadása, üzemeltetése</t>
  </si>
  <si>
    <t>106 020</t>
  </si>
  <si>
    <t>Lakásfenntartással, lakhatással összefüggő ellátások</t>
  </si>
  <si>
    <t>107 060</t>
  </si>
  <si>
    <t>Egyéb szociális pénzbeli és természetbeni ellátások, támogatások</t>
  </si>
  <si>
    <t>900 060</t>
  </si>
  <si>
    <t>Forgatási és befektetési célú finanszírozási műveletek</t>
  </si>
  <si>
    <t>900 070</t>
  </si>
  <si>
    <t>Fejezeti és befektetési célú finanszírozási műveletek - Általános tartalék</t>
  </si>
  <si>
    <t>900 020</t>
  </si>
  <si>
    <t>Önkormányzatok funkcióra nem tervezhető bevételei /helyi adók/</t>
  </si>
  <si>
    <t>Likvidhitel felvétel</t>
  </si>
  <si>
    <r>
      <t xml:space="preserve">2018. Eredeti előirányzat      </t>
    </r>
    <r>
      <rPr>
        <sz val="11"/>
        <rFont val="Times New Roman"/>
        <family val="1"/>
        <charset val="238"/>
      </rPr>
      <t xml:space="preserve"> E Ft-ban</t>
    </r>
  </si>
  <si>
    <r>
      <t xml:space="preserve">2018. áprilisi módosított előirányzat      </t>
    </r>
    <r>
      <rPr>
        <sz val="11"/>
        <rFont val="Times New Roman"/>
        <family val="1"/>
        <charset val="238"/>
      </rPr>
      <t xml:space="preserve"> E Ft-ban</t>
    </r>
  </si>
  <si>
    <r>
      <t>Áprilisi módosított Előirányzat</t>
    </r>
    <r>
      <rPr>
        <b/>
        <sz val="11"/>
        <rFont val="Times New Roman"/>
        <family val="1"/>
        <charset val="238"/>
      </rPr>
      <t xml:space="preserve">           Ft-ban</t>
    </r>
  </si>
  <si>
    <r>
      <t>Önkormányzati Hivatal működésének támogatása (</t>
    </r>
    <r>
      <rPr>
        <sz val="11"/>
        <rFont val="Times New Roman"/>
        <family val="1"/>
        <charset val="238"/>
      </rPr>
      <t>Közös Hiv. 26.736 fő lakos)</t>
    </r>
  </si>
  <si>
    <r>
      <t>Egyéb önkormányzati feladat támogatása (</t>
    </r>
    <r>
      <rPr>
        <sz val="11"/>
        <rFont val="Times New Roman"/>
        <family val="1"/>
        <charset val="238"/>
      </rPr>
      <t>adóerőképesség 1 lakosra 41.602 Ft)</t>
    </r>
  </si>
  <si>
    <r>
      <t xml:space="preserve">Házi segítségnyújtáshoz </t>
    </r>
    <r>
      <rPr>
        <b/>
        <i/>
        <sz val="11"/>
        <rFont val="Times New Roman"/>
        <family val="1"/>
        <charset val="238"/>
      </rPr>
      <t>Szociális segítés</t>
    </r>
  </si>
  <si>
    <r>
      <t xml:space="preserve">Házi segítségnyújtáshoz </t>
    </r>
    <r>
      <rPr>
        <b/>
        <i/>
        <sz val="11"/>
        <rFont val="Times New Roman"/>
        <family val="1"/>
        <charset val="238"/>
      </rPr>
      <t>Személyi gondozás</t>
    </r>
    <r>
      <rPr>
        <sz val="11"/>
        <rFont val="Times New Roman"/>
        <family val="1"/>
        <charset val="238"/>
      </rPr>
      <t xml:space="preserve"> </t>
    </r>
  </si>
  <si>
    <r>
      <t xml:space="preserve">Önkormányzat elvárt bevétele: </t>
    </r>
    <r>
      <rPr>
        <b/>
        <sz val="11"/>
        <rFont val="Times New Roman"/>
        <family val="1"/>
        <charset val="238"/>
      </rPr>
      <t xml:space="preserve">2016.évi </t>
    </r>
    <r>
      <rPr>
        <sz val="11"/>
        <rFont val="Times New Roman"/>
        <family val="1"/>
        <charset val="238"/>
      </rPr>
      <t>iparűzési adóalap 0,55 %-a</t>
    </r>
  </si>
  <si>
    <r>
      <t xml:space="preserve">Differenciálás: </t>
    </r>
    <r>
      <rPr>
        <b/>
        <sz val="11"/>
        <rFont val="Times New Roman"/>
        <family val="1"/>
        <charset val="238"/>
      </rPr>
      <t>Támogatás csökkentés 100 % lenne</t>
    </r>
    <r>
      <rPr>
        <sz val="11"/>
        <rFont val="Times New Roman"/>
        <family val="1"/>
        <charset val="238"/>
      </rPr>
      <t xml:space="preserve"> az adóerő-képesség miatt, de közös hivatal székhelye miatt 10 %-kal csökkenthető, ezért 90 % a támogatás csökkentés.</t>
    </r>
  </si>
  <si>
    <r>
      <t xml:space="preserve">Támogatás csökkentés a következő </t>
    </r>
    <r>
      <rPr>
        <b/>
        <sz val="11"/>
        <rFont val="Times New Roman"/>
        <family val="1"/>
        <charset val="238"/>
      </rPr>
      <t>sorrend szerint</t>
    </r>
    <r>
      <rPr>
        <sz val="11"/>
        <rFont val="Times New Roman"/>
        <family val="1"/>
        <charset val="238"/>
      </rPr>
      <t xml:space="preserve"> I.1.c), I.1.d), I.1.e), I.1.ba),  I.1.bb),  I.1.bc),  I.1.bd),  I.1.a) támogatás összegéig terheli az önkormányzatot.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</si>
</sst>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;\-#,##0"/>
    <numFmt numFmtId="165" formatCode="0.0"/>
    <numFmt numFmtId="166" formatCode="[$-40E]General"/>
    <numFmt numFmtId="167" formatCode="_-* #,##0.00\ _F_t_-;\-* #,##0.00\ _F_t_-;_-* \-??\ _F_t_-;_-@_-"/>
    <numFmt numFmtId="168" formatCode="#,##0_ ;\-#,##0\ "/>
    <numFmt numFmtId="169" formatCode="#,##0.0"/>
    <numFmt numFmtId="170" formatCode="[$-40E]#,##0"/>
  </numFmts>
  <fonts count="12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name val="Arial C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u/>
      <sz val="11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0"/>
      <color rgb="FF00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2"/>
      <name val="Times New Roman CE"/>
      <charset val="238"/>
    </font>
    <font>
      <i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10"/>
      <color rgb="FF1C1C1C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rgb="FF000000"/>
      <name val="Arial1"/>
      <charset val="238"/>
    </font>
    <font>
      <sz val="10"/>
      <color rgb="FF000000"/>
      <name val="Arial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8"/>
      <color rgb="FF000000"/>
      <name val="Times New Roman1"/>
      <charset val="238"/>
    </font>
    <font>
      <b/>
      <sz val="20"/>
      <color rgb="FF000000"/>
      <name val="Times New Roman1"/>
      <charset val="238"/>
    </font>
    <font>
      <b/>
      <sz val="18"/>
      <color rgb="FF000000"/>
      <name val="Times New Roman1"/>
      <charset val="238"/>
    </font>
    <font>
      <sz val="16"/>
      <color rgb="FF000000"/>
      <name val="Times New Roman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sz val="10"/>
      <color rgb="FF000000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99FF6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39" fillId="0" borderId="0"/>
    <xf numFmtId="0" fontId="39" fillId="23" borderId="7" applyNumberFormat="0" applyAlignment="0" applyProtection="0"/>
    <xf numFmtId="0" fontId="17" fillId="20" borderId="8" applyNumberFormat="0" applyAlignment="0" applyProtection="0"/>
    <xf numFmtId="0" fontId="39" fillId="0" borderId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2" fillId="0" borderId="0"/>
    <xf numFmtId="0" fontId="43" fillId="0" borderId="0"/>
    <xf numFmtId="0" fontId="39" fillId="0" borderId="0"/>
    <xf numFmtId="0" fontId="44" fillId="0" borderId="0"/>
    <xf numFmtId="0" fontId="45" fillId="0" borderId="0"/>
    <xf numFmtId="166" fontId="46" fillId="0" borderId="0"/>
    <xf numFmtId="0" fontId="43" fillId="0" borderId="0"/>
    <xf numFmtId="0" fontId="47" fillId="0" borderId="0"/>
    <xf numFmtId="0" fontId="15" fillId="0" borderId="0"/>
    <xf numFmtId="0" fontId="48" fillId="0" borderId="0" applyNumberFormat="0" applyFill="0" applyBorder="0" applyAlignment="0" applyProtection="0"/>
    <xf numFmtId="167" fontId="39" fillId="0" borderId="0" applyFill="0" applyBorder="0" applyAlignment="0" applyProtection="0"/>
    <xf numFmtId="0" fontId="68" fillId="0" borderId="0"/>
    <xf numFmtId="0" fontId="95" fillId="0" borderId="0"/>
    <xf numFmtId="0" fontId="39" fillId="0" borderId="0"/>
    <xf numFmtId="0" fontId="1" fillId="0" borderId="0"/>
  </cellStyleXfs>
  <cellXfs count="1260">
    <xf numFmtId="0" fontId="0" fillId="0" borderId="0" xfId="0"/>
    <xf numFmtId="0" fontId="22" fillId="0" borderId="0" xfId="0" applyFont="1"/>
    <xf numFmtId="0" fontId="22" fillId="0" borderId="0" xfId="0" applyFont="1" applyBorder="1"/>
    <xf numFmtId="0" fontId="23" fillId="0" borderId="0" xfId="0" applyFont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0" xfId="0" applyFont="1" applyBorder="1"/>
    <xf numFmtId="0" fontId="23" fillId="0" borderId="0" xfId="0" applyFont="1"/>
    <xf numFmtId="0" fontId="29" fillId="0" borderId="22" xfId="0" applyFont="1" applyBorder="1"/>
    <xf numFmtId="0" fontId="29" fillId="0" borderId="0" xfId="0" applyFont="1" applyBorder="1"/>
    <xf numFmtId="0" fontId="29" fillId="0" borderId="0" xfId="0" applyFont="1"/>
    <xf numFmtId="0" fontId="30" fillId="0" borderId="0" xfId="0" applyFont="1" applyBorder="1"/>
    <xf numFmtId="0" fontId="30" fillId="0" borderId="0" xfId="0" applyFont="1"/>
    <xf numFmtId="0" fontId="35" fillId="0" borderId="0" xfId="0" applyFont="1"/>
    <xf numFmtId="0" fontId="31" fillId="0" borderId="0" xfId="0" applyFont="1"/>
    <xf numFmtId="0" fontId="32" fillId="0" borderId="0" xfId="0" applyFont="1"/>
    <xf numFmtId="0" fontId="36" fillId="0" borderId="0" xfId="0" applyFont="1" applyBorder="1"/>
    <xf numFmtId="3" fontId="31" fillId="0" borderId="0" xfId="43" applyNumberFormat="1" applyFont="1" applyFill="1"/>
    <xf numFmtId="0" fontId="28" fillId="0" borderId="0" xfId="0" applyFont="1" applyBorder="1" applyAlignment="1">
      <alignment vertical="top" wrapText="1"/>
    </xf>
    <xf numFmtId="3" fontId="28" fillId="0" borderId="0" xfId="0" applyNumberFormat="1" applyFont="1" applyBorder="1" applyAlignment="1">
      <alignment horizontal="right"/>
    </xf>
    <xf numFmtId="49" fontId="26" fillId="0" borderId="0" xfId="0" applyNumberFormat="1" applyFont="1" applyAlignment="1">
      <alignment horizontal="center"/>
    </xf>
    <xf numFmtId="0" fontId="26" fillId="25" borderId="31" xfId="43" applyFont="1" applyFill="1" applyBorder="1" applyAlignment="1">
      <alignment vertical="center" wrapText="1"/>
    </xf>
    <xf numFmtId="49" fontId="26" fillId="25" borderId="31" xfId="55" applyNumberFormat="1" applyFont="1" applyFill="1" applyBorder="1" applyAlignment="1">
      <alignment horizontal="left" vertical="center" wrapText="1"/>
    </xf>
    <xf numFmtId="49" fontId="49" fillId="25" borderId="31" xfId="55" applyNumberFormat="1" applyFont="1" applyFill="1" applyBorder="1" applyAlignment="1">
      <alignment horizontal="left" vertical="center" wrapText="1"/>
    </xf>
    <xf numFmtId="49" fontId="25" fillId="0" borderId="0" xfId="0" applyNumberFormat="1" applyFont="1" applyAlignment="1">
      <alignment horizontal="center"/>
    </xf>
    <xf numFmtId="3" fontId="36" fillId="0" borderId="44" xfId="0" applyNumberFormat="1" applyFont="1" applyBorder="1" applyAlignment="1">
      <alignment horizontal="right"/>
    </xf>
    <xf numFmtId="0" fontId="36" fillId="0" borderId="44" xfId="0" applyFont="1" applyBorder="1" applyAlignment="1">
      <alignment vertical="top" wrapText="1"/>
    </xf>
    <xf numFmtId="0" fontId="28" fillId="0" borderId="45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36" fillId="0" borderId="47" xfId="0" applyFont="1" applyBorder="1" applyAlignment="1">
      <alignment vertical="center" wrapText="1"/>
    </xf>
    <xf numFmtId="0" fontId="37" fillId="0" borderId="47" xfId="0" applyFont="1" applyBorder="1" applyAlignment="1">
      <alignment vertical="center" wrapText="1"/>
    </xf>
    <xf numFmtId="0" fontId="36" fillId="0" borderId="47" xfId="0" applyFont="1" applyBorder="1" applyAlignment="1">
      <alignment horizontal="left" vertical="center" wrapText="1"/>
    </xf>
    <xf numFmtId="0" fontId="36" fillId="0" borderId="48" xfId="0" applyFont="1" applyBorder="1" applyAlignment="1">
      <alignment vertical="center" wrapText="1"/>
    </xf>
    <xf numFmtId="0" fontId="28" fillId="0" borderId="45" xfId="0" applyFont="1" applyBorder="1" applyAlignment="1">
      <alignment horizontal="left" vertical="center" wrapText="1"/>
    </xf>
    <xf numFmtId="49" fontId="31" fillId="0" borderId="0" xfId="43" applyNumberFormat="1" applyFont="1"/>
    <xf numFmtId="49" fontId="26" fillId="0" borderId="0" xfId="43" applyNumberFormat="1" applyFont="1" applyAlignment="1">
      <alignment horizontal="center"/>
    </xf>
    <xf numFmtId="0" fontId="31" fillId="0" borderId="0" xfId="43" applyFont="1"/>
    <xf numFmtId="0" fontId="25" fillId="0" borderId="30" xfId="64" applyFont="1" applyBorder="1" applyAlignment="1">
      <alignment horizontal="center"/>
    </xf>
    <xf numFmtId="0" fontId="25" fillId="0" borderId="49" xfId="64" applyFont="1" applyBorder="1" applyAlignment="1">
      <alignment vertical="center" wrapText="1"/>
    </xf>
    <xf numFmtId="3" fontId="25" fillId="0" borderId="50" xfId="64" applyNumberFormat="1" applyFont="1" applyBorder="1" applyAlignment="1">
      <alignment horizontal="center" vertical="center"/>
    </xf>
    <xf numFmtId="0" fontId="25" fillId="0" borderId="38" xfId="64" applyFont="1" applyBorder="1" applyAlignment="1">
      <alignment vertical="center" wrapText="1"/>
    </xf>
    <xf numFmtId="3" fontId="25" fillId="0" borderId="37" xfId="64" applyNumberFormat="1" applyFont="1" applyBorder="1" applyAlignment="1">
      <alignment vertical="center"/>
    </xf>
    <xf numFmtId="0" fontId="26" fillId="0" borderId="33" xfId="64" applyFont="1" applyBorder="1" applyAlignment="1">
      <alignment vertical="center" wrapText="1"/>
    </xf>
    <xf numFmtId="3" fontId="26" fillId="0" borderId="34" xfId="64" applyNumberFormat="1" applyFont="1" applyBorder="1" applyAlignment="1">
      <alignment vertical="center"/>
    </xf>
    <xf numFmtId="0" fontId="25" fillId="0" borderId="33" xfId="64" applyFont="1" applyBorder="1" applyAlignment="1">
      <alignment vertical="center" wrapText="1"/>
    </xf>
    <xf numFmtId="3" fontId="25" fillId="0" borderId="34" xfId="64" applyNumberFormat="1" applyFont="1" applyBorder="1" applyAlignment="1">
      <alignment vertical="center"/>
    </xf>
    <xf numFmtId="49" fontId="32" fillId="0" borderId="0" xfId="43" applyNumberFormat="1" applyFont="1"/>
    <xf numFmtId="0" fontId="32" fillId="0" borderId="0" xfId="43" applyFont="1"/>
    <xf numFmtId="0" fontId="26" fillId="26" borderId="33" xfId="64" applyFont="1" applyFill="1" applyBorder="1" applyAlignment="1">
      <alignment vertical="center" wrapText="1"/>
    </xf>
    <xf numFmtId="0" fontId="31" fillId="0" borderId="0" xfId="43" applyFont="1" applyFill="1"/>
    <xf numFmtId="49" fontId="31" fillId="24" borderId="0" xfId="43" applyNumberFormat="1" applyFont="1" applyFill="1"/>
    <xf numFmtId="0" fontId="31" fillId="24" borderId="0" xfId="43" applyFont="1" applyFill="1"/>
    <xf numFmtId="49" fontId="26" fillId="24" borderId="0" xfId="43" applyNumberFormat="1" applyFont="1" applyFill="1" applyAlignment="1">
      <alignment horizontal="center"/>
    </xf>
    <xf numFmtId="0" fontId="50" fillId="0" borderId="33" xfId="64" applyFont="1" applyBorder="1" applyAlignment="1">
      <alignment vertical="center" wrapText="1"/>
    </xf>
    <xf numFmtId="0" fontId="38" fillId="0" borderId="33" xfId="64" applyFont="1" applyBorder="1" applyAlignment="1">
      <alignment vertical="center" wrapText="1"/>
    </xf>
    <xf numFmtId="49" fontId="33" fillId="0" borderId="0" xfId="43" applyNumberFormat="1" applyFont="1"/>
    <xf numFmtId="49" fontId="24" fillId="0" borderId="0" xfId="43" applyNumberFormat="1" applyFont="1" applyAlignment="1">
      <alignment horizontal="center"/>
    </xf>
    <xf numFmtId="0" fontId="33" fillId="0" borderId="0" xfId="43" applyFont="1"/>
    <xf numFmtId="49" fontId="34" fillId="0" borderId="0" xfId="43" applyNumberFormat="1" applyFont="1"/>
    <xf numFmtId="49" fontId="51" fillId="0" borderId="0" xfId="43" applyNumberFormat="1" applyFont="1" applyAlignment="1">
      <alignment horizontal="center"/>
    </xf>
    <xf numFmtId="0" fontId="34" fillId="0" borderId="0" xfId="43" applyFont="1"/>
    <xf numFmtId="0" fontId="38" fillId="0" borderId="40" xfId="64" applyFont="1" applyBorder="1" applyAlignment="1">
      <alignment vertical="center" wrapText="1"/>
    </xf>
    <xf numFmtId="3" fontId="25" fillId="0" borderId="50" xfId="64" applyNumberFormat="1" applyFont="1" applyBorder="1" applyAlignment="1">
      <alignment vertical="center"/>
    </xf>
    <xf numFmtId="0" fontId="38" fillId="0" borderId="0" xfId="64" applyFont="1" applyBorder="1" applyAlignment="1">
      <alignment wrapText="1"/>
    </xf>
    <xf numFmtId="3" fontId="25" fillId="0" borderId="0" xfId="64" applyNumberFormat="1" applyFont="1" applyBorder="1"/>
    <xf numFmtId="0" fontId="25" fillId="0" borderId="49" xfId="64" applyFont="1" applyBorder="1" applyAlignment="1">
      <alignment wrapText="1"/>
    </xf>
    <xf numFmtId="3" fontId="25" fillId="0" borderId="51" xfId="64" applyNumberFormat="1" applyFont="1" applyBorder="1" applyAlignment="1">
      <alignment horizontal="center"/>
    </xf>
    <xf numFmtId="0" fontId="25" fillId="0" borderId="38" xfId="64" applyFont="1" applyBorder="1" applyAlignment="1">
      <alignment wrapText="1"/>
    </xf>
    <xf numFmtId="0" fontId="25" fillId="0" borderId="33" xfId="64" applyFont="1" applyBorder="1" applyAlignment="1">
      <alignment wrapText="1"/>
    </xf>
    <xf numFmtId="3" fontId="25" fillId="0" borderId="52" xfId="64" applyNumberFormat="1" applyFont="1" applyBorder="1" applyAlignment="1">
      <alignment horizontal="center"/>
    </xf>
    <xf numFmtId="3" fontId="25" fillId="0" borderId="52" xfId="64" applyNumberFormat="1" applyFont="1" applyBorder="1"/>
    <xf numFmtId="0" fontId="26" fillId="0" borderId="33" xfId="64" applyFont="1" applyBorder="1" applyAlignment="1">
      <alignment wrapText="1"/>
    </xf>
    <xf numFmtId="3" fontId="26" fillId="0" borderId="52" xfId="64" applyNumberFormat="1" applyFont="1" applyBorder="1"/>
    <xf numFmtId="0" fontId="26" fillId="0" borderId="40" xfId="64" applyFont="1" applyBorder="1" applyAlignment="1">
      <alignment wrapText="1"/>
    </xf>
    <xf numFmtId="3" fontId="26" fillId="0" borderId="43" xfId="64" applyNumberFormat="1" applyFont="1" applyBorder="1"/>
    <xf numFmtId="0" fontId="31" fillId="0" borderId="0" xfId="43" applyFont="1" applyAlignment="1">
      <alignment wrapText="1"/>
    </xf>
    <xf numFmtId="49" fontId="34" fillId="0" borderId="0" xfId="43" applyNumberFormat="1" applyFont="1" applyBorder="1"/>
    <xf numFmtId="49" fontId="51" fillId="0" borderId="0" xfId="43" applyNumberFormat="1" applyFont="1" applyBorder="1" applyAlignment="1">
      <alignment horizontal="center"/>
    </xf>
    <xf numFmtId="0" fontId="34" fillId="0" borderId="0" xfId="43" applyFont="1" applyBorder="1"/>
    <xf numFmtId="49" fontId="26" fillId="0" borderId="0" xfId="44" applyNumberFormat="1" applyFont="1" applyAlignment="1">
      <alignment horizontal="center"/>
    </xf>
    <xf numFmtId="49" fontId="26" fillId="0" borderId="0" xfId="44" applyNumberFormat="1" applyFont="1" applyBorder="1" applyAlignment="1">
      <alignment horizontal="center"/>
    </xf>
    <xf numFmtId="0" fontId="26" fillId="0" borderId="0" xfId="44" applyFont="1"/>
    <xf numFmtId="3" fontId="26" fillId="0" borderId="0" xfId="44" applyNumberFormat="1" applyFont="1"/>
    <xf numFmtId="3" fontId="25" fillId="0" borderId="0" xfId="44" applyNumberFormat="1" applyFont="1"/>
    <xf numFmtId="49" fontId="26" fillId="0" borderId="0" xfId="44" applyNumberFormat="1" applyFont="1" applyBorder="1" applyAlignment="1">
      <alignment horizontal="center" vertical="center"/>
    </xf>
    <xf numFmtId="49" fontId="26" fillId="0" borderId="0" xfId="44" applyNumberFormat="1" applyFont="1" applyAlignment="1">
      <alignment horizontal="center" vertical="center"/>
    </xf>
    <xf numFmtId="49" fontId="26" fillId="0" borderId="0" xfId="44" applyNumberFormat="1" applyFont="1" applyBorder="1" applyAlignment="1">
      <alignment horizontal="center" vertical="center" wrapText="1"/>
    </xf>
    <xf numFmtId="0" fontId="26" fillId="0" borderId="0" xfId="44" applyFont="1" applyAlignment="1">
      <alignment vertical="center"/>
    </xf>
    <xf numFmtId="0" fontId="25" fillId="0" borderId="58" xfId="44" applyFont="1" applyBorder="1" applyAlignment="1">
      <alignment horizontal="left" vertical="center"/>
    </xf>
    <xf numFmtId="3" fontId="25" fillId="0" borderId="59" xfId="44" applyNumberFormat="1" applyFont="1" applyBorder="1" applyAlignment="1">
      <alignment horizontal="right" vertical="center"/>
    </xf>
    <xf numFmtId="0" fontId="26" fillId="25" borderId="60" xfId="43" applyFont="1" applyFill="1" applyBorder="1" applyAlignment="1">
      <alignment vertical="center" wrapText="1"/>
    </xf>
    <xf numFmtId="3" fontId="26" fillId="0" borderId="61" xfId="44" applyNumberFormat="1" applyFont="1" applyBorder="1" applyAlignment="1">
      <alignment horizontal="right" vertical="center"/>
    </xf>
    <xf numFmtId="49" fontId="26" fillId="0" borderId="0" xfId="43" applyNumberFormat="1" applyFont="1" applyFill="1" applyBorder="1" applyAlignment="1">
      <alignment horizontal="center" vertical="center"/>
    </xf>
    <xf numFmtId="3" fontId="26" fillId="0" borderId="62" xfId="44" applyNumberFormat="1" applyFont="1" applyBorder="1" applyAlignment="1">
      <alignment horizontal="right" vertical="center"/>
    </xf>
    <xf numFmtId="0" fontId="26" fillId="0" borderId="31" xfId="0" applyFont="1" applyBorder="1" applyAlignment="1">
      <alignment vertical="center" wrapText="1"/>
    </xf>
    <xf numFmtId="0" fontId="26" fillId="0" borderId="31" xfId="44" applyFont="1" applyBorder="1" applyAlignment="1">
      <alignment horizontal="left" vertical="center" wrapText="1"/>
    </xf>
    <xf numFmtId="0" fontId="25" fillId="0" borderId="31" xfId="44" applyFont="1" applyBorder="1" applyAlignment="1">
      <alignment horizontal="left" vertical="center" wrapText="1"/>
    </xf>
    <xf numFmtId="3" fontId="25" fillId="0" borderId="62" xfId="44" applyNumberFormat="1" applyFont="1" applyBorder="1" applyAlignment="1">
      <alignment horizontal="right" vertical="center"/>
    </xf>
    <xf numFmtId="0" fontId="25" fillId="0" borderId="63" xfId="44" applyFont="1" applyBorder="1" applyAlignment="1">
      <alignment horizontal="left" vertical="center"/>
    </xf>
    <xf numFmtId="3" fontId="25" fillId="0" borderId="64" xfId="44" applyNumberFormat="1" applyFont="1" applyBorder="1" applyAlignment="1">
      <alignment horizontal="right" vertical="center"/>
    </xf>
    <xf numFmtId="3" fontId="25" fillId="0" borderId="65" xfId="44" applyNumberFormat="1" applyFont="1" applyBorder="1" applyAlignment="1">
      <alignment horizontal="right" vertical="center"/>
    </xf>
    <xf numFmtId="3" fontId="25" fillId="0" borderId="30" xfId="44" applyNumberFormat="1" applyFont="1" applyBorder="1" applyAlignment="1">
      <alignment horizontal="right" vertical="center"/>
    </xf>
    <xf numFmtId="0" fontId="25" fillId="0" borderId="0" xfId="44" applyFont="1" applyBorder="1" applyAlignment="1">
      <alignment horizontal="left" vertical="center"/>
    </xf>
    <xf numFmtId="3" fontId="25" fillId="0" borderId="0" xfId="44" applyNumberFormat="1" applyFont="1" applyBorder="1" applyAlignment="1">
      <alignment horizontal="right" vertical="center"/>
    </xf>
    <xf numFmtId="3" fontId="25" fillId="0" borderId="0" xfId="44" applyNumberFormat="1" applyFont="1" applyBorder="1" applyAlignment="1">
      <alignment horizontal="left" vertical="center"/>
    </xf>
    <xf numFmtId="0" fontId="26" fillId="0" borderId="0" xfId="44" applyFont="1" applyBorder="1"/>
    <xf numFmtId="3" fontId="26" fillId="0" borderId="0" xfId="44" applyNumberFormat="1" applyFont="1" applyBorder="1"/>
    <xf numFmtId="3" fontId="25" fillId="0" borderId="0" xfId="44" applyNumberFormat="1" applyFont="1" applyBorder="1"/>
    <xf numFmtId="0" fontId="53" fillId="0" borderId="0" xfId="47" applyFont="1"/>
    <xf numFmtId="3" fontId="53" fillId="0" borderId="0" xfId="47" applyNumberFormat="1" applyFont="1"/>
    <xf numFmtId="3" fontId="53" fillId="0" borderId="0" xfId="47" applyNumberFormat="1" applyFont="1" applyAlignment="1">
      <alignment wrapText="1"/>
    </xf>
    <xf numFmtId="0" fontId="54" fillId="0" borderId="0" xfId="47" applyFont="1"/>
    <xf numFmtId="3" fontId="54" fillId="0" borderId="66" xfId="47" applyNumberFormat="1" applyFont="1" applyBorder="1"/>
    <xf numFmtId="3" fontId="54" fillId="0" borderId="66" xfId="47" applyNumberFormat="1" applyFont="1" applyBorder="1" applyAlignment="1">
      <alignment wrapText="1"/>
    </xf>
    <xf numFmtId="3" fontId="55" fillId="0" borderId="51" xfId="0" applyNumberFormat="1" applyFont="1" applyBorder="1"/>
    <xf numFmtId="3" fontId="55" fillId="0" borderId="49" xfId="0" applyNumberFormat="1" applyFont="1" applyBorder="1" applyAlignment="1">
      <alignment wrapText="1"/>
    </xf>
    <xf numFmtId="3" fontId="56" fillId="0" borderId="43" xfId="0" applyNumberFormat="1" applyFont="1" applyBorder="1"/>
    <xf numFmtId="3" fontId="56" fillId="0" borderId="40" xfId="0" applyNumberFormat="1" applyFont="1" applyBorder="1" applyAlignment="1">
      <alignment wrapText="1"/>
    </xf>
    <xf numFmtId="3" fontId="56" fillId="0" borderId="52" xfId="0" applyNumberFormat="1" applyFont="1" applyBorder="1"/>
    <xf numFmtId="3" fontId="56" fillId="0" borderId="33" xfId="0" applyNumberFormat="1" applyFont="1" applyBorder="1" applyAlignment="1">
      <alignment wrapText="1"/>
    </xf>
    <xf numFmtId="0" fontId="57" fillId="0" borderId="0" xfId="47" applyFont="1"/>
    <xf numFmtId="3" fontId="55" fillId="0" borderId="52" xfId="0" applyNumberFormat="1" applyFont="1" applyBorder="1"/>
    <xf numFmtId="3" fontId="55" fillId="0" borderId="33" xfId="0" applyNumberFormat="1" applyFont="1" applyBorder="1" applyAlignment="1">
      <alignment wrapText="1"/>
    </xf>
    <xf numFmtId="3" fontId="56" fillId="25" borderId="52" xfId="0" applyNumberFormat="1" applyFont="1" applyFill="1" applyBorder="1"/>
    <xf numFmtId="3" fontId="58" fillId="0" borderId="52" xfId="0" applyNumberFormat="1" applyFont="1" applyBorder="1"/>
    <xf numFmtId="3" fontId="58" fillId="0" borderId="33" xfId="0" applyNumberFormat="1" applyFont="1" applyBorder="1" applyAlignment="1">
      <alignment wrapText="1"/>
    </xf>
    <xf numFmtId="3" fontId="55" fillId="0" borderId="42" xfId="0" applyNumberFormat="1" applyFont="1" applyBorder="1"/>
    <xf numFmtId="3" fontId="55" fillId="0" borderId="38" xfId="0" applyNumberFormat="1" applyFont="1" applyBorder="1" applyAlignment="1">
      <alignment wrapText="1"/>
    </xf>
    <xf numFmtId="3" fontId="55" fillId="0" borderId="51" xfId="0" applyNumberFormat="1" applyFont="1" applyBorder="1" applyAlignment="1">
      <alignment horizontal="center"/>
    </xf>
    <xf numFmtId="3" fontId="55" fillId="0" borderId="49" xfId="0" applyNumberFormat="1" applyFont="1" applyBorder="1" applyAlignment="1">
      <alignment horizontal="center" wrapText="1"/>
    </xf>
    <xf numFmtId="3" fontId="56" fillId="0" borderId="0" xfId="0" applyNumberFormat="1" applyFont="1" applyBorder="1"/>
    <xf numFmtId="3" fontId="56" fillId="0" borderId="0" xfId="0" applyNumberFormat="1" applyFont="1" applyBorder="1" applyAlignment="1">
      <alignment wrapText="1"/>
    </xf>
    <xf numFmtId="3" fontId="50" fillId="0" borderId="34" xfId="64" applyNumberFormat="1" applyFont="1" applyFill="1" applyBorder="1" applyAlignment="1">
      <alignment vertical="center"/>
    </xf>
    <xf numFmtId="3" fontId="26" fillId="0" borderId="34" xfId="64" applyNumberFormat="1" applyFont="1" applyFill="1" applyBorder="1" applyAlignment="1">
      <alignment vertical="center"/>
    </xf>
    <xf numFmtId="3" fontId="38" fillId="0" borderId="34" xfId="64" applyNumberFormat="1" applyFont="1" applyFill="1" applyBorder="1" applyAlignment="1">
      <alignment vertical="center"/>
    </xf>
    <xf numFmtId="3" fontId="25" fillId="0" borderId="34" xfId="64" applyNumberFormat="1" applyFont="1" applyFill="1" applyBorder="1" applyAlignment="1">
      <alignment vertical="center"/>
    </xf>
    <xf numFmtId="3" fontId="38" fillId="0" borderId="39" xfId="64" applyNumberFormat="1" applyFont="1" applyFill="1" applyBorder="1" applyAlignment="1">
      <alignment vertical="center"/>
    </xf>
    <xf numFmtId="49" fontId="59" fillId="0" borderId="0" xfId="43" applyNumberFormat="1" applyFont="1" applyAlignment="1">
      <alignment horizontal="center"/>
    </xf>
    <xf numFmtId="0" fontId="61" fillId="0" borderId="0" xfId="43" applyFont="1"/>
    <xf numFmtId="0" fontId="60" fillId="0" borderId="0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center" vertical="center" wrapText="1"/>
    </xf>
    <xf numFmtId="3" fontId="60" fillId="0" borderId="51" xfId="0" applyNumberFormat="1" applyFont="1" applyBorder="1" applyAlignment="1">
      <alignment horizontal="center" vertical="center"/>
    </xf>
    <xf numFmtId="0" fontId="60" fillId="0" borderId="38" xfId="0" applyFont="1" applyBorder="1" applyAlignment="1">
      <alignment vertical="center" wrapText="1"/>
    </xf>
    <xf numFmtId="3" fontId="60" fillId="0" borderId="42" xfId="0" applyNumberFormat="1" applyFont="1" applyFill="1" applyBorder="1" applyAlignment="1">
      <alignment vertical="center"/>
    </xf>
    <xf numFmtId="0" fontId="59" fillId="0" borderId="33" xfId="0" applyFont="1" applyBorder="1" applyAlignment="1">
      <alignment vertical="center" wrapText="1"/>
    </xf>
    <xf numFmtId="3" fontId="59" fillId="0" borderId="52" xfId="0" applyNumberFormat="1" applyFont="1" applyFill="1" applyBorder="1" applyAlignment="1">
      <alignment vertical="center"/>
    </xf>
    <xf numFmtId="0" fontId="60" fillId="0" borderId="33" xfId="0" applyFont="1" applyBorder="1" applyAlignment="1">
      <alignment vertical="center" wrapText="1"/>
    </xf>
    <xf numFmtId="3" fontId="60" fillId="0" borderId="52" xfId="0" applyNumberFormat="1" applyFont="1" applyFill="1" applyBorder="1" applyAlignment="1">
      <alignment vertical="center"/>
    </xf>
    <xf numFmtId="0" fontId="62" fillId="0" borderId="0" xfId="43" applyFont="1"/>
    <xf numFmtId="0" fontId="63" fillId="0" borderId="33" xfId="0" applyFont="1" applyBorder="1" applyAlignment="1">
      <alignment vertical="center" wrapText="1"/>
    </xf>
    <xf numFmtId="3" fontId="63" fillId="0" borderId="52" xfId="0" applyNumberFormat="1" applyFont="1" applyFill="1" applyBorder="1" applyAlignment="1">
      <alignment vertical="center"/>
    </xf>
    <xf numFmtId="49" fontId="59" fillId="0" borderId="0" xfId="43" applyNumberFormat="1" applyFont="1" applyAlignment="1">
      <alignment horizontal="center" vertical="center"/>
    </xf>
    <xf numFmtId="0" fontId="59" fillId="25" borderId="34" xfId="43" applyFont="1" applyFill="1" applyBorder="1" applyAlignment="1">
      <alignment vertical="center" wrapText="1"/>
    </xf>
    <xf numFmtId="0" fontId="61" fillId="0" borderId="0" xfId="43" applyFont="1" applyAlignment="1">
      <alignment vertical="center"/>
    </xf>
    <xf numFmtId="0" fontId="59" fillId="25" borderId="33" xfId="43" applyFont="1" applyFill="1" applyBorder="1" applyAlignment="1">
      <alignment wrapText="1"/>
    </xf>
    <xf numFmtId="0" fontId="61" fillId="0" borderId="36" xfId="43" applyFont="1" applyBorder="1"/>
    <xf numFmtId="0" fontId="59" fillId="0" borderId="52" xfId="0" applyFont="1" applyFill="1" applyBorder="1" applyAlignment="1">
      <alignment vertical="center" wrapText="1"/>
    </xf>
    <xf numFmtId="49" fontId="59" fillId="0" borderId="0" xfId="43" applyNumberFormat="1" applyFont="1" applyBorder="1" applyAlignment="1">
      <alignment horizontal="center"/>
    </xf>
    <xf numFmtId="0" fontId="64" fillId="0" borderId="0" xfId="43" applyFont="1" applyBorder="1"/>
    <xf numFmtId="49" fontId="59" fillId="0" borderId="0" xfId="43" applyNumberFormat="1" applyFont="1" applyBorder="1" applyAlignment="1">
      <alignment horizontal="center" vertical="center"/>
    </xf>
    <xf numFmtId="0" fontId="64" fillId="0" borderId="0" xfId="43" applyFont="1" applyBorder="1" applyAlignment="1">
      <alignment vertical="center"/>
    </xf>
    <xf numFmtId="0" fontId="64" fillId="0" borderId="0" xfId="43" applyFont="1"/>
    <xf numFmtId="0" fontId="59" fillId="0" borderId="40" xfId="0" applyFont="1" applyBorder="1" applyAlignment="1">
      <alignment vertical="center" wrapText="1"/>
    </xf>
    <xf numFmtId="3" fontId="59" fillId="0" borderId="43" xfId="0" applyNumberFormat="1" applyFont="1" applyFill="1" applyBorder="1" applyAlignment="1">
      <alignment vertical="center"/>
    </xf>
    <xf numFmtId="0" fontId="60" fillId="0" borderId="49" xfId="0" applyFont="1" applyBorder="1" applyAlignment="1">
      <alignment vertical="center" wrapText="1"/>
    </xf>
    <xf numFmtId="3" fontId="60" fillId="0" borderId="51" xfId="0" applyNumberFormat="1" applyFont="1" applyFill="1" applyBorder="1" applyAlignment="1">
      <alignment vertical="center"/>
    </xf>
    <xf numFmtId="3" fontId="60" fillId="0" borderId="51" xfId="0" applyNumberFormat="1" applyFont="1" applyFill="1" applyBorder="1" applyAlignment="1">
      <alignment horizontal="center" vertical="center"/>
    </xf>
    <xf numFmtId="3" fontId="60" fillId="0" borderId="42" xfId="0" applyNumberFormat="1" applyFont="1" applyFill="1" applyBorder="1" applyAlignment="1">
      <alignment horizontal="center" vertical="center"/>
    </xf>
    <xf numFmtId="0" fontId="65" fillId="0" borderId="33" xfId="0" applyFont="1" applyBorder="1" applyAlignment="1">
      <alignment vertical="center" wrapText="1"/>
    </xf>
    <xf numFmtId="3" fontId="65" fillId="0" borderId="52" xfId="0" applyNumberFormat="1" applyFont="1" applyFill="1" applyBorder="1" applyAlignment="1">
      <alignment vertical="center"/>
    </xf>
    <xf numFmtId="49" fontId="66" fillId="0" borderId="0" xfId="43" applyNumberFormat="1" applyFont="1" applyAlignment="1">
      <alignment horizontal="center"/>
    </xf>
    <xf numFmtId="0" fontId="67" fillId="0" borderId="0" xfId="43" applyFont="1"/>
    <xf numFmtId="0" fontId="61" fillId="0" borderId="0" xfId="43" applyFont="1" applyAlignment="1">
      <alignment wrapText="1"/>
    </xf>
    <xf numFmtId="3" fontId="61" fillId="0" borderId="0" xfId="43" applyNumberFormat="1" applyFont="1"/>
    <xf numFmtId="0" fontId="59" fillId="0" borderId="67" xfId="0" applyFont="1" applyBorder="1" applyAlignment="1">
      <alignment vertical="center" wrapText="1"/>
    </xf>
    <xf numFmtId="3" fontId="59" fillId="0" borderId="41" xfId="0" applyNumberFormat="1" applyFont="1" applyFill="1" applyBorder="1" applyAlignment="1">
      <alignment vertical="center"/>
    </xf>
    <xf numFmtId="3" fontId="50" fillId="0" borderId="41" xfId="0" applyNumberFormat="1" applyFont="1" applyFill="1" applyBorder="1" applyAlignment="1">
      <alignment vertical="center"/>
    </xf>
    <xf numFmtId="3" fontId="26" fillId="0" borderId="68" xfId="44" applyNumberFormat="1" applyFont="1" applyBorder="1" applyAlignment="1">
      <alignment horizontal="right" vertical="center"/>
    </xf>
    <xf numFmtId="0" fontId="26" fillId="25" borderId="33" xfId="43" applyFont="1" applyFill="1" applyBorder="1" applyAlignment="1">
      <alignment vertical="center" wrapText="1"/>
    </xf>
    <xf numFmtId="0" fontId="26" fillId="0" borderId="70" xfId="44" applyFont="1" applyBorder="1" applyAlignment="1">
      <alignment horizontal="left" vertical="center" wrapText="1"/>
    </xf>
    <xf numFmtId="3" fontId="26" fillId="0" borderId="69" xfId="44" applyNumberFormat="1" applyFont="1" applyBorder="1" applyAlignment="1">
      <alignment horizontal="right" vertical="center"/>
    </xf>
    <xf numFmtId="0" fontId="26" fillId="0" borderId="71" xfId="0" applyFont="1" applyBorder="1" applyAlignment="1">
      <alignment vertical="center" wrapText="1"/>
    </xf>
    <xf numFmtId="0" fontId="59" fillId="0" borderId="71" xfId="0" applyFont="1" applyBorder="1" applyAlignment="1">
      <alignment vertical="center" wrapText="1"/>
    </xf>
    <xf numFmtId="49" fontId="69" fillId="0" borderId="0" xfId="0" applyNumberFormat="1" applyFont="1" applyAlignment="1">
      <alignment horizontal="center"/>
    </xf>
    <xf numFmtId="0" fontId="70" fillId="0" borderId="0" xfId="0" applyFont="1"/>
    <xf numFmtId="0" fontId="71" fillId="0" borderId="0" xfId="0" applyFont="1"/>
    <xf numFmtId="49" fontId="69" fillId="0" borderId="0" xfId="0" applyNumberFormat="1" applyFont="1" applyAlignment="1">
      <alignment horizontal="center" vertical="center"/>
    </xf>
    <xf numFmtId="0" fontId="70" fillId="0" borderId="0" xfId="0" applyFont="1" applyAlignment="1">
      <alignment vertical="center"/>
    </xf>
    <xf numFmtId="49" fontId="69" fillId="0" borderId="0" xfId="0" applyNumberFormat="1" applyFont="1" applyAlignment="1">
      <alignment horizontal="center" vertical="center" wrapText="1"/>
    </xf>
    <xf numFmtId="3" fontId="71" fillId="0" borderId="0" xfId="43" applyNumberFormat="1" applyFont="1" applyFill="1" applyAlignment="1">
      <alignment horizontal="left" wrapText="1"/>
    </xf>
    <xf numFmtId="0" fontId="71" fillId="0" borderId="0" xfId="43" applyFont="1" applyFill="1" applyAlignment="1">
      <alignment wrapText="1"/>
    </xf>
    <xf numFmtId="168" fontId="71" fillId="0" borderId="0" xfId="65" applyNumberFormat="1" applyFont="1" applyFill="1" applyBorder="1" applyAlignment="1" applyProtection="1">
      <alignment horizontal="left" wrapText="1"/>
    </xf>
    <xf numFmtId="168" fontId="75" fillId="0" borderId="0" xfId="43" applyNumberFormat="1" applyFont="1" applyFill="1" applyAlignment="1">
      <alignment horizontal="left" wrapText="1"/>
    </xf>
    <xf numFmtId="3" fontId="75" fillId="0" borderId="0" xfId="43" applyNumberFormat="1" applyFont="1" applyFill="1" applyAlignment="1">
      <alignment horizontal="left" wrapText="1"/>
    </xf>
    <xf numFmtId="0" fontId="26" fillId="0" borderId="70" xfId="44" applyFont="1" applyBorder="1" applyAlignment="1">
      <alignment vertical="center" wrapText="1"/>
    </xf>
    <xf numFmtId="0" fontId="60" fillId="0" borderId="0" xfId="0" applyFont="1" applyBorder="1" applyAlignment="1">
      <alignment vertical="center" wrapText="1"/>
    </xf>
    <xf numFmtId="3" fontId="60" fillId="0" borderId="0" xfId="0" applyNumberFormat="1" applyFont="1" applyFill="1" applyBorder="1" applyAlignment="1">
      <alignment vertical="center"/>
    </xf>
    <xf numFmtId="0" fontId="65" fillId="0" borderId="0" xfId="0" applyFont="1" applyBorder="1" applyAlignment="1">
      <alignment vertical="center" wrapText="1"/>
    </xf>
    <xf numFmtId="0" fontId="76" fillId="0" borderId="0" xfId="0" applyFont="1"/>
    <xf numFmtId="0" fontId="77" fillId="0" borderId="0" xfId="0" applyFont="1"/>
    <xf numFmtId="0" fontId="78" fillId="0" borderId="0" xfId="0" applyFont="1"/>
    <xf numFmtId="0" fontId="79" fillId="0" borderId="0" xfId="0" applyFont="1"/>
    <xf numFmtId="3" fontId="77" fillId="0" borderId="0" xfId="0" applyNumberFormat="1" applyFont="1"/>
    <xf numFmtId="164" fontId="23" fillId="0" borderId="0" xfId="0" applyNumberFormat="1" applyFont="1" applyBorder="1"/>
    <xf numFmtId="49" fontId="80" fillId="0" borderId="0" xfId="0" applyNumberFormat="1" applyFont="1" applyAlignment="1">
      <alignment horizontal="center"/>
    </xf>
    <xf numFmtId="0" fontId="81" fillId="0" borderId="0" xfId="0" applyFont="1"/>
    <xf numFmtId="49" fontId="80" fillId="0" borderId="0" xfId="0" applyNumberFormat="1" applyFont="1" applyAlignment="1">
      <alignment horizontal="center" vertical="center"/>
    </xf>
    <xf numFmtId="0" fontId="81" fillId="0" borderId="0" xfId="0" applyFont="1" applyAlignment="1">
      <alignment vertical="center"/>
    </xf>
    <xf numFmtId="0" fontId="82" fillId="0" borderId="0" xfId="45" applyFont="1"/>
    <xf numFmtId="0" fontId="83" fillId="0" borderId="0" xfId="45" applyFont="1" applyAlignment="1">
      <alignment wrapText="1"/>
    </xf>
    <xf numFmtId="0" fontId="83" fillId="0" borderId="0" xfId="45" applyFont="1"/>
    <xf numFmtId="0" fontId="84" fillId="0" borderId="0" xfId="45" applyFont="1"/>
    <xf numFmtId="0" fontId="84" fillId="0" borderId="0" xfId="45" applyFont="1" applyBorder="1"/>
    <xf numFmtId="0" fontId="85" fillId="0" borderId="0" xfId="45" applyFont="1" applyAlignment="1">
      <alignment wrapText="1"/>
    </xf>
    <xf numFmtId="3" fontId="85" fillId="0" borderId="0" xfId="45" applyNumberFormat="1" applyFont="1"/>
    <xf numFmtId="0" fontId="86" fillId="0" borderId="0" xfId="48" applyFont="1" applyAlignment="1">
      <alignment wrapText="1"/>
    </xf>
    <xf numFmtId="3" fontId="85" fillId="0" borderId="0" xfId="45" applyNumberFormat="1" applyFont="1" applyAlignment="1">
      <alignment horizontal="right"/>
    </xf>
    <xf numFmtId="3" fontId="83" fillId="0" borderId="0" xfId="45" applyNumberFormat="1" applyFont="1" applyAlignment="1">
      <alignment wrapText="1"/>
    </xf>
    <xf numFmtId="49" fontId="31" fillId="0" borderId="0" xfId="43" applyNumberFormat="1" applyFont="1" applyAlignment="1">
      <alignment vertical="center"/>
    </xf>
    <xf numFmtId="49" fontId="26" fillId="0" borderId="0" xfId="43" applyNumberFormat="1" applyFont="1" applyAlignment="1">
      <alignment horizontal="center" vertical="center"/>
    </xf>
    <xf numFmtId="3" fontId="25" fillId="0" borderId="51" xfId="64" applyNumberFormat="1" applyFont="1" applyFill="1" applyBorder="1" applyAlignment="1">
      <alignment vertical="center"/>
    </xf>
    <xf numFmtId="0" fontId="31" fillId="0" borderId="0" xfId="43" applyFont="1" applyAlignment="1">
      <alignment vertical="center"/>
    </xf>
    <xf numFmtId="0" fontId="84" fillId="0" borderId="0" xfId="45" applyFont="1" applyAlignment="1">
      <alignment vertical="center"/>
    </xf>
    <xf numFmtId="0" fontId="87" fillId="0" borderId="0" xfId="0" applyFont="1"/>
    <xf numFmtId="0" fontId="88" fillId="0" borderId="0" xfId="0" applyFont="1"/>
    <xf numFmtId="3" fontId="88" fillId="0" borderId="0" xfId="0" applyNumberFormat="1" applyFont="1"/>
    <xf numFmtId="0" fontId="94" fillId="0" borderId="0" xfId="0" applyFont="1"/>
    <xf numFmtId="3" fontId="94" fillId="0" borderId="0" xfId="0" applyNumberFormat="1" applyFont="1"/>
    <xf numFmtId="0" fontId="87" fillId="0" borderId="0" xfId="0" applyFont="1" applyBorder="1" applyAlignment="1">
      <alignment horizontal="center"/>
    </xf>
    <xf numFmtId="0" fontId="87" fillId="0" borderId="0" xfId="0" applyFont="1" applyBorder="1" applyAlignment="1">
      <alignment horizontal="center"/>
    </xf>
    <xf numFmtId="3" fontId="87" fillId="0" borderId="0" xfId="0" applyNumberFormat="1" applyFont="1" applyBorder="1" applyAlignment="1">
      <alignment horizontal="center" vertical="center" wrapText="1"/>
    </xf>
    <xf numFmtId="3" fontId="87" fillId="0" borderId="0" xfId="0" applyNumberFormat="1" applyFont="1" applyBorder="1" applyAlignment="1"/>
    <xf numFmtId="3" fontId="87" fillId="0" borderId="0" xfId="0" applyNumberFormat="1" applyFont="1" applyBorder="1"/>
    <xf numFmtId="0" fontId="88" fillId="0" borderId="0" xfId="0" applyFont="1" applyBorder="1"/>
    <xf numFmtId="3" fontId="88" fillId="0" borderId="0" xfId="0" applyNumberFormat="1" applyFont="1" applyBorder="1" applyAlignment="1"/>
    <xf numFmtId="3" fontId="89" fillId="0" borderId="0" xfId="0" applyNumberFormat="1" applyFont="1" applyBorder="1"/>
    <xf numFmtId="3" fontId="88" fillId="0" borderId="0" xfId="0" applyNumberFormat="1" applyFont="1" applyBorder="1"/>
    <xf numFmtId="0" fontId="87" fillId="0" borderId="0" xfId="0" applyFont="1" applyBorder="1" applyAlignment="1">
      <alignment horizontal="center"/>
    </xf>
    <xf numFmtId="0" fontId="87" fillId="0" borderId="0" xfId="0" applyFont="1" applyBorder="1" applyAlignment="1">
      <alignment horizontal="center"/>
    </xf>
    <xf numFmtId="3" fontId="73" fillId="0" borderId="38" xfId="43" applyNumberFormat="1" applyFont="1" applyFill="1" applyBorder="1"/>
    <xf numFmtId="0" fontId="23" fillId="0" borderId="0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 wrapText="1"/>
    </xf>
    <xf numFmtId="3" fontId="25" fillId="0" borderId="51" xfId="0" applyNumberFormat="1" applyFont="1" applyBorder="1" applyAlignment="1">
      <alignment horizontal="center" vertical="center"/>
    </xf>
    <xf numFmtId="0" fontId="34" fillId="0" borderId="0" xfId="57" applyFont="1" applyBorder="1" applyAlignment="1">
      <alignment horizontal="center" vertical="center"/>
    </xf>
    <xf numFmtId="0" fontId="32" fillId="0" borderId="0" xfId="57" applyFont="1" applyBorder="1" applyAlignment="1">
      <alignment horizontal="center" vertical="center"/>
    </xf>
    <xf numFmtId="0" fontId="31" fillId="0" borderId="0" xfId="57" applyFont="1" applyBorder="1" applyAlignment="1"/>
    <xf numFmtId="0" fontId="32" fillId="0" borderId="0" xfId="57" applyFont="1" applyBorder="1" applyAlignment="1">
      <alignment horizontal="center" vertical="center" wrapText="1"/>
    </xf>
    <xf numFmtId="3" fontId="32" fillId="0" borderId="0" xfId="57" applyNumberFormat="1" applyFont="1" applyBorder="1" applyAlignment="1">
      <alignment horizontal="right"/>
    </xf>
    <xf numFmtId="3" fontId="87" fillId="0" borderId="83" xfId="0" applyNumberFormat="1" applyFont="1" applyBorder="1"/>
    <xf numFmtId="0" fontId="28" fillId="0" borderId="82" xfId="0" applyFont="1" applyBorder="1" applyAlignment="1">
      <alignment horizontal="center" vertical="center"/>
    </xf>
    <xf numFmtId="3" fontId="36" fillId="0" borderId="81" xfId="0" applyNumberFormat="1" applyFont="1" applyBorder="1" applyAlignment="1">
      <alignment horizontal="right" vertical="center"/>
    </xf>
    <xf numFmtId="3" fontId="36" fillId="0" borderId="90" xfId="0" applyNumberFormat="1" applyFont="1" applyBorder="1" applyAlignment="1">
      <alignment horizontal="right" vertical="center"/>
    </xf>
    <xf numFmtId="3" fontId="28" fillId="0" borderId="90" xfId="0" applyNumberFormat="1" applyFont="1" applyBorder="1" applyAlignment="1">
      <alignment horizontal="right" vertical="center"/>
    </xf>
    <xf numFmtId="3" fontId="37" fillId="0" borderId="90" xfId="0" applyNumberFormat="1" applyFont="1" applyBorder="1" applyAlignment="1">
      <alignment horizontal="right" vertical="center"/>
    </xf>
    <xf numFmtId="3" fontId="36" fillId="0" borderId="91" xfId="0" applyNumberFormat="1" applyFont="1" applyBorder="1" applyAlignment="1">
      <alignment horizontal="right" vertical="center"/>
    </xf>
    <xf numFmtId="3" fontId="28" fillId="0" borderId="82" xfId="0" applyNumberFormat="1" applyFont="1" applyBorder="1" applyAlignment="1">
      <alignment horizontal="right" vertical="center"/>
    </xf>
    <xf numFmtId="3" fontId="36" fillId="0" borderId="0" xfId="0" applyNumberFormat="1" applyFont="1" applyBorder="1" applyAlignment="1">
      <alignment horizontal="right"/>
    </xf>
    <xf numFmtId="0" fontId="28" fillId="0" borderId="92" xfId="0" applyFont="1" applyBorder="1" applyAlignment="1">
      <alignment horizontal="center" vertical="center"/>
    </xf>
    <xf numFmtId="3" fontId="25" fillId="0" borderId="85" xfId="64" applyNumberFormat="1" applyFont="1" applyBorder="1" applyAlignment="1">
      <alignment horizontal="center" vertical="center"/>
    </xf>
    <xf numFmtId="0" fontId="23" fillId="0" borderId="80" xfId="0" applyFont="1" applyBorder="1"/>
    <xf numFmtId="0" fontId="27" fillId="0" borderId="98" xfId="0" applyFont="1" applyBorder="1" applyAlignment="1">
      <alignment horizontal="center" vertical="center" wrapText="1"/>
    </xf>
    <xf numFmtId="3" fontId="76" fillId="0" borderId="98" xfId="0" applyNumberFormat="1" applyFont="1" applyBorder="1" applyAlignment="1">
      <alignment horizontal="right" vertical="center" wrapText="1"/>
    </xf>
    <xf numFmtId="3" fontId="76" fillId="0" borderId="97" xfId="0" applyNumberFormat="1" applyFont="1" applyBorder="1" applyAlignment="1">
      <alignment horizontal="right" vertical="center" wrapText="1"/>
    </xf>
    <xf numFmtId="3" fontId="77" fillId="0" borderId="98" xfId="0" applyNumberFormat="1" applyFont="1" applyBorder="1" applyAlignment="1">
      <alignment horizontal="right" vertical="center" wrapText="1"/>
    </xf>
    <xf numFmtId="3" fontId="78" fillId="0" borderId="98" xfId="0" applyNumberFormat="1" applyFont="1" applyBorder="1"/>
    <xf numFmtId="3" fontId="78" fillId="0" borderId="98" xfId="0" applyNumberFormat="1" applyFont="1" applyBorder="1" applyAlignment="1">
      <alignment horizontal="right" vertical="center" wrapText="1"/>
    </xf>
    <xf numFmtId="3" fontId="77" fillId="0" borderId="98" xfId="0" applyNumberFormat="1" applyFont="1" applyBorder="1"/>
    <xf numFmtId="3" fontId="76" fillId="0" borderId="98" xfId="0" applyNumberFormat="1" applyFont="1" applyBorder="1"/>
    <xf numFmtId="0" fontId="76" fillId="0" borderId="99" xfId="0" applyFont="1" applyBorder="1" applyAlignment="1">
      <alignment horizontal="center" vertical="center" wrapText="1"/>
    </xf>
    <xf numFmtId="3" fontId="76" fillId="0" borderId="99" xfId="0" applyNumberFormat="1" applyFont="1" applyBorder="1" applyAlignment="1">
      <alignment horizontal="right" vertical="center" wrapText="1"/>
    </xf>
    <xf numFmtId="0" fontId="76" fillId="0" borderId="100" xfId="0" applyFont="1" applyBorder="1" applyAlignment="1">
      <alignment horizontal="center" vertical="center" wrapText="1"/>
    </xf>
    <xf numFmtId="0" fontId="27" fillId="0" borderId="97" xfId="0" applyFont="1" applyBorder="1" applyAlignment="1">
      <alignment horizontal="center" vertical="center" wrapText="1"/>
    </xf>
    <xf numFmtId="3" fontId="76" fillId="0" borderId="100" xfId="0" applyNumberFormat="1" applyFont="1" applyBorder="1" applyAlignment="1">
      <alignment horizontal="right" vertical="center" wrapText="1"/>
    </xf>
    <xf numFmtId="3" fontId="76" fillId="0" borderId="101" xfId="0" applyNumberFormat="1" applyFont="1" applyBorder="1" applyAlignment="1">
      <alignment horizontal="right" vertical="center" wrapText="1"/>
    </xf>
    <xf numFmtId="3" fontId="77" fillId="0" borderId="100" xfId="0" applyNumberFormat="1" applyFont="1" applyBorder="1" applyAlignment="1">
      <alignment horizontal="right" vertical="center" wrapText="1"/>
    </xf>
    <xf numFmtId="3" fontId="77" fillId="0" borderId="101" xfId="0" applyNumberFormat="1" applyFont="1" applyBorder="1" applyAlignment="1">
      <alignment horizontal="right" vertical="center" wrapText="1"/>
    </xf>
    <xf numFmtId="3" fontId="78" fillId="0" borderId="100" xfId="0" applyNumberFormat="1" applyFont="1" applyBorder="1"/>
    <xf numFmtId="3" fontId="78" fillId="0" borderId="101" xfId="0" applyNumberFormat="1" applyFont="1" applyBorder="1"/>
    <xf numFmtId="3" fontId="78" fillId="0" borderId="100" xfId="0" applyNumberFormat="1" applyFont="1" applyBorder="1" applyAlignment="1">
      <alignment horizontal="right" vertical="center" wrapText="1"/>
    </xf>
    <xf numFmtId="3" fontId="78" fillId="0" borderId="101" xfId="0" applyNumberFormat="1" applyFont="1" applyBorder="1" applyAlignment="1">
      <alignment horizontal="right" vertical="center" wrapText="1"/>
    </xf>
    <xf numFmtId="3" fontId="77" fillId="0" borderId="100" xfId="0" applyNumberFormat="1" applyFont="1" applyBorder="1"/>
    <xf numFmtId="3" fontId="77" fillId="0" borderId="101" xfId="0" applyNumberFormat="1" applyFont="1" applyBorder="1"/>
    <xf numFmtId="3" fontId="76" fillId="0" borderId="100" xfId="0" applyNumberFormat="1" applyFont="1" applyBorder="1"/>
    <xf numFmtId="3" fontId="76" fillId="0" borderId="101" xfId="0" applyNumberFormat="1" applyFont="1" applyBorder="1"/>
    <xf numFmtId="3" fontId="77" fillId="0" borderId="99" xfId="0" applyNumberFormat="1" applyFont="1" applyBorder="1" applyAlignment="1">
      <alignment horizontal="right" vertical="center" wrapText="1"/>
    </xf>
    <xf numFmtId="3" fontId="78" fillId="0" borderId="99" xfId="0" applyNumberFormat="1" applyFont="1" applyBorder="1"/>
    <xf numFmtId="3" fontId="78" fillId="0" borderId="99" xfId="0" applyNumberFormat="1" applyFont="1" applyBorder="1" applyAlignment="1">
      <alignment horizontal="right" vertical="center" wrapText="1"/>
    </xf>
    <xf numFmtId="3" fontId="77" fillId="0" borderId="99" xfId="0" applyNumberFormat="1" applyFont="1" applyBorder="1"/>
    <xf numFmtId="3" fontId="76" fillId="0" borderId="99" xfId="0" applyNumberFormat="1" applyFont="1" applyBorder="1"/>
    <xf numFmtId="0" fontId="76" fillId="0" borderId="104" xfId="0" applyFont="1" applyBorder="1" applyAlignment="1">
      <alignment horizontal="center" vertical="center" wrapText="1"/>
    </xf>
    <xf numFmtId="0" fontId="27" fillId="0" borderId="105" xfId="0" applyFont="1" applyBorder="1" applyAlignment="1">
      <alignment horizontal="center" vertical="center" wrapText="1"/>
    </xf>
    <xf numFmtId="3" fontId="76" fillId="0" borderId="104" xfId="0" applyNumberFormat="1" applyFont="1" applyBorder="1" applyAlignment="1">
      <alignment horizontal="right" vertical="center" wrapText="1"/>
    </xf>
    <xf numFmtId="3" fontId="76" fillId="0" borderId="105" xfId="0" applyNumberFormat="1" applyFont="1" applyBorder="1" applyAlignment="1">
      <alignment horizontal="right" vertical="center" wrapText="1"/>
    </xf>
    <xf numFmtId="3" fontId="77" fillId="0" borderId="104" xfId="0" applyNumberFormat="1" applyFont="1" applyBorder="1" applyAlignment="1">
      <alignment horizontal="right" vertical="center" wrapText="1"/>
    </xf>
    <xf numFmtId="3" fontId="77" fillId="0" borderId="105" xfId="0" applyNumberFormat="1" applyFont="1" applyBorder="1" applyAlignment="1">
      <alignment horizontal="right" vertical="center" wrapText="1"/>
    </xf>
    <xf numFmtId="3" fontId="77" fillId="0" borderId="104" xfId="0" applyNumberFormat="1" applyFont="1" applyBorder="1"/>
    <xf numFmtId="3" fontId="77" fillId="0" borderId="105" xfId="0" applyNumberFormat="1" applyFont="1" applyBorder="1"/>
    <xf numFmtId="3" fontId="78" fillId="0" borderId="104" xfId="0" applyNumberFormat="1" applyFont="1" applyBorder="1" applyAlignment="1">
      <alignment horizontal="right" vertical="center" wrapText="1"/>
    </xf>
    <xf numFmtId="3" fontId="78" fillId="0" borderId="105" xfId="0" applyNumberFormat="1" applyFont="1" applyBorder="1" applyAlignment="1">
      <alignment horizontal="right" vertical="center" wrapText="1"/>
    </xf>
    <xf numFmtId="3" fontId="78" fillId="0" borderId="104" xfId="0" applyNumberFormat="1" applyFont="1" applyBorder="1"/>
    <xf numFmtId="3" fontId="78" fillId="0" borderId="105" xfId="0" applyNumberFormat="1" applyFont="1" applyBorder="1"/>
    <xf numFmtId="3" fontId="76" fillId="0" borderId="104" xfId="0" applyNumberFormat="1" applyFont="1" applyBorder="1"/>
    <xf numFmtId="3" fontId="76" fillId="0" borderId="105" xfId="0" applyNumberFormat="1" applyFont="1" applyBorder="1"/>
    <xf numFmtId="3" fontId="79" fillId="0" borderId="104" xfId="0" applyNumberFormat="1" applyFont="1" applyBorder="1"/>
    <xf numFmtId="3" fontId="79" fillId="0" borderId="105" xfId="0" applyNumberFormat="1" applyFont="1" applyBorder="1"/>
    <xf numFmtId="3" fontId="27" fillId="0" borderId="104" xfId="0" applyNumberFormat="1" applyFont="1" applyBorder="1"/>
    <xf numFmtId="3" fontId="27" fillId="0" borderId="105" xfId="0" applyNumberFormat="1" applyFont="1" applyBorder="1"/>
    <xf numFmtId="3" fontId="76" fillId="0" borderId="106" xfId="0" applyNumberFormat="1" applyFont="1" applyBorder="1"/>
    <xf numFmtId="3" fontId="76" fillId="0" borderId="107" xfId="0" applyNumberFormat="1" applyFont="1" applyBorder="1"/>
    <xf numFmtId="0" fontId="76" fillId="0" borderId="105" xfId="0" applyFont="1" applyBorder="1" applyAlignment="1">
      <alignment horizontal="center" vertical="center" wrapText="1"/>
    </xf>
    <xf numFmtId="0" fontId="76" fillId="0" borderId="112" xfId="0" applyFont="1" applyBorder="1" applyAlignment="1">
      <alignment horizontal="left" vertical="center"/>
    </xf>
    <xf numFmtId="0" fontId="76" fillId="0" borderId="112" xfId="0" applyFont="1" applyBorder="1" applyAlignment="1">
      <alignment wrapText="1"/>
    </xf>
    <xf numFmtId="0" fontId="77" fillId="0" borderId="112" xfId="0" applyFont="1" applyBorder="1" applyAlignment="1"/>
    <xf numFmtId="0" fontId="76" fillId="0" borderId="112" xfId="0" applyFont="1" applyBorder="1" applyAlignment="1"/>
    <xf numFmtId="0" fontId="78" fillId="0" borderId="112" xfId="0" applyFont="1" applyBorder="1" applyAlignment="1"/>
    <xf numFmtId="0" fontId="78" fillId="0" borderId="112" xfId="0" applyFont="1" applyBorder="1" applyAlignment="1">
      <alignment horizontal="left" vertical="center" wrapText="1"/>
    </xf>
    <xf numFmtId="0" fontId="77" fillId="0" borderId="112" xfId="0" applyFont="1" applyBorder="1" applyAlignment="1">
      <alignment wrapText="1"/>
    </xf>
    <xf numFmtId="0" fontId="77" fillId="0" borderId="112" xfId="0" applyFont="1" applyBorder="1" applyAlignment="1">
      <alignment shrinkToFit="1"/>
    </xf>
    <xf numFmtId="3" fontId="76" fillId="0" borderId="112" xfId="0" applyNumberFormat="1" applyFont="1" applyBorder="1" applyAlignment="1">
      <alignment shrinkToFit="1"/>
    </xf>
    <xf numFmtId="3" fontId="77" fillId="0" borderId="112" xfId="0" applyNumberFormat="1" applyFont="1" applyBorder="1" applyAlignment="1">
      <alignment shrinkToFit="1"/>
    </xf>
    <xf numFmtId="3" fontId="27" fillId="0" borderId="112" xfId="0" applyNumberFormat="1" applyFont="1" applyBorder="1" applyAlignment="1">
      <alignment wrapText="1"/>
    </xf>
    <xf numFmtId="3" fontId="76" fillId="0" borderId="112" xfId="0" applyNumberFormat="1" applyFont="1" applyBorder="1" applyAlignment="1">
      <alignment vertical="center" wrapText="1"/>
    </xf>
    <xf numFmtId="3" fontId="76" fillId="0" borderId="113" xfId="0" applyNumberFormat="1" applyFont="1" applyBorder="1" applyAlignment="1">
      <alignment shrinkToFit="1"/>
    </xf>
    <xf numFmtId="3" fontId="76" fillId="0" borderId="114" xfId="0" applyNumberFormat="1" applyFont="1" applyBorder="1"/>
    <xf numFmtId="3" fontId="76" fillId="0" borderId="115" xfId="0" applyNumberFormat="1" applyFont="1" applyBorder="1"/>
    <xf numFmtId="3" fontId="76" fillId="0" borderId="116" xfId="0" applyNumberFormat="1" applyFont="1" applyBorder="1"/>
    <xf numFmtId="3" fontId="76" fillId="0" borderId="117" xfId="0" applyNumberFormat="1" applyFont="1" applyBorder="1"/>
    <xf numFmtId="3" fontId="76" fillId="0" borderId="114" xfId="0" applyNumberFormat="1" applyFont="1" applyBorder="1" applyAlignment="1">
      <alignment horizontal="right" vertical="center" wrapText="1"/>
    </xf>
    <xf numFmtId="3" fontId="76" fillId="0" borderId="107" xfId="0" applyNumberFormat="1" applyFont="1" applyBorder="1" applyAlignment="1">
      <alignment horizontal="right" vertical="center" wrapText="1"/>
    </xf>
    <xf numFmtId="3" fontId="56" fillId="0" borderId="118" xfId="0" applyNumberFormat="1" applyFont="1" applyBorder="1" applyAlignment="1">
      <alignment wrapText="1"/>
    </xf>
    <xf numFmtId="3" fontId="56" fillId="0" borderId="73" xfId="0" applyNumberFormat="1" applyFont="1" applyBorder="1"/>
    <xf numFmtId="3" fontId="28" fillId="0" borderId="33" xfId="0" applyNumberFormat="1" applyFont="1" applyBorder="1" applyAlignment="1">
      <alignment wrapText="1"/>
    </xf>
    <xf numFmtId="3" fontId="28" fillId="0" borderId="52" xfId="0" applyNumberFormat="1" applyFont="1" applyBorder="1"/>
    <xf numFmtId="0" fontId="25" fillId="0" borderId="0" xfId="47" applyFont="1"/>
    <xf numFmtId="3" fontId="36" fillId="0" borderId="118" xfId="0" applyNumberFormat="1" applyFont="1" applyBorder="1" applyAlignment="1">
      <alignment wrapText="1"/>
    </xf>
    <xf numFmtId="3" fontId="36" fillId="0" borderId="73" xfId="0" applyNumberFormat="1" applyFont="1" applyBorder="1"/>
    <xf numFmtId="0" fontId="26" fillId="0" borderId="0" xfId="47" applyFont="1"/>
    <xf numFmtId="3" fontId="87" fillId="0" borderId="96" xfId="0" applyNumberFormat="1" applyFont="1" applyBorder="1" applyAlignment="1">
      <alignment horizontal="center" vertical="center" wrapText="1"/>
    </xf>
    <xf numFmtId="3" fontId="82" fillId="0" borderId="120" xfId="0" applyNumberFormat="1" applyFont="1" applyBorder="1" applyAlignment="1">
      <alignment horizontal="center" vertical="center" wrapText="1"/>
    </xf>
    <xf numFmtId="3" fontId="87" fillId="0" borderId="96" xfId="0" applyNumberFormat="1" applyFont="1" applyBorder="1"/>
    <xf numFmtId="0" fontId="87" fillId="0" borderId="96" xfId="0" applyFont="1" applyBorder="1"/>
    <xf numFmtId="0" fontId="88" fillId="0" borderId="96" xfId="0" applyFont="1" applyBorder="1"/>
    <xf numFmtId="3" fontId="87" fillId="0" borderId="96" xfId="0" applyNumberFormat="1" applyFont="1" applyBorder="1" applyAlignment="1"/>
    <xf numFmtId="3" fontId="87" fillId="0" borderId="105" xfId="0" applyNumberFormat="1" applyFont="1" applyBorder="1" applyAlignment="1"/>
    <xf numFmtId="3" fontId="87" fillId="0" borderId="105" xfId="0" applyNumberFormat="1" applyFont="1" applyBorder="1"/>
    <xf numFmtId="3" fontId="88" fillId="0" borderId="96" xfId="0" applyNumberFormat="1" applyFont="1" applyBorder="1"/>
    <xf numFmtId="0" fontId="88" fillId="0" borderId="105" xfId="0" applyFont="1" applyBorder="1"/>
    <xf numFmtId="3" fontId="88" fillId="0" borderId="96" xfId="0" applyNumberFormat="1" applyFont="1" applyBorder="1" applyAlignment="1"/>
    <xf numFmtId="3" fontId="88" fillId="0" borderId="105" xfId="0" applyNumberFormat="1" applyFont="1" applyBorder="1" applyAlignment="1"/>
    <xf numFmtId="3" fontId="89" fillId="0" borderId="105" xfId="0" applyNumberFormat="1" applyFont="1" applyBorder="1"/>
    <xf numFmtId="3" fontId="88" fillId="0" borderId="105" xfId="0" applyNumberFormat="1" applyFont="1" applyBorder="1"/>
    <xf numFmtId="3" fontId="89" fillId="0" borderId="96" xfId="0" applyNumberFormat="1" applyFont="1" applyBorder="1"/>
    <xf numFmtId="3" fontId="87" fillId="0" borderId="121" xfId="0" applyNumberFormat="1" applyFont="1" applyBorder="1"/>
    <xf numFmtId="3" fontId="87" fillId="0" borderId="121" xfId="0" applyNumberFormat="1" applyFont="1" applyBorder="1" applyAlignment="1"/>
    <xf numFmtId="0" fontId="88" fillId="0" borderId="121" xfId="0" applyFont="1" applyBorder="1"/>
    <xf numFmtId="3" fontId="87" fillId="0" borderId="122" xfId="0" applyNumberFormat="1" applyFont="1" applyBorder="1"/>
    <xf numFmtId="3" fontId="87" fillId="0" borderId="115" xfId="0" applyNumberFormat="1" applyFont="1" applyBorder="1" applyAlignment="1"/>
    <xf numFmtId="3" fontId="87" fillId="0" borderId="74" xfId="0" applyNumberFormat="1" applyFont="1" applyBorder="1" applyAlignment="1"/>
    <xf numFmtId="0" fontId="68" fillId="0" borderId="0" xfId="66" applyFont="1"/>
    <xf numFmtId="0" fontId="68" fillId="0" borderId="0" xfId="66" applyFont="1" applyAlignment="1">
      <alignment horizontal="center"/>
    </xf>
    <xf numFmtId="3" fontId="96" fillId="0" borderId="0" xfId="66" applyNumberFormat="1" applyFont="1"/>
    <xf numFmtId="3" fontId="68" fillId="0" borderId="0" xfId="66" applyNumberFormat="1" applyFont="1"/>
    <xf numFmtId="0" fontId="68" fillId="0" borderId="0" xfId="66" applyFont="1" applyFill="1"/>
    <xf numFmtId="49" fontId="22" fillId="0" borderId="0" xfId="66" applyNumberFormat="1" applyFont="1" applyFill="1"/>
    <xf numFmtId="0" fontId="99" fillId="0" borderId="0" xfId="66" applyFont="1" applyFill="1"/>
    <xf numFmtId="3" fontId="99" fillId="0" borderId="0" xfId="66" applyNumberFormat="1" applyFont="1" applyFill="1"/>
    <xf numFmtId="0" fontId="99" fillId="0" borderId="0" xfId="66" applyFont="1" applyFill="1" applyAlignment="1">
      <alignment horizontal="center"/>
    </xf>
    <xf numFmtId="3" fontId="100" fillId="0" borderId="0" xfId="66" applyNumberFormat="1" applyFont="1" applyFill="1"/>
    <xf numFmtId="0" fontId="77" fillId="0" borderId="112" xfId="0" applyFont="1" applyBorder="1" applyAlignment="1">
      <alignment horizontal="left" vertical="center"/>
    </xf>
    <xf numFmtId="3" fontId="99" fillId="0" borderId="129" xfId="66" applyNumberFormat="1" applyFont="1" applyFill="1" applyBorder="1"/>
    <xf numFmtId="0" fontId="25" fillId="0" borderId="94" xfId="44" applyFont="1" applyBorder="1" applyAlignment="1">
      <alignment horizontal="center" vertical="center"/>
    </xf>
    <xf numFmtId="3" fontId="26" fillId="0" borderId="163" xfId="43" applyNumberFormat="1" applyFont="1" applyFill="1" applyBorder="1" applyAlignment="1">
      <alignment horizontal="right" vertical="center"/>
    </xf>
    <xf numFmtId="3" fontId="26" fillId="0" borderId="163" xfId="44" applyNumberFormat="1" applyFont="1" applyBorder="1" applyAlignment="1">
      <alignment horizontal="right" vertical="center"/>
    </xf>
    <xf numFmtId="3" fontId="25" fillId="0" borderId="163" xfId="43" applyNumberFormat="1" applyFont="1" applyFill="1" applyBorder="1" applyAlignment="1">
      <alignment horizontal="right" vertical="center"/>
    </xf>
    <xf numFmtId="3" fontId="25" fillId="0" borderId="162" xfId="44" applyNumberFormat="1" applyFont="1" applyBorder="1" applyAlignment="1">
      <alignment horizontal="right" vertical="center"/>
    </xf>
    <xf numFmtId="3" fontId="26" fillId="0" borderId="164" xfId="44" applyNumberFormat="1" applyFont="1" applyBorder="1" applyAlignment="1">
      <alignment horizontal="right" vertical="center"/>
    </xf>
    <xf numFmtId="3" fontId="25" fillId="0" borderId="163" xfId="44" applyNumberFormat="1" applyFont="1" applyBorder="1" applyAlignment="1">
      <alignment horizontal="right" vertical="center"/>
    </xf>
    <xf numFmtId="0" fontId="26" fillId="25" borderId="167" xfId="43" applyFont="1" applyFill="1" applyBorder="1" applyAlignment="1">
      <alignment vertical="center" wrapText="1"/>
    </xf>
    <xf numFmtId="3" fontId="25" fillId="0" borderId="168" xfId="43" applyNumberFormat="1" applyFont="1" applyFill="1" applyBorder="1" applyAlignment="1">
      <alignment horizontal="right" vertical="center"/>
    </xf>
    <xf numFmtId="49" fontId="26" fillId="25" borderId="169" xfId="55" applyNumberFormat="1" applyFont="1" applyFill="1" applyBorder="1" applyAlignment="1">
      <alignment horizontal="left" vertical="center" wrapText="1"/>
    </xf>
    <xf numFmtId="3" fontId="26" fillId="25" borderId="143" xfId="55" applyNumberFormat="1" applyFont="1" applyFill="1" applyBorder="1" applyAlignment="1">
      <alignment horizontal="right" vertical="center" wrapText="1"/>
    </xf>
    <xf numFmtId="0" fontId="26" fillId="0" borderId="169" xfId="0" applyFont="1" applyBorder="1" applyAlignment="1">
      <alignment vertical="center" wrapText="1"/>
    </xf>
    <xf numFmtId="3" fontId="26" fillId="0" borderId="143" xfId="0" applyNumberFormat="1" applyFont="1" applyBorder="1" applyAlignment="1">
      <alignment horizontal="right" vertical="center" wrapText="1"/>
    </xf>
    <xf numFmtId="49" fontId="49" fillId="25" borderId="169" xfId="55" applyNumberFormat="1" applyFont="1" applyFill="1" applyBorder="1" applyAlignment="1">
      <alignment horizontal="left" vertical="center" wrapText="1"/>
    </xf>
    <xf numFmtId="3" fontId="49" fillId="25" borderId="143" xfId="55" applyNumberFormat="1" applyFont="1" applyFill="1" applyBorder="1" applyAlignment="1">
      <alignment horizontal="right" vertical="center" wrapText="1"/>
    </xf>
    <xf numFmtId="3" fontId="26" fillId="0" borderId="143" xfId="43" applyNumberFormat="1" applyFont="1" applyFill="1" applyBorder="1" applyAlignment="1">
      <alignment horizontal="right" vertical="center" wrapText="1"/>
    </xf>
    <xf numFmtId="0" fontId="26" fillId="25" borderId="169" xfId="43" applyFont="1" applyFill="1" applyBorder="1" applyAlignment="1">
      <alignment vertical="center" wrapText="1"/>
    </xf>
    <xf numFmtId="3" fontId="26" fillId="25" borderId="143" xfId="43" applyNumberFormat="1" applyFont="1" applyFill="1" applyBorder="1" applyAlignment="1">
      <alignment horizontal="right" vertical="center" wrapText="1"/>
    </xf>
    <xf numFmtId="0" fontId="26" fillId="0" borderId="169" xfId="44" applyFont="1" applyBorder="1" applyAlignment="1">
      <alignment horizontal="left" vertical="center" wrapText="1"/>
    </xf>
    <xf numFmtId="3" fontId="26" fillId="0" borderId="143" xfId="44" applyNumberFormat="1" applyFont="1" applyBorder="1" applyAlignment="1">
      <alignment horizontal="right" vertical="center"/>
    </xf>
    <xf numFmtId="0" fontId="26" fillId="0" borderId="169" xfId="44" applyFont="1" applyBorder="1" applyAlignment="1">
      <alignment vertical="center"/>
    </xf>
    <xf numFmtId="0" fontId="25" fillId="0" borderId="169" xfId="44" applyFont="1" applyBorder="1" applyAlignment="1">
      <alignment horizontal="left" vertical="center" wrapText="1"/>
    </xf>
    <xf numFmtId="3" fontId="25" fillId="0" borderId="143" xfId="44" applyNumberFormat="1" applyFont="1" applyBorder="1" applyAlignment="1">
      <alignment horizontal="right" vertical="center" wrapText="1"/>
    </xf>
    <xf numFmtId="3" fontId="26" fillId="0" borderId="143" xfId="43" applyNumberFormat="1" applyFont="1" applyFill="1" applyBorder="1" applyAlignment="1">
      <alignment horizontal="right" vertical="center"/>
    </xf>
    <xf numFmtId="0" fontId="26" fillId="0" borderId="169" xfId="44" applyFont="1" applyBorder="1" applyAlignment="1">
      <alignment vertical="center" wrapText="1"/>
    </xf>
    <xf numFmtId="3" fontId="25" fillId="0" borderId="74" xfId="44" applyNumberFormat="1" applyFont="1" applyBorder="1" applyAlignment="1">
      <alignment horizontal="right" vertical="center"/>
    </xf>
    <xf numFmtId="3" fontId="25" fillId="0" borderId="168" xfId="44" applyNumberFormat="1" applyFont="1" applyBorder="1" applyAlignment="1">
      <alignment horizontal="center" vertical="center" wrapText="1"/>
    </xf>
    <xf numFmtId="3" fontId="25" fillId="0" borderId="171" xfId="43" applyNumberFormat="1" applyFont="1" applyFill="1" applyBorder="1" applyAlignment="1">
      <alignment horizontal="right" vertical="center"/>
    </xf>
    <xf numFmtId="3" fontId="25" fillId="0" borderId="84" xfId="44" applyNumberFormat="1" applyFont="1" applyBorder="1" applyAlignment="1">
      <alignment horizontal="right" vertical="center"/>
    </xf>
    <xf numFmtId="3" fontId="26" fillId="25" borderId="144" xfId="55" applyNumberFormat="1" applyFont="1" applyFill="1" applyBorder="1" applyAlignment="1">
      <alignment horizontal="right" vertical="center" wrapText="1"/>
    </xf>
    <xf numFmtId="3" fontId="26" fillId="0" borderId="144" xfId="0" applyNumberFormat="1" applyFont="1" applyBorder="1" applyAlignment="1">
      <alignment horizontal="right" vertical="center" wrapText="1"/>
    </xf>
    <xf numFmtId="3" fontId="49" fillId="25" borderId="144" xfId="55" applyNumberFormat="1" applyFont="1" applyFill="1" applyBorder="1" applyAlignment="1">
      <alignment horizontal="right" vertical="center" wrapText="1"/>
    </xf>
    <xf numFmtId="3" fontId="26" fillId="0" borderId="144" xfId="43" applyNumberFormat="1" applyFont="1" applyFill="1" applyBorder="1" applyAlignment="1">
      <alignment horizontal="right" vertical="center" wrapText="1"/>
    </xf>
    <xf numFmtId="3" fontId="26" fillId="25" borderId="144" xfId="43" applyNumberFormat="1" applyFont="1" applyFill="1" applyBorder="1" applyAlignment="1">
      <alignment horizontal="right" vertical="center" wrapText="1"/>
    </xf>
    <xf numFmtId="3" fontId="26" fillId="0" borderId="144" xfId="44" applyNumberFormat="1" applyFont="1" applyBorder="1" applyAlignment="1">
      <alignment horizontal="right" vertical="center"/>
    </xf>
    <xf numFmtId="3" fontId="25" fillId="0" borderId="144" xfId="44" applyNumberFormat="1" applyFont="1" applyBorder="1" applyAlignment="1">
      <alignment horizontal="right" vertical="center" wrapText="1"/>
    </xf>
    <xf numFmtId="3" fontId="26" fillId="0" borderId="144" xfId="43" applyNumberFormat="1" applyFont="1" applyFill="1" applyBorder="1" applyAlignment="1">
      <alignment horizontal="right" vertical="center"/>
    </xf>
    <xf numFmtId="3" fontId="26" fillId="0" borderId="144" xfId="44" applyNumberFormat="1" applyFont="1" applyBorder="1" applyAlignment="1">
      <alignment horizontal="right" vertical="center" wrapText="1"/>
    </xf>
    <xf numFmtId="3" fontId="26" fillId="0" borderId="172" xfId="43" applyNumberFormat="1" applyFont="1" applyFill="1" applyBorder="1" applyAlignment="1">
      <alignment horizontal="right" vertical="center"/>
    </xf>
    <xf numFmtId="3" fontId="26" fillId="0" borderId="172" xfId="44" applyNumberFormat="1" applyFont="1" applyBorder="1" applyAlignment="1">
      <alignment horizontal="right" vertical="center"/>
    </xf>
    <xf numFmtId="3" fontId="25" fillId="0" borderId="172" xfId="43" applyNumberFormat="1" applyFont="1" applyFill="1" applyBorder="1" applyAlignment="1">
      <alignment horizontal="right" vertical="center"/>
    </xf>
    <xf numFmtId="3" fontId="26" fillId="25" borderId="169" xfId="55" applyNumberFormat="1" applyFont="1" applyFill="1" applyBorder="1" applyAlignment="1">
      <alignment horizontal="right" vertical="center" wrapText="1"/>
    </xf>
    <xf numFmtId="3" fontId="26" fillId="25" borderId="168" xfId="55" applyNumberFormat="1" applyFont="1" applyFill="1" applyBorder="1" applyAlignment="1">
      <alignment horizontal="right" vertical="center" wrapText="1"/>
    </xf>
    <xf numFmtId="3" fontId="26" fillId="0" borderId="169" xfId="0" applyNumberFormat="1" applyFont="1" applyBorder="1" applyAlignment="1">
      <alignment horizontal="right" vertical="center" wrapText="1"/>
    </xf>
    <xf numFmtId="3" fontId="26" fillId="0" borderId="168" xfId="0" applyNumberFormat="1" applyFont="1" applyBorder="1" applyAlignment="1">
      <alignment horizontal="right" vertical="center" wrapText="1"/>
    </xf>
    <xf numFmtId="3" fontId="49" fillId="25" borderId="169" xfId="55" applyNumberFormat="1" applyFont="1" applyFill="1" applyBorder="1" applyAlignment="1">
      <alignment horizontal="right" vertical="center" wrapText="1"/>
    </xf>
    <xf numFmtId="3" fontId="49" fillId="25" borderId="168" xfId="55" applyNumberFormat="1" applyFont="1" applyFill="1" applyBorder="1" applyAlignment="1">
      <alignment horizontal="right" vertical="center" wrapText="1"/>
    </xf>
    <xf numFmtId="3" fontId="26" fillId="0" borderId="169" xfId="43" applyNumberFormat="1" applyFont="1" applyFill="1" applyBorder="1" applyAlignment="1">
      <alignment horizontal="right" vertical="center" wrapText="1"/>
    </xf>
    <xf numFmtId="3" fontId="26" fillId="0" borderId="168" xfId="43" applyNumberFormat="1" applyFont="1" applyFill="1" applyBorder="1" applyAlignment="1">
      <alignment horizontal="right" vertical="center" wrapText="1"/>
    </xf>
    <xf numFmtId="3" fontId="26" fillId="25" borderId="169" xfId="43" applyNumberFormat="1" applyFont="1" applyFill="1" applyBorder="1" applyAlignment="1">
      <alignment horizontal="right" vertical="center" wrapText="1"/>
    </xf>
    <xf numFmtId="3" fontId="26" fillId="25" borderId="168" xfId="43" applyNumberFormat="1" applyFont="1" applyFill="1" applyBorder="1" applyAlignment="1">
      <alignment horizontal="right" vertical="center" wrapText="1"/>
    </xf>
    <xf numFmtId="3" fontId="26" fillId="0" borderId="169" xfId="44" applyNumberFormat="1" applyFont="1" applyBorder="1" applyAlignment="1">
      <alignment horizontal="right" vertical="center"/>
    </xf>
    <xf numFmtId="3" fontId="26" fillId="0" borderId="168" xfId="44" applyNumberFormat="1" applyFont="1" applyBorder="1" applyAlignment="1">
      <alignment horizontal="right" vertical="center"/>
    </xf>
    <xf numFmtId="3" fontId="25" fillId="0" borderId="169" xfId="44" applyNumberFormat="1" applyFont="1" applyBorder="1" applyAlignment="1">
      <alignment horizontal="right" vertical="center" wrapText="1"/>
    </xf>
    <xf numFmtId="3" fontId="25" fillId="0" borderId="168" xfId="44" applyNumberFormat="1" applyFont="1" applyBorder="1" applyAlignment="1">
      <alignment horizontal="right" vertical="center" wrapText="1"/>
    </xf>
    <xf numFmtId="3" fontId="25" fillId="0" borderId="173" xfId="44" applyNumberFormat="1" applyFont="1" applyBorder="1" applyAlignment="1">
      <alignment horizontal="right" vertical="center"/>
    </xf>
    <xf numFmtId="3" fontId="25" fillId="0" borderId="174" xfId="44" applyNumberFormat="1" applyFont="1" applyBorder="1" applyAlignment="1">
      <alignment horizontal="right" vertical="center"/>
    </xf>
    <xf numFmtId="3" fontId="26" fillId="25" borderId="175" xfId="55" applyNumberFormat="1" applyFont="1" applyFill="1" applyBorder="1" applyAlignment="1">
      <alignment horizontal="right" vertical="center" wrapText="1"/>
    </xf>
    <xf numFmtId="3" fontId="26" fillId="0" borderId="175" xfId="0" applyNumberFormat="1" applyFont="1" applyBorder="1" applyAlignment="1">
      <alignment horizontal="right" vertical="center" wrapText="1"/>
    </xf>
    <xf numFmtId="3" fontId="49" fillId="25" borderId="175" xfId="55" applyNumberFormat="1" applyFont="1" applyFill="1" applyBorder="1" applyAlignment="1">
      <alignment horizontal="right" vertical="center" wrapText="1"/>
    </xf>
    <xf numFmtId="3" fontId="26" fillId="0" borderId="175" xfId="43" applyNumberFormat="1" applyFont="1" applyFill="1" applyBorder="1" applyAlignment="1">
      <alignment horizontal="right" vertical="center" wrapText="1"/>
    </xf>
    <xf numFmtId="3" fontId="26" fillId="25" borderId="175" xfId="43" applyNumberFormat="1" applyFont="1" applyFill="1" applyBorder="1" applyAlignment="1">
      <alignment horizontal="right" vertical="center" wrapText="1"/>
    </xf>
    <xf numFmtId="3" fontId="26" fillId="0" borderId="175" xfId="44" applyNumberFormat="1" applyFont="1" applyBorder="1" applyAlignment="1">
      <alignment horizontal="right" vertical="center"/>
    </xf>
    <xf numFmtId="3" fontId="25" fillId="0" borderId="175" xfId="44" applyNumberFormat="1" applyFont="1" applyBorder="1" applyAlignment="1">
      <alignment horizontal="right" vertical="center" wrapText="1"/>
    </xf>
    <xf numFmtId="3" fontId="26" fillId="0" borderId="175" xfId="43" applyNumberFormat="1" applyFont="1" applyFill="1" applyBorder="1" applyAlignment="1">
      <alignment horizontal="right" vertical="center"/>
    </xf>
    <xf numFmtId="3" fontId="26" fillId="0" borderId="175" xfId="44" applyNumberFormat="1" applyFont="1" applyBorder="1" applyAlignment="1">
      <alignment horizontal="right" vertical="center" wrapText="1"/>
    </xf>
    <xf numFmtId="3" fontId="26" fillId="0" borderId="169" xfId="43" applyNumberFormat="1" applyFont="1" applyFill="1" applyBorder="1" applyAlignment="1">
      <alignment horizontal="right" vertical="center"/>
    </xf>
    <xf numFmtId="3" fontId="26" fillId="0" borderId="168" xfId="43" applyNumberFormat="1" applyFont="1" applyFill="1" applyBorder="1" applyAlignment="1">
      <alignment horizontal="right" vertical="center"/>
    </xf>
    <xf numFmtId="3" fontId="26" fillId="0" borderId="178" xfId="44" applyNumberFormat="1" applyFont="1" applyBorder="1" applyAlignment="1">
      <alignment horizontal="right" vertical="center"/>
    </xf>
    <xf numFmtId="3" fontId="26" fillId="0" borderId="178" xfId="44" applyNumberFormat="1" applyFont="1" applyBorder="1" applyAlignment="1">
      <alignment horizontal="right" vertical="center" wrapText="1"/>
    </xf>
    <xf numFmtId="3" fontId="26" fillId="0" borderId="163" xfId="44" applyNumberFormat="1" applyFont="1" applyBorder="1" applyAlignment="1">
      <alignment horizontal="right" vertical="center" wrapText="1"/>
    </xf>
    <xf numFmtId="3" fontId="26" fillId="0" borderId="169" xfId="44" applyNumberFormat="1" applyFont="1" applyBorder="1" applyAlignment="1">
      <alignment horizontal="right" vertical="center" wrapText="1"/>
    </xf>
    <xf numFmtId="3" fontId="26" fillId="0" borderId="168" xfId="44" applyNumberFormat="1" applyFont="1" applyBorder="1" applyAlignment="1">
      <alignment horizontal="right" vertical="center" wrapText="1"/>
    </xf>
    <xf numFmtId="3" fontId="25" fillId="0" borderId="169" xfId="44" applyNumberFormat="1" applyFont="1" applyBorder="1" applyAlignment="1">
      <alignment horizontal="center" vertical="center" wrapText="1"/>
    </xf>
    <xf numFmtId="3" fontId="25" fillId="0" borderId="169" xfId="44" applyNumberFormat="1" applyFont="1" applyBorder="1" applyAlignment="1">
      <alignment vertical="center" wrapText="1"/>
    </xf>
    <xf numFmtId="3" fontId="25" fillId="0" borderId="168" xfId="44" applyNumberFormat="1" applyFont="1" applyBorder="1" applyAlignment="1">
      <alignment vertical="center" wrapText="1"/>
    </xf>
    <xf numFmtId="3" fontId="26" fillId="0" borderId="177" xfId="43" applyNumberFormat="1" applyFont="1" applyFill="1" applyBorder="1" applyAlignment="1">
      <alignment horizontal="right" vertical="center"/>
    </xf>
    <xf numFmtId="3" fontId="26" fillId="0" borderId="179" xfId="43" applyNumberFormat="1" applyFont="1" applyFill="1" applyBorder="1" applyAlignment="1">
      <alignment horizontal="right" vertical="center"/>
    </xf>
    <xf numFmtId="3" fontId="26" fillId="25" borderId="180" xfId="43" applyNumberFormat="1" applyFont="1" applyFill="1" applyBorder="1" applyAlignment="1">
      <alignment horizontal="right" vertical="center" wrapText="1"/>
    </xf>
    <xf numFmtId="3" fontId="26" fillId="25" borderId="181" xfId="43" applyNumberFormat="1" applyFont="1" applyFill="1" applyBorder="1" applyAlignment="1">
      <alignment horizontal="right" vertical="center" wrapText="1"/>
    </xf>
    <xf numFmtId="3" fontId="25" fillId="0" borderId="169" xfId="44" applyNumberFormat="1" applyFont="1" applyBorder="1" applyAlignment="1">
      <alignment vertical="center"/>
    </xf>
    <xf numFmtId="3" fontId="25" fillId="0" borderId="168" xfId="44" applyNumberFormat="1" applyFont="1" applyBorder="1" applyAlignment="1">
      <alignment vertical="center"/>
    </xf>
    <xf numFmtId="3" fontId="26" fillId="25" borderId="142" xfId="43" applyNumberFormat="1" applyFont="1" applyFill="1" applyBorder="1" applyAlignment="1">
      <alignment horizontal="right" vertical="center" wrapText="1"/>
    </xf>
    <xf numFmtId="3" fontId="26" fillId="25" borderId="179" xfId="43" applyNumberFormat="1" applyFont="1" applyFill="1" applyBorder="1" applyAlignment="1">
      <alignment horizontal="right" vertical="center" wrapText="1"/>
    </xf>
    <xf numFmtId="0" fontId="25" fillId="0" borderId="182" xfId="44" applyFont="1" applyBorder="1" applyAlignment="1">
      <alignment horizontal="left" vertical="center" wrapText="1"/>
    </xf>
    <xf numFmtId="3" fontId="26" fillId="25" borderId="183" xfId="43" applyNumberFormat="1" applyFont="1" applyFill="1" applyBorder="1" applyAlignment="1">
      <alignment horizontal="right" vertical="center" wrapText="1"/>
    </xf>
    <xf numFmtId="3" fontId="25" fillId="0" borderId="143" xfId="44" applyNumberFormat="1" applyFont="1" applyBorder="1" applyAlignment="1">
      <alignment horizontal="center" vertical="center" wrapText="1"/>
    </xf>
    <xf numFmtId="3" fontId="59" fillId="0" borderId="89" xfId="0" applyNumberFormat="1" applyFont="1" applyFill="1" applyBorder="1" applyAlignment="1">
      <alignment vertical="center"/>
    </xf>
    <xf numFmtId="3" fontId="25" fillId="0" borderId="184" xfId="0" applyNumberFormat="1" applyFont="1" applyBorder="1" applyAlignment="1">
      <alignment horizontal="center" vertical="center"/>
    </xf>
    <xf numFmtId="3" fontId="59" fillId="0" borderId="73" xfId="0" applyNumberFormat="1" applyFont="1" applyFill="1" applyBorder="1" applyAlignment="1">
      <alignment vertical="center"/>
    </xf>
    <xf numFmtId="0" fontId="26" fillId="0" borderId="171" xfId="0" applyFont="1" applyBorder="1" applyAlignment="1">
      <alignment vertical="center" wrapText="1"/>
    </xf>
    <xf numFmtId="0" fontId="60" fillId="0" borderId="171" xfId="0" applyFont="1" applyBorder="1" applyAlignment="1">
      <alignment vertical="center" wrapText="1"/>
    </xf>
    <xf numFmtId="3" fontId="60" fillId="0" borderId="73" xfId="0" applyNumberFormat="1" applyFont="1" applyFill="1" applyBorder="1" applyAlignment="1">
      <alignment vertical="center"/>
    </xf>
    <xf numFmtId="0" fontId="25" fillId="0" borderId="33" xfId="0" applyFont="1" applyBorder="1" applyAlignment="1">
      <alignment vertical="center" wrapText="1"/>
    </xf>
    <xf numFmtId="3" fontId="26" fillId="0" borderId="73" xfId="0" applyNumberFormat="1" applyFont="1" applyFill="1" applyBorder="1" applyAlignment="1">
      <alignment vertical="center"/>
    </xf>
    <xf numFmtId="0" fontId="26" fillId="0" borderId="33" xfId="0" applyFont="1" applyBorder="1" applyAlignment="1">
      <alignment vertical="center" wrapText="1"/>
    </xf>
    <xf numFmtId="0" fontId="27" fillId="0" borderId="112" xfId="0" applyFont="1" applyBorder="1" applyAlignment="1">
      <alignment wrapText="1"/>
    </xf>
    <xf numFmtId="3" fontId="27" fillId="0" borderId="99" xfId="0" applyNumberFormat="1" applyFont="1" applyBorder="1" applyAlignment="1">
      <alignment horizontal="right" vertical="center" wrapText="1"/>
    </xf>
    <xf numFmtId="3" fontId="27" fillId="0" borderId="105" xfId="0" applyNumberFormat="1" applyFont="1" applyBorder="1" applyAlignment="1">
      <alignment horizontal="right" vertical="center" wrapText="1"/>
    </xf>
    <xf numFmtId="3" fontId="26" fillId="0" borderId="73" xfId="64" applyNumberFormat="1" applyFont="1" applyBorder="1" applyAlignment="1">
      <alignment vertical="center"/>
    </xf>
    <xf numFmtId="3" fontId="25" fillId="0" borderId="73" xfId="64" applyNumberFormat="1" applyFont="1" applyBorder="1" applyAlignment="1">
      <alignment vertical="center"/>
    </xf>
    <xf numFmtId="3" fontId="50" fillId="0" borderId="73" xfId="64" applyNumberFormat="1" applyFont="1" applyFill="1" applyBorder="1" applyAlignment="1">
      <alignment vertical="center"/>
    </xf>
    <xf numFmtId="3" fontId="26" fillId="0" borderId="73" xfId="64" applyNumberFormat="1" applyFont="1" applyFill="1" applyBorder="1" applyAlignment="1">
      <alignment vertical="center"/>
    </xf>
    <xf numFmtId="3" fontId="38" fillId="0" borderId="73" xfId="64" applyNumberFormat="1" applyFont="1" applyFill="1" applyBorder="1" applyAlignment="1">
      <alignment vertical="center"/>
    </xf>
    <xf numFmtId="3" fontId="25" fillId="0" borderId="73" xfId="64" applyNumberFormat="1" applyFont="1" applyFill="1" applyBorder="1" applyAlignment="1">
      <alignment vertical="center"/>
    </xf>
    <xf numFmtId="3" fontId="25" fillId="0" borderId="85" xfId="64" applyNumberFormat="1" applyFont="1" applyBorder="1" applyAlignment="1">
      <alignment vertical="center"/>
    </xf>
    <xf numFmtId="49" fontId="31" fillId="0" borderId="0" xfId="43" applyNumberFormat="1" applyFont="1" applyFill="1"/>
    <xf numFmtId="49" fontId="26" fillId="0" borderId="0" xfId="43" applyNumberFormat="1" applyFont="1" applyFill="1" applyAlignment="1">
      <alignment horizontal="center"/>
    </xf>
    <xf numFmtId="0" fontId="26" fillId="0" borderId="33" xfId="64" applyFont="1" applyFill="1" applyBorder="1" applyAlignment="1">
      <alignment vertical="center" wrapText="1"/>
    </xf>
    <xf numFmtId="0" fontId="50" fillId="0" borderId="33" xfId="64" applyFont="1" applyFill="1" applyBorder="1" applyAlignment="1">
      <alignment vertical="center" wrapText="1"/>
    </xf>
    <xf numFmtId="0" fontId="25" fillId="0" borderId="33" xfId="64" applyFont="1" applyFill="1" applyBorder="1" applyAlignment="1">
      <alignment vertical="center" wrapText="1"/>
    </xf>
    <xf numFmtId="0" fontId="26" fillId="0" borderId="171" xfId="0" applyFont="1" applyFill="1" applyBorder="1" applyAlignment="1">
      <alignment vertical="center" wrapText="1"/>
    </xf>
    <xf numFmtId="3" fontId="26" fillId="0" borderId="169" xfId="64" applyNumberFormat="1" applyFont="1" applyFill="1" applyBorder="1" applyAlignment="1">
      <alignment vertical="center"/>
    </xf>
    <xf numFmtId="0" fontId="38" fillId="0" borderId="33" xfId="64" applyFont="1" applyFill="1" applyBorder="1" applyAlignment="1">
      <alignment vertical="center" wrapText="1"/>
    </xf>
    <xf numFmtId="0" fontId="26" fillId="0" borderId="185" xfId="64" applyFont="1" applyFill="1" applyBorder="1" applyAlignment="1">
      <alignment vertical="center" wrapText="1"/>
    </xf>
    <xf numFmtId="3" fontId="25" fillId="0" borderId="184" xfId="64" applyNumberFormat="1" applyFont="1" applyBorder="1" applyAlignment="1">
      <alignment vertical="center"/>
    </xf>
    <xf numFmtId="3" fontId="38" fillId="0" borderId="72" xfId="64" applyNumberFormat="1" applyFont="1" applyFill="1" applyBorder="1" applyAlignment="1">
      <alignment vertical="center"/>
    </xf>
    <xf numFmtId="3" fontId="36" fillId="0" borderId="186" xfId="0" applyNumberFormat="1" applyFont="1" applyBorder="1" applyAlignment="1">
      <alignment horizontal="right" vertical="center"/>
    </xf>
    <xf numFmtId="3" fontId="36" fillId="0" borderId="187" xfId="0" applyNumberFormat="1" applyFont="1" applyBorder="1" applyAlignment="1">
      <alignment horizontal="right" vertical="center"/>
    </xf>
    <xf numFmtId="3" fontId="28" fillId="0" borderId="187" xfId="0" applyNumberFormat="1" applyFont="1" applyBorder="1" applyAlignment="1">
      <alignment horizontal="right" vertical="center"/>
    </xf>
    <xf numFmtId="3" fontId="37" fillId="0" borderId="187" xfId="0" applyNumberFormat="1" applyFont="1" applyBorder="1" applyAlignment="1">
      <alignment horizontal="right" vertical="center"/>
    </xf>
    <xf numFmtId="3" fontId="36" fillId="0" borderId="188" xfId="0" applyNumberFormat="1" applyFont="1" applyBorder="1" applyAlignment="1">
      <alignment horizontal="right" vertical="center"/>
    </xf>
    <xf numFmtId="3" fontId="28" fillId="0" borderId="189" xfId="0" applyNumberFormat="1" applyFont="1" applyBorder="1" applyAlignment="1">
      <alignment horizontal="right" vertical="center"/>
    </xf>
    <xf numFmtId="0" fontId="28" fillId="0" borderId="191" xfId="0" applyFont="1" applyBorder="1" applyAlignment="1">
      <alignment horizontal="center" vertical="center" wrapText="1"/>
    </xf>
    <xf numFmtId="3" fontId="23" fillId="0" borderId="191" xfId="0" applyNumberFormat="1" applyFont="1" applyBorder="1" applyAlignment="1">
      <alignment wrapText="1"/>
    </xf>
    <xf numFmtId="164" fontId="23" fillId="0" borderId="191" xfId="0" applyNumberFormat="1" applyFont="1" applyBorder="1" applyAlignment="1">
      <alignment wrapText="1"/>
    </xf>
    <xf numFmtId="3" fontId="22" fillId="0" borderId="191" xfId="0" applyNumberFormat="1" applyFont="1" applyBorder="1" applyAlignment="1">
      <alignment wrapText="1"/>
    </xf>
    <xf numFmtId="3" fontId="30" fillId="0" borderId="191" xfId="0" applyNumberFormat="1" applyFont="1" applyBorder="1" applyAlignment="1">
      <alignment wrapText="1"/>
    </xf>
    <xf numFmtId="0" fontId="22" fillId="0" borderId="191" xfId="0" applyFont="1" applyBorder="1"/>
    <xf numFmtId="3" fontId="23" fillId="0" borderId="192" xfId="0" applyNumberFormat="1" applyFont="1" applyBorder="1"/>
    <xf numFmtId="0" fontId="28" fillId="0" borderId="196" xfId="0" applyFont="1" applyBorder="1" applyAlignment="1">
      <alignment horizontal="center" vertical="center" wrapText="1"/>
    </xf>
    <xf numFmtId="3" fontId="23" fillId="0" borderId="195" xfId="0" applyNumberFormat="1" applyFont="1" applyBorder="1"/>
    <xf numFmtId="3" fontId="23" fillId="0" borderId="196" xfId="0" applyNumberFormat="1" applyFont="1" applyBorder="1"/>
    <xf numFmtId="3" fontId="23" fillId="0" borderId="197" xfId="0" applyNumberFormat="1" applyFont="1" applyBorder="1"/>
    <xf numFmtId="3" fontId="23" fillId="0" borderId="198" xfId="0" applyNumberFormat="1" applyFont="1" applyBorder="1"/>
    <xf numFmtId="164" fontId="41" fillId="0" borderId="191" xfId="0" applyNumberFormat="1" applyFont="1" applyBorder="1" applyAlignment="1">
      <alignment wrapText="1"/>
    </xf>
    <xf numFmtId="3" fontId="40" fillId="0" borderId="191" xfId="0" applyNumberFormat="1" applyFont="1" applyBorder="1"/>
    <xf numFmtId="3" fontId="23" fillId="0" borderId="200" xfId="0" applyNumberFormat="1" applyFont="1" applyBorder="1" applyAlignment="1">
      <alignment wrapText="1"/>
    </xf>
    <xf numFmtId="164" fontId="23" fillId="0" borderId="200" xfId="0" applyNumberFormat="1" applyFont="1" applyBorder="1" applyAlignment="1">
      <alignment wrapText="1"/>
    </xf>
    <xf numFmtId="3" fontId="22" fillId="0" borderId="200" xfId="0" applyNumberFormat="1" applyFont="1" applyBorder="1" applyAlignment="1">
      <alignment wrapText="1"/>
    </xf>
    <xf numFmtId="3" fontId="30" fillId="0" borderId="200" xfId="0" applyNumberFormat="1" applyFont="1" applyBorder="1" applyAlignment="1">
      <alignment wrapText="1"/>
    </xf>
    <xf numFmtId="0" fontId="22" fillId="0" borderId="200" xfId="0" applyFont="1" applyBorder="1"/>
    <xf numFmtId="3" fontId="23" fillId="0" borderId="201" xfId="0" applyNumberFormat="1" applyFont="1" applyBorder="1"/>
    <xf numFmtId="3" fontId="23" fillId="0" borderId="195" xfId="0" applyNumberFormat="1" applyFont="1" applyBorder="1" applyAlignment="1">
      <alignment wrapText="1"/>
    </xf>
    <xf numFmtId="3" fontId="23" fillId="0" borderId="196" xfId="0" applyNumberFormat="1" applyFont="1" applyBorder="1" applyAlignment="1">
      <alignment wrapText="1"/>
    </xf>
    <xf numFmtId="164" fontId="23" fillId="0" borderId="195" xfId="0" applyNumberFormat="1" applyFont="1" applyBorder="1" applyAlignment="1">
      <alignment wrapText="1"/>
    </xf>
    <xf numFmtId="164" fontId="23" fillId="0" borderId="196" xfId="0" applyNumberFormat="1" applyFont="1" applyBorder="1" applyAlignment="1">
      <alignment wrapText="1"/>
    </xf>
    <xf numFmtId="3" fontId="22" fillId="0" borderId="195" xfId="0" applyNumberFormat="1" applyFont="1" applyBorder="1" applyAlignment="1">
      <alignment wrapText="1"/>
    </xf>
    <xf numFmtId="3" fontId="22" fillId="0" borderId="196" xfId="0" applyNumberFormat="1" applyFont="1" applyBorder="1" applyAlignment="1">
      <alignment wrapText="1"/>
    </xf>
    <xf numFmtId="3" fontId="30" fillId="0" borderId="195" xfId="0" applyNumberFormat="1" applyFont="1" applyBorder="1" applyAlignment="1">
      <alignment wrapText="1"/>
    </xf>
    <xf numFmtId="3" fontId="30" fillId="0" borderId="196" xfId="0" applyNumberFormat="1" applyFont="1" applyBorder="1" applyAlignment="1">
      <alignment wrapText="1"/>
    </xf>
    <xf numFmtId="0" fontId="22" fillId="0" borderId="195" xfId="0" applyFont="1" applyBorder="1"/>
    <xf numFmtId="0" fontId="22" fillId="0" borderId="196" xfId="0" applyFont="1" applyBorder="1"/>
    <xf numFmtId="0" fontId="23" fillId="0" borderId="205" xfId="0" applyFont="1" applyBorder="1"/>
    <xf numFmtId="0" fontId="23" fillId="0" borderId="205" xfId="0" applyFont="1" applyBorder="1" applyAlignment="1">
      <alignment wrapText="1"/>
    </xf>
    <xf numFmtId="0" fontId="41" fillId="0" borderId="205" xfId="0" applyFont="1" applyBorder="1"/>
    <xf numFmtId="0" fontId="22" fillId="0" borderId="205" xfId="0" applyFont="1" applyBorder="1" applyAlignment="1">
      <alignment horizontal="left" wrapText="1"/>
    </xf>
    <xf numFmtId="0" fontId="22" fillId="0" borderId="205" xfId="0" applyFont="1" applyBorder="1"/>
    <xf numFmtId="0" fontId="30" fillId="0" borderId="205" xfId="0" applyFont="1" applyBorder="1"/>
    <xf numFmtId="0" fontId="30" fillId="0" borderId="205" xfId="0" applyFont="1" applyBorder="1" applyAlignment="1">
      <alignment wrapText="1"/>
    </xf>
    <xf numFmtId="0" fontId="23" fillId="0" borderId="206" xfId="0" applyFont="1" applyBorder="1" applyAlignment="1">
      <alignment wrapText="1"/>
    </xf>
    <xf numFmtId="164" fontId="41" fillId="0" borderId="195" xfId="0" applyNumberFormat="1" applyFont="1" applyBorder="1" applyAlignment="1">
      <alignment wrapText="1"/>
    </xf>
    <xf numFmtId="164" fontId="41" fillId="0" borderId="196" xfId="0" applyNumberFormat="1" applyFont="1" applyBorder="1" applyAlignment="1">
      <alignment wrapText="1"/>
    </xf>
    <xf numFmtId="3" fontId="41" fillId="0" borderId="195" xfId="0" applyNumberFormat="1" applyFont="1" applyBorder="1" applyAlignment="1">
      <alignment wrapText="1"/>
    </xf>
    <xf numFmtId="3" fontId="41" fillId="0" borderId="196" xfId="0" applyNumberFormat="1" applyFont="1" applyBorder="1" applyAlignment="1">
      <alignment wrapText="1"/>
    </xf>
    <xf numFmtId="3" fontId="40" fillId="0" borderId="195" xfId="0" applyNumberFormat="1" applyFont="1" applyBorder="1"/>
    <xf numFmtId="3" fontId="40" fillId="0" borderId="196" xfId="0" applyNumberFormat="1" applyFont="1" applyBorder="1"/>
    <xf numFmtId="0" fontId="41" fillId="0" borderId="0" xfId="0" applyFont="1" applyBorder="1"/>
    <xf numFmtId="0" fontId="40" fillId="0" borderId="205" xfId="0" applyFont="1" applyBorder="1"/>
    <xf numFmtId="3" fontId="40" fillId="0" borderId="200" xfId="0" applyNumberFormat="1" applyFont="1" applyBorder="1"/>
    <xf numFmtId="0" fontId="40" fillId="0" borderId="0" xfId="0" applyFont="1"/>
    <xf numFmtId="3" fontId="40" fillId="0" borderId="195" xfId="0" applyNumberFormat="1" applyFont="1" applyBorder="1" applyAlignment="1">
      <alignment wrapText="1"/>
    </xf>
    <xf numFmtId="3" fontId="40" fillId="0" borderId="196" xfId="0" applyNumberFormat="1" applyFont="1" applyBorder="1" applyAlignment="1">
      <alignment wrapText="1"/>
    </xf>
    <xf numFmtId="3" fontId="40" fillId="0" borderId="200" xfId="0" applyNumberFormat="1" applyFont="1" applyBorder="1" applyAlignment="1">
      <alignment wrapText="1"/>
    </xf>
    <xf numFmtId="3" fontId="40" fillId="0" borderId="191" xfId="0" applyNumberFormat="1" applyFont="1" applyBorder="1" applyAlignment="1">
      <alignment wrapText="1"/>
    </xf>
    <xf numFmtId="0" fontId="40" fillId="0" borderId="0" xfId="0" applyFont="1" applyBorder="1"/>
    <xf numFmtId="3" fontId="22" fillId="0" borderId="0" xfId="0" applyNumberFormat="1" applyFont="1"/>
    <xf numFmtId="164" fontId="41" fillId="0" borderId="200" xfId="0" applyNumberFormat="1" applyFont="1" applyBorder="1" applyAlignment="1">
      <alignment wrapText="1"/>
    </xf>
    <xf numFmtId="0" fontId="22" fillId="0" borderId="22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3" fontId="23" fillId="0" borderId="195" xfId="0" applyNumberFormat="1" applyFont="1" applyBorder="1" applyAlignment="1">
      <alignment horizontal="center" vertical="center" wrapText="1"/>
    </xf>
    <xf numFmtId="3" fontId="23" fillId="0" borderId="200" xfId="0" applyNumberFormat="1" applyFont="1" applyBorder="1" applyAlignment="1">
      <alignment horizontal="center" vertical="center" wrapText="1"/>
    </xf>
    <xf numFmtId="3" fontId="79" fillId="0" borderId="195" xfId="0" applyNumberFormat="1" applyFont="1" applyBorder="1"/>
    <xf numFmtId="3" fontId="79" fillId="0" borderId="196" xfId="0" applyNumberFormat="1" applyFont="1" applyBorder="1"/>
    <xf numFmtId="3" fontId="76" fillId="0" borderId="200" xfId="0" applyNumberFormat="1" applyFont="1" applyBorder="1"/>
    <xf numFmtId="3" fontId="76" fillId="0" borderId="191" xfId="0" applyNumberFormat="1" applyFont="1" applyBorder="1"/>
    <xf numFmtId="3" fontId="76" fillId="0" borderId="207" xfId="0" applyNumberFormat="1" applyFont="1" applyBorder="1"/>
    <xf numFmtId="3" fontId="76" fillId="0" borderId="208" xfId="0" applyNumberFormat="1" applyFont="1" applyBorder="1"/>
    <xf numFmtId="3" fontId="27" fillId="0" borderId="205" xfId="0" applyNumberFormat="1" applyFont="1" applyBorder="1" applyAlignment="1">
      <alignment shrinkToFit="1"/>
    </xf>
    <xf numFmtId="166" fontId="104" fillId="28" borderId="211" xfId="60" applyFont="1" applyFill="1" applyBorder="1" applyAlignment="1">
      <alignment horizontal="center" vertical="center" wrapText="1"/>
    </xf>
    <xf numFmtId="166" fontId="104" fillId="28" borderId="211" xfId="60" applyFont="1" applyFill="1" applyBorder="1" applyAlignment="1">
      <alignment horizontal="center" vertical="center"/>
    </xf>
    <xf numFmtId="166" fontId="103" fillId="28" borderId="211" xfId="60" applyFont="1" applyFill="1" applyBorder="1" applyAlignment="1">
      <alignment vertical="center" wrapText="1"/>
    </xf>
    <xf numFmtId="170" fontId="103" fillId="28" borderId="211" xfId="60" applyNumberFormat="1" applyFont="1" applyFill="1" applyBorder="1" applyAlignment="1">
      <alignment vertical="center"/>
    </xf>
    <xf numFmtId="170" fontId="105" fillId="28" borderId="211" xfId="60" applyNumberFormat="1" applyFont="1" applyFill="1" applyBorder="1" applyAlignment="1">
      <alignment vertical="center"/>
    </xf>
    <xf numFmtId="166" fontId="106" fillId="28" borderId="211" xfId="60" applyFont="1" applyFill="1" applyBorder="1" applyAlignment="1">
      <alignment vertical="center" wrapText="1"/>
    </xf>
    <xf numFmtId="170" fontId="106" fillId="28" borderId="211" xfId="60" applyNumberFormat="1" applyFont="1" applyFill="1" applyBorder="1" applyAlignment="1">
      <alignment vertical="center"/>
    </xf>
    <xf numFmtId="166" fontId="106" fillId="28" borderId="211" xfId="60" applyFont="1" applyFill="1" applyBorder="1" applyAlignment="1">
      <alignment horizontal="left" vertical="center" wrapText="1"/>
    </xf>
    <xf numFmtId="170" fontId="108" fillId="28" borderId="211" xfId="60" applyNumberFormat="1" applyFont="1" applyFill="1" applyBorder="1" applyAlignment="1"/>
    <xf numFmtId="170" fontId="108" fillId="0" borderId="211" xfId="60" applyNumberFormat="1" applyFont="1" applyFill="1" applyBorder="1" applyAlignment="1"/>
    <xf numFmtId="170" fontId="108" fillId="28" borderId="211" xfId="60" applyNumberFormat="1" applyFont="1" applyFill="1" applyBorder="1" applyAlignment="1">
      <alignment vertical="center"/>
    </xf>
    <xf numFmtId="0" fontId="25" fillId="0" borderId="0" xfId="43" applyFont="1" applyFill="1" applyBorder="1" applyAlignment="1">
      <alignment horizontal="center" vertical="center" wrapText="1"/>
    </xf>
    <xf numFmtId="0" fontId="26" fillId="0" borderId="30" xfId="43" applyFont="1" applyFill="1" applyBorder="1" applyAlignment="1">
      <alignment wrapText="1"/>
    </xf>
    <xf numFmtId="0" fontId="25" fillId="0" borderId="93" xfId="43" applyFont="1" applyFill="1" applyBorder="1" applyAlignment="1">
      <alignment wrapText="1"/>
    </xf>
    <xf numFmtId="0" fontId="25" fillId="0" borderId="93" xfId="43" applyNumberFormat="1" applyFont="1" applyFill="1" applyBorder="1" applyAlignment="1">
      <alignment horizontal="center" wrapText="1"/>
    </xf>
    <xf numFmtId="0" fontId="25" fillId="0" borderId="85" xfId="43" applyFont="1" applyFill="1" applyBorder="1" applyAlignment="1">
      <alignment vertical="top" wrapText="1"/>
    </xf>
    <xf numFmtId="3" fontId="25" fillId="0" borderId="93" xfId="43" applyNumberFormat="1" applyFont="1" applyFill="1" applyBorder="1"/>
    <xf numFmtId="3" fontId="25" fillId="0" borderId="85" xfId="43" applyNumberFormat="1" applyFont="1" applyFill="1" applyBorder="1"/>
    <xf numFmtId="0" fontId="26" fillId="0" borderId="118" xfId="43" applyFont="1" applyFill="1" applyBorder="1" applyAlignment="1">
      <alignment wrapText="1"/>
    </xf>
    <xf numFmtId="3" fontId="26" fillId="0" borderId="118" xfId="43" applyNumberFormat="1" applyFont="1" applyFill="1" applyBorder="1"/>
    <xf numFmtId="3" fontId="26" fillId="0" borderId="216" xfId="43" applyNumberFormat="1" applyFont="1" applyFill="1" applyBorder="1"/>
    <xf numFmtId="0" fontId="25" fillId="0" borderId="118" xfId="43" applyFont="1" applyFill="1" applyBorder="1" applyAlignment="1">
      <alignment wrapText="1"/>
    </xf>
    <xf numFmtId="3" fontId="25" fillId="0" borderId="118" xfId="43" applyNumberFormat="1" applyFont="1" applyFill="1" applyBorder="1"/>
    <xf numFmtId="3" fontId="25" fillId="0" borderId="217" xfId="43" applyNumberFormat="1" applyFont="1" applyFill="1" applyBorder="1" applyAlignment="1">
      <alignment horizontal="right"/>
    </xf>
    <xf numFmtId="0" fontId="26" fillId="25" borderId="118" xfId="43" applyFont="1" applyFill="1" applyBorder="1" applyAlignment="1">
      <alignment vertical="center" wrapText="1"/>
    </xf>
    <xf numFmtId="3" fontId="26" fillId="0" borderId="118" xfId="43" applyNumberFormat="1" applyFont="1" applyFill="1" applyBorder="1" applyAlignment="1">
      <alignment vertical="center"/>
    </xf>
    <xf numFmtId="3" fontId="26" fillId="0" borderId="217" xfId="43" applyNumberFormat="1" applyFont="1" applyFill="1" applyBorder="1" applyAlignment="1">
      <alignment horizontal="right" vertical="center"/>
    </xf>
    <xf numFmtId="49" fontId="26" fillId="25" borderId="118" xfId="55" applyNumberFormat="1" applyFont="1" applyFill="1" applyBorder="1" applyAlignment="1">
      <alignment horizontal="left" vertical="center" wrapText="1"/>
    </xf>
    <xf numFmtId="0" fontId="26" fillId="0" borderId="118" xfId="0" applyFont="1" applyBorder="1" applyAlignment="1">
      <alignment vertical="center" wrapText="1"/>
    </xf>
    <xf numFmtId="3" fontId="26" fillId="0" borderId="217" xfId="43" applyNumberFormat="1" applyFont="1" applyFill="1" applyBorder="1" applyAlignment="1">
      <alignment horizontal="right"/>
    </xf>
    <xf numFmtId="49" fontId="49" fillId="25" borderId="118" xfId="55" applyNumberFormat="1" applyFont="1" applyFill="1" applyBorder="1" applyAlignment="1">
      <alignment horizontal="left" vertical="center" wrapText="1"/>
    </xf>
    <xf numFmtId="0" fontId="26" fillId="25" borderId="118" xfId="43" applyFont="1" applyFill="1" applyBorder="1" applyAlignment="1">
      <alignment wrapText="1"/>
    </xf>
    <xf numFmtId="49" fontId="49" fillId="25" borderId="118" xfId="55" applyNumberFormat="1" applyFont="1" applyFill="1" applyBorder="1" applyAlignment="1">
      <alignment wrapText="1"/>
    </xf>
    <xf numFmtId="3" fontId="26" fillId="0" borderId="118" xfId="43" applyNumberFormat="1" applyFont="1" applyFill="1" applyBorder="1" applyAlignment="1">
      <alignment vertical="center" wrapText="1"/>
    </xf>
    <xf numFmtId="3" fontId="26" fillId="0" borderId="218" xfId="43" applyNumberFormat="1" applyFont="1" applyFill="1" applyBorder="1" applyAlignment="1">
      <alignment horizontal="right"/>
    </xf>
    <xf numFmtId="3" fontId="25" fillId="0" borderId="218" xfId="43" applyNumberFormat="1" applyFont="1" applyFill="1" applyBorder="1" applyAlignment="1">
      <alignment horizontal="right"/>
    </xf>
    <xf numFmtId="0" fontId="25" fillId="25" borderId="118" xfId="43" applyFont="1" applyFill="1" applyBorder="1" applyAlignment="1">
      <alignment wrapText="1"/>
    </xf>
    <xf numFmtId="3" fontId="26" fillId="0" borderId="219" xfId="43" applyNumberFormat="1" applyFont="1" applyFill="1" applyBorder="1" applyAlignment="1">
      <alignment horizontal="right" wrapText="1"/>
    </xf>
    <xf numFmtId="3" fontId="49" fillId="0" borderId="118" xfId="55" applyNumberFormat="1" applyFont="1" applyFill="1" applyBorder="1" applyAlignment="1">
      <alignment vertical="center"/>
    </xf>
    <xf numFmtId="3" fontId="26" fillId="0" borderId="217" xfId="43" applyNumberFormat="1" applyFont="1" applyFill="1" applyBorder="1" applyAlignment="1">
      <alignment horizontal="right" wrapText="1"/>
    </xf>
    <xf numFmtId="49" fontId="49" fillId="25" borderId="118" xfId="55" applyNumberFormat="1" applyFont="1" applyFill="1" applyBorder="1" applyAlignment="1">
      <alignment horizontal="left" vertical="top" wrapText="1"/>
    </xf>
    <xf numFmtId="3" fontId="49" fillId="0" borderId="118" xfId="55" applyNumberFormat="1" applyFont="1" applyFill="1" applyBorder="1"/>
    <xf numFmtId="49" fontId="72" fillId="25" borderId="118" xfId="55" applyNumberFormat="1" applyFont="1" applyFill="1" applyBorder="1" applyAlignment="1">
      <alignment horizontal="left" vertical="center" wrapText="1"/>
    </xf>
    <xf numFmtId="3" fontId="72" fillId="0" borderId="118" xfId="55" applyNumberFormat="1" applyFont="1" applyFill="1" applyBorder="1"/>
    <xf numFmtId="49" fontId="26" fillId="25" borderId="118" xfId="43" applyNumberFormat="1" applyFont="1" applyFill="1" applyBorder="1" applyAlignment="1">
      <alignment wrapText="1"/>
    </xf>
    <xf numFmtId="3" fontId="72" fillId="0" borderId="118" xfId="43" applyNumberFormat="1" applyFont="1" applyFill="1" applyBorder="1"/>
    <xf numFmtId="3" fontId="26" fillId="0" borderId="217" xfId="43" applyNumberFormat="1" applyFont="1" applyFill="1" applyBorder="1" applyAlignment="1">
      <alignment horizontal="right" vertical="center" wrapText="1"/>
    </xf>
    <xf numFmtId="49" fontId="49" fillId="25" borderId="84" xfId="55" applyNumberFormat="1" applyFont="1" applyFill="1" applyBorder="1" applyAlignment="1">
      <alignment horizontal="left" vertical="center" wrapText="1"/>
    </xf>
    <xf numFmtId="3" fontId="49" fillId="0" borderId="84" xfId="55" applyNumberFormat="1" applyFont="1" applyFill="1" applyBorder="1" applyAlignment="1">
      <alignment vertical="center"/>
    </xf>
    <xf numFmtId="3" fontId="26" fillId="0" borderId="74" xfId="43" applyNumberFormat="1" applyFont="1" applyFill="1" applyBorder="1" applyAlignment="1">
      <alignment horizontal="right" wrapText="1"/>
    </xf>
    <xf numFmtId="49" fontId="49" fillId="25" borderId="220" xfId="55" applyNumberFormat="1" applyFont="1" applyFill="1" applyBorder="1" applyAlignment="1">
      <alignment horizontal="left" vertical="center" wrapText="1"/>
    </xf>
    <xf numFmtId="3" fontId="49" fillId="0" borderId="221" xfId="55" applyNumberFormat="1" applyFont="1" applyFill="1" applyBorder="1" applyAlignment="1">
      <alignment vertical="center"/>
    </xf>
    <xf numFmtId="3" fontId="26" fillId="0" borderId="222" xfId="43" applyNumberFormat="1" applyFont="1" applyFill="1" applyBorder="1" applyAlignment="1">
      <alignment horizontal="right" wrapText="1"/>
    </xf>
    <xf numFmtId="0" fontId="0" fillId="0" borderId="223" xfId="0" applyFont="1" applyBorder="1" applyAlignment="1">
      <alignment vertical="center"/>
    </xf>
    <xf numFmtId="0" fontId="39" fillId="0" borderId="87" xfId="0" applyFont="1" applyBorder="1" applyAlignment="1">
      <alignment vertical="center"/>
    </xf>
    <xf numFmtId="0" fontId="44" fillId="0" borderId="74" xfId="0" applyFont="1" applyBorder="1" applyAlignment="1">
      <alignment horizontal="right" vertical="center"/>
    </xf>
    <xf numFmtId="49" fontId="49" fillId="25" borderId="66" xfId="55" applyNumberFormat="1" applyFont="1" applyFill="1" applyBorder="1" applyAlignment="1">
      <alignment horizontal="left" vertical="center" wrapText="1"/>
    </xf>
    <xf numFmtId="3" fontId="49" fillId="0" borderId="224" xfId="55" applyNumberFormat="1" applyFont="1" applyFill="1" applyBorder="1" applyAlignment="1">
      <alignment vertical="center"/>
    </xf>
    <xf numFmtId="3" fontId="49" fillId="0" borderId="225" xfId="55" applyNumberFormat="1" applyFont="1" applyFill="1" applyBorder="1" applyAlignment="1">
      <alignment horizontal="right" vertical="center"/>
    </xf>
    <xf numFmtId="0" fontId="25" fillId="25" borderId="93" xfId="43" applyFont="1" applyFill="1" applyBorder="1" applyAlignment="1">
      <alignment wrapText="1"/>
    </xf>
    <xf numFmtId="3" fontId="73" fillId="0" borderId="93" xfId="43" applyNumberFormat="1" applyFont="1" applyFill="1" applyBorder="1"/>
    <xf numFmtId="3" fontId="73" fillId="0" borderId="85" xfId="43" applyNumberFormat="1" applyFont="1" applyFill="1" applyBorder="1" applyAlignment="1">
      <alignment horizontal="right"/>
    </xf>
    <xf numFmtId="0" fontId="25" fillId="25" borderId="38" xfId="43" applyFont="1" applyFill="1" applyBorder="1" applyAlignment="1">
      <alignment wrapText="1"/>
    </xf>
    <xf numFmtId="3" fontId="73" fillId="0" borderId="226" xfId="43" applyNumberFormat="1" applyFont="1" applyFill="1" applyBorder="1" applyAlignment="1">
      <alignment horizontal="right"/>
    </xf>
    <xf numFmtId="0" fontId="50" fillId="25" borderId="118" xfId="43" applyFont="1" applyFill="1" applyBorder="1" applyAlignment="1">
      <alignment wrapText="1"/>
    </xf>
    <xf numFmtId="3" fontId="74" fillId="0" borderId="118" xfId="43" applyNumberFormat="1" applyFont="1" applyFill="1" applyBorder="1"/>
    <xf numFmtId="3" fontId="72" fillId="0" borderId="73" xfId="43" applyNumberFormat="1" applyFont="1" applyFill="1" applyBorder="1" applyAlignment="1">
      <alignment horizontal="right"/>
    </xf>
    <xf numFmtId="3" fontId="49" fillId="0" borderId="89" xfId="55" applyNumberFormat="1" applyFont="1" applyFill="1" applyBorder="1" applyAlignment="1">
      <alignment horizontal="right"/>
    </xf>
    <xf numFmtId="3" fontId="49" fillId="0" borderId="73" xfId="55" applyNumberFormat="1" applyFont="1" applyFill="1" applyBorder="1" applyAlignment="1">
      <alignment horizontal="right"/>
    </xf>
    <xf numFmtId="3" fontId="72" fillId="0" borderId="227" xfId="43" applyNumberFormat="1" applyFont="1" applyFill="1" applyBorder="1" applyAlignment="1">
      <alignment horizontal="right"/>
    </xf>
    <xf numFmtId="3" fontId="72" fillId="0" borderId="89" xfId="43" applyNumberFormat="1" applyFont="1" applyFill="1" applyBorder="1" applyAlignment="1">
      <alignment horizontal="right"/>
    </xf>
    <xf numFmtId="3" fontId="50" fillId="0" borderId="118" xfId="43" applyNumberFormat="1" applyFont="1" applyFill="1" applyBorder="1"/>
    <xf numFmtId="0" fontId="26" fillId="25" borderId="223" xfId="43" applyFont="1" applyFill="1" applyBorder="1" applyAlignment="1">
      <alignment wrapText="1"/>
    </xf>
    <xf numFmtId="3" fontId="26" fillId="0" borderId="223" xfId="43" applyNumberFormat="1" applyFont="1" applyFill="1" applyBorder="1"/>
    <xf numFmtId="3" fontId="26" fillId="0" borderId="73" xfId="43" applyNumberFormat="1" applyFont="1" applyFill="1" applyBorder="1" applyAlignment="1">
      <alignment horizontal="right"/>
    </xf>
    <xf numFmtId="3" fontId="25" fillId="0" borderId="85" xfId="43" applyNumberFormat="1" applyFont="1" applyFill="1" applyBorder="1" applyAlignment="1">
      <alignment horizontal="right"/>
    </xf>
    <xf numFmtId="0" fontId="26" fillId="25" borderId="38" xfId="43" applyFont="1" applyFill="1" applyBorder="1" applyAlignment="1">
      <alignment wrapText="1"/>
    </xf>
    <xf numFmtId="3" fontId="26" fillId="0" borderId="38" xfId="43" applyNumberFormat="1" applyFont="1" applyFill="1" applyBorder="1"/>
    <xf numFmtId="0" fontId="26" fillId="25" borderId="228" xfId="43" applyFont="1" applyFill="1" applyBorder="1" applyAlignment="1">
      <alignment wrapText="1"/>
    </xf>
    <xf numFmtId="3" fontId="26" fillId="0" borderId="228" xfId="43" applyNumberFormat="1" applyFont="1" applyFill="1" applyBorder="1"/>
    <xf numFmtId="0" fontId="38" fillId="0" borderId="93" xfId="43" applyFont="1" applyFill="1" applyBorder="1" applyAlignment="1">
      <alignment wrapText="1"/>
    </xf>
    <xf numFmtId="0" fontId="25" fillId="0" borderId="0" xfId="43" applyFont="1" applyFill="1" applyBorder="1" applyAlignment="1">
      <alignment horizontal="center" vertical="center"/>
    </xf>
    <xf numFmtId="0" fontId="25" fillId="0" borderId="0" xfId="43" applyFont="1" applyFill="1" applyBorder="1" applyAlignment="1">
      <alignment horizontal="center"/>
    </xf>
    <xf numFmtId="3" fontId="26" fillId="0" borderId="30" xfId="43" applyNumberFormat="1" applyFont="1" applyFill="1" applyBorder="1"/>
    <xf numFmtId="0" fontId="25" fillId="0" borderId="229" xfId="43" applyFont="1" applyFill="1" applyBorder="1" applyAlignment="1">
      <alignment wrapText="1"/>
    </xf>
    <xf numFmtId="3" fontId="25" fillId="0" borderId="230" xfId="43" applyNumberFormat="1" applyFont="1" applyFill="1" applyBorder="1" applyAlignment="1">
      <alignment horizontal="center" wrapText="1"/>
    </xf>
    <xf numFmtId="0" fontId="25" fillId="0" borderId="230" xfId="43" applyNumberFormat="1" applyFont="1" applyFill="1" applyBorder="1" applyAlignment="1">
      <alignment horizontal="center" wrapText="1"/>
    </xf>
    <xf numFmtId="0" fontId="25" fillId="0" borderId="222" xfId="43" applyNumberFormat="1" applyFont="1" applyFill="1" applyBorder="1" applyAlignment="1">
      <alignment horizontal="center" wrapText="1"/>
    </xf>
    <xf numFmtId="0" fontId="25" fillId="0" borderId="169" xfId="43" applyFont="1" applyFill="1" applyBorder="1" applyAlignment="1">
      <alignment wrapText="1"/>
    </xf>
    <xf numFmtId="3" fontId="25" fillId="0" borderId="231" xfId="43" applyNumberFormat="1" applyFont="1" applyFill="1" applyBorder="1"/>
    <xf numFmtId="3" fontId="25" fillId="0" borderId="217" xfId="43" applyNumberFormat="1" applyFont="1" applyFill="1" applyBorder="1"/>
    <xf numFmtId="3" fontId="26" fillId="0" borderId="231" xfId="43" applyNumberFormat="1" applyFont="1" applyFill="1" applyBorder="1"/>
    <xf numFmtId="0" fontId="49" fillId="0" borderId="231" xfId="55" applyFont="1" applyBorder="1"/>
    <xf numFmtId="0" fontId="49" fillId="0" borderId="217" xfId="55" applyFont="1" applyBorder="1"/>
    <xf numFmtId="0" fontId="26" fillId="0" borderId="169" xfId="43" applyFont="1" applyFill="1" applyBorder="1" applyAlignment="1">
      <alignment wrapText="1"/>
    </xf>
    <xf numFmtId="3" fontId="49" fillId="0" borderId="231" xfId="55" applyNumberFormat="1" applyFont="1" applyBorder="1"/>
    <xf numFmtId="3" fontId="49" fillId="0" borderId="217" xfId="55" applyNumberFormat="1" applyFont="1" applyBorder="1"/>
    <xf numFmtId="3" fontId="26" fillId="0" borderId="217" xfId="43" applyNumberFormat="1" applyFont="1" applyFill="1" applyBorder="1"/>
    <xf numFmtId="0" fontId="26" fillId="0" borderId="169" xfId="43" applyFont="1" applyFill="1" applyBorder="1" applyAlignment="1">
      <alignment vertical="center" wrapText="1"/>
    </xf>
    <xf numFmtId="3" fontId="26" fillId="0" borderId="231" xfId="43" applyNumberFormat="1" applyFont="1" applyFill="1" applyBorder="1" applyAlignment="1">
      <alignment vertical="center"/>
    </xf>
    <xf numFmtId="3" fontId="26" fillId="0" borderId="217" xfId="43" applyNumberFormat="1" applyFont="1" applyFill="1" applyBorder="1" applyAlignment="1">
      <alignment vertical="center"/>
    </xf>
    <xf numFmtId="49" fontId="49" fillId="25" borderId="169" xfId="55" applyNumberFormat="1" applyFont="1" applyFill="1" applyBorder="1" applyAlignment="1">
      <alignment wrapText="1"/>
    </xf>
    <xf numFmtId="3" fontId="49" fillId="25" borderId="231" xfId="55" applyNumberFormat="1" applyFont="1" applyFill="1" applyBorder="1"/>
    <xf numFmtId="3" fontId="26" fillId="0" borderId="231" xfId="55" applyNumberFormat="1" applyFont="1" applyBorder="1"/>
    <xf numFmtId="3" fontId="26" fillId="0" borderId="217" xfId="55" applyNumberFormat="1" applyFont="1" applyBorder="1"/>
    <xf numFmtId="49" fontId="26" fillId="25" borderId="169" xfId="43" applyNumberFormat="1" applyFont="1" applyFill="1" applyBorder="1" applyAlignment="1">
      <alignment wrapText="1"/>
    </xf>
    <xf numFmtId="3" fontId="72" fillId="25" borderId="231" xfId="43" applyNumberFormat="1" applyFont="1" applyFill="1" applyBorder="1"/>
    <xf numFmtId="3" fontId="72" fillId="0" borderId="231" xfId="43" applyNumberFormat="1" applyFont="1" applyFill="1" applyBorder="1"/>
    <xf numFmtId="0" fontId="26" fillId="0" borderId="232" xfId="43" applyFont="1" applyFill="1" applyBorder="1" applyAlignment="1">
      <alignment wrapText="1"/>
    </xf>
    <xf numFmtId="3" fontId="25" fillId="0" borderId="233" xfId="43" applyNumberFormat="1" applyFont="1" applyFill="1" applyBorder="1"/>
    <xf numFmtId="3" fontId="26" fillId="0" borderId="233" xfId="43" applyNumberFormat="1" applyFont="1" applyFill="1" applyBorder="1"/>
    <xf numFmtId="3" fontId="26" fillId="0" borderId="218" xfId="43" applyNumberFormat="1" applyFont="1" applyFill="1" applyBorder="1"/>
    <xf numFmtId="0" fontId="38" fillId="0" borderId="87" xfId="43" applyFont="1" applyFill="1" applyBorder="1" applyAlignment="1">
      <alignment wrapText="1"/>
    </xf>
    <xf numFmtId="3" fontId="25" fillId="0" borderId="75" xfId="43" applyNumberFormat="1" applyFont="1" applyFill="1" applyBorder="1"/>
    <xf numFmtId="3" fontId="25" fillId="0" borderId="74" xfId="43" applyNumberFormat="1" applyFont="1" applyFill="1" applyBorder="1"/>
    <xf numFmtId="0" fontId="32" fillId="0" borderId="0" xfId="0" applyFont="1" applyBorder="1" applyAlignment="1">
      <alignment horizontal="center" wrapText="1"/>
    </xf>
    <xf numFmtId="0" fontId="25" fillId="0" borderId="0" xfId="0" applyFont="1"/>
    <xf numFmtId="0" fontId="26" fillId="0" borderId="0" xfId="0" applyFont="1"/>
    <xf numFmtId="0" fontId="32" fillId="0" borderId="235" xfId="0" applyFont="1" applyBorder="1" applyAlignment="1">
      <alignment horizontal="center" vertical="center" wrapText="1"/>
    </xf>
    <xf numFmtId="0" fontId="32" fillId="0" borderId="85" xfId="0" applyFont="1" applyBorder="1" applyAlignment="1">
      <alignment horizontal="center" vertical="center" wrapText="1"/>
    </xf>
    <xf numFmtId="0" fontId="32" fillId="0" borderId="237" xfId="0" applyFont="1" applyBorder="1" applyAlignment="1">
      <alignment horizontal="center" vertical="center" wrapText="1"/>
    </xf>
    <xf numFmtId="0" fontId="31" fillId="0" borderId="182" xfId="0" applyFont="1" applyBorder="1" applyAlignment="1">
      <alignment horizontal="justify" vertical="top" wrapText="1"/>
    </xf>
    <xf numFmtId="2" fontId="31" fillId="0" borderId="238" xfId="0" applyNumberFormat="1" applyFont="1" applyBorder="1" applyAlignment="1">
      <alignment horizontal="center" vertical="top" wrapText="1"/>
    </xf>
    <xf numFmtId="0" fontId="31" fillId="0" borderId="239" xfId="0" applyFont="1" applyBorder="1" applyAlignment="1">
      <alignment horizontal="justify" vertical="top" wrapText="1"/>
    </xf>
    <xf numFmtId="2" fontId="31" fillId="0" borderId="240" xfId="0" applyNumberFormat="1" applyFont="1" applyBorder="1" applyAlignment="1">
      <alignment horizontal="center" vertical="top" wrapText="1"/>
    </xf>
    <xf numFmtId="0" fontId="21" fillId="0" borderId="239" xfId="0" applyFont="1" applyBorder="1" applyAlignment="1">
      <alignment horizontal="justify" vertical="top" wrapText="1"/>
    </xf>
    <xf numFmtId="2" fontId="21" fillId="0" borderId="240" xfId="0" applyNumberFormat="1" applyFont="1" applyBorder="1" applyAlignment="1">
      <alignment horizontal="center" vertical="top" wrapText="1"/>
    </xf>
    <xf numFmtId="0" fontId="31" fillId="0" borderId="239" xfId="0" applyFont="1" applyBorder="1" applyAlignment="1">
      <alignment horizontal="left" vertical="center" wrapText="1"/>
    </xf>
    <xf numFmtId="0" fontId="33" fillId="0" borderId="239" xfId="0" applyFont="1" applyBorder="1" applyAlignment="1">
      <alignment horizontal="justify" vertical="top" wrapText="1"/>
    </xf>
    <xf numFmtId="2" fontId="33" fillId="0" borderId="240" xfId="0" applyNumberFormat="1" applyFont="1" applyBorder="1" applyAlignment="1">
      <alignment horizontal="center" vertical="top" wrapText="1"/>
    </xf>
    <xf numFmtId="0" fontId="32" fillId="0" borderId="239" xfId="0" applyFont="1" applyBorder="1" applyAlignment="1">
      <alignment horizontal="justify" vertical="top" wrapText="1"/>
    </xf>
    <xf numFmtId="2" fontId="32" fillId="0" borderId="240" xfId="0" applyNumberFormat="1" applyFont="1" applyBorder="1" applyAlignment="1">
      <alignment horizontal="center" vertical="top" wrapText="1"/>
    </xf>
    <xf numFmtId="2" fontId="31" fillId="0" borderId="240" xfId="0" applyNumberFormat="1" applyFont="1" applyBorder="1" applyAlignment="1">
      <alignment horizontal="center"/>
    </xf>
    <xf numFmtId="49" fontId="31" fillId="0" borderId="239" xfId="0" applyNumberFormat="1" applyFont="1" applyBorder="1" applyAlignment="1">
      <alignment horizontal="justify" vertical="top" wrapText="1"/>
    </xf>
    <xf numFmtId="0" fontId="32" fillId="0" borderId="241" xfId="0" applyFont="1" applyBorder="1" applyAlignment="1">
      <alignment horizontal="justify" vertical="top" wrapText="1"/>
    </xf>
    <xf numFmtId="2" fontId="32" fillId="0" borderId="242" xfId="0" applyNumberFormat="1" applyFont="1" applyBorder="1" applyAlignment="1">
      <alignment horizontal="center" vertical="top" wrapText="1"/>
    </xf>
    <xf numFmtId="0" fontId="27" fillId="0" borderId="0" xfId="0" applyFont="1" applyAlignment="1">
      <alignment horizontal="justify"/>
    </xf>
    <xf numFmtId="165" fontId="31" fillId="0" borderId="0" xfId="0" applyNumberFormat="1" applyFont="1"/>
    <xf numFmtId="0" fontId="36" fillId="0" borderId="0" xfId="0" applyFont="1" applyAlignment="1">
      <alignment horizontal="justify"/>
    </xf>
    <xf numFmtId="0" fontId="32" fillId="0" borderId="0" xfId="0" applyFont="1" applyBorder="1" applyAlignment="1">
      <alignment horizontal="center"/>
    </xf>
    <xf numFmtId="2" fontId="31" fillId="0" borderId="243" xfId="0" applyNumberFormat="1" applyFont="1" applyBorder="1" applyAlignment="1">
      <alignment horizontal="center"/>
    </xf>
    <xf numFmtId="0" fontId="110" fillId="0" borderId="0" xfId="0" applyFont="1"/>
    <xf numFmtId="0" fontId="111" fillId="0" borderId="244" xfId="0" applyFont="1" applyBorder="1" applyAlignment="1">
      <alignment horizontal="left" vertical="center" wrapText="1"/>
    </xf>
    <xf numFmtId="0" fontId="111" fillId="0" borderId="245" xfId="0" applyFont="1" applyBorder="1" applyAlignment="1">
      <alignment horizontal="center" vertical="center" wrapText="1"/>
    </xf>
    <xf numFmtId="0" fontId="111" fillId="0" borderId="246" xfId="0" applyFont="1" applyBorder="1" applyAlignment="1">
      <alignment horizontal="center" vertical="center" wrapText="1"/>
    </xf>
    <xf numFmtId="0" fontId="111" fillId="0" borderId="247" xfId="0" applyFont="1" applyBorder="1" applyAlignment="1">
      <alignment horizontal="center" vertical="center" wrapText="1"/>
    </xf>
    <xf numFmtId="0" fontId="109" fillId="0" borderId="248" xfId="0" applyFont="1" applyBorder="1" applyAlignment="1">
      <alignment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3" fontId="109" fillId="0" borderId="23" xfId="0" applyNumberFormat="1" applyFont="1" applyBorder="1" applyAlignment="1">
      <alignment horizontal="right" vertical="center" wrapText="1"/>
    </xf>
    <xf numFmtId="3" fontId="109" fillId="0" borderId="249" xfId="0" applyNumberFormat="1" applyFont="1" applyBorder="1" applyAlignment="1">
      <alignment horizontal="right" vertical="center" wrapText="1"/>
    </xf>
    <xf numFmtId="0" fontId="109" fillId="0" borderId="250" xfId="0" applyFont="1" applyBorder="1" applyAlignment="1">
      <alignment vertical="center" wrapText="1"/>
    </xf>
    <xf numFmtId="3" fontId="109" fillId="0" borderId="251" xfId="0" applyNumberFormat="1" applyFont="1" applyBorder="1" applyAlignment="1">
      <alignment horizontal="right" vertical="center" wrapText="1"/>
    </xf>
    <xf numFmtId="3" fontId="109" fillId="0" borderId="231" xfId="0" applyNumberFormat="1" applyFont="1" applyBorder="1" applyAlignment="1">
      <alignment horizontal="right" vertical="center" wrapText="1"/>
    </xf>
    <xf numFmtId="0" fontId="109" fillId="0" borderId="252" xfId="0" applyFont="1" applyBorder="1" applyAlignment="1">
      <alignment vertical="center" wrapText="1"/>
    </xf>
    <xf numFmtId="3" fontId="109" fillId="0" borderId="253" xfId="0" applyNumberFormat="1" applyFont="1" applyBorder="1" applyAlignment="1">
      <alignment horizontal="right" vertical="center" wrapText="1"/>
    </xf>
    <xf numFmtId="0" fontId="110" fillId="0" borderId="252" xfId="0" applyFont="1" applyBorder="1" applyAlignment="1">
      <alignment vertical="center" wrapText="1"/>
    </xf>
    <xf numFmtId="3" fontId="110" fillId="0" borderId="253" xfId="0" applyNumberFormat="1" applyFont="1" applyBorder="1" applyAlignment="1">
      <alignment horizontal="right" vertical="center" wrapText="1"/>
    </xf>
    <xf numFmtId="3" fontId="110" fillId="0" borderId="231" xfId="0" applyNumberFormat="1" applyFont="1" applyBorder="1" applyAlignment="1">
      <alignment horizontal="right" vertical="center" wrapText="1"/>
    </xf>
    <xf numFmtId="0" fontId="109" fillId="0" borderId="254" xfId="0" applyFont="1" applyFill="1" applyBorder="1" applyAlignment="1">
      <alignment vertical="center" wrapText="1"/>
    </xf>
    <xf numFmtId="3" fontId="109" fillId="0" borderId="255" xfId="0" applyNumberFormat="1" applyFont="1" applyBorder="1" applyAlignment="1">
      <alignment vertical="center"/>
    </xf>
    <xf numFmtId="3" fontId="109" fillId="0" borderId="256" xfId="0" applyNumberFormat="1" applyFont="1" applyBorder="1" applyAlignment="1">
      <alignment vertical="center"/>
    </xf>
    <xf numFmtId="3" fontId="109" fillId="0" borderId="75" xfId="0" applyNumberFormat="1" applyFont="1" applyBorder="1" applyAlignment="1">
      <alignment vertical="center"/>
    </xf>
    <xf numFmtId="3" fontId="87" fillId="0" borderId="253" xfId="0" applyNumberFormat="1" applyFont="1" applyBorder="1"/>
    <xf numFmtId="3" fontId="87" fillId="0" borderId="257" xfId="0" applyNumberFormat="1" applyFont="1" applyBorder="1"/>
    <xf numFmtId="0" fontId="112" fillId="0" borderId="0" xfId="68" applyFont="1"/>
    <xf numFmtId="0" fontId="112" fillId="0" borderId="0" xfId="68" applyFont="1" applyAlignment="1">
      <alignment horizontal="center"/>
    </xf>
    <xf numFmtId="3" fontId="112" fillId="0" borderId="0" xfId="68" applyNumberFormat="1" applyFont="1" applyAlignment="1">
      <alignment horizontal="center"/>
    </xf>
    <xf numFmtId="3" fontId="112" fillId="0" borderId="0" xfId="68" applyNumberFormat="1" applyFont="1"/>
    <xf numFmtId="0" fontId="112" fillId="0" borderId="0" xfId="68" applyFont="1" applyAlignment="1">
      <alignment horizontal="right"/>
    </xf>
    <xf numFmtId="0" fontId="113" fillId="0" borderId="0" xfId="68" applyFont="1" applyBorder="1" applyAlignment="1">
      <alignment horizontal="center" wrapText="1"/>
    </xf>
    <xf numFmtId="0" fontId="113" fillId="0" borderId="0" xfId="68" applyFont="1" applyBorder="1" applyAlignment="1">
      <alignment horizontal="center"/>
    </xf>
    <xf numFmtId="3" fontId="113" fillId="0" borderId="0" xfId="68" applyNumberFormat="1" applyFont="1" applyBorder="1" applyAlignment="1">
      <alignment horizontal="center"/>
    </xf>
    <xf numFmtId="3" fontId="114" fillId="0" borderId="0" xfId="68" applyNumberFormat="1" applyFont="1" applyAlignment="1">
      <alignment horizontal="right"/>
    </xf>
    <xf numFmtId="0" fontId="112" fillId="0" borderId="211" xfId="68" applyFont="1" applyBorder="1" applyAlignment="1">
      <alignment horizontal="left"/>
    </xf>
    <xf numFmtId="3" fontId="114" fillId="0" borderId="211" xfId="68" applyNumberFormat="1" applyFont="1" applyBorder="1"/>
    <xf numFmtId="3" fontId="112" fillId="0" borderId="211" xfId="68" applyNumberFormat="1" applyFont="1" applyBorder="1"/>
    <xf numFmtId="0" fontId="112" fillId="0" borderId="211" xfId="68" applyFont="1" applyBorder="1"/>
    <xf numFmtId="49" fontId="112" fillId="0" borderId="211" xfId="68" applyNumberFormat="1" applyFont="1" applyBorder="1" applyAlignment="1">
      <alignment horizontal="center"/>
    </xf>
    <xf numFmtId="0" fontId="112" fillId="0" borderId="211" xfId="68" applyFont="1" applyBorder="1" applyAlignment="1"/>
    <xf numFmtId="3" fontId="114" fillId="0" borderId="211" xfId="68" applyNumberFormat="1" applyFont="1" applyBorder="1" applyAlignment="1" applyProtection="1">
      <alignment horizontal="right"/>
    </xf>
    <xf numFmtId="3" fontId="112" fillId="0" borderId="211" xfId="68" applyNumberFormat="1" applyFont="1" applyBorder="1" applyAlignment="1">
      <alignment horizontal="right"/>
    </xf>
    <xf numFmtId="0" fontId="115" fillId="0" borderId="212" xfId="67" applyFont="1" applyBorder="1" applyAlignment="1">
      <alignment horizontal="left"/>
    </xf>
    <xf numFmtId="3" fontId="112" fillId="0" borderId="211" xfId="68" applyNumberFormat="1" applyFont="1" applyBorder="1" applyAlignment="1" applyProtection="1">
      <alignment horizontal="right"/>
    </xf>
    <xf numFmtId="3" fontId="114" fillId="0" borderId="211" xfId="68" applyNumberFormat="1" applyFont="1" applyBorder="1" applyAlignment="1" applyProtection="1"/>
    <xf numFmtId="0" fontId="114" fillId="0" borderId="211" xfId="68" applyFont="1" applyBorder="1" applyAlignment="1">
      <alignment horizontal="left" vertical="center"/>
    </xf>
    <xf numFmtId="3" fontId="114" fillId="0" borderId="211" xfId="68" applyNumberFormat="1" applyFont="1" applyBorder="1" applyAlignment="1">
      <alignment horizontal="right"/>
    </xf>
    <xf numFmtId="3" fontId="112" fillId="0" borderId="211" xfId="68" applyNumberFormat="1" applyFont="1" applyFill="1" applyBorder="1"/>
    <xf numFmtId="0" fontId="114" fillId="0" borderId="211" xfId="68" applyFont="1" applyBorder="1" applyAlignment="1">
      <alignment horizontal="left"/>
    </xf>
    <xf numFmtId="3" fontId="112" fillId="0" borderId="211" xfId="68" applyNumberFormat="1" applyFont="1" applyFill="1" applyBorder="1" applyAlignment="1">
      <alignment horizontal="right"/>
    </xf>
    <xf numFmtId="0" fontId="112" fillId="0" borderId="211" xfId="68" applyFont="1" applyBorder="1" applyAlignment="1">
      <alignment horizontal="right"/>
    </xf>
    <xf numFmtId="0" fontId="114" fillId="0" borderId="211" xfId="68" applyFont="1" applyFill="1" applyBorder="1" applyAlignment="1">
      <alignment horizontal="left"/>
    </xf>
    <xf numFmtId="3" fontId="114" fillId="0" borderId="211" xfId="68" applyNumberFormat="1" applyFont="1" applyFill="1" applyBorder="1"/>
    <xf numFmtId="0" fontId="114" fillId="28" borderId="211" xfId="68" applyFont="1" applyFill="1" applyBorder="1" applyAlignment="1">
      <alignment horizontal="left" vertical="center"/>
    </xf>
    <xf numFmtId="3" fontId="114" fillId="0" borderId="213" xfId="68" applyNumberFormat="1" applyFont="1" applyFill="1" applyBorder="1"/>
    <xf numFmtId="3" fontId="114" fillId="0" borderId="211" xfId="68" applyNumberFormat="1" applyFont="1" applyBorder="1" applyAlignment="1"/>
    <xf numFmtId="0" fontId="114" fillId="0" borderId="213" xfId="68" applyFont="1" applyBorder="1" applyAlignment="1">
      <alignment horizontal="left" vertical="center"/>
    </xf>
    <xf numFmtId="0" fontId="114" fillId="0" borderId="214" xfId="68" applyFont="1" applyBorder="1" applyAlignment="1">
      <alignment horizontal="left" vertical="center"/>
    </xf>
    <xf numFmtId="0" fontId="43" fillId="0" borderId="211" xfId="61" applyFont="1" applyBorder="1"/>
    <xf numFmtId="0" fontId="102" fillId="0" borderId="211" xfId="61" applyFont="1" applyBorder="1"/>
    <xf numFmtId="3" fontId="101" fillId="0" borderId="211" xfId="61" applyNumberFormat="1" applyFont="1" applyBorder="1"/>
    <xf numFmtId="3" fontId="116" fillId="0" borderId="211" xfId="61" applyNumberFormat="1" applyFont="1" applyBorder="1"/>
    <xf numFmtId="0" fontId="26" fillId="25" borderId="38" xfId="43" applyFont="1" applyFill="1" applyBorder="1" applyAlignment="1">
      <alignment vertical="top" wrapText="1"/>
    </xf>
    <xf numFmtId="3" fontId="26" fillId="0" borderId="38" xfId="43" applyNumberFormat="1" applyFont="1" applyFill="1" applyBorder="1" applyAlignment="1">
      <alignment vertical="top"/>
    </xf>
    <xf numFmtId="3" fontId="26" fillId="0" borderId="73" xfId="43" applyNumberFormat="1" applyFont="1" applyFill="1" applyBorder="1" applyAlignment="1">
      <alignment horizontal="right" vertical="top"/>
    </xf>
    <xf numFmtId="3" fontId="26" fillId="0" borderId="118" xfId="43" applyNumberFormat="1" applyFont="1" applyFill="1" applyBorder="1" applyAlignment="1">
      <alignment vertical="top"/>
    </xf>
    <xf numFmtId="3" fontId="73" fillId="0" borderId="73" xfId="43" applyNumberFormat="1" applyFont="1" applyFill="1" applyBorder="1" applyAlignment="1">
      <alignment horizontal="right"/>
    </xf>
    <xf numFmtId="3" fontId="73" fillId="0" borderId="118" xfId="43" applyNumberFormat="1" applyFont="1" applyFill="1" applyBorder="1"/>
    <xf numFmtId="0" fontId="32" fillId="0" borderId="217" xfId="57" applyFont="1" applyBorder="1" applyAlignment="1">
      <alignment horizontal="center" vertical="center"/>
    </xf>
    <xf numFmtId="0" fontId="28" fillId="0" borderId="263" xfId="57" applyFont="1" applyBorder="1" applyAlignment="1">
      <alignment horizontal="center"/>
    </xf>
    <xf numFmtId="0" fontId="28" fillId="0" borderId="258" xfId="57" applyFont="1" applyBorder="1" applyAlignment="1">
      <alignment horizontal="center"/>
    </xf>
    <xf numFmtId="0" fontId="28" fillId="0" borderId="264" xfId="57" applyFont="1" applyBorder="1" applyAlignment="1">
      <alignment horizontal="center"/>
    </xf>
    <xf numFmtId="0" fontId="31" fillId="0" borderId="264" xfId="57" applyFont="1" applyBorder="1" applyAlignment="1"/>
    <xf numFmtId="0" fontId="31" fillId="0" borderId="217" xfId="57" applyFont="1" applyBorder="1" applyAlignment="1"/>
    <xf numFmtId="0" fontId="32" fillId="0" borderId="261" xfId="57" applyFont="1" applyBorder="1" applyAlignment="1">
      <alignment horizontal="center" vertical="center" wrapText="1"/>
    </xf>
    <xf numFmtId="0" fontId="32" fillId="0" borderId="175" xfId="57" applyFont="1" applyBorder="1" applyAlignment="1">
      <alignment horizontal="center" vertical="center" wrapText="1"/>
    </xf>
    <xf numFmtId="0" fontId="32" fillId="0" borderId="258" xfId="57" applyFont="1" applyBorder="1" applyAlignment="1">
      <alignment horizontal="center" vertical="center" wrapText="1"/>
    </xf>
    <xf numFmtId="0" fontId="32" fillId="0" borderId="218" xfId="57" applyFont="1" applyBorder="1" applyAlignment="1">
      <alignment horizontal="center" vertical="center" wrapText="1"/>
    </xf>
    <xf numFmtId="3" fontId="31" fillId="0" borderId="258" xfId="57" applyNumberFormat="1" applyFont="1" applyBorder="1" applyAlignment="1">
      <alignment horizontal="right"/>
    </xf>
    <xf numFmtId="3" fontId="31" fillId="0" borderId="264" xfId="57" applyNumberFormat="1" applyFont="1" applyBorder="1" applyAlignment="1">
      <alignment horizontal="right"/>
    </xf>
    <xf numFmtId="3" fontId="32" fillId="0" borderId="264" xfId="57" applyNumberFormat="1" applyFont="1" applyBorder="1" applyAlignment="1">
      <alignment horizontal="right"/>
    </xf>
    <xf numFmtId="0" fontId="31" fillId="0" borderId="263" xfId="57" applyFont="1" applyBorder="1" applyAlignment="1">
      <alignment horizontal="left"/>
    </xf>
    <xf numFmtId="0" fontId="31" fillId="0" borderId="258" xfId="57" applyFont="1" applyBorder="1"/>
    <xf numFmtId="3" fontId="32" fillId="0" borderId="217" xfId="57" applyNumberFormat="1" applyFont="1" applyBorder="1" applyAlignment="1">
      <alignment horizontal="right"/>
    </xf>
    <xf numFmtId="0" fontId="31" fillId="0" borderId="265" xfId="57" applyFont="1" applyBorder="1" applyAlignment="1">
      <alignment horizontal="left"/>
    </xf>
    <xf numFmtId="0" fontId="31" fillId="0" borderId="266" xfId="57" applyFont="1" applyBorder="1"/>
    <xf numFmtId="3" fontId="31" fillId="0" borderId="266" xfId="57" applyNumberFormat="1" applyFont="1" applyBorder="1" applyAlignment="1">
      <alignment horizontal="right"/>
    </xf>
    <xf numFmtId="3" fontId="31" fillId="0" borderId="267" xfId="57" applyNumberFormat="1" applyFont="1" applyBorder="1" applyAlignment="1">
      <alignment horizontal="right"/>
    </xf>
    <xf numFmtId="3" fontId="32" fillId="0" borderId="267" xfId="57" applyNumberFormat="1" applyFont="1" applyBorder="1" applyAlignment="1">
      <alignment horizontal="right"/>
    </xf>
    <xf numFmtId="3" fontId="32" fillId="0" borderId="268" xfId="57" applyNumberFormat="1" applyFont="1" applyBorder="1" applyAlignment="1">
      <alignment horizontal="right"/>
    </xf>
    <xf numFmtId="3" fontId="73" fillId="0" borderId="227" xfId="43" applyNumberFormat="1" applyFont="1" applyFill="1" applyBorder="1" applyAlignment="1">
      <alignment horizontal="right"/>
    </xf>
    <xf numFmtId="3" fontId="117" fillId="0" borderId="73" xfId="55" applyNumberFormat="1" applyFont="1" applyFill="1" applyBorder="1" applyAlignment="1">
      <alignment horizontal="right"/>
    </xf>
    <xf numFmtId="0" fontId="32" fillId="0" borderId="277" xfId="0" applyFont="1" applyBorder="1" applyAlignment="1">
      <alignment horizontal="center" vertical="center"/>
    </xf>
    <xf numFmtId="0" fontId="32" fillId="0" borderId="278" xfId="0" applyFont="1" applyBorder="1" applyAlignment="1">
      <alignment horizontal="center" vertical="center"/>
    </xf>
    <xf numFmtId="2" fontId="32" fillId="0" borderId="174" xfId="0" applyNumberFormat="1" applyFont="1" applyBorder="1" applyAlignment="1">
      <alignment horizontal="center"/>
    </xf>
    <xf numFmtId="0" fontId="31" fillId="0" borderId="182" xfId="0" applyFont="1" applyBorder="1"/>
    <xf numFmtId="0" fontId="32" fillId="0" borderId="280" xfId="0" applyFont="1" applyBorder="1"/>
    <xf numFmtId="0" fontId="32" fillId="0" borderId="281" xfId="0" applyFont="1" applyBorder="1" applyAlignment="1">
      <alignment horizontal="center" vertical="center" wrapText="1"/>
    </xf>
    <xf numFmtId="2" fontId="31" fillId="0" borderId="282" xfId="0" applyNumberFormat="1" applyFont="1" applyBorder="1" applyAlignment="1">
      <alignment horizontal="center"/>
    </xf>
    <xf numFmtId="2" fontId="32" fillId="0" borderId="283" xfId="0" applyNumberFormat="1" applyFont="1" applyBorder="1" applyAlignment="1">
      <alignment horizontal="center"/>
    </xf>
    <xf numFmtId="49" fontId="24" fillId="0" borderId="147" xfId="66" applyNumberFormat="1" applyFont="1" applyFill="1" applyBorder="1"/>
    <xf numFmtId="0" fontId="26" fillId="0" borderId="143" xfId="66" applyFont="1" applyFill="1" applyBorder="1"/>
    <xf numFmtId="3" fontId="26" fillId="0" borderId="143" xfId="66" applyNumberFormat="1" applyFont="1" applyFill="1" applyBorder="1" applyAlignment="1">
      <alignment horizontal="center"/>
    </xf>
    <xf numFmtId="3" fontId="26" fillId="0" borderId="143" xfId="66" applyNumberFormat="1" applyFont="1" applyFill="1" applyBorder="1" applyAlignment="1">
      <alignment horizontal="right"/>
    </xf>
    <xf numFmtId="49" fontId="50" fillId="0" borderId="150" xfId="66" applyNumberFormat="1" applyFont="1" applyFill="1" applyBorder="1" applyAlignment="1">
      <alignment vertical="center" wrapText="1"/>
    </xf>
    <xf numFmtId="49" fontId="26" fillId="0" borderId="159" xfId="66" applyNumberFormat="1" applyFont="1" applyFill="1" applyBorder="1" applyAlignment="1">
      <alignment vertical="center" wrapText="1"/>
    </xf>
    <xf numFmtId="49" fontId="50" fillId="0" borderId="34" xfId="66" applyNumberFormat="1" applyFont="1" applyFill="1" applyBorder="1"/>
    <xf numFmtId="49" fontId="26" fillId="0" borderId="34" xfId="66" applyNumberFormat="1" applyFont="1" applyFill="1" applyBorder="1"/>
    <xf numFmtId="49" fontId="50" fillId="0" borderId="76" xfId="66" applyNumberFormat="1" applyFont="1" applyFill="1" applyBorder="1"/>
    <xf numFmtId="49" fontId="50" fillId="0" borderId="150" xfId="66" applyNumberFormat="1" applyFont="1" applyFill="1" applyBorder="1"/>
    <xf numFmtId="49" fontId="50" fillId="0" borderId="0" xfId="66" applyNumberFormat="1" applyFont="1" applyFill="1" applyBorder="1"/>
    <xf numFmtId="0" fontId="72" fillId="0" borderId="0" xfId="66" applyFont="1"/>
    <xf numFmtId="0" fontId="72" fillId="0" borderId="0" xfId="66" applyFont="1" applyAlignment="1">
      <alignment horizontal="center"/>
    </xf>
    <xf numFmtId="3" fontId="72" fillId="0" borderId="0" xfId="66" applyNumberFormat="1" applyFont="1"/>
    <xf numFmtId="3" fontId="26" fillId="0" borderId="134" xfId="66" applyNumberFormat="1" applyFont="1" applyFill="1" applyBorder="1" applyAlignment="1">
      <alignment horizontal="center" vertical="center" wrapText="1"/>
    </xf>
    <xf numFmtId="3" fontId="26" fillId="0" borderId="132" xfId="66" applyNumberFormat="1" applyFont="1" applyFill="1" applyBorder="1" applyAlignment="1">
      <alignment horizontal="center" vertical="center" wrapText="1"/>
    </xf>
    <xf numFmtId="0" fontId="25" fillId="0" borderId="137" xfId="66" applyFont="1" applyFill="1" applyBorder="1" applyAlignment="1">
      <alignment horizontal="center" vertical="center" wrapText="1"/>
    </xf>
    <xf numFmtId="49" fontId="26" fillId="0" borderId="138" xfId="66" applyNumberFormat="1" applyFont="1" applyFill="1" applyBorder="1" applyAlignment="1">
      <alignment horizontal="left" vertical="center"/>
    </xf>
    <xf numFmtId="0" fontId="26" fillId="0" borderId="77" xfId="66" applyFont="1" applyFill="1" applyBorder="1"/>
    <xf numFmtId="0" fontId="26" fillId="0" borderId="77" xfId="66" applyFont="1" applyFill="1" applyBorder="1" applyAlignment="1">
      <alignment horizontal="center"/>
    </xf>
    <xf numFmtId="3" fontId="26" fillId="0" borderId="77" xfId="66" applyNumberFormat="1" applyFont="1" applyFill="1" applyBorder="1"/>
    <xf numFmtId="3" fontId="26" fillId="0" borderId="139" xfId="66" applyNumberFormat="1" applyFont="1" applyFill="1" applyBorder="1"/>
    <xf numFmtId="3" fontId="26" fillId="0" borderId="140" xfId="66" applyNumberFormat="1" applyFont="1" applyFill="1" applyBorder="1"/>
    <xf numFmtId="0" fontId="50" fillId="0" borderId="141" xfId="66" applyFont="1" applyFill="1" applyBorder="1"/>
    <xf numFmtId="49" fontId="50" fillId="0" borderId="142" xfId="66" applyNumberFormat="1" applyFont="1" applyFill="1" applyBorder="1"/>
    <xf numFmtId="0" fontId="26" fillId="0" borderId="143" xfId="66" applyFont="1" applyFill="1" applyBorder="1" applyAlignment="1">
      <alignment horizontal="center"/>
    </xf>
    <xf numFmtId="3" fontId="26" fillId="0" borderId="143" xfId="66" applyNumberFormat="1" applyFont="1" applyFill="1" applyBorder="1"/>
    <xf numFmtId="3" fontId="24" fillId="0" borderId="143" xfId="66" applyNumberFormat="1" applyFont="1" applyFill="1" applyBorder="1"/>
    <xf numFmtId="3" fontId="26" fillId="0" borderId="144" xfId="66" applyNumberFormat="1" applyFont="1" applyFill="1" applyBorder="1"/>
    <xf numFmtId="3" fontId="26" fillId="0" borderId="145" xfId="66" applyNumberFormat="1" applyFont="1" applyFill="1" applyBorder="1"/>
    <xf numFmtId="49" fontId="24" fillId="0" borderId="34" xfId="66" applyNumberFormat="1" applyFont="1" applyFill="1" applyBorder="1"/>
    <xf numFmtId="3" fontId="50" fillId="0" borderId="143" xfId="66" applyNumberFormat="1" applyFont="1" applyFill="1" applyBorder="1"/>
    <xf numFmtId="3" fontId="25" fillId="0" borderId="144" xfId="66" applyNumberFormat="1" applyFont="1" applyFill="1" applyBorder="1"/>
    <xf numFmtId="3" fontId="25" fillId="0" borderId="145" xfId="66" applyNumberFormat="1" applyFont="1" applyFill="1" applyBorder="1"/>
    <xf numFmtId="0" fontId="26" fillId="0" borderId="146" xfId="66" applyFont="1" applyFill="1" applyBorder="1"/>
    <xf numFmtId="49" fontId="26" fillId="0" borderId="147" xfId="66" applyNumberFormat="1" applyFont="1" applyFill="1" applyBorder="1"/>
    <xf numFmtId="0" fontId="24" fillId="0" borderId="146" xfId="66" applyFont="1" applyFill="1" applyBorder="1"/>
    <xf numFmtId="169" fontId="26" fillId="0" borderId="143" xfId="66" applyNumberFormat="1" applyFont="1" applyFill="1" applyBorder="1" applyAlignment="1">
      <alignment horizontal="right"/>
    </xf>
    <xf numFmtId="0" fontId="50" fillId="0" borderId="146" xfId="66" applyFont="1" applyFill="1" applyBorder="1"/>
    <xf numFmtId="49" fontId="50" fillId="0" borderId="147" xfId="66" applyNumberFormat="1" applyFont="1" applyFill="1" applyBorder="1"/>
    <xf numFmtId="3" fontId="50" fillId="0" borderId="144" xfId="66" applyNumberFormat="1" applyFont="1" applyFill="1" applyBorder="1"/>
    <xf numFmtId="3" fontId="50" fillId="0" borderId="145" xfId="66" applyNumberFormat="1" applyFont="1" applyFill="1" applyBorder="1"/>
    <xf numFmtId="169" fontId="26" fillId="0" borderId="143" xfId="66" applyNumberFormat="1" applyFont="1" applyFill="1" applyBorder="1"/>
    <xf numFmtId="0" fontId="25" fillId="0" borderId="146" xfId="66" applyFont="1" applyFill="1" applyBorder="1"/>
    <xf numFmtId="49" fontId="25" fillId="0" borderId="147" xfId="66" applyNumberFormat="1" applyFont="1" applyFill="1" applyBorder="1" applyAlignment="1"/>
    <xf numFmtId="3" fontId="25" fillId="0" borderId="143" xfId="66" applyNumberFormat="1" applyFont="1" applyFill="1" applyBorder="1"/>
    <xf numFmtId="0" fontId="25" fillId="27" borderId="146" xfId="66" applyFont="1" applyFill="1" applyBorder="1"/>
    <xf numFmtId="49" fontId="50" fillId="0" borderId="147" xfId="66" applyNumberFormat="1" applyFont="1" applyFill="1" applyBorder="1" applyAlignment="1">
      <alignment vertical="center" wrapText="1"/>
    </xf>
    <xf numFmtId="49" fontId="26" fillId="0" borderId="147" xfId="66" applyNumberFormat="1" applyFont="1" applyFill="1" applyBorder="1" applyAlignment="1">
      <alignment vertical="center" wrapText="1"/>
    </xf>
    <xf numFmtId="165" fontId="26" fillId="0" borderId="143" xfId="66" applyNumberFormat="1" applyFont="1" applyFill="1" applyBorder="1"/>
    <xf numFmtId="49" fontId="25" fillId="0" borderId="147" xfId="66" applyNumberFormat="1" applyFont="1" applyFill="1" applyBorder="1" applyAlignment="1">
      <alignment vertical="center" wrapText="1"/>
    </xf>
    <xf numFmtId="49" fontId="25" fillId="0" borderId="147" xfId="66" applyNumberFormat="1" applyFont="1" applyFill="1" applyBorder="1"/>
    <xf numFmtId="0" fontId="25" fillId="0" borderId="141" xfId="66" applyFont="1" applyFill="1" applyBorder="1"/>
    <xf numFmtId="49" fontId="25" fillId="0" borderId="142" xfId="66" applyNumberFormat="1" applyFont="1" applyFill="1" applyBorder="1"/>
    <xf numFmtId="0" fontId="26" fillId="0" borderId="147" xfId="66" applyNumberFormat="1" applyFont="1" applyFill="1" applyBorder="1" applyAlignment="1">
      <alignment vertical="center" wrapText="1"/>
    </xf>
    <xf numFmtId="49" fontId="25" fillId="0" borderId="146" xfId="66" applyNumberFormat="1" applyFont="1" applyFill="1" applyBorder="1" applyAlignment="1">
      <alignment vertical="center" wrapText="1"/>
    </xf>
    <xf numFmtId="49" fontId="25" fillId="0" borderId="34" xfId="66" applyNumberFormat="1" applyFont="1" applyFill="1" applyBorder="1"/>
    <xf numFmtId="0" fontId="26" fillId="0" borderId="144" xfId="66" applyFont="1" applyFill="1" applyBorder="1" applyAlignment="1"/>
    <xf numFmtId="0" fontId="26" fillId="0" borderId="148" xfId="66" applyFont="1" applyFill="1" applyBorder="1" applyAlignment="1"/>
    <xf numFmtId="0" fontId="26" fillId="0" borderId="147" xfId="66" applyFont="1" applyFill="1" applyBorder="1" applyAlignment="1"/>
    <xf numFmtId="0" fontId="26" fillId="0" borderId="141" xfId="66" applyFont="1" applyFill="1" applyBorder="1"/>
    <xf numFmtId="49" fontId="26" fillId="0" borderId="142" xfId="66" applyNumberFormat="1" applyFont="1" applyFill="1" applyBorder="1" applyAlignment="1">
      <alignment vertical="center" wrapText="1"/>
    </xf>
    <xf numFmtId="49" fontId="25" fillId="0" borderId="142" xfId="66" applyNumberFormat="1" applyFont="1" applyFill="1" applyBorder="1" applyAlignment="1">
      <alignment vertical="center" wrapText="1"/>
    </xf>
    <xf numFmtId="49" fontId="25" fillId="27" borderId="141" xfId="66" applyNumberFormat="1" applyFont="1" applyFill="1" applyBorder="1" applyAlignment="1">
      <alignment vertical="center" wrapText="1"/>
    </xf>
    <xf numFmtId="49" fontId="25" fillId="0" borderId="146" xfId="66" applyNumberFormat="1" applyFont="1" applyFill="1" applyBorder="1" applyAlignment="1">
      <alignment horizontal="left" wrapText="1"/>
    </xf>
    <xf numFmtId="10" fontId="26" fillId="0" borderId="143" xfId="66" applyNumberFormat="1" applyFont="1" applyFill="1" applyBorder="1"/>
    <xf numFmtId="0" fontId="50" fillId="0" borderId="149" xfId="66" applyFont="1" applyFill="1" applyBorder="1"/>
    <xf numFmtId="0" fontId="26" fillId="0" borderId="134" xfId="66" applyFont="1" applyFill="1" applyBorder="1"/>
    <xf numFmtId="0" fontId="26" fillId="0" borderId="134" xfId="66" applyFont="1" applyFill="1" applyBorder="1" applyAlignment="1">
      <alignment horizontal="center"/>
    </xf>
    <xf numFmtId="3" fontId="26" fillId="0" borderId="134" xfId="66" applyNumberFormat="1" applyFont="1" applyFill="1" applyBorder="1"/>
    <xf numFmtId="3" fontId="26" fillId="0" borderId="132" xfId="66" applyNumberFormat="1" applyFont="1" applyFill="1" applyBorder="1"/>
    <xf numFmtId="3" fontId="26" fillId="0" borderId="136" xfId="66" applyNumberFormat="1" applyFont="1" applyFill="1" applyBorder="1"/>
    <xf numFmtId="0" fontId="26" fillId="0" borderId="153" xfId="66" applyFont="1" applyFill="1" applyBorder="1"/>
    <xf numFmtId="0" fontId="26" fillId="0" borderId="155" xfId="66" applyFont="1" applyFill="1" applyBorder="1"/>
    <xf numFmtId="0" fontId="26" fillId="0" borderId="155" xfId="66" applyFont="1" applyFill="1" applyBorder="1" applyAlignment="1">
      <alignment horizontal="center"/>
    </xf>
    <xf numFmtId="3" fontId="26" fillId="0" borderId="155" xfId="66" applyNumberFormat="1" applyFont="1" applyFill="1" applyBorder="1"/>
    <xf numFmtId="3" fontId="26" fillId="0" borderId="125" xfId="66" applyNumberFormat="1" applyFont="1" applyFill="1" applyBorder="1"/>
    <xf numFmtId="3" fontId="26" fillId="0" borderId="128" xfId="66" applyNumberFormat="1" applyFont="1" applyFill="1" applyBorder="1"/>
    <xf numFmtId="0" fontId="26" fillId="0" borderId="157" xfId="66" applyFont="1" applyFill="1" applyBorder="1"/>
    <xf numFmtId="0" fontId="26" fillId="0" borderId="88" xfId="66" applyFont="1" applyFill="1" applyBorder="1"/>
    <xf numFmtId="0" fontId="26" fillId="0" borderId="88" xfId="66" applyFont="1" applyFill="1" applyBorder="1" applyAlignment="1">
      <alignment horizontal="center"/>
    </xf>
    <xf numFmtId="3" fontId="26" fillId="0" borderId="88" xfId="66" applyNumberFormat="1" applyFont="1" applyFill="1" applyBorder="1"/>
    <xf numFmtId="3" fontId="26" fillId="0" borderId="151" xfId="66" applyNumberFormat="1" applyFont="1" applyFill="1" applyBorder="1"/>
    <xf numFmtId="3" fontId="26" fillId="0" borderId="152" xfId="66" applyNumberFormat="1" applyFont="1" applyFill="1" applyBorder="1"/>
    <xf numFmtId="0" fontId="26" fillId="0" borderId="158" xfId="66" applyFont="1" applyFill="1" applyBorder="1"/>
    <xf numFmtId="0" fontId="26" fillId="0" borderId="75" xfId="66" applyFont="1" applyFill="1" applyBorder="1"/>
    <xf numFmtId="0" fontId="26" fillId="0" borderId="75" xfId="66" applyFont="1" applyFill="1" applyBorder="1" applyAlignment="1">
      <alignment horizontal="center"/>
    </xf>
    <xf numFmtId="3" fontId="26" fillId="0" borderId="75" xfId="66" applyNumberFormat="1" applyFont="1" applyFill="1" applyBorder="1"/>
    <xf numFmtId="3" fontId="26" fillId="0" borderId="156" xfId="66" applyNumberFormat="1" applyFont="1" applyFill="1" applyBorder="1"/>
    <xf numFmtId="0" fontId="26" fillId="0" borderId="154" xfId="66" applyFont="1" applyFill="1" applyBorder="1"/>
    <xf numFmtId="0" fontId="26" fillId="0" borderId="0" xfId="66" applyFont="1" applyFill="1" applyBorder="1"/>
    <xf numFmtId="0" fontId="26" fillId="0" borderId="0" xfId="66" applyFont="1" applyFill="1" applyBorder="1" applyAlignment="1">
      <alignment horizontal="center"/>
    </xf>
    <xf numFmtId="3" fontId="26" fillId="0" borderId="0" xfId="66" applyNumberFormat="1" applyFont="1" applyFill="1" applyBorder="1"/>
    <xf numFmtId="0" fontId="26" fillId="0" borderId="0" xfId="66" applyFont="1" applyFill="1"/>
    <xf numFmtId="49" fontId="26" fillId="0" borderId="0" xfId="66" applyNumberFormat="1" applyFont="1" applyFill="1"/>
    <xf numFmtId="0" fontId="26" fillId="0" borderId="0" xfId="66" applyFont="1" applyFill="1" applyAlignment="1">
      <alignment horizontal="center"/>
    </xf>
    <xf numFmtId="3" fontId="26" fillId="0" borderId="0" xfId="66" applyNumberFormat="1" applyFont="1" applyFill="1"/>
    <xf numFmtId="49" fontId="26" fillId="0" borderId="0" xfId="66" applyNumberFormat="1" applyFont="1" applyFill="1" applyBorder="1"/>
    <xf numFmtId="49" fontId="26" fillId="0" borderId="0" xfId="66" applyNumberFormat="1" applyFont="1" applyFill="1" applyAlignment="1"/>
    <xf numFmtId="49" fontId="26" fillId="0" borderId="143" xfId="66" applyNumberFormat="1" applyFont="1" applyFill="1" applyBorder="1"/>
    <xf numFmtId="49" fontId="25" fillId="0" borderId="143" xfId="66" applyNumberFormat="1" applyFont="1" applyFill="1" applyBorder="1"/>
    <xf numFmtId="3" fontId="26" fillId="0" borderId="85" xfId="66" applyNumberFormat="1" applyFont="1" applyFill="1" applyBorder="1"/>
    <xf numFmtId="49" fontId="25" fillId="0" borderId="143" xfId="66" applyNumberFormat="1" applyFont="1" applyFill="1" applyBorder="1" applyAlignment="1">
      <alignment horizontal="right"/>
    </xf>
    <xf numFmtId="3" fontId="26" fillId="0" borderId="86" xfId="66" applyNumberFormat="1" applyFont="1" applyFill="1" applyBorder="1"/>
    <xf numFmtId="3" fontId="40" fillId="0" borderId="0" xfId="66" applyNumberFormat="1" applyFont="1" applyFill="1" applyBorder="1"/>
    <xf numFmtId="3" fontId="25" fillId="0" borderId="284" xfId="66" applyNumberFormat="1" applyFont="1" applyFill="1" applyBorder="1"/>
    <xf numFmtId="0" fontId="23" fillId="0" borderId="0" xfId="45" applyFont="1"/>
    <xf numFmtId="0" fontId="22" fillId="0" borderId="0" xfId="45" applyFont="1" applyAlignment="1">
      <alignment wrapText="1"/>
    </xf>
    <xf numFmtId="0" fontId="22" fillId="0" borderId="0" xfId="45" applyFont="1"/>
    <xf numFmtId="0" fontId="23" fillId="0" borderId="26" xfId="45" applyFont="1" applyBorder="1" applyAlignment="1">
      <alignment horizontal="center" wrapText="1"/>
    </xf>
    <xf numFmtId="0" fontId="23" fillId="0" borderId="26" xfId="45" applyFont="1" applyFill="1" applyBorder="1" applyAlignment="1">
      <alignment horizontal="center"/>
    </xf>
    <xf numFmtId="0" fontId="23" fillId="0" borderId="26" xfId="45" applyFont="1" applyBorder="1" applyAlignment="1">
      <alignment horizontal="center"/>
    </xf>
    <xf numFmtId="49" fontId="23" fillId="0" borderId="25" xfId="45" applyNumberFormat="1" applyFont="1" applyBorder="1" applyAlignment="1">
      <alignment wrapText="1"/>
    </xf>
    <xf numFmtId="3" fontId="23" fillId="0" borderId="25" xfId="45" applyNumberFormat="1" applyFont="1" applyFill="1" applyBorder="1"/>
    <xf numFmtId="0" fontId="23" fillId="0" borderId="25" xfId="45" applyFont="1" applyBorder="1" applyAlignment="1">
      <alignment horizontal="left" wrapText="1"/>
    </xf>
    <xf numFmtId="3" fontId="23" fillId="0" borderId="25" xfId="45" applyNumberFormat="1" applyFont="1" applyBorder="1"/>
    <xf numFmtId="0" fontId="23" fillId="0" borderId="25" xfId="45" applyFont="1" applyBorder="1" applyAlignment="1">
      <alignment wrapText="1"/>
    </xf>
    <xf numFmtId="49" fontId="22" fillId="0" borderId="25" xfId="45" applyNumberFormat="1" applyFont="1" applyBorder="1" applyAlignment="1">
      <alignment wrapText="1"/>
    </xf>
    <xf numFmtId="3" fontId="22" fillId="0" borderId="25" xfId="45" applyNumberFormat="1" applyFont="1" applyFill="1" applyBorder="1"/>
    <xf numFmtId="3" fontId="22" fillId="0" borderId="78" xfId="45" applyNumberFormat="1" applyFont="1" applyFill="1" applyBorder="1"/>
    <xf numFmtId="49" fontId="22" fillId="0" borderId="28" xfId="45" applyNumberFormat="1" applyFont="1" applyBorder="1" applyAlignment="1">
      <alignment wrapText="1"/>
    </xf>
    <xf numFmtId="3" fontId="22" fillId="0" borderId="28" xfId="45" applyNumberFormat="1" applyFont="1" applyFill="1" applyBorder="1"/>
    <xf numFmtId="0" fontId="41" fillId="0" borderId="28" xfId="45" applyFont="1" applyBorder="1" applyAlignment="1">
      <alignment wrapText="1"/>
    </xf>
    <xf numFmtId="3" fontId="22" fillId="0" borderId="25" xfId="45" applyNumberFormat="1" applyFont="1" applyBorder="1"/>
    <xf numFmtId="0" fontId="22" fillId="0" borderId="25" xfId="45" applyFont="1" applyBorder="1" applyAlignment="1">
      <alignment wrapText="1"/>
    </xf>
    <xf numFmtId="0" fontId="22" fillId="0" borderId="25" xfId="48" applyFont="1" applyBorder="1" applyAlignment="1">
      <alignment wrapText="1"/>
    </xf>
    <xf numFmtId="0" fontId="98" fillId="0" borderId="25" xfId="46" applyFont="1" applyBorder="1" applyAlignment="1">
      <alignment wrapText="1"/>
    </xf>
    <xf numFmtId="49" fontId="22" fillId="0" borderId="25" xfId="45" applyNumberFormat="1" applyFont="1" applyBorder="1" applyAlignment="1">
      <alignment vertical="center" wrapText="1"/>
    </xf>
    <xf numFmtId="3" fontId="22" fillId="0" borderId="25" xfId="45" applyNumberFormat="1" applyFont="1" applyFill="1" applyBorder="1" applyAlignment="1">
      <alignment vertical="center"/>
    </xf>
    <xf numFmtId="0" fontId="97" fillId="0" borderId="25" xfId="45" applyFont="1" applyBorder="1" applyAlignment="1">
      <alignment vertical="center" wrapText="1"/>
    </xf>
    <xf numFmtId="3" fontId="98" fillId="0" borderId="25" xfId="46" applyNumberFormat="1" applyFont="1" applyBorder="1"/>
    <xf numFmtId="3" fontId="30" fillId="0" borderId="25" xfId="45" applyNumberFormat="1" applyFont="1" applyBorder="1"/>
    <xf numFmtId="0" fontId="36" fillId="0" borderId="32" xfId="0" applyFont="1" applyBorder="1" applyAlignment="1"/>
    <xf numFmtId="3" fontId="22" fillId="0" borderId="35" xfId="45" applyNumberFormat="1" applyFont="1" applyFill="1" applyBorder="1"/>
    <xf numFmtId="0" fontId="98" fillId="0" borderId="35" xfId="46" applyFont="1" applyBorder="1" applyAlignment="1">
      <alignment wrapText="1"/>
    </xf>
    <xf numFmtId="3" fontId="22" fillId="0" borderId="35" xfId="45" applyNumberFormat="1" applyFont="1" applyBorder="1"/>
    <xf numFmtId="49" fontId="22" fillId="0" borderId="35" xfId="45" applyNumberFormat="1" applyFont="1" applyBorder="1" applyAlignment="1">
      <alignment wrapText="1"/>
    </xf>
    <xf numFmtId="0" fontId="22" fillId="0" borderId="35" xfId="45" applyFont="1" applyBorder="1" applyAlignment="1">
      <alignment wrapText="1"/>
    </xf>
    <xf numFmtId="3" fontId="40" fillId="0" borderId="25" xfId="45" applyNumberFormat="1" applyFont="1" applyFill="1" applyBorder="1"/>
    <xf numFmtId="0" fontId="23" fillId="0" borderId="209" xfId="45" applyFont="1" applyBorder="1" applyAlignment="1">
      <alignment wrapText="1"/>
    </xf>
    <xf numFmtId="3" fontId="40" fillId="0" borderId="209" xfId="45" applyNumberFormat="1" applyFont="1" applyFill="1" applyBorder="1"/>
    <xf numFmtId="3" fontId="23" fillId="0" borderId="209" xfId="45" applyNumberFormat="1" applyFont="1" applyBorder="1"/>
    <xf numFmtId="3" fontId="28" fillId="0" borderId="25" xfId="0" applyNumberFormat="1" applyFont="1" applyBorder="1" applyAlignment="1">
      <alignment wrapText="1"/>
    </xf>
    <xf numFmtId="3" fontId="118" fillId="0" borderId="25" xfId="45" applyNumberFormat="1" applyFont="1" applyBorder="1"/>
    <xf numFmtId="3" fontId="28" fillId="0" borderId="11" xfId="0" applyNumberFormat="1" applyFont="1" applyBorder="1" applyAlignment="1">
      <alignment wrapText="1"/>
    </xf>
    <xf numFmtId="3" fontId="23" fillId="0" borderId="28" xfId="45" applyNumberFormat="1" applyFont="1" applyFill="1" applyBorder="1"/>
    <xf numFmtId="0" fontId="23" fillId="0" borderId="28" xfId="45" applyFont="1" applyBorder="1" applyAlignment="1">
      <alignment wrapText="1"/>
    </xf>
    <xf numFmtId="3" fontId="23" fillId="0" borderId="28" xfId="45" applyNumberFormat="1" applyFont="1" applyBorder="1"/>
    <xf numFmtId="0" fontId="23" fillId="0" borderId="17" xfId="48" applyFont="1" applyBorder="1" applyAlignment="1">
      <alignment wrapText="1"/>
    </xf>
    <xf numFmtId="3" fontId="23" fillId="0" borderId="17" xfId="48" applyNumberFormat="1" applyFont="1" applyFill="1" applyBorder="1"/>
    <xf numFmtId="3" fontId="23" fillId="0" borderId="17" xfId="45" applyNumberFormat="1" applyFont="1" applyBorder="1"/>
    <xf numFmtId="0" fontId="22" fillId="0" borderId="0" xfId="48" applyFont="1" applyAlignment="1">
      <alignment wrapText="1"/>
    </xf>
    <xf numFmtId="0" fontId="22" fillId="0" borderId="0" xfId="48" applyFont="1"/>
    <xf numFmtId="0" fontId="22" fillId="0" borderId="0" xfId="45" applyFont="1" applyBorder="1"/>
    <xf numFmtId="0" fontId="40" fillId="0" borderId="0" xfId="48" applyFont="1" applyAlignment="1">
      <alignment wrapText="1"/>
    </xf>
    <xf numFmtId="3" fontId="40" fillId="0" borderId="0" xfId="48" applyNumberFormat="1" applyFont="1"/>
    <xf numFmtId="3" fontId="22" fillId="0" borderId="0" xfId="48" applyNumberFormat="1" applyFont="1" applyAlignment="1">
      <alignment wrapText="1"/>
    </xf>
    <xf numFmtId="0" fontId="23" fillId="0" borderId="0" xfId="45" applyFont="1" applyAlignment="1">
      <alignment horizontal="center" wrapText="1"/>
    </xf>
    <xf numFmtId="0" fontId="23" fillId="0" borderId="18" xfId="45" applyFont="1" applyBorder="1" applyAlignment="1">
      <alignment horizontal="center" wrapText="1"/>
    </xf>
    <xf numFmtId="0" fontId="23" fillId="0" borderId="18" xfId="45" applyFont="1" applyFill="1" applyBorder="1" applyAlignment="1">
      <alignment horizontal="center"/>
    </xf>
    <xf numFmtId="0" fontId="23" fillId="0" borderId="14" xfId="45" applyFont="1" applyBorder="1" applyAlignment="1">
      <alignment horizontal="center"/>
    </xf>
    <xf numFmtId="49" fontId="23" fillId="0" borderId="12" xfId="45" applyNumberFormat="1" applyFont="1" applyBorder="1" applyAlignment="1">
      <alignment wrapText="1"/>
    </xf>
    <xf numFmtId="3" fontId="23" fillId="0" borderId="35" xfId="45" applyNumberFormat="1" applyFont="1" applyFill="1" applyBorder="1"/>
    <xf numFmtId="0" fontId="23" fillId="0" borderId="47" xfId="45" applyFont="1" applyBorder="1" applyAlignment="1">
      <alignment wrapText="1"/>
    </xf>
    <xf numFmtId="3" fontId="23" fillId="0" borderId="35" xfId="45" applyNumberFormat="1" applyFont="1" applyBorder="1"/>
    <xf numFmtId="49" fontId="22" fillId="0" borderId="12" xfId="45" applyNumberFormat="1" applyFont="1" applyBorder="1" applyAlignment="1">
      <alignment wrapText="1"/>
    </xf>
    <xf numFmtId="3" fontId="41" fillId="0" borderId="35" xfId="45" applyNumberFormat="1" applyFont="1" applyFill="1" applyBorder="1"/>
    <xf numFmtId="0" fontId="23" fillId="0" borderId="19" xfId="45" applyFont="1" applyBorder="1" applyAlignment="1">
      <alignment wrapText="1"/>
    </xf>
    <xf numFmtId="3" fontId="23" fillId="0" borderId="26" xfId="45" applyNumberFormat="1" applyFont="1" applyBorder="1"/>
    <xf numFmtId="49" fontId="22" fillId="0" borderId="19" xfId="45" applyNumberFormat="1" applyFont="1" applyBorder="1" applyAlignment="1">
      <alignment wrapText="1"/>
    </xf>
    <xf numFmtId="3" fontId="41" fillId="0" borderId="48" xfId="45" applyNumberFormat="1" applyFont="1" applyFill="1" applyBorder="1"/>
    <xf numFmtId="3" fontId="41" fillId="0" borderId="81" xfId="45" applyNumberFormat="1" applyFont="1" applyFill="1" applyBorder="1"/>
    <xf numFmtId="0" fontId="23" fillId="0" borderId="29" xfId="45" applyFont="1" applyBorder="1" applyAlignment="1">
      <alignment wrapText="1"/>
    </xf>
    <xf numFmtId="3" fontId="40" fillId="0" borderId="48" xfId="45" applyNumberFormat="1" applyFont="1" applyFill="1" applyBorder="1"/>
    <xf numFmtId="0" fontId="23" fillId="0" borderId="210" xfId="45" applyFont="1" applyBorder="1" applyAlignment="1">
      <alignment wrapText="1"/>
    </xf>
    <xf numFmtId="3" fontId="23" fillId="0" borderId="19" xfId="45" applyNumberFormat="1" applyFont="1" applyFill="1" applyBorder="1"/>
    <xf numFmtId="0" fontId="23" fillId="0" borderId="29" xfId="45" applyFont="1" applyBorder="1" applyAlignment="1">
      <alignment horizontal="left" wrapText="1"/>
    </xf>
    <xf numFmtId="3" fontId="22" fillId="0" borderId="19" xfId="45" applyNumberFormat="1" applyFont="1" applyFill="1" applyBorder="1"/>
    <xf numFmtId="0" fontId="22" fillId="0" borderId="29" xfId="45" applyFont="1" applyBorder="1" applyAlignment="1">
      <alignment wrapText="1"/>
    </xf>
    <xf numFmtId="0" fontId="30" fillId="0" borderId="27" xfId="0" applyFont="1" applyBorder="1" applyAlignment="1">
      <alignment wrapText="1"/>
    </xf>
    <xf numFmtId="3" fontId="97" fillId="0" borderId="25" xfId="45" applyNumberFormat="1" applyFont="1" applyBorder="1"/>
    <xf numFmtId="3" fontId="22" fillId="0" borderId="12" xfId="45" applyNumberFormat="1" applyFont="1" applyFill="1" applyBorder="1"/>
    <xf numFmtId="3" fontId="22" fillId="0" borderId="79" xfId="45" applyNumberFormat="1" applyFont="1" applyFill="1" applyBorder="1"/>
    <xf numFmtId="3" fontId="30" fillId="0" borderId="29" xfId="45" applyNumberFormat="1" applyFont="1" applyBorder="1" applyAlignment="1">
      <alignment wrapText="1"/>
    </xf>
    <xf numFmtId="49" fontId="23" fillId="0" borderId="20" xfId="45" applyNumberFormat="1" applyFont="1" applyBorder="1" applyAlignment="1">
      <alignment wrapText="1"/>
    </xf>
    <xf numFmtId="3" fontId="23" fillId="0" borderId="20" xfId="45" applyNumberFormat="1" applyFont="1" applyFill="1" applyBorder="1"/>
    <xf numFmtId="0" fontId="23" fillId="0" borderId="20" xfId="45" applyFont="1" applyBorder="1" applyAlignment="1">
      <alignment wrapText="1"/>
    </xf>
    <xf numFmtId="3" fontId="23" fillId="0" borderId="13" xfId="45" applyNumberFormat="1" applyFont="1" applyBorder="1"/>
    <xf numFmtId="49" fontId="23" fillId="0" borderId="21" xfId="45" applyNumberFormat="1" applyFont="1" applyBorder="1" applyAlignment="1">
      <alignment wrapText="1"/>
    </xf>
    <xf numFmtId="3" fontId="23" fillId="0" borderId="21" xfId="45" applyNumberFormat="1" applyFont="1" applyFill="1" applyBorder="1"/>
    <xf numFmtId="0" fontId="23" fillId="0" borderId="21" xfId="45" applyFont="1" applyBorder="1" applyAlignment="1">
      <alignment wrapText="1"/>
    </xf>
    <xf numFmtId="3" fontId="23" fillId="0" borderId="15" xfId="45" applyNumberFormat="1" applyFont="1" applyBorder="1"/>
    <xf numFmtId="3" fontId="23" fillId="0" borderId="12" xfId="45" applyNumberFormat="1" applyFont="1" applyBorder="1"/>
    <xf numFmtId="3" fontId="23" fillId="0" borderId="79" xfId="45" applyNumberFormat="1" applyFont="1" applyBorder="1"/>
    <xf numFmtId="3" fontId="22" fillId="0" borderId="12" xfId="45" applyNumberFormat="1" applyFont="1" applyBorder="1"/>
    <xf numFmtId="3" fontId="22" fillId="0" borderId="79" xfId="45" applyNumberFormat="1" applyFont="1" applyBorder="1"/>
    <xf numFmtId="0" fontId="22" fillId="0" borderId="27" xfId="0" applyFont="1" applyBorder="1"/>
    <xf numFmtId="0" fontId="22" fillId="0" borderId="24" xfId="0" applyFont="1" applyBorder="1"/>
    <xf numFmtId="3" fontId="22" fillId="0" borderId="22" xfId="45" applyNumberFormat="1" applyFont="1" applyBorder="1"/>
    <xf numFmtId="3" fontId="22" fillId="0" borderId="80" xfId="45" applyNumberFormat="1" applyFont="1" applyBorder="1"/>
    <xf numFmtId="0" fontId="23" fillId="0" borderId="22" xfId="45" applyFont="1" applyBorder="1" applyAlignment="1">
      <alignment wrapText="1"/>
    </xf>
    <xf numFmtId="3" fontId="23" fillId="0" borderId="16" xfId="45" applyNumberFormat="1" applyFont="1" applyBorder="1"/>
    <xf numFmtId="3" fontId="23" fillId="0" borderId="20" xfId="45" applyNumberFormat="1" applyFont="1" applyBorder="1"/>
    <xf numFmtId="0" fontId="23" fillId="0" borderId="18" xfId="45" applyFont="1" applyBorder="1" applyAlignment="1">
      <alignment wrapText="1"/>
    </xf>
    <xf numFmtId="3" fontId="23" fillId="0" borderId="18" xfId="45" applyNumberFormat="1" applyFont="1" applyBorder="1"/>
    <xf numFmtId="0" fontId="23" fillId="0" borderId="13" xfId="45" applyFont="1" applyBorder="1" applyAlignment="1">
      <alignment wrapText="1"/>
    </xf>
    <xf numFmtId="3" fontId="23" fillId="0" borderId="14" xfId="45" applyNumberFormat="1" applyFont="1" applyBorder="1"/>
    <xf numFmtId="0" fontId="23" fillId="0" borderId="0" xfId="45" applyFont="1" applyBorder="1" applyAlignment="1">
      <alignment wrapText="1"/>
    </xf>
    <xf numFmtId="3" fontId="23" fillId="0" borderId="0" xfId="45" applyNumberFormat="1" applyFont="1" applyBorder="1"/>
    <xf numFmtId="0" fontId="119" fillId="0" borderId="0" xfId="45" applyFont="1" applyAlignment="1">
      <alignment wrapText="1"/>
    </xf>
    <xf numFmtId="3" fontId="119" fillId="0" borderId="0" xfId="45" applyNumberFormat="1" applyFont="1" applyAlignment="1"/>
    <xf numFmtId="0" fontId="119" fillId="0" borderId="0" xfId="45" applyFont="1" applyBorder="1" applyAlignment="1">
      <alignment wrapText="1"/>
    </xf>
    <xf numFmtId="3" fontId="119" fillId="0" borderId="0" xfId="45" applyNumberFormat="1" applyFont="1"/>
    <xf numFmtId="0" fontId="120" fillId="0" borderId="0" xfId="56" applyFont="1"/>
    <xf numFmtId="0" fontId="103" fillId="0" borderId="275" xfId="67" applyFont="1" applyBorder="1"/>
    <xf numFmtId="49" fontId="103" fillId="0" borderId="249" xfId="67" applyNumberFormat="1" applyFont="1" applyBorder="1" applyAlignment="1">
      <alignment horizontal="center"/>
    </xf>
    <xf numFmtId="0" fontId="103" fillId="0" borderId="249" xfId="67" applyFont="1" applyBorder="1" applyAlignment="1"/>
    <xf numFmtId="0" fontId="103" fillId="0" borderId="249" xfId="67" applyFont="1" applyBorder="1" applyAlignment="1">
      <alignment horizontal="left"/>
    </xf>
    <xf numFmtId="3" fontId="106" fillId="0" borderId="249" xfId="67" applyNumberFormat="1" applyFont="1" applyBorder="1"/>
    <xf numFmtId="3" fontId="103" fillId="0" borderId="249" xfId="67" applyNumberFormat="1" applyFont="1" applyBorder="1"/>
    <xf numFmtId="0" fontId="103" fillId="0" borderId="249" xfId="67" applyFont="1" applyBorder="1"/>
    <xf numFmtId="0" fontId="103" fillId="0" borderId="219" xfId="67" applyFont="1" applyBorder="1"/>
    <xf numFmtId="0" fontId="103" fillId="0" borderId="272" xfId="67" applyFont="1" applyBorder="1"/>
    <xf numFmtId="49" fontId="103" fillId="0" borderId="273" xfId="67" applyNumberFormat="1" applyFont="1" applyBorder="1" applyAlignment="1">
      <alignment horizontal="center"/>
    </xf>
    <xf numFmtId="0" fontId="103" fillId="0" borderId="273" xfId="67" applyFont="1" applyBorder="1" applyAlignment="1"/>
    <xf numFmtId="0" fontId="103" fillId="0" borderId="273" xfId="67" applyFont="1" applyBorder="1" applyAlignment="1">
      <alignment horizontal="left"/>
    </xf>
    <xf numFmtId="3" fontId="106" fillId="0" borderId="273" xfId="67" applyNumberFormat="1" applyFont="1" applyBorder="1"/>
    <xf numFmtId="3" fontId="103" fillId="0" borderId="273" xfId="67" applyNumberFormat="1" applyFont="1" applyBorder="1"/>
    <xf numFmtId="0" fontId="103" fillId="0" borderId="273" xfId="67" applyFont="1" applyBorder="1"/>
    <xf numFmtId="0" fontId="103" fillId="0" borderId="274" xfId="67" applyFont="1" applyBorder="1"/>
    <xf numFmtId="3" fontId="103" fillId="0" borderId="273" xfId="67" applyNumberFormat="1" applyFont="1" applyBorder="1" applyAlignment="1">
      <alignment horizontal="right"/>
    </xf>
    <xf numFmtId="0" fontId="103" fillId="0" borderId="273" xfId="67" applyFont="1" applyBorder="1" applyAlignment="1">
      <alignment wrapText="1"/>
    </xf>
    <xf numFmtId="3" fontId="103" fillId="0" borderId="274" xfId="67" applyNumberFormat="1" applyFont="1" applyBorder="1"/>
    <xf numFmtId="3" fontId="103" fillId="0" borderId="274" xfId="67" applyNumberFormat="1" applyFont="1" applyBorder="1" applyAlignment="1">
      <alignment horizontal="right"/>
    </xf>
    <xf numFmtId="0" fontId="103" fillId="0" borderId="273" xfId="67" applyFont="1" applyBorder="1" applyAlignment="1">
      <alignment horizontal="right"/>
    </xf>
    <xf numFmtId="49" fontId="103" fillId="0" borderId="273" xfId="67" applyNumberFormat="1" applyFont="1" applyBorder="1" applyAlignment="1">
      <alignment horizontal="center" vertical="center"/>
    </xf>
    <xf numFmtId="0" fontId="103" fillId="0" borderId="273" xfId="67" applyFont="1" applyBorder="1" applyAlignment="1">
      <alignment horizontal="left" vertical="center"/>
    </xf>
    <xf numFmtId="49" fontId="103" fillId="0" borderId="163" xfId="67" applyNumberFormat="1" applyFont="1" applyBorder="1" applyAlignment="1">
      <alignment horizontal="center"/>
    </xf>
    <xf numFmtId="0" fontId="103" fillId="0" borderId="147" xfId="67" applyFont="1" applyBorder="1" applyAlignment="1"/>
    <xf numFmtId="0" fontId="103" fillId="29" borderId="272" xfId="67" applyFont="1" applyFill="1" applyBorder="1"/>
    <xf numFmtId="0" fontId="106" fillId="29" borderId="273" xfId="67" applyFont="1" applyFill="1" applyBorder="1" applyAlignment="1">
      <alignment horizontal="left"/>
    </xf>
    <xf numFmtId="3" fontId="106" fillId="29" borderId="273" xfId="67" applyNumberFormat="1" applyFont="1" applyFill="1" applyBorder="1" applyAlignment="1"/>
    <xf numFmtId="3" fontId="106" fillId="29" borderId="274" xfId="67" applyNumberFormat="1" applyFont="1" applyFill="1" applyBorder="1" applyAlignment="1"/>
    <xf numFmtId="0" fontId="106" fillId="29" borderId="163" xfId="67" applyFont="1" applyFill="1" applyBorder="1" applyAlignment="1">
      <alignment horizontal="left"/>
    </xf>
    <xf numFmtId="0" fontId="106" fillId="29" borderId="147" xfId="67" applyFont="1" applyFill="1" applyBorder="1" applyAlignment="1">
      <alignment horizontal="left"/>
    </xf>
    <xf numFmtId="0" fontId="106" fillId="29" borderId="163" xfId="67" applyFont="1" applyFill="1" applyBorder="1" applyAlignment="1"/>
    <xf numFmtId="0" fontId="106" fillId="0" borderId="273" xfId="67" applyFont="1" applyBorder="1" applyAlignment="1">
      <alignment horizontal="left"/>
    </xf>
    <xf numFmtId="3" fontId="106" fillId="0" borderId="273" xfId="67" applyNumberFormat="1" applyFont="1" applyBorder="1" applyAlignment="1"/>
    <xf numFmtId="3" fontId="106" fillId="0" borderId="274" xfId="67" applyNumberFormat="1" applyFont="1" applyBorder="1" applyAlignment="1"/>
    <xf numFmtId="0" fontId="106" fillId="0" borderId="163" xfId="67" applyFont="1" applyBorder="1" applyAlignment="1">
      <alignment horizontal="left"/>
    </xf>
    <xf numFmtId="0" fontId="106" fillId="0" borderId="147" xfId="67" applyFont="1" applyBorder="1" applyAlignment="1">
      <alignment horizontal="left"/>
    </xf>
    <xf numFmtId="0" fontId="103" fillId="0" borderId="266" xfId="67" applyFont="1" applyBorder="1"/>
    <xf numFmtId="0" fontId="106" fillId="0" borderId="267" xfId="67" applyFont="1" applyBorder="1" applyAlignment="1">
      <alignment horizontal="left"/>
    </xf>
    <xf numFmtId="0" fontId="106" fillId="0" borderId="276" xfId="67" applyFont="1" applyBorder="1" applyAlignment="1">
      <alignment horizontal="left"/>
    </xf>
    <xf numFmtId="0" fontId="103" fillId="0" borderId="265" xfId="67" applyFont="1" applyBorder="1" applyAlignment="1">
      <alignment horizontal="left"/>
    </xf>
    <xf numFmtId="3" fontId="106" fillId="0" borderId="266" xfId="67" applyNumberFormat="1" applyFont="1" applyBorder="1" applyAlignment="1"/>
    <xf numFmtId="3" fontId="106" fillId="0" borderId="268" xfId="67" applyNumberFormat="1" applyFont="1" applyBorder="1" applyAlignment="1"/>
    <xf numFmtId="0" fontId="87" fillId="0" borderId="285" xfId="0" applyFont="1" applyBorder="1" applyAlignment="1"/>
    <xf numFmtId="0" fontId="87" fillId="0" borderId="182" xfId="0" applyFont="1" applyBorder="1" applyAlignment="1"/>
    <xf numFmtId="3" fontId="87" fillId="0" borderId="291" xfId="0" applyNumberFormat="1" applyFont="1" applyBorder="1" applyAlignment="1">
      <alignment horizontal="center" vertical="center" wrapText="1"/>
    </xf>
    <xf numFmtId="3" fontId="82" fillId="0" borderId="291" xfId="0" applyNumberFormat="1" applyFont="1" applyBorder="1" applyAlignment="1">
      <alignment horizontal="center" vertical="center" wrapText="1"/>
    </xf>
    <xf numFmtId="0" fontId="87" fillId="0" borderId="292" xfId="0" applyFont="1" applyBorder="1" applyAlignment="1"/>
    <xf numFmtId="3" fontId="87" fillId="0" borderId="291" xfId="0" applyNumberFormat="1" applyFont="1" applyBorder="1"/>
    <xf numFmtId="0" fontId="88" fillId="0" borderId="294" xfId="0" applyFont="1" applyBorder="1" applyAlignment="1"/>
    <xf numFmtId="3" fontId="88" fillId="0" borderId="291" xfId="0" applyNumberFormat="1" applyFont="1" applyBorder="1"/>
    <xf numFmtId="0" fontId="87" fillId="0" borderId="285" xfId="0" applyFont="1" applyBorder="1" applyAlignment="1">
      <alignment horizontal="left"/>
    </xf>
    <xf numFmtId="0" fontId="88" fillId="0" borderId="285" xfId="0" applyFont="1" applyBorder="1" applyAlignment="1"/>
    <xf numFmtId="0" fontId="32" fillId="0" borderId="294" xfId="0" applyFont="1" applyBorder="1" applyAlignment="1">
      <alignment wrapText="1"/>
    </xf>
    <xf numFmtId="3" fontId="94" fillId="0" borderId="291" xfId="0" applyNumberFormat="1" applyFont="1" applyBorder="1"/>
    <xf numFmtId="0" fontId="82" fillId="0" borderId="294" xfId="0" applyFont="1" applyBorder="1" applyAlignment="1"/>
    <xf numFmtId="0" fontId="88" fillId="0" borderId="294" xfId="0" applyFont="1" applyBorder="1"/>
    <xf numFmtId="0" fontId="88" fillId="0" borderId="285" xfId="0" applyFont="1" applyBorder="1"/>
    <xf numFmtId="0" fontId="88" fillId="0" borderId="294" xfId="0" applyFont="1" applyBorder="1" applyAlignment="1">
      <alignment horizontal="left"/>
    </xf>
    <xf numFmtId="0" fontId="88" fillId="0" borderId="285" xfId="0" applyFont="1" applyBorder="1" applyAlignment="1">
      <alignment horizontal="left"/>
    </xf>
    <xf numFmtId="0" fontId="87" fillId="0" borderId="294" xfId="0" applyFont="1" applyBorder="1" applyAlignment="1">
      <alignment horizontal="left"/>
    </xf>
    <xf numFmtId="0" fontId="82" fillId="0" borderId="294" xfId="0" applyFont="1" applyBorder="1"/>
    <xf numFmtId="49" fontId="88" fillId="0" borderId="294" xfId="0" applyNumberFormat="1" applyFont="1" applyBorder="1"/>
    <xf numFmtId="0" fontId="87" fillId="0" borderId="294" xfId="0" applyFont="1" applyBorder="1"/>
    <xf numFmtId="0" fontId="87" fillId="0" borderId="293" xfId="0" applyFont="1" applyBorder="1"/>
    <xf numFmtId="49" fontId="88" fillId="0" borderId="291" xfId="45" applyNumberFormat="1" applyFont="1" applyBorder="1" applyAlignment="1">
      <alignment wrapText="1"/>
    </xf>
    <xf numFmtId="0" fontId="84" fillId="0" borderId="294" xfId="0" applyFont="1" applyBorder="1"/>
    <xf numFmtId="49" fontId="87" fillId="0" borderId="294" xfId="0" applyNumberFormat="1" applyFont="1" applyBorder="1" applyAlignment="1"/>
    <xf numFmtId="0" fontId="84" fillId="0" borderId="285" xfId="0" applyFont="1" applyBorder="1"/>
    <xf numFmtId="0" fontId="91" fillId="0" borderId="285" xfId="0" applyFont="1" applyBorder="1" applyAlignment="1"/>
    <xf numFmtId="0" fontId="92" fillId="0" borderId="294" xfId="0" applyFont="1" applyBorder="1" applyAlignment="1">
      <alignment horizontal="left"/>
    </xf>
    <xf numFmtId="3" fontId="87" fillId="0" borderId="286" xfId="0" applyNumberFormat="1" applyFont="1" applyBorder="1"/>
    <xf numFmtId="0" fontId="87" fillId="0" borderId="280" xfId="0" applyFont="1" applyBorder="1" applyAlignment="1"/>
    <xf numFmtId="3" fontId="87" fillId="0" borderId="295" xfId="0" applyNumberFormat="1" applyFont="1" applyBorder="1" applyAlignment="1"/>
    <xf numFmtId="3" fontId="87" fillId="0" borderId="296" xfId="0" applyNumberFormat="1" applyFont="1" applyBorder="1" applyAlignment="1"/>
    <xf numFmtId="3" fontId="87" fillId="0" borderId="297" xfId="0" applyNumberFormat="1" applyFont="1" applyBorder="1" applyAlignment="1"/>
    <xf numFmtId="0" fontId="87" fillId="0" borderId="298" xfId="0" applyFont="1" applyBorder="1"/>
    <xf numFmtId="0" fontId="88" fillId="0" borderId="298" xfId="0" applyFont="1" applyBorder="1"/>
    <xf numFmtId="0" fontId="89" fillId="0" borderId="285" xfId="0" applyFont="1" applyBorder="1"/>
    <xf numFmtId="0" fontId="88" fillId="0" borderId="298" xfId="0" applyFont="1" applyBorder="1" applyAlignment="1">
      <alignment horizontal="left" wrapText="1"/>
    </xf>
    <xf numFmtId="0" fontId="89" fillId="0" borderId="285" xfId="0" applyFont="1" applyBorder="1" applyAlignment="1">
      <alignment wrapText="1"/>
    </xf>
    <xf numFmtId="0" fontId="87" fillId="0" borderId="285" xfId="0" applyFont="1" applyBorder="1"/>
    <xf numFmtId="0" fontId="93" fillId="0" borderId="298" xfId="0" applyFont="1" applyBorder="1"/>
    <xf numFmtId="3" fontId="87" fillId="0" borderId="285" xfId="0" applyNumberFormat="1" applyFont="1" applyBorder="1" applyAlignment="1"/>
    <xf numFmtId="3" fontId="87" fillId="0" borderId="299" xfId="0" applyNumberFormat="1" applyFont="1" applyBorder="1" applyAlignment="1"/>
    <xf numFmtId="0" fontId="82" fillId="0" borderId="0" xfId="0" applyFont="1" applyBorder="1" applyAlignment="1">
      <alignment horizontal="center"/>
    </xf>
    <xf numFmtId="0" fontId="87" fillId="0" borderId="0" xfId="0" applyFont="1" applyBorder="1" applyAlignment="1">
      <alignment horizontal="center"/>
    </xf>
    <xf numFmtId="0" fontId="87" fillId="0" borderId="96" xfId="0" applyFont="1" applyBorder="1" applyAlignment="1">
      <alignment horizontal="left"/>
    </xf>
    <xf numFmtId="0" fontId="87" fillId="0" borderId="290" xfId="0" applyFont="1" applyBorder="1" applyAlignment="1">
      <alignment horizontal="center"/>
    </xf>
    <xf numFmtId="0" fontId="87" fillId="0" borderId="291" xfId="0" applyFont="1" applyBorder="1" applyAlignment="1">
      <alignment horizontal="center"/>
    </xf>
    <xf numFmtId="0" fontId="87" fillId="0" borderId="96" xfId="0" applyFont="1" applyBorder="1" applyAlignment="1">
      <alignment horizontal="center"/>
    </xf>
    <xf numFmtId="0" fontId="87" fillId="0" borderId="287" xfId="0" applyFont="1" applyBorder="1" applyAlignment="1">
      <alignment horizontal="center" vertical="center" wrapText="1"/>
    </xf>
    <xf numFmtId="0" fontId="87" fillId="0" borderId="288" xfId="0" applyFont="1" applyBorder="1" applyAlignment="1">
      <alignment horizontal="center" vertical="center" wrapText="1"/>
    </xf>
    <xf numFmtId="0" fontId="87" fillId="0" borderId="289" xfId="0" applyFont="1" applyBorder="1" applyAlignment="1">
      <alignment horizontal="center" vertical="center" wrapText="1"/>
    </xf>
    <xf numFmtId="0" fontId="87" fillId="0" borderId="119" xfId="0" applyFont="1" applyBorder="1" applyAlignment="1">
      <alignment horizontal="center"/>
    </xf>
    <xf numFmtId="0" fontId="87" fillId="0" borderId="108" xfId="0" applyFont="1" applyBorder="1" applyAlignment="1">
      <alignment horizontal="center"/>
    </xf>
    <xf numFmtId="0" fontId="87" fillId="0" borderId="103" xfId="0" applyFont="1" applyBorder="1" applyAlignment="1">
      <alignment horizontal="center"/>
    </xf>
    <xf numFmtId="0" fontId="87" fillId="0" borderId="293" xfId="0" applyFont="1" applyBorder="1" applyAlignment="1">
      <alignment horizontal="left"/>
    </xf>
    <xf numFmtId="0" fontId="87" fillId="0" borderId="291" xfId="0" applyFont="1" applyBorder="1" applyAlignment="1">
      <alignment horizontal="left"/>
    </xf>
    <xf numFmtId="0" fontId="84" fillId="0" borderId="294" xfId="0" applyFont="1" applyBorder="1" applyAlignment="1">
      <alignment horizontal="left" wrapText="1"/>
    </xf>
    <xf numFmtId="0" fontId="84" fillId="0" borderId="285" xfId="0" applyFont="1" applyBorder="1" applyAlignment="1">
      <alignment horizontal="left" wrapText="1"/>
    </xf>
    <xf numFmtId="0" fontId="84" fillId="0" borderId="298" xfId="0" applyFont="1" applyBorder="1" applyAlignment="1">
      <alignment horizontal="left"/>
    </xf>
    <xf numFmtId="0" fontId="84" fillId="0" borderId="285" xfId="0" applyFont="1" applyBorder="1" applyAlignment="1">
      <alignment horizontal="left"/>
    </xf>
    <xf numFmtId="0" fontId="88" fillId="0" borderId="298" xfId="0" applyFont="1" applyBorder="1" applyAlignment="1">
      <alignment horizontal="left"/>
    </xf>
    <xf numFmtId="0" fontId="88" fillId="0" borderId="285" xfId="0" applyFont="1" applyBorder="1" applyAlignment="1">
      <alignment horizontal="left"/>
    </xf>
    <xf numFmtId="0" fontId="88" fillId="0" borderId="298" xfId="0" applyFont="1" applyBorder="1" applyAlignment="1">
      <alignment horizontal="center"/>
    </xf>
    <xf numFmtId="0" fontId="88" fillId="0" borderId="285" xfId="0" applyFont="1" applyBorder="1" applyAlignment="1">
      <alignment horizontal="center"/>
    </xf>
    <xf numFmtId="0" fontId="89" fillId="0" borderId="298" xfId="0" applyFont="1" applyBorder="1" applyAlignment="1">
      <alignment horizontal="left"/>
    </xf>
    <xf numFmtId="0" fontId="89" fillId="0" borderId="285" xfId="0" applyFont="1" applyBorder="1" applyAlignment="1">
      <alignment horizontal="left"/>
    </xf>
    <xf numFmtId="0" fontId="90" fillId="0" borderId="298" xfId="0" applyFont="1" applyBorder="1" applyAlignment="1">
      <alignment horizontal="left" wrapText="1"/>
    </xf>
    <xf numFmtId="0" fontId="90" fillId="0" borderId="285" xfId="0" applyFont="1" applyBorder="1" applyAlignment="1">
      <alignment horizontal="left" wrapText="1"/>
    </xf>
    <xf numFmtId="0" fontId="89" fillId="0" borderId="298" xfId="0" applyFont="1" applyBorder="1" applyAlignment="1">
      <alignment horizontal="left" wrapText="1"/>
    </xf>
    <xf numFmtId="0" fontId="89" fillId="0" borderId="285" xfId="0" applyFont="1" applyBorder="1" applyAlignment="1">
      <alignment horizontal="left" wrapText="1"/>
    </xf>
    <xf numFmtId="0" fontId="94" fillId="0" borderId="293" xfId="0" applyFont="1" applyBorder="1" applyAlignment="1">
      <alignment horizontal="left"/>
    </xf>
    <xf numFmtId="0" fontId="94" fillId="0" borderId="291" xfId="0" applyFont="1" applyBorder="1" applyAlignment="1">
      <alignment horizontal="left"/>
    </xf>
    <xf numFmtId="0" fontId="87" fillId="0" borderId="293" xfId="0" applyFont="1" applyBorder="1" applyAlignment="1"/>
    <xf numFmtId="0" fontId="87" fillId="0" borderId="291" xfId="0" applyFont="1" applyBorder="1" applyAlignment="1"/>
    <xf numFmtId="49" fontId="87" fillId="0" borderId="293" xfId="0" applyNumberFormat="1" applyFont="1" applyBorder="1" applyAlignment="1">
      <alignment horizontal="left" wrapText="1"/>
    </xf>
    <xf numFmtId="49" fontId="87" fillId="0" borderId="291" xfId="0" applyNumberFormat="1" applyFont="1" applyBorder="1" applyAlignment="1">
      <alignment horizontal="left" wrapText="1"/>
    </xf>
    <xf numFmtId="0" fontId="87" fillId="0" borderId="98" xfId="0" applyFont="1" applyBorder="1" applyAlignment="1">
      <alignment horizontal="left"/>
    </xf>
    <xf numFmtId="0" fontId="87" fillId="0" borderId="99" xfId="0" applyFont="1" applyBorder="1" applyAlignment="1">
      <alignment horizontal="left"/>
    </xf>
    <xf numFmtId="0" fontId="87" fillId="0" borderId="298" xfId="0" applyFont="1" applyBorder="1" applyAlignment="1">
      <alignment horizontal="center"/>
    </xf>
    <xf numFmtId="0" fontId="87" fillId="0" borderId="285" xfId="0" applyFont="1" applyBorder="1" applyAlignment="1">
      <alignment horizontal="center"/>
    </xf>
    <xf numFmtId="0" fontId="23" fillId="0" borderId="0" xfId="45" applyFont="1" applyBorder="1" applyAlignment="1">
      <alignment horizontal="center"/>
    </xf>
    <xf numFmtId="0" fontId="23" fillId="0" borderId="93" xfId="45" applyFont="1" applyBorder="1" applyAlignment="1">
      <alignment horizontal="center"/>
    </xf>
    <xf numFmtId="0" fontId="23" fillId="0" borderId="94" xfId="45" applyFont="1" applyBorder="1" applyAlignment="1">
      <alignment horizontal="center"/>
    </xf>
    <xf numFmtId="0" fontId="23" fillId="0" borderId="95" xfId="45" applyFont="1" applyBorder="1" applyAlignment="1">
      <alignment horizontal="center"/>
    </xf>
    <xf numFmtId="0" fontId="27" fillId="0" borderId="102" xfId="0" applyFont="1" applyBorder="1" applyAlignment="1">
      <alignment horizontal="center" vertical="center"/>
    </xf>
    <xf numFmtId="0" fontId="76" fillId="0" borderId="111" xfId="0" applyFont="1" applyBorder="1" applyAlignment="1">
      <alignment horizontal="center" vertical="center"/>
    </xf>
    <xf numFmtId="0" fontId="76" fillId="0" borderId="0" xfId="0" applyFont="1" applyBorder="1" applyAlignment="1">
      <alignment horizontal="center" shrinkToFit="1"/>
    </xf>
    <xf numFmtId="0" fontId="76" fillId="0" borderId="102" xfId="0" applyFont="1" applyBorder="1" applyAlignment="1">
      <alignment horizontal="center" vertical="center" wrapText="1"/>
    </xf>
    <xf numFmtId="0" fontId="76" fillId="0" borderId="103" xfId="0" applyFont="1" applyBorder="1" applyAlignment="1">
      <alignment horizontal="center" vertical="center" wrapText="1"/>
    </xf>
    <xf numFmtId="0" fontId="76" fillId="0" borderId="108" xfId="0" applyFont="1" applyBorder="1" applyAlignment="1">
      <alignment horizontal="center" vertical="center" wrapText="1"/>
    </xf>
    <xf numFmtId="0" fontId="76" fillId="0" borderId="109" xfId="0" applyFont="1" applyBorder="1" applyAlignment="1">
      <alignment horizontal="center" vertical="center" wrapText="1"/>
    </xf>
    <xf numFmtId="0" fontId="76" fillId="0" borderId="110" xfId="0" applyFont="1" applyBorder="1" applyAlignment="1">
      <alignment horizontal="center" vertical="center" wrapText="1"/>
    </xf>
    <xf numFmtId="0" fontId="23" fillId="0" borderId="202" xfId="0" applyFont="1" applyBorder="1" applyAlignment="1">
      <alignment horizontal="center" vertical="center" wrapText="1"/>
    </xf>
    <xf numFmtId="0" fontId="23" fillId="0" borderId="20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28" fillId="0" borderId="202" xfId="0" applyFont="1" applyBorder="1" applyAlignment="1">
      <alignment horizontal="center" vertical="center" wrapText="1"/>
    </xf>
    <xf numFmtId="0" fontId="28" fillId="0" borderId="203" xfId="0" applyFont="1" applyBorder="1" applyAlignment="1">
      <alignment horizontal="center" vertical="center" wrapText="1"/>
    </xf>
    <xf numFmtId="0" fontId="28" fillId="0" borderId="199" xfId="0" applyFont="1" applyBorder="1" applyAlignment="1">
      <alignment horizontal="center" vertical="center" wrapText="1"/>
    </xf>
    <xf numFmtId="0" fontId="28" fillId="0" borderId="190" xfId="0" applyFont="1" applyBorder="1" applyAlignment="1">
      <alignment horizontal="center" vertical="center" wrapText="1"/>
    </xf>
    <xf numFmtId="0" fontId="28" fillId="0" borderId="193" xfId="0" applyFont="1" applyBorder="1" applyAlignment="1">
      <alignment horizontal="center" vertical="center" wrapText="1"/>
    </xf>
    <xf numFmtId="0" fontId="28" fillId="0" borderId="194" xfId="0" applyFont="1" applyBorder="1" applyAlignment="1">
      <alignment horizontal="center" vertical="center" wrapText="1"/>
    </xf>
    <xf numFmtId="0" fontId="106" fillId="0" borderId="0" xfId="67" applyFont="1" applyFill="1" applyBorder="1" applyAlignment="1">
      <alignment horizontal="center"/>
    </xf>
    <xf numFmtId="0" fontId="32" fillId="0" borderId="0" xfId="56" applyFont="1" applyBorder="1" applyAlignment="1">
      <alignment horizontal="center"/>
    </xf>
    <xf numFmtId="0" fontId="106" fillId="0" borderId="269" xfId="67" applyFont="1" applyBorder="1" applyAlignment="1">
      <alignment horizontal="center" vertical="center"/>
    </xf>
    <xf numFmtId="0" fontId="106" fillId="0" borderId="270" xfId="67" applyFont="1" applyBorder="1" applyAlignment="1">
      <alignment horizontal="center" vertical="center"/>
    </xf>
    <xf numFmtId="0" fontId="106" fillId="0" borderId="272" xfId="67" applyFont="1" applyBorder="1" applyAlignment="1">
      <alignment horizontal="center" vertical="center"/>
    </xf>
    <xf numFmtId="0" fontId="106" fillId="0" borderId="273" xfId="67" applyFont="1" applyBorder="1" applyAlignment="1">
      <alignment horizontal="center" vertical="center"/>
    </xf>
    <xf numFmtId="0" fontId="106" fillId="0" borderId="265" xfId="67" applyFont="1" applyBorder="1" applyAlignment="1">
      <alignment horizontal="center" vertical="center"/>
    </xf>
    <xf numFmtId="0" fontId="106" fillId="0" borderId="266" xfId="67" applyFont="1" applyBorder="1" applyAlignment="1">
      <alignment horizontal="center" vertical="center"/>
    </xf>
    <xf numFmtId="0" fontId="106" fillId="0" borderId="270" xfId="67" applyFont="1" applyBorder="1" applyAlignment="1">
      <alignment horizontal="center"/>
    </xf>
    <xf numFmtId="0" fontId="106" fillId="0" borderId="271" xfId="67" applyFont="1" applyBorder="1" applyAlignment="1">
      <alignment horizontal="center" vertical="center" wrapText="1"/>
    </xf>
    <xf numFmtId="0" fontId="106" fillId="0" borderId="274" xfId="67" applyFont="1" applyBorder="1" applyAlignment="1">
      <alignment horizontal="center" vertical="center" wrapText="1"/>
    </xf>
    <xf numFmtId="0" fontId="106" fillId="0" borderId="268" xfId="67" applyFont="1" applyBorder="1" applyAlignment="1">
      <alignment horizontal="center" vertical="center" wrapText="1"/>
    </xf>
    <xf numFmtId="0" fontId="106" fillId="0" borderId="273" xfId="67" applyFont="1" applyBorder="1" applyAlignment="1">
      <alignment horizontal="center" vertical="center" wrapText="1"/>
    </xf>
    <xf numFmtId="0" fontId="106" fillId="0" borderId="266" xfId="67" applyFont="1" applyBorder="1" applyAlignment="1">
      <alignment horizontal="center" vertical="center" wrapText="1"/>
    </xf>
    <xf numFmtId="3" fontId="106" fillId="0" borderId="273" xfId="67" applyNumberFormat="1" applyFont="1" applyBorder="1" applyAlignment="1">
      <alignment horizontal="center" vertical="center" wrapText="1"/>
    </xf>
    <xf numFmtId="3" fontId="106" fillId="0" borderId="266" xfId="67" applyNumberFormat="1" applyFont="1" applyBorder="1" applyAlignment="1">
      <alignment horizontal="center" vertical="center" wrapText="1"/>
    </xf>
    <xf numFmtId="0" fontId="106" fillId="0" borderId="163" xfId="67" applyFont="1" applyBorder="1" applyAlignment="1">
      <alignment horizontal="left"/>
    </xf>
    <xf numFmtId="0" fontId="106" fillId="0" borderId="147" xfId="67" applyFont="1" applyBorder="1" applyAlignment="1">
      <alignment horizontal="left"/>
    </xf>
    <xf numFmtId="0" fontId="106" fillId="29" borderId="163" xfId="67" applyFont="1" applyFill="1" applyBorder="1" applyAlignment="1">
      <alignment horizontal="left"/>
    </xf>
    <xf numFmtId="0" fontId="106" fillId="29" borderId="147" xfId="67" applyFont="1" applyFill="1" applyBorder="1" applyAlignment="1">
      <alignment horizontal="left"/>
    </xf>
    <xf numFmtId="0" fontId="0" fillId="0" borderId="0" xfId="0" applyFill="1" applyBorder="1"/>
    <xf numFmtId="0" fontId="113" fillId="0" borderId="0" xfId="68" applyFont="1" applyFill="1" applyBorder="1" applyAlignment="1">
      <alignment horizontal="center" wrapText="1"/>
    </xf>
    <xf numFmtId="0" fontId="114" fillId="0" borderId="211" xfId="68" applyFont="1" applyFill="1" applyBorder="1" applyAlignment="1">
      <alignment horizontal="center" vertical="center"/>
    </xf>
    <xf numFmtId="3" fontId="114" fillId="0" borderId="211" xfId="68" applyNumberFormat="1" applyFont="1" applyFill="1" applyBorder="1" applyAlignment="1">
      <alignment horizontal="center" vertical="center"/>
    </xf>
    <xf numFmtId="0" fontId="114" fillId="0" borderId="211" xfId="68" applyFont="1" applyFill="1" applyBorder="1" applyAlignment="1">
      <alignment horizontal="center"/>
    </xf>
    <xf numFmtId="0" fontId="114" fillId="0" borderId="211" xfId="68" applyFont="1" applyFill="1" applyBorder="1" applyAlignment="1">
      <alignment horizontal="center" vertical="center" wrapText="1"/>
    </xf>
    <xf numFmtId="0" fontId="114" fillId="0" borderId="211" xfId="68" applyFont="1" applyFill="1" applyBorder="1" applyAlignment="1">
      <alignment horizontal="left" vertical="center"/>
    </xf>
    <xf numFmtId="3" fontId="114" fillId="0" borderId="211" xfId="68" applyNumberFormat="1" applyFont="1" applyFill="1" applyBorder="1" applyAlignment="1">
      <alignment horizontal="center" vertical="center" wrapText="1"/>
    </xf>
    <xf numFmtId="0" fontId="114" fillId="28" borderId="211" xfId="68" applyFont="1" applyFill="1" applyBorder="1" applyAlignment="1">
      <alignment horizontal="left" vertical="center"/>
    </xf>
    <xf numFmtId="0" fontId="114" fillId="0" borderId="211" xfId="68" applyFont="1" applyFill="1" applyBorder="1" applyAlignment="1"/>
    <xf numFmtId="166" fontId="104" fillId="28" borderId="211" xfId="60" applyFont="1" applyFill="1" applyBorder="1" applyAlignment="1">
      <alignment horizontal="center" vertical="center" wrapText="1"/>
    </xf>
    <xf numFmtId="166" fontId="103" fillId="28" borderId="215" xfId="60" applyFont="1" applyFill="1" applyBorder="1" applyAlignment="1">
      <alignment horizontal="center" vertical="center"/>
    </xf>
    <xf numFmtId="166" fontId="103" fillId="28" borderId="211" xfId="60" applyFont="1" applyFill="1" applyBorder="1" applyAlignment="1">
      <alignment horizontal="center" vertical="center" wrapText="1"/>
    </xf>
    <xf numFmtId="166" fontId="106" fillId="28" borderId="211" xfId="60" applyFont="1" applyFill="1" applyBorder="1" applyAlignment="1">
      <alignment horizontal="center" vertical="center" wrapText="1"/>
    </xf>
    <xf numFmtId="166" fontId="107" fillId="28" borderId="211" xfId="60" applyFont="1" applyFill="1" applyBorder="1" applyAlignment="1">
      <alignment horizontal="center" vertical="center" wrapText="1"/>
    </xf>
    <xf numFmtId="0" fontId="25" fillId="0" borderId="0" xfId="43" applyFont="1" applyFill="1" applyBorder="1" applyAlignment="1">
      <alignment horizontal="center" vertical="center" wrapText="1"/>
    </xf>
    <xf numFmtId="0" fontId="25" fillId="0" borderId="0" xfId="43" applyFont="1" applyFill="1" applyBorder="1" applyAlignment="1">
      <alignment horizontal="center" vertical="center"/>
    </xf>
    <xf numFmtId="0" fontId="25" fillId="0" borderId="0" xfId="43" applyFont="1" applyFill="1" applyBorder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25" fillId="0" borderId="0" xfId="64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wrapText="1"/>
    </xf>
    <xf numFmtId="0" fontId="32" fillId="0" borderId="234" xfId="0" applyFont="1" applyBorder="1" applyAlignment="1">
      <alignment horizontal="center" vertical="center" wrapText="1"/>
    </xf>
    <xf numFmtId="0" fontId="32" fillId="0" borderId="236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32" fillId="0" borderId="234" xfId="0" applyFont="1" applyBorder="1" applyAlignment="1">
      <alignment horizontal="center" vertical="center"/>
    </xf>
    <xf numFmtId="0" fontId="32" fillId="0" borderId="279" xfId="0" applyFont="1" applyBorder="1" applyAlignment="1">
      <alignment horizontal="center" vertical="center"/>
    </xf>
    <xf numFmtId="0" fontId="34" fillId="0" borderId="220" xfId="57" applyFont="1" applyBorder="1" applyAlignment="1">
      <alignment horizontal="center" vertical="center"/>
    </xf>
    <xf numFmtId="0" fontId="34" fillId="0" borderId="259" xfId="57" applyFont="1" applyBorder="1" applyAlignment="1">
      <alignment horizontal="center" vertical="center"/>
    </xf>
    <xf numFmtId="0" fontId="34" fillId="0" borderId="260" xfId="57" applyFont="1" applyBorder="1" applyAlignment="1">
      <alignment horizontal="center" vertical="center"/>
    </xf>
    <xf numFmtId="0" fontId="32" fillId="0" borderId="261" xfId="57" applyFont="1" applyBorder="1" applyAlignment="1">
      <alignment horizontal="center" vertical="center"/>
    </xf>
    <xf numFmtId="0" fontId="32" fillId="0" borderId="262" xfId="57" applyFont="1" applyBorder="1" applyAlignment="1">
      <alignment horizontal="center" vertical="center"/>
    </xf>
    <xf numFmtId="0" fontId="32" fillId="0" borderId="176" xfId="57" applyFont="1" applyBorder="1" applyAlignment="1">
      <alignment horizontal="center" vertical="center"/>
    </xf>
    <xf numFmtId="0" fontId="21" fillId="0" borderId="261" xfId="57" applyFont="1" applyBorder="1" applyAlignment="1">
      <alignment horizontal="left"/>
    </xf>
    <xf numFmtId="0" fontId="21" fillId="0" borderId="175" xfId="57" applyFont="1" applyBorder="1" applyAlignment="1">
      <alignment horizontal="left"/>
    </xf>
    <xf numFmtId="0" fontId="32" fillId="0" borderId="263" xfId="57" applyFont="1" applyBorder="1" applyAlignment="1">
      <alignment horizontal="center" vertical="center"/>
    </xf>
    <xf numFmtId="0" fontId="32" fillId="0" borderId="258" xfId="57" applyFont="1" applyBorder="1" applyAlignment="1">
      <alignment horizontal="center" vertical="center"/>
    </xf>
    <xf numFmtId="0" fontId="32" fillId="0" borderId="264" xfId="57" applyFont="1" applyBorder="1" applyAlignment="1">
      <alignment horizontal="center" vertical="center"/>
    </xf>
    <xf numFmtId="0" fontId="32" fillId="0" borderId="261" xfId="57" applyFont="1" applyBorder="1" applyAlignment="1">
      <alignment horizontal="center" vertical="center" wrapText="1"/>
    </xf>
    <xf numFmtId="0" fontId="32" fillId="0" borderId="175" xfId="57" applyFont="1" applyBorder="1" applyAlignment="1">
      <alignment horizontal="center" vertical="center" wrapText="1"/>
    </xf>
    <xf numFmtId="0" fontId="32" fillId="0" borderId="264" xfId="57" applyFont="1" applyBorder="1" applyAlignment="1">
      <alignment horizontal="center" vertical="center" wrapText="1"/>
    </xf>
    <xf numFmtId="0" fontId="32" fillId="0" borderId="176" xfId="57" applyFont="1" applyBorder="1" applyAlignment="1">
      <alignment horizontal="center" vertical="center" wrapText="1"/>
    </xf>
    <xf numFmtId="0" fontId="109" fillId="0" borderId="0" xfId="0" applyFont="1" applyBorder="1" applyAlignment="1">
      <alignment horizontal="center"/>
    </xf>
    <xf numFmtId="0" fontId="25" fillId="0" borderId="0" xfId="44" applyFont="1" applyBorder="1" applyAlignment="1">
      <alignment horizontal="center"/>
    </xf>
    <xf numFmtId="3" fontId="25" fillId="0" borderId="160" xfId="44" applyNumberFormat="1" applyFont="1" applyBorder="1" applyAlignment="1">
      <alignment horizontal="center" vertical="center" wrapText="1"/>
    </xf>
    <xf numFmtId="3" fontId="25" fillId="0" borderId="161" xfId="44" applyNumberFormat="1" applyFont="1" applyBorder="1" applyAlignment="1">
      <alignment horizontal="center" vertical="center" wrapText="1"/>
    </xf>
    <xf numFmtId="3" fontId="25" fillId="0" borderId="170" xfId="44" applyNumberFormat="1" applyFont="1" applyBorder="1" applyAlignment="1">
      <alignment horizontal="center" vertical="center" wrapText="1"/>
    </xf>
    <xf numFmtId="3" fontId="25" fillId="0" borderId="166" xfId="44" applyNumberFormat="1" applyFont="1" applyBorder="1" applyAlignment="1">
      <alignment horizontal="center" vertical="center" wrapText="1"/>
    </xf>
    <xf numFmtId="0" fontId="25" fillId="0" borderId="49" xfId="44" applyFont="1" applyBorder="1" applyAlignment="1">
      <alignment horizontal="center" vertical="center"/>
    </xf>
    <xf numFmtId="0" fontId="25" fillId="0" borderId="53" xfId="44" applyFont="1" applyBorder="1" applyAlignment="1">
      <alignment horizontal="center" vertical="center"/>
    </xf>
    <xf numFmtId="0" fontId="25" fillId="0" borderId="93" xfId="44" applyFont="1" applyBorder="1" applyAlignment="1">
      <alignment horizontal="center" vertical="center"/>
    </xf>
    <xf numFmtId="0" fontId="25" fillId="0" borderId="94" xfId="44" applyFont="1" applyBorder="1" applyAlignment="1">
      <alignment horizontal="center" vertical="center"/>
    </xf>
    <xf numFmtId="0" fontId="25" fillId="0" borderId="95" xfId="44" applyFont="1" applyBorder="1" applyAlignment="1">
      <alignment horizontal="center" vertical="center"/>
    </xf>
    <xf numFmtId="0" fontId="25" fillId="0" borderId="54" xfId="44" applyFont="1" applyBorder="1" applyAlignment="1">
      <alignment horizontal="center" vertical="center"/>
    </xf>
    <xf numFmtId="0" fontId="25" fillId="0" borderId="56" xfId="44" applyFont="1" applyBorder="1" applyAlignment="1">
      <alignment horizontal="center" vertical="center"/>
    </xf>
    <xf numFmtId="3" fontId="25" fillId="0" borderId="55" xfId="44" applyNumberFormat="1" applyFont="1" applyBorder="1" applyAlignment="1">
      <alignment horizontal="center" vertical="center" wrapText="1"/>
    </xf>
    <xf numFmtId="3" fontId="25" fillId="0" borderId="57" xfId="44" applyNumberFormat="1" applyFont="1" applyBorder="1" applyAlignment="1">
      <alignment horizontal="center" vertical="center" wrapText="1"/>
    </xf>
    <xf numFmtId="0" fontId="25" fillId="0" borderId="165" xfId="44" applyFont="1" applyBorder="1" applyAlignment="1">
      <alignment horizontal="center" vertical="center"/>
    </xf>
    <xf numFmtId="0" fontId="25" fillId="0" borderId="171" xfId="44" applyFont="1" applyBorder="1" applyAlignment="1">
      <alignment horizontal="center" vertical="center"/>
    </xf>
    <xf numFmtId="3" fontId="25" fillId="0" borderId="170" xfId="44" applyNumberFormat="1" applyFont="1" applyBorder="1" applyAlignment="1">
      <alignment horizontal="center" vertical="center"/>
    </xf>
    <xf numFmtId="3" fontId="25" fillId="0" borderId="166" xfId="44" applyNumberFormat="1" applyFont="1" applyBorder="1" applyAlignment="1">
      <alignment horizontal="center" vertical="center"/>
    </xf>
    <xf numFmtId="0" fontId="99" fillId="0" borderId="129" xfId="66" applyFont="1" applyFill="1" applyBorder="1" applyAlignment="1">
      <alignment horizontal="center" vertical="center" wrapText="1"/>
    </xf>
    <xf numFmtId="0" fontId="26" fillId="0" borderId="132" xfId="66" applyFont="1" applyFill="1" applyBorder="1" applyAlignment="1">
      <alignment horizontal="center" vertical="center" wrapText="1"/>
    </xf>
    <xf numFmtId="0" fontId="26" fillId="0" borderId="133" xfId="66" applyFont="1" applyFill="1" applyBorder="1" applyAlignment="1">
      <alignment horizontal="center" vertical="center" wrapText="1"/>
    </xf>
    <xf numFmtId="0" fontId="26" fillId="0" borderId="144" xfId="66" applyFont="1" applyFill="1" applyBorder="1" applyAlignment="1">
      <alignment horizontal="center"/>
    </xf>
    <xf numFmtId="0" fontId="26" fillId="0" borderId="148" xfId="66" applyFont="1" applyFill="1" applyBorder="1" applyAlignment="1">
      <alignment horizontal="center"/>
    </xf>
    <xf numFmtId="0" fontId="26" fillId="0" borderId="147" xfId="66" applyFont="1" applyFill="1" applyBorder="1" applyAlignment="1">
      <alignment horizontal="center"/>
    </xf>
    <xf numFmtId="0" fontId="25" fillId="0" borderId="0" xfId="66" applyFont="1" applyFill="1" applyBorder="1" applyAlignment="1">
      <alignment horizontal="center"/>
    </xf>
    <xf numFmtId="0" fontId="25" fillId="0" borderId="0" xfId="66" applyFont="1" applyFill="1" applyAlignment="1">
      <alignment horizontal="center"/>
    </xf>
    <xf numFmtId="0" fontId="26" fillId="0" borderId="123" xfId="66" applyFont="1" applyFill="1" applyBorder="1" applyAlignment="1">
      <alignment horizontal="center" vertical="center" wrapText="1"/>
    </xf>
    <xf numFmtId="0" fontId="26" fillId="0" borderId="130" xfId="66" applyFont="1" applyFill="1" applyBorder="1" applyAlignment="1">
      <alignment horizontal="center" vertical="center" wrapText="1"/>
    </xf>
    <xf numFmtId="49" fontId="25" fillId="0" borderId="124" xfId="66" applyNumberFormat="1" applyFont="1" applyFill="1" applyBorder="1" applyAlignment="1">
      <alignment horizontal="center" vertical="center"/>
    </xf>
    <xf numFmtId="49" fontId="25" fillId="0" borderId="131" xfId="66" applyNumberFormat="1" applyFont="1" applyFill="1" applyBorder="1" applyAlignment="1">
      <alignment horizontal="center" vertical="center"/>
    </xf>
    <xf numFmtId="0" fontId="25" fillId="0" borderId="125" xfId="66" applyFont="1" applyFill="1" applyBorder="1" applyAlignment="1">
      <alignment horizontal="center" vertical="center"/>
    </xf>
    <xf numFmtId="0" fontId="25" fillId="0" borderId="126" xfId="66" applyFont="1" applyFill="1" applyBorder="1" applyAlignment="1">
      <alignment horizontal="center" vertical="center"/>
    </xf>
    <xf numFmtId="3" fontId="25" fillId="0" borderId="127" xfId="66" applyNumberFormat="1" applyFont="1" applyFill="1" applyBorder="1" applyAlignment="1">
      <alignment horizontal="center" vertical="center" wrapText="1"/>
    </xf>
    <xf numFmtId="3" fontId="25" fillId="0" borderId="135" xfId="66" applyNumberFormat="1" applyFont="1" applyFill="1" applyBorder="1" applyAlignment="1">
      <alignment horizontal="center" vertical="center" wrapText="1"/>
    </xf>
    <xf numFmtId="3" fontId="25" fillId="0" borderId="128" xfId="66" applyNumberFormat="1" applyFont="1" applyFill="1" applyBorder="1" applyAlignment="1">
      <alignment horizontal="center" vertical="center" wrapText="1"/>
    </xf>
    <xf numFmtId="3" fontId="26" fillId="0" borderId="136" xfId="66" applyNumberFormat="1" applyFont="1" applyFill="1" applyBorder="1" applyAlignment="1">
      <alignment horizontal="center" vertical="center" wrapText="1"/>
    </xf>
    <xf numFmtId="3" fontId="55" fillId="0" borderId="0" xfId="0" applyNumberFormat="1" applyFont="1" applyBorder="1" applyAlignment="1">
      <alignment horizontal="center"/>
    </xf>
  </cellXfs>
  <cellStyles count="7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60"/>
    <cellStyle name="Explanatory Text" xfId="28"/>
    <cellStyle name="Ezres 2" xfId="65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Jelölőszín (1)" xfId="35"/>
    <cellStyle name="Jelölőszín (2)" xfId="36"/>
    <cellStyle name="Jelölőszín (3)" xfId="37"/>
    <cellStyle name="Jelölőszín (4)" xfId="38"/>
    <cellStyle name="Jelölőszín (5)" xfId="39"/>
    <cellStyle name="Jelölőszín (6)" xfId="40"/>
    <cellStyle name="Linked Cell" xfId="41"/>
    <cellStyle name="Magyarázó szöveg" xfId="64" builtinId="53"/>
    <cellStyle name="Magyarázó szöveg 2" xfId="57"/>
    <cellStyle name="Magyarázó szöveg 3" xfId="61"/>
    <cellStyle name="Magyarázó szöveg 4" xfId="67"/>
    <cellStyle name="Neutral" xfId="42"/>
    <cellStyle name="Normál" xfId="0" builtinId="0"/>
    <cellStyle name="Normál 2" xfId="55"/>
    <cellStyle name="Normál 2 2" xfId="68"/>
    <cellStyle name="Normál 3" xfId="56"/>
    <cellStyle name="Normál 4" xfId="58"/>
    <cellStyle name="Normál 5" xfId="59"/>
    <cellStyle name="Normál 6" xfId="62"/>
    <cellStyle name="Normál 7" xfId="63"/>
    <cellStyle name="Normál 8" xfId="66"/>
    <cellStyle name="Normál 9" xfId="69"/>
    <cellStyle name="Normál_Beruh.felú-átadott-átvett" xfId="43"/>
    <cellStyle name="Normál_Brigitől kisebbségek_Munkafüzet1" xfId="44"/>
    <cellStyle name="Normál_KTGVET98" xfId="45"/>
    <cellStyle name="Normál_Munkafüzet1" xfId="46"/>
    <cellStyle name="Normál_Munkafüzet3" xfId="47"/>
    <cellStyle name="Normál_Táblák-1" xfId="48"/>
    <cellStyle name="Note" xfId="49"/>
    <cellStyle name="Output" xfId="50"/>
    <cellStyle name="TableStyleLight1" xfId="51"/>
    <cellStyle name="Title" xfId="52"/>
    <cellStyle name="Total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OMBOR~1/LOCALS~1/Temp/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zomborimonika/Dokumentumok/el&#337;terjeszt&#233;sek/2011/November/Koncepci&#243;/Koncepci&#243;%20sz&#246;veg%20&#233;s%20t&#225;bla/Barbara/Exceleim/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Local%20Settings/Temp/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DOCUME~1/ZSOMBO~1/LOCALS~1/Temp/DOCUME~1/ZSOMBO~1/LOCALS~1/Temp/Barbara/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  <sheetName val="4__sz__melléklet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  <sheetName val="4__sz__melléklet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  <sheetName val="4__sz__melléklet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  <sheetName val="1_sz__melléklet"/>
      <sheetName val="1_a__1_b__melléklet"/>
      <sheetName val="2__sz__melléklet"/>
      <sheetName val="3_sz__melléklet"/>
      <sheetName val="4_A_sz__melléklet"/>
      <sheetName val="4_B-C__sz__melléklet"/>
      <sheetName val="5__sz__melléklet"/>
      <sheetName val="6__sz__melléklet"/>
      <sheetName val="7__sz__melléklet"/>
      <sheetName val="8__sz__melléklet"/>
      <sheetName val="9__sz__melléklet"/>
      <sheetName val="10__sz__melléklet"/>
      <sheetName val="10-a_sz__melléklet"/>
      <sheetName val="11__sz__melléklet"/>
      <sheetName val="12__sz__melléklet"/>
      <sheetName val="13__sz__melléklet"/>
      <sheetName val="14__sz__melléklet"/>
      <sheetName val="15__sz__melléklet"/>
      <sheetName val="16_sz__melléklet"/>
      <sheetName val="17_a__17_b__sz__melléklet"/>
      <sheetName val="18_"/>
      <sheetName val="19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view="pageLayout" zoomScaleNormal="80" zoomScaleSheetLayoutView="100" workbookViewId="0"/>
  </sheetViews>
  <sheetFormatPr defaultRowHeight="12.75" customHeight="1"/>
  <cols>
    <col min="1" max="1" width="45.85546875" style="225" customWidth="1"/>
    <col min="2" max="2" width="26.140625" style="225" customWidth="1"/>
    <col min="3" max="3" width="10.5703125" style="226" bestFit="1" customWidth="1"/>
    <col min="4" max="4" width="11" style="226" bestFit="1" customWidth="1"/>
    <col min="5" max="5" width="3.85546875" style="225" customWidth="1"/>
    <col min="6" max="6" width="55.5703125" style="225" customWidth="1"/>
    <col min="7" max="7" width="11.85546875" style="226" customWidth="1"/>
    <col min="8" max="8" width="13.28515625" style="226" customWidth="1"/>
    <col min="9" max="14" width="9.5703125" style="226" customWidth="1"/>
    <col min="15" max="16" width="11.42578125" style="226" customWidth="1"/>
    <col min="17" max="16384" width="9.140625" style="225"/>
  </cols>
  <sheetData>
    <row r="1" spans="1:16" ht="12.75" customHeight="1">
      <c r="A1" s="224"/>
    </row>
    <row r="2" spans="1:16" ht="12" customHeight="1">
      <c r="A2" s="224"/>
    </row>
    <row r="3" spans="1:16" ht="12.75" hidden="1" customHeight="1">
      <c r="A3" s="224"/>
    </row>
    <row r="4" spans="1:16" ht="19.5" customHeight="1">
      <c r="A4" s="1101" t="s">
        <v>221</v>
      </c>
      <c r="B4" s="1102"/>
      <c r="C4" s="1102"/>
      <c r="D4" s="1102"/>
      <c r="E4" s="1102"/>
      <c r="F4" s="1102"/>
      <c r="G4" s="1102"/>
      <c r="H4" s="239"/>
      <c r="I4" s="238"/>
      <c r="J4" s="230"/>
      <c r="K4" s="229"/>
      <c r="L4" s="229"/>
      <c r="M4" s="229"/>
      <c r="N4" s="229"/>
      <c r="O4" s="229"/>
      <c r="P4" s="229"/>
    </row>
    <row r="5" spans="1:16" ht="13.5" customHeight="1" thickBot="1">
      <c r="E5" s="226"/>
      <c r="F5" s="226"/>
    </row>
    <row r="6" spans="1:16" ht="13.5" customHeight="1">
      <c r="A6" s="1107" t="s">
        <v>0</v>
      </c>
      <c r="B6" s="1108"/>
      <c r="C6" s="1108"/>
      <c r="D6" s="1109"/>
      <c r="E6" s="1110" t="s">
        <v>1</v>
      </c>
      <c r="F6" s="1111"/>
      <c r="G6" s="1111"/>
      <c r="H6" s="1112"/>
      <c r="I6" s="238"/>
      <c r="J6" s="230"/>
      <c r="K6" s="229"/>
      <c r="L6" s="229"/>
      <c r="M6" s="229"/>
      <c r="N6" s="229"/>
      <c r="O6" s="229"/>
      <c r="P6" s="229"/>
    </row>
    <row r="7" spans="1:16">
      <c r="A7" s="1104" t="s">
        <v>2</v>
      </c>
      <c r="B7" s="1105"/>
      <c r="C7" s="1061" t="s">
        <v>3</v>
      </c>
      <c r="D7" s="1062" t="s">
        <v>399</v>
      </c>
      <c r="E7" s="1106" t="s">
        <v>2</v>
      </c>
      <c r="F7" s="1106"/>
      <c r="G7" s="338" t="s">
        <v>4</v>
      </c>
      <c r="H7" s="339" t="s">
        <v>399</v>
      </c>
      <c r="I7" s="231"/>
      <c r="J7" s="231"/>
      <c r="K7" s="231"/>
      <c r="L7" s="231"/>
      <c r="M7" s="231"/>
      <c r="N7" s="231"/>
      <c r="O7" s="231"/>
      <c r="P7" s="231"/>
    </row>
    <row r="8" spans="1:16" ht="13.5" customHeight="1">
      <c r="A8" s="1063" t="s">
        <v>5</v>
      </c>
      <c r="B8" s="1059"/>
      <c r="C8" s="1064">
        <f>'3. sz. melléklet'!H6</f>
        <v>1143193</v>
      </c>
      <c r="D8" s="1064">
        <f>'3. sz. melléklet'!I6</f>
        <v>1199686</v>
      </c>
      <c r="E8" s="341" t="s">
        <v>6</v>
      </c>
      <c r="F8" s="342"/>
      <c r="G8" s="343">
        <f>'4.sz. melléklet'!J6</f>
        <v>1427857</v>
      </c>
      <c r="H8" s="344">
        <f>'4.sz. melléklet'!K6</f>
        <v>1605479</v>
      </c>
      <c r="I8" s="232"/>
      <c r="J8" s="232"/>
      <c r="K8" s="232"/>
      <c r="L8" s="232"/>
      <c r="M8" s="232"/>
      <c r="N8" s="232"/>
      <c r="O8" s="232"/>
      <c r="P8" s="232"/>
    </row>
    <row r="9" spans="1:16" ht="13.5" customHeight="1">
      <c r="A9" s="1060" t="s">
        <v>175</v>
      </c>
      <c r="B9" s="1059"/>
      <c r="C9" s="1064"/>
      <c r="D9" s="1064"/>
      <c r="E9" s="1092"/>
      <c r="F9" s="1073"/>
      <c r="G9" s="343"/>
      <c r="H9" s="344"/>
      <c r="I9" s="232"/>
      <c r="J9" s="232"/>
      <c r="K9" s="232"/>
      <c r="L9" s="232"/>
      <c r="M9" s="232"/>
      <c r="N9" s="232"/>
      <c r="O9" s="232"/>
      <c r="P9" s="232"/>
    </row>
    <row r="10" spans="1:16" ht="13.5" customHeight="1">
      <c r="A10" s="1113" t="s">
        <v>7</v>
      </c>
      <c r="B10" s="1114"/>
      <c r="C10" s="1064">
        <f>SUM(C11)</f>
        <v>218119</v>
      </c>
      <c r="D10" s="1064">
        <f>SUM(D11)</f>
        <v>951533</v>
      </c>
      <c r="E10" s="1092"/>
      <c r="F10" s="1073"/>
      <c r="G10" s="340"/>
      <c r="H10" s="345"/>
      <c r="I10" s="233"/>
      <c r="J10" s="249"/>
      <c r="K10" s="233"/>
      <c r="L10" s="233"/>
      <c r="M10" s="233"/>
      <c r="N10" s="233"/>
      <c r="O10" s="233"/>
      <c r="P10" s="233"/>
    </row>
    <row r="11" spans="1:16" ht="12.75" customHeight="1">
      <c r="A11" s="1065" t="s">
        <v>8</v>
      </c>
      <c r="B11" s="1059"/>
      <c r="C11" s="1066">
        <f>('3. sz. melléklet'!H10)</f>
        <v>218119</v>
      </c>
      <c r="D11" s="1066">
        <f>('3. sz. melléklet'!I10)</f>
        <v>951533</v>
      </c>
      <c r="E11" s="1137" t="s">
        <v>9</v>
      </c>
      <c r="F11" s="1138"/>
      <c r="G11" s="340">
        <f>'4.sz. melléklet'!J7</f>
        <v>297493</v>
      </c>
      <c r="H11" s="345">
        <f>'4.sz. melléklet'!K7</f>
        <v>337911</v>
      </c>
      <c r="I11" s="233"/>
      <c r="J11" s="233"/>
      <c r="K11" s="233"/>
      <c r="L11" s="233"/>
      <c r="M11" s="233"/>
      <c r="N11" s="233"/>
      <c r="O11" s="233"/>
      <c r="P11" s="233"/>
    </row>
    <row r="12" spans="1:16" ht="12.75" customHeight="1">
      <c r="A12" s="1065"/>
      <c r="B12" s="1067"/>
      <c r="C12" s="1066"/>
      <c r="D12" s="1066"/>
      <c r="E12" s="1092"/>
      <c r="F12" s="1073"/>
      <c r="G12" s="725"/>
      <c r="H12" s="726"/>
      <c r="I12" s="233"/>
      <c r="J12" s="233"/>
      <c r="K12" s="233"/>
      <c r="L12" s="233"/>
      <c r="M12" s="233"/>
      <c r="N12" s="233"/>
      <c r="O12" s="233"/>
      <c r="P12" s="233"/>
    </row>
    <row r="13" spans="1:16" ht="12.75" customHeight="1">
      <c r="A13" s="1065"/>
      <c r="B13" s="1068"/>
      <c r="C13" s="1066"/>
      <c r="D13" s="1066"/>
      <c r="E13" s="1092"/>
      <c r="F13" s="1073"/>
      <c r="G13" s="340"/>
      <c r="H13" s="345"/>
      <c r="I13" s="233"/>
      <c r="J13" s="233"/>
      <c r="K13" s="233"/>
      <c r="L13" s="233"/>
      <c r="M13" s="233"/>
      <c r="N13" s="233"/>
      <c r="O13" s="233"/>
      <c r="P13" s="233"/>
    </row>
    <row r="14" spans="1:16" ht="12.75" customHeight="1">
      <c r="A14" s="1069" t="s">
        <v>590</v>
      </c>
      <c r="B14" s="1068"/>
      <c r="C14" s="1070">
        <f>'3. sz. melléklet'!B11</f>
        <v>0</v>
      </c>
      <c r="D14" s="1070">
        <f>D15</f>
        <v>992116</v>
      </c>
      <c r="E14" s="1092"/>
      <c r="F14" s="1073"/>
      <c r="G14" s="725"/>
      <c r="H14" s="726"/>
      <c r="I14" s="233"/>
      <c r="J14" s="233"/>
      <c r="K14" s="233"/>
      <c r="L14" s="233"/>
      <c r="M14" s="233"/>
      <c r="N14" s="233"/>
      <c r="O14" s="233"/>
      <c r="P14" s="233"/>
    </row>
    <row r="15" spans="1:16" ht="12.75" customHeight="1">
      <c r="A15" s="1065" t="s">
        <v>8</v>
      </c>
      <c r="B15" s="1068"/>
      <c r="C15" s="1066">
        <f>'3. sz. melléklet'!H12</f>
        <v>0</v>
      </c>
      <c r="D15" s="1066">
        <f>'3. sz. melléklet'!I12</f>
        <v>992116</v>
      </c>
      <c r="E15" s="1092"/>
      <c r="F15" s="1073"/>
      <c r="G15" s="725"/>
      <c r="H15" s="726"/>
      <c r="I15" s="233"/>
      <c r="J15" s="233"/>
      <c r="K15" s="233"/>
      <c r="L15" s="233"/>
      <c r="M15" s="233"/>
      <c r="N15" s="233"/>
      <c r="O15" s="233"/>
      <c r="P15" s="233"/>
    </row>
    <row r="16" spans="1:16" ht="12.75" customHeight="1">
      <c r="A16" s="1069"/>
      <c r="B16" s="1068"/>
      <c r="C16" s="1066"/>
      <c r="D16" s="1066"/>
      <c r="E16" s="1092"/>
      <c r="F16" s="1073"/>
      <c r="G16" s="725"/>
      <c r="H16" s="726"/>
      <c r="I16" s="233"/>
      <c r="J16" s="233"/>
      <c r="K16" s="233"/>
      <c r="L16" s="233"/>
      <c r="M16" s="233"/>
      <c r="N16" s="233"/>
      <c r="O16" s="233"/>
      <c r="P16" s="233"/>
    </row>
    <row r="17" spans="1:16" ht="12.75" customHeight="1">
      <c r="A17" s="1071" t="s">
        <v>10</v>
      </c>
      <c r="B17" s="1068"/>
      <c r="C17" s="1064">
        <f>SUM(C18:C23)</f>
        <v>2045000</v>
      </c>
      <c r="D17" s="1064">
        <f>SUM(D18:D23)</f>
        <v>2045000</v>
      </c>
      <c r="E17" s="341" t="s">
        <v>11</v>
      </c>
      <c r="F17" s="342"/>
      <c r="G17" s="340">
        <f>'4.sz. melléklet'!J8</f>
        <v>2059727</v>
      </c>
      <c r="H17" s="345">
        <f>'4.sz. melléklet'!K8</f>
        <v>2487329</v>
      </c>
      <c r="I17" s="233"/>
      <c r="J17" s="233"/>
      <c r="K17" s="233"/>
      <c r="L17" s="233"/>
      <c r="M17" s="233"/>
      <c r="N17" s="233"/>
      <c r="O17" s="233"/>
      <c r="P17" s="233"/>
    </row>
    <row r="18" spans="1:16" ht="12.75" customHeight="1">
      <c r="A18" s="1072" t="s">
        <v>12</v>
      </c>
      <c r="B18" s="1073"/>
      <c r="C18" s="1066">
        <f>'3. sz. melléklet'!H14</f>
        <v>500000</v>
      </c>
      <c r="D18" s="1066">
        <f>'3. sz. melléklet'!I14</f>
        <v>500000</v>
      </c>
      <c r="E18" s="1093"/>
      <c r="F18" s="1073"/>
      <c r="G18" s="342"/>
      <c r="H18" s="347"/>
      <c r="I18" s="234"/>
      <c r="J18" s="234"/>
      <c r="K18" s="234"/>
      <c r="L18" s="234"/>
      <c r="M18" s="234"/>
      <c r="N18" s="234"/>
      <c r="O18" s="234"/>
      <c r="P18" s="234"/>
    </row>
    <row r="19" spans="1:16" ht="12.75" customHeight="1">
      <c r="A19" s="1065" t="s">
        <v>13</v>
      </c>
      <c r="B19" s="1068"/>
      <c r="C19" s="1066">
        <f>'3. sz. melléklet'!H17</f>
        <v>1537000</v>
      </c>
      <c r="D19" s="1066">
        <f>'3. sz. melléklet'!I17</f>
        <v>1537000</v>
      </c>
      <c r="E19" s="341" t="s">
        <v>14</v>
      </c>
      <c r="F19" s="342"/>
      <c r="G19" s="343">
        <f>'4.sz. melléklet'!J9</f>
        <v>67900</v>
      </c>
      <c r="H19" s="344">
        <f>'4.sz. melléklet'!K9</f>
        <v>61000</v>
      </c>
      <c r="I19" s="232"/>
      <c r="J19" s="232"/>
      <c r="K19" s="232"/>
      <c r="L19" s="232"/>
      <c r="M19" s="232"/>
      <c r="N19" s="232"/>
      <c r="O19" s="232"/>
      <c r="P19" s="232"/>
    </row>
    <row r="20" spans="1:16" ht="12.75" customHeight="1">
      <c r="A20" s="1074" t="s">
        <v>15</v>
      </c>
      <c r="B20" s="1075"/>
      <c r="C20" s="1066">
        <f>'3. sz. melléklet'!H22</f>
        <v>5000</v>
      </c>
      <c r="D20" s="1066">
        <f>'3. sz. melléklet'!I22</f>
        <v>5000</v>
      </c>
      <c r="E20" s="341" t="s">
        <v>16</v>
      </c>
      <c r="F20" s="342"/>
      <c r="G20" s="343">
        <f>SUM(G21:G25)</f>
        <v>1089152</v>
      </c>
      <c r="H20" s="344">
        <f>SUM(H21:H25)</f>
        <v>1126813</v>
      </c>
      <c r="I20" s="232"/>
      <c r="J20" s="232"/>
      <c r="K20" s="232"/>
      <c r="L20" s="232"/>
      <c r="M20" s="232"/>
      <c r="N20" s="232"/>
      <c r="O20" s="232"/>
      <c r="P20" s="232"/>
    </row>
    <row r="21" spans="1:16" ht="12.75" customHeight="1">
      <c r="A21" s="1074"/>
      <c r="B21" s="1075"/>
      <c r="C21" s="1066"/>
      <c r="D21" s="1066"/>
      <c r="E21" s="1117" t="s">
        <v>173</v>
      </c>
      <c r="F21" s="1118"/>
      <c r="G21" s="348">
        <f>'4.sz. melléklet'!J11</f>
        <v>18000</v>
      </c>
      <c r="H21" s="349">
        <f>'4.sz. melléklet'!K11</f>
        <v>500</v>
      </c>
      <c r="I21" s="235"/>
      <c r="J21" s="235"/>
      <c r="K21" s="235"/>
      <c r="L21" s="235"/>
      <c r="M21" s="235"/>
      <c r="N21" s="235"/>
      <c r="O21" s="235"/>
      <c r="P21" s="235"/>
    </row>
    <row r="22" spans="1:16" ht="12.75" customHeight="1">
      <c r="A22" s="1074" t="s">
        <v>178</v>
      </c>
      <c r="B22" s="1075"/>
      <c r="C22" s="1066">
        <f>'3. sz. melléklet'!H23</f>
        <v>3000</v>
      </c>
      <c r="D22" s="1066">
        <f>'3. sz. melléklet'!I23</f>
        <v>3000</v>
      </c>
      <c r="E22" s="1117" t="s">
        <v>403</v>
      </c>
      <c r="F22" s="1118"/>
      <c r="G22" s="348">
        <f>'4.sz. melléklet'!J12</f>
        <v>0</v>
      </c>
      <c r="H22" s="349">
        <f>'4.sz. melléklet'!K12</f>
        <v>17500</v>
      </c>
      <c r="I22" s="235"/>
      <c r="J22" s="235"/>
      <c r="K22" s="235"/>
      <c r="L22" s="235"/>
      <c r="M22" s="235"/>
      <c r="N22" s="235"/>
      <c r="O22" s="235"/>
      <c r="P22" s="235"/>
    </row>
    <row r="23" spans="1:16" ht="12.75" customHeight="1">
      <c r="A23" s="1076"/>
      <c r="B23" s="1075"/>
      <c r="C23" s="1066"/>
      <c r="D23" s="1066"/>
      <c r="E23" s="1119" t="s">
        <v>18</v>
      </c>
      <c r="F23" s="1120"/>
      <c r="G23" s="348">
        <f>'4.sz. melléklet'!J13</f>
        <v>40000</v>
      </c>
      <c r="H23" s="349">
        <f>'4.sz. melléklet'!K13</f>
        <v>55000</v>
      </c>
      <c r="I23" s="235"/>
      <c r="J23" s="235"/>
      <c r="K23" s="235"/>
      <c r="L23" s="235"/>
      <c r="M23" s="235"/>
      <c r="N23" s="235"/>
      <c r="O23" s="235"/>
      <c r="P23" s="235"/>
    </row>
    <row r="24" spans="1:16" ht="12.75" customHeight="1">
      <c r="A24" s="1077" t="s">
        <v>20</v>
      </c>
      <c r="B24" s="1075"/>
      <c r="C24" s="1064">
        <f>SUM(C25:C33)</f>
        <v>2235961</v>
      </c>
      <c r="D24" s="1064">
        <f>SUM(D25:D33)</f>
        <v>2238130</v>
      </c>
      <c r="E24" s="1121" t="s">
        <v>19</v>
      </c>
      <c r="F24" s="1122"/>
      <c r="G24" s="348">
        <f>'4.sz. melléklet'!J14</f>
        <v>916152</v>
      </c>
      <c r="H24" s="349">
        <f>'4.sz. melléklet'!K14</f>
        <v>952445</v>
      </c>
      <c r="I24" s="235"/>
      <c r="J24" s="235"/>
      <c r="K24" s="235"/>
      <c r="L24" s="235"/>
      <c r="M24" s="235"/>
      <c r="N24" s="235"/>
      <c r="O24" s="235"/>
      <c r="P24" s="235"/>
    </row>
    <row r="25" spans="1:16" ht="12.75" customHeight="1">
      <c r="A25" s="1115" t="s">
        <v>22</v>
      </c>
      <c r="B25" s="1116"/>
      <c r="C25" s="1066">
        <f>'3. sz. melléklet'!H25</f>
        <v>1536222</v>
      </c>
      <c r="D25" s="1066">
        <f>'3. sz. melléklet'!I25</f>
        <v>1536222</v>
      </c>
      <c r="E25" s="1119" t="s">
        <v>21</v>
      </c>
      <c r="F25" s="1120"/>
      <c r="G25" s="348">
        <f>'4.sz. melléklet'!J15</f>
        <v>115000</v>
      </c>
      <c r="H25" s="349">
        <f>'4.sz. melléklet'!K15</f>
        <v>101368</v>
      </c>
      <c r="I25" s="235"/>
      <c r="J25" s="235"/>
      <c r="K25" s="235"/>
      <c r="L25" s="235"/>
      <c r="M25" s="235"/>
      <c r="N25" s="235"/>
      <c r="O25" s="235"/>
      <c r="P25" s="235"/>
    </row>
    <row r="26" spans="1:16" ht="13.5" customHeight="1">
      <c r="A26" s="1072" t="s">
        <v>24</v>
      </c>
      <c r="B26" s="1073"/>
      <c r="C26" s="1066">
        <f>'3. sz. melléklet'!H26</f>
        <v>66269</v>
      </c>
      <c r="D26" s="1066">
        <f>'3. sz. melléklet'!I26</f>
        <v>66269</v>
      </c>
      <c r="E26" s="1123" t="s">
        <v>23</v>
      </c>
      <c r="F26" s="1124"/>
      <c r="G26" s="348">
        <f>'4.sz. melléklet'!J16</f>
        <v>15000</v>
      </c>
      <c r="H26" s="349">
        <f>'4.sz. melléklet'!K16</f>
        <v>11341</v>
      </c>
      <c r="I26" s="235"/>
      <c r="J26" s="235"/>
      <c r="K26" s="235"/>
      <c r="L26" s="235"/>
      <c r="M26" s="235"/>
      <c r="N26" s="235"/>
      <c r="O26" s="235"/>
      <c r="P26" s="235"/>
    </row>
    <row r="27" spans="1:16" ht="12.75" customHeight="1">
      <c r="A27" s="1072" t="s">
        <v>25</v>
      </c>
      <c r="B27" s="1073"/>
      <c r="C27" s="1066">
        <f>'3. sz. melléklet'!H27</f>
        <v>27960</v>
      </c>
      <c r="D27" s="1066">
        <f>'3. sz. melléklet'!I27</f>
        <v>27960</v>
      </c>
      <c r="E27" s="1125" t="s">
        <v>179</v>
      </c>
      <c r="F27" s="1126"/>
      <c r="G27" s="348">
        <f>'4.sz. melléklet'!J17</f>
        <v>100000</v>
      </c>
      <c r="H27" s="349">
        <f>'4.sz. melléklet'!K17</f>
        <v>74949</v>
      </c>
      <c r="I27" s="235"/>
      <c r="J27" s="235"/>
      <c r="K27" s="235"/>
      <c r="L27" s="235"/>
      <c r="M27" s="235"/>
      <c r="N27" s="235"/>
      <c r="O27" s="235"/>
      <c r="P27" s="235"/>
    </row>
    <row r="28" spans="1:16" ht="14.25" customHeight="1">
      <c r="A28" s="1072" t="s">
        <v>26</v>
      </c>
      <c r="B28" s="1073"/>
      <c r="C28" s="1066">
        <f>'3. sz. melléklet'!H28</f>
        <v>94520</v>
      </c>
      <c r="D28" s="1066">
        <f>'3. sz. melléklet'!I28</f>
        <v>94520</v>
      </c>
      <c r="E28" s="1123" t="s">
        <v>406</v>
      </c>
      <c r="F28" s="1124"/>
      <c r="G28" s="348">
        <f>'4.sz. melléklet'!J18</f>
        <v>0</v>
      </c>
      <c r="H28" s="350">
        <f>'4.sz. melléklet'!K18</f>
        <v>15078</v>
      </c>
      <c r="I28" s="236"/>
      <c r="J28" s="236"/>
      <c r="K28" s="236"/>
      <c r="L28" s="236"/>
      <c r="M28" s="236"/>
      <c r="N28" s="236"/>
      <c r="O28" s="236"/>
      <c r="P28" s="236"/>
    </row>
    <row r="29" spans="1:16" ht="12.75" customHeight="1">
      <c r="A29" s="1072" t="s">
        <v>27</v>
      </c>
      <c r="B29" s="1073"/>
      <c r="C29" s="1066">
        <f>'3. sz. melléklet'!H29</f>
        <v>81688</v>
      </c>
      <c r="D29" s="1066">
        <f>'3. sz. melléklet'!I29</f>
        <v>83857</v>
      </c>
      <c r="E29" s="1093"/>
      <c r="F29" s="1073"/>
      <c r="G29" s="346"/>
      <c r="H29" s="351"/>
      <c r="I29" s="237"/>
      <c r="J29" s="237"/>
      <c r="K29" s="237"/>
      <c r="L29" s="237"/>
      <c r="M29" s="237"/>
      <c r="N29" s="237"/>
      <c r="O29" s="237"/>
      <c r="P29" s="237"/>
    </row>
    <row r="30" spans="1:16" ht="12.75" customHeight="1">
      <c r="A30" s="1065" t="s">
        <v>28</v>
      </c>
      <c r="B30" s="1073"/>
      <c r="C30" s="1066">
        <f>'3. sz. melléklet'!H30</f>
        <v>429052</v>
      </c>
      <c r="D30" s="1066">
        <f>'3. sz. melléklet'!I30</f>
        <v>429052</v>
      </c>
      <c r="E30" s="341" t="s">
        <v>29</v>
      </c>
      <c r="F30" s="342"/>
      <c r="G30" s="340">
        <f>'4.sz. melléklet'!J19</f>
        <v>1863729</v>
      </c>
      <c r="H30" s="345">
        <f>'4.sz. melléklet'!K19</f>
        <v>2509173</v>
      </c>
      <c r="I30" s="233"/>
      <c r="J30" s="233"/>
      <c r="K30" s="233"/>
      <c r="L30" s="233"/>
      <c r="M30" s="233"/>
      <c r="N30" s="233"/>
      <c r="O30" s="233"/>
      <c r="P30" s="233"/>
    </row>
    <row r="31" spans="1:16" ht="12.75" customHeight="1">
      <c r="A31" s="1078" t="s">
        <v>30</v>
      </c>
      <c r="B31" s="1073"/>
      <c r="C31" s="1066">
        <f>'3. sz. melléklet'!H31</f>
        <v>150</v>
      </c>
      <c r="D31" s="1066">
        <f>'3. sz. melléklet'!I31</f>
        <v>150</v>
      </c>
      <c r="E31" s="1093"/>
      <c r="F31" s="1094"/>
      <c r="G31" s="352"/>
      <c r="H31" s="350"/>
      <c r="I31" s="236"/>
      <c r="J31" s="236"/>
      <c r="K31" s="236"/>
      <c r="L31" s="236"/>
      <c r="M31" s="236"/>
      <c r="N31" s="236"/>
      <c r="O31" s="236"/>
      <c r="P31" s="236"/>
    </row>
    <row r="32" spans="1:16" ht="12.75" customHeight="1">
      <c r="A32" s="1078" t="s">
        <v>229</v>
      </c>
      <c r="B32" s="1073"/>
      <c r="C32" s="1066">
        <f>'3. sz. melléklet'!B32</f>
        <v>100</v>
      </c>
      <c r="D32" s="1066">
        <f>'3. sz. melléklet'!C32</f>
        <v>100</v>
      </c>
      <c r="E32" s="1093"/>
      <c r="F32" s="1094"/>
      <c r="G32" s="352"/>
      <c r="H32" s="350"/>
      <c r="I32" s="236"/>
      <c r="J32" s="236"/>
      <c r="K32" s="236"/>
      <c r="L32" s="236"/>
      <c r="M32" s="236"/>
      <c r="N32" s="236"/>
      <c r="O32" s="236"/>
      <c r="P32" s="236"/>
    </row>
    <row r="33" spans="1:16" ht="12.75" customHeight="1">
      <c r="A33" s="1078" t="s">
        <v>229</v>
      </c>
      <c r="B33" s="1073"/>
      <c r="C33" s="1066"/>
      <c r="D33" s="1066"/>
      <c r="E33" s="341" t="s">
        <v>31</v>
      </c>
      <c r="F33" s="342"/>
      <c r="G33" s="343">
        <f>'4.sz. melléklet'!J20</f>
        <v>529166</v>
      </c>
      <c r="H33" s="344">
        <f>'4.sz. melléklet'!K20</f>
        <v>694116</v>
      </c>
      <c r="I33" s="232"/>
      <c r="J33" s="232"/>
      <c r="K33" s="232"/>
      <c r="L33" s="232"/>
      <c r="M33" s="232"/>
      <c r="N33" s="232"/>
      <c r="O33" s="232"/>
      <c r="P33" s="232"/>
    </row>
    <row r="34" spans="1:16" ht="12.75" customHeight="1">
      <c r="A34" s="1079" t="s">
        <v>32</v>
      </c>
      <c r="B34" s="1073"/>
      <c r="C34" s="1064">
        <f>SUM(C35:C36)</f>
        <v>1500</v>
      </c>
      <c r="D34" s="1064">
        <f>SUM(D35:D36)</f>
        <v>1500</v>
      </c>
      <c r="E34" s="1095"/>
      <c r="F34" s="1073"/>
      <c r="G34" s="348"/>
      <c r="H34" s="349"/>
      <c r="I34" s="235"/>
      <c r="J34" s="235"/>
      <c r="K34" s="235"/>
      <c r="L34" s="235"/>
      <c r="M34" s="235"/>
      <c r="N34" s="235"/>
      <c r="O34" s="235"/>
      <c r="P34" s="235"/>
    </row>
    <row r="35" spans="1:16" ht="12.75" customHeight="1">
      <c r="A35" s="1072" t="s">
        <v>215</v>
      </c>
      <c r="B35" s="234"/>
      <c r="C35" s="1066">
        <f>'3. sz. melléklet'!H34</f>
        <v>1500</v>
      </c>
      <c r="D35" s="1066">
        <f>'3. sz. melléklet'!I34</f>
        <v>1500</v>
      </c>
      <c r="E35" s="341" t="s">
        <v>33</v>
      </c>
      <c r="F35" s="342"/>
      <c r="G35" s="340">
        <f>'4.sz. melléklet'!J21</f>
        <v>57200</v>
      </c>
      <c r="H35" s="345">
        <f>'4.sz. melléklet'!K21</f>
        <v>42400</v>
      </c>
      <c r="I35" s="233"/>
      <c r="J35" s="233"/>
      <c r="K35" s="233"/>
      <c r="L35" s="233"/>
      <c r="M35" s="233"/>
      <c r="N35" s="233"/>
      <c r="O35" s="233"/>
      <c r="P35" s="233"/>
    </row>
    <row r="36" spans="1:16" ht="12.75" customHeight="1">
      <c r="A36" s="1079"/>
      <c r="B36" s="1073"/>
      <c r="C36" s="1066"/>
      <c r="D36" s="1066"/>
      <c r="E36" s="1119" t="s">
        <v>18</v>
      </c>
      <c r="F36" s="1120"/>
      <c r="G36" s="346">
        <f>'4.sz. melléklet'!J22</f>
        <v>1200</v>
      </c>
      <c r="H36" s="351">
        <f>'4.sz. melléklet'!K22</f>
        <v>1200</v>
      </c>
      <c r="I36" s="237"/>
      <c r="J36" s="237"/>
      <c r="K36" s="237"/>
      <c r="L36" s="237"/>
      <c r="M36" s="237"/>
      <c r="N36" s="237"/>
      <c r="O36" s="237"/>
      <c r="P36" s="237"/>
    </row>
    <row r="37" spans="1:16" ht="12.75" customHeight="1">
      <c r="A37" s="1080" t="s">
        <v>34</v>
      </c>
      <c r="B37" s="1081"/>
      <c r="C37" s="1064">
        <f>SUM(C38:C39)</f>
        <v>50912</v>
      </c>
      <c r="D37" s="1064">
        <f>SUM(D38:D39)</f>
        <v>65922</v>
      </c>
      <c r="E37" s="1119" t="s">
        <v>35</v>
      </c>
      <c r="F37" s="1120"/>
      <c r="G37" s="348">
        <f>'4.sz. melléklet'!J23</f>
        <v>6000</v>
      </c>
      <c r="H37" s="349">
        <f>'4.sz. melléklet'!K23</f>
        <v>6200</v>
      </c>
      <c r="I37" s="235"/>
      <c r="J37" s="235"/>
      <c r="K37" s="235"/>
      <c r="L37" s="235"/>
      <c r="M37" s="235"/>
      <c r="N37" s="235"/>
      <c r="O37" s="235"/>
      <c r="P37" s="235"/>
    </row>
    <row r="38" spans="1:16" ht="12.75" customHeight="1">
      <c r="A38" s="1072" t="s">
        <v>18</v>
      </c>
      <c r="B38" s="234"/>
      <c r="C38" s="1066">
        <f>'3. sz. melléklet'!H36</f>
        <v>40000</v>
      </c>
      <c r="D38" s="1066">
        <f>'3. sz. melléklet'!I36</f>
        <v>55000</v>
      </c>
      <c r="E38" s="1119" t="s">
        <v>36</v>
      </c>
      <c r="F38" s="1120"/>
      <c r="G38" s="348">
        <f>'4.sz. melléklet'!J24</f>
        <v>50000</v>
      </c>
      <c r="H38" s="349">
        <f>'4.sz. melléklet'!K24</f>
        <v>35000</v>
      </c>
      <c r="I38" s="235"/>
      <c r="J38" s="235"/>
      <c r="K38" s="235"/>
      <c r="L38" s="235"/>
      <c r="M38" s="235"/>
      <c r="N38" s="235"/>
      <c r="O38" s="235"/>
      <c r="P38" s="235"/>
    </row>
    <row r="39" spans="1:16" ht="12.75" customHeight="1">
      <c r="A39" s="1065" t="s">
        <v>176</v>
      </c>
      <c r="B39" s="234"/>
      <c r="C39" s="1066">
        <f>'3. sz. melléklet'!H37</f>
        <v>10912</v>
      </c>
      <c r="D39" s="1066">
        <f>'3. sz. melléklet'!I37</f>
        <v>10922</v>
      </c>
      <c r="E39" s="1127" t="s">
        <v>37</v>
      </c>
      <c r="F39" s="1128"/>
      <c r="G39" s="348">
        <f>'4.sz. melléklet'!J25</f>
        <v>50000</v>
      </c>
      <c r="H39" s="349">
        <f>'4.sz. melléklet'!K25</f>
        <v>35000</v>
      </c>
      <c r="I39" s="235"/>
      <c r="J39" s="235"/>
      <c r="K39" s="235"/>
      <c r="L39" s="235"/>
      <c r="M39" s="235"/>
      <c r="N39" s="235"/>
      <c r="O39" s="235"/>
      <c r="P39" s="235"/>
    </row>
    <row r="40" spans="1:16" ht="13.5" customHeight="1">
      <c r="A40" s="1079"/>
      <c r="B40" s="1068"/>
      <c r="C40" s="1066"/>
      <c r="D40" s="1066"/>
      <c r="E40" s="1093"/>
      <c r="F40" s="1096"/>
      <c r="G40" s="348"/>
      <c r="H40" s="349"/>
      <c r="I40" s="235"/>
      <c r="J40" s="235"/>
      <c r="K40" s="235"/>
      <c r="L40" s="235"/>
      <c r="M40" s="235"/>
      <c r="N40" s="235"/>
      <c r="O40" s="235"/>
      <c r="P40" s="235"/>
    </row>
    <row r="41" spans="1:16" ht="12.75" customHeight="1">
      <c r="A41" s="1113" t="s">
        <v>85</v>
      </c>
      <c r="B41" s="1114"/>
      <c r="C41" s="1064">
        <f>SUM(C42:C43)</f>
        <v>191619</v>
      </c>
      <c r="D41" s="1064">
        <f>SUM(D42:D43)</f>
        <v>191864</v>
      </c>
      <c r="E41" s="1093"/>
      <c r="F41" s="1073"/>
      <c r="G41" s="352"/>
      <c r="H41" s="350"/>
      <c r="I41" s="236"/>
      <c r="J41" s="236"/>
      <c r="K41" s="236"/>
      <c r="L41" s="236"/>
      <c r="M41" s="236"/>
      <c r="N41" s="236"/>
      <c r="O41" s="236"/>
      <c r="P41" s="236"/>
    </row>
    <row r="42" spans="1:16" ht="12.75" customHeight="1">
      <c r="A42" s="1072" t="s">
        <v>18</v>
      </c>
      <c r="B42" s="234"/>
      <c r="C42" s="1066">
        <f>'3. sz. melléklet'!H39</f>
        <v>1336</v>
      </c>
      <c r="D42" s="1066">
        <f>'3. sz. melléklet'!I39</f>
        <v>1336</v>
      </c>
      <c r="E42" s="1092"/>
      <c r="F42" s="1073"/>
      <c r="G42" s="340"/>
      <c r="H42" s="345"/>
      <c r="I42" s="233"/>
      <c r="J42" s="233"/>
      <c r="K42" s="233"/>
      <c r="L42" s="233"/>
      <c r="M42" s="233"/>
      <c r="N42" s="233"/>
      <c r="O42" s="233"/>
      <c r="P42" s="233"/>
    </row>
    <row r="43" spans="1:16" ht="12.75" customHeight="1">
      <c r="A43" s="1082" t="s">
        <v>176</v>
      </c>
      <c r="B43" s="234"/>
      <c r="C43" s="1066">
        <f>'3. sz. melléklet'!H40</f>
        <v>190283</v>
      </c>
      <c r="D43" s="1066">
        <f>'3. sz. melléklet'!I40</f>
        <v>190528</v>
      </c>
      <c r="E43" s="1092"/>
      <c r="F43" s="1073"/>
      <c r="G43" s="340"/>
      <c r="H43" s="345"/>
      <c r="I43" s="233"/>
      <c r="J43" s="233"/>
      <c r="K43" s="233"/>
      <c r="L43" s="233"/>
      <c r="M43" s="233"/>
      <c r="N43" s="233"/>
      <c r="O43" s="233"/>
      <c r="P43" s="233"/>
    </row>
    <row r="44" spans="1:16" ht="16.5" customHeight="1">
      <c r="A44" s="1083" t="s">
        <v>38</v>
      </c>
      <c r="B44" s="1084"/>
      <c r="C44" s="1064">
        <f>(C8+C9+C11+C14+C17+C24+C34+C37+C41)</f>
        <v>5886304</v>
      </c>
      <c r="D44" s="1064">
        <f>(D8+D10+D14+D17+D24+D34+D37+D41)</f>
        <v>7685751</v>
      </c>
      <c r="E44" s="341" t="s">
        <v>39</v>
      </c>
      <c r="F44" s="341"/>
      <c r="G44" s="343">
        <f>(G8+G11+G17+G19+G20+G30+G33+G35)</f>
        <v>7392224</v>
      </c>
      <c r="H44" s="344">
        <f>(H8+H11+H17+H19+H20+H30+H33+H35)</f>
        <v>8864221</v>
      </c>
      <c r="I44" s="232"/>
      <c r="J44" s="232"/>
      <c r="K44" s="232"/>
      <c r="L44" s="232"/>
      <c r="M44" s="232"/>
      <c r="N44" s="232"/>
      <c r="O44" s="232"/>
      <c r="P44" s="232"/>
    </row>
    <row r="45" spans="1:16" ht="12.75" customHeight="1">
      <c r="A45" s="1083"/>
      <c r="B45" s="1085"/>
      <c r="C45" s="1066"/>
      <c r="D45" s="1066"/>
      <c r="E45" s="1092"/>
      <c r="F45" s="1097"/>
      <c r="G45" s="343"/>
      <c r="H45" s="344"/>
      <c r="I45" s="232"/>
      <c r="J45" s="232"/>
      <c r="K45" s="232"/>
      <c r="L45" s="232"/>
      <c r="M45" s="232"/>
      <c r="N45" s="232"/>
      <c r="O45" s="232"/>
      <c r="P45" s="232"/>
    </row>
    <row r="46" spans="1:16" ht="13.5" customHeight="1">
      <c r="A46" s="1086" t="s">
        <v>40</v>
      </c>
      <c r="B46" s="1073"/>
      <c r="C46" s="1064">
        <f>C44-G44</f>
        <v>-1505920</v>
      </c>
      <c r="D46" s="1064">
        <f>D44-H44</f>
        <v>-1178470</v>
      </c>
      <c r="E46" s="1103" t="s">
        <v>41</v>
      </c>
      <c r="F46" s="1103"/>
      <c r="G46" s="340">
        <f>'4.sz. melléklet'!J27</f>
        <v>151067</v>
      </c>
      <c r="H46" s="345">
        <f>'4.sz. melléklet'!K27</f>
        <v>151067</v>
      </c>
      <c r="I46" s="233"/>
      <c r="J46" s="233"/>
      <c r="K46" s="233"/>
      <c r="L46" s="233"/>
      <c r="M46" s="233"/>
      <c r="N46" s="233"/>
      <c r="O46" s="233"/>
      <c r="P46" s="233"/>
    </row>
    <row r="47" spans="1:16" ht="13.5" customHeight="1">
      <c r="A47" s="1086"/>
      <c r="B47" s="1067"/>
      <c r="C47" s="1064"/>
      <c r="D47" s="1064"/>
      <c r="E47" s="1103" t="s">
        <v>839</v>
      </c>
      <c r="F47" s="1103"/>
      <c r="G47" s="340">
        <f>'4.sz. melléklet'!J28</f>
        <v>0</v>
      </c>
      <c r="H47" s="345">
        <f>'4.sz. melléklet'!K28</f>
        <v>1500000</v>
      </c>
      <c r="I47" s="233"/>
      <c r="J47" s="233"/>
      <c r="K47" s="233"/>
      <c r="L47" s="233"/>
      <c r="M47" s="233"/>
      <c r="N47" s="233"/>
      <c r="O47" s="233"/>
      <c r="P47" s="233"/>
    </row>
    <row r="48" spans="1:16" ht="22.5" customHeight="1">
      <c r="A48" s="1077" t="s">
        <v>839</v>
      </c>
      <c r="B48" s="1067"/>
      <c r="C48" s="1070">
        <f>'3. sz. melléklet'!H42</f>
        <v>0</v>
      </c>
      <c r="D48" s="1070">
        <f>'3. sz. melléklet'!I42</f>
        <v>1500000</v>
      </c>
      <c r="E48" s="1093"/>
      <c r="F48" s="1096" t="s">
        <v>42</v>
      </c>
      <c r="G48" s="352"/>
      <c r="H48" s="350"/>
      <c r="I48" s="236"/>
      <c r="J48" s="236"/>
      <c r="K48" s="236"/>
      <c r="L48" s="236"/>
      <c r="M48" s="236"/>
      <c r="N48" s="236"/>
      <c r="O48" s="236"/>
      <c r="P48" s="236"/>
    </row>
    <row r="49" spans="1:16" ht="12.75" customHeight="1">
      <c r="A49" s="1131" t="s">
        <v>230</v>
      </c>
      <c r="B49" s="1132"/>
      <c r="C49" s="1064">
        <f>'3. sz. melléklet'!H43</f>
        <v>35000</v>
      </c>
      <c r="D49" s="1064">
        <f>'3. sz. melléklet'!I43</f>
        <v>35000</v>
      </c>
      <c r="E49" s="1135" t="s">
        <v>170</v>
      </c>
      <c r="F49" s="1136"/>
      <c r="G49" s="343">
        <f>'4.sz. melléklet'!J29</f>
        <v>35000</v>
      </c>
      <c r="H49" s="344">
        <f>'4.sz. melléklet'!K29</f>
        <v>35000</v>
      </c>
      <c r="I49" s="232"/>
      <c r="J49" s="232"/>
      <c r="K49" s="232"/>
      <c r="L49" s="232"/>
      <c r="M49" s="232"/>
      <c r="N49" s="232"/>
      <c r="O49" s="232"/>
      <c r="P49" s="232"/>
    </row>
    <row r="50" spans="1:16" ht="12.75" customHeight="1">
      <c r="A50" s="1131" t="s">
        <v>43</v>
      </c>
      <c r="B50" s="1132"/>
      <c r="C50" s="1064">
        <f>'3. sz. melléklet'!H44</f>
        <v>1656987</v>
      </c>
      <c r="D50" s="1064">
        <f>'3. sz. melléklet'!I44</f>
        <v>1329537</v>
      </c>
      <c r="E50" s="1098"/>
      <c r="F50" s="1097"/>
      <c r="G50" s="343"/>
      <c r="H50" s="344"/>
      <c r="I50" s="232"/>
      <c r="J50" s="232"/>
      <c r="K50" s="232"/>
      <c r="L50" s="232"/>
      <c r="M50" s="232"/>
      <c r="N50" s="232"/>
      <c r="O50" s="232"/>
      <c r="P50" s="232"/>
    </row>
    <row r="51" spans="1:16" ht="12.75" customHeight="1">
      <c r="A51" s="1131"/>
      <c r="B51" s="1132"/>
      <c r="C51" s="1064"/>
      <c r="D51" s="1064"/>
      <c r="E51" s="1092"/>
      <c r="F51" s="1099"/>
      <c r="G51" s="340"/>
      <c r="H51" s="345"/>
      <c r="I51" s="233"/>
      <c r="J51" s="233"/>
      <c r="K51" s="233"/>
      <c r="L51" s="233"/>
      <c r="M51" s="233"/>
      <c r="N51" s="233"/>
      <c r="O51" s="233"/>
      <c r="P51" s="233"/>
    </row>
    <row r="52" spans="1:16" ht="12.75" customHeight="1">
      <c r="A52" s="1133" t="s">
        <v>44</v>
      </c>
      <c r="B52" s="1134"/>
      <c r="C52" s="1064">
        <f>'3. sz. melléklet'!H45</f>
        <v>1943975</v>
      </c>
      <c r="D52" s="1064">
        <f>'3. sz. melléklet'!I45</f>
        <v>1954346</v>
      </c>
      <c r="E52" s="341" t="s">
        <v>45</v>
      </c>
      <c r="F52" s="341"/>
      <c r="G52" s="343">
        <f>'4.sz. melléklet'!J30</f>
        <v>1943975</v>
      </c>
      <c r="H52" s="344">
        <f>'4.sz. melléklet'!K30</f>
        <v>1954346</v>
      </c>
      <c r="I52" s="232"/>
      <c r="J52" s="232"/>
      <c r="K52" s="232"/>
      <c r="L52" s="232"/>
      <c r="M52" s="232"/>
      <c r="N52" s="232"/>
      <c r="O52" s="232"/>
      <c r="P52" s="232"/>
    </row>
    <row r="53" spans="1:16" ht="12.75" customHeight="1">
      <c r="A53" s="1133"/>
      <c r="B53" s="1134"/>
      <c r="C53" s="1064"/>
      <c r="D53" s="1064"/>
      <c r="E53" s="1092"/>
      <c r="F53" s="1097"/>
      <c r="G53" s="343"/>
      <c r="H53" s="344"/>
      <c r="I53" s="232"/>
      <c r="J53" s="232"/>
      <c r="K53" s="232"/>
      <c r="L53" s="232"/>
      <c r="M53" s="232"/>
      <c r="N53" s="232"/>
      <c r="O53" s="232"/>
      <c r="P53" s="232"/>
    </row>
    <row r="54" spans="1:16" ht="15.75" customHeight="1">
      <c r="A54" s="1131" t="s">
        <v>46</v>
      </c>
      <c r="B54" s="1132"/>
      <c r="C54" s="1064">
        <f>'3. sz. melléklet'!H46</f>
        <v>3635962</v>
      </c>
      <c r="D54" s="1064">
        <f>'3. sz. melléklet'!I46</f>
        <v>4818883</v>
      </c>
      <c r="E54" s="341" t="s">
        <v>47</v>
      </c>
      <c r="F54" s="343"/>
      <c r="G54" s="340">
        <f>'4.sz. melléklet'!J31</f>
        <v>2130042</v>
      </c>
      <c r="H54" s="345">
        <f>'4.sz. melléklet'!K31</f>
        <v>3640413</v>
      </c>
      <c r="I54" s="233"/>
      <c r="J54" s="233"/>
      <c r="K54" s="233"/>
      <c r="L54" s="233"/>
      <c r="M54" s="233"/>
      <c r="N54" s="233"/>
      <c r="O54" s="233"/>
      <c r="P54" s="233"/>
    </row>
    <row r="55" spans="1:16" ht="12.75" customHeight="1">
      <c r="A55" s="1131"/>
      <c r="B55" s="1132"/>
      <c r="C55" s="1066"/>
      <c r="D55" s="1066"/>
      <c r="E55" s="1093"/>
      <c r="F55" s="1073"/>
      <c r="G55" s="348"/>
      <c r="H55" s="349"/>
      <c r="I55" s="235"/>
      <c r="J55" s="235"/>
      <c r="K55" s="235"/>
      <c r="L55" s="235"/>
      <c r="M55" s="235"/>
      <c r="N55" s="235"/>
      <c r="O55" s="235"/>
      <c r="P55" s="235"/>
    </row>
    <row r="56" spans="1:16" ht="15" customHeight="1">
      <c r="A56" s="1129" t="s">
        <v>48</v>
      </c>
      <c r="B56" s="1130"/>
      <c r="C56" s="1087">
        <f>'3. sz. melléklet'!H47</f>
        <v>9522266</v>
      </c>
      <c r="D56" s="1087">
        <f>'3. sz. melléklet'!I47</f>
        <v>12504634</v>
      </c>
      <c r="E56" s="354" t="s">
        <v>49</v>
      </c>
      <c r="F56" s="355"/>
      <c r="G56" s="353">
        <f>'4.sz. melléklet'!J32</f>
        <v>9522266</v>
      </c>
      <c r="H56" s="356">
        <f>'4.sz. melléklet'!K32</f>
        <v>12504634</v>
      </c>
      <c r="I56" s="233"/>
      <c r="J56" s="233"/>
      <c r="K56" s="233"/>
      <c r="L56" s="233"/>
      <c r="M56" s="233"/>
      <c r="N56" s="233"/>
      <c r="O56" s="233"/>
      <c r="P56" s="233"/>
    </row>
    <row r="57" spans="1:16" s="227" customFormat="1" ht="12.75" customHeight="1" thickBot="1">
      <c r="A57" s="1088"/>
      <c r="B57" s="1089"/>
      <c r="C57" s="1090"/>
      <c r="D57" s="1091"/>
      <c r="E57" s="357"/>
      <c r="F57" s="1100"/>
      <c r="G57" s="357"/>
      <c r="H57" s="358"/>
      <c r="I57" s="228"/>
      <c r="J57" s="228"/>
      <c r="K57" s="228"/>
      <c r="L57" s="228"/>
      <c r="M57" s="228"/>
      <c r="N57" s="228"/>
      <c r="O57" s="228"/>
      <c r="P57" s="228"/>
    </row>
    <row r="58" spans="1:16" ht="12.75" customHeight="1">
      <c r="A58" s="227"/>
      <c r="B58" s="227"/>
    </row>
    <row r="60" spans="1:16" ht="13.5" customHeight="1"/>
    <row r="66" ht="15" customHeight="1"/>
    <row r="67" ht="15" customHeight="1"/>
    <row r="69" ht="19.5" customHeight="1"/>
    <row r="70" ht="15" customHeight="1"/>
    <row r="71" ht="15" customHeight="1"/>
    <row r="72" ht="15" customHeight="1"/>
    <row r="73" ht="27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sheetProtection selectLockedCells="1" selectUnlockedCells="1"/>
  <mergeCells count="32">
    <mergeCell ref="E11:F11"/>
    <mergeCell ref="E28:F28"/>
    <mergeCell ref="E36:F36"/>
    <mergeCell ref="E37:F37"/>
    <mergeCell ref="E38:F38"/>
    <mergeCell ref="E39:F39"/>
    <mergeCell ref="A56:B56"/>
    <mergeCell ref="E46:F46"/>
    <mergeCell ref="A50:B50"/>
    <mergeCell ref="A51:B51"/>
    <mergeCell ref="A53:B53"/>
    <mergeCell ref="A55:B55"/>
    <mergeCell ref="E49:F49"/>
    <mergeCell ref="A49:B49"/>
    <mergeCell ref="A52:B52"/>
    <mergeCell ref="A54:B54"/>
    <mergeCell ref="A4:G4"/>
    <mergeCell ref="E47:F47"/>
    <mergeCell ref="A7:B7"/>
    <mergeCell ref="E7:F7"/>
    <mergeCell ref="A6:D6"/>
    <mergeCell ref="E6:H6"/>
    <mergeCell ref="A41:B41"/>
    <mergeCell ref="A10:B10"/>
    <mergeCell ref="A25:B25"/>
    <mergeCell ref="E21:F21"/>
    <mergeCell ref="E22:F22"/>
    <mergeCell ref="E23:F23"/>
    <mergeCell ref="E24:F24"/>
    <mergeCell ref="E25:F25"/>
    <mergeCell ref="E26:F26"/>
    <mergeCell ref="E27:F27"/>
  </mergeCells>
  <printOptions horizontalCentered="1"/>
  <pageMargins left="0.78740157480314965" right="0.78740157480314965" top="0.35433070866141736" bottom="0.35433070866141736" header="0.23622047244094491" footer="0.23622047244094491"/>
  <pageSetup paperSize="9" scale="70" firstPageNumber="0" fitToHeight="0" orientation="landscape" r:id="rId1"/>
  <headerFooter alignWithMargins="0">
    <oddHeader xml:space="preserve">&amp;L1.melléklet a 8/2018.(IV.25.) önkormányzati rendelethez
1.melléklet a 27/2017. (XII.21.) önkormányzati rendelethez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9"/>
  <sheetViews>
    <sheetView topLeftCell="B1" zoomScale="79" zoomScaleNormal="79" zoomScaleSheetLayoutView="100" workbookViewId="0">
      <selection activeCell="B2" sqref="B2"/>
    </sheetView>
  </sheetViews>
  <sheetFormatPr defaultRowHeight="15"/>
  <cols>
    <col min="1" max="1" width="0" style="20" hidden="1" customWidth="1"/>
    <col min="2" max="2" width="134" style="14" customWidth="1"/>
    <col min="3" max="4" width="13.85546875" style="14" customWidth="1"/>
  </cols>
  <sheetData>
    <row r="3" spans="1:4" ht="36" customHeight="1">
      <c r="B3" s="1198" t="s">
        <v>224</v>
      </c>
      <c r="C3" s="1198"/>
      <c r="D3" s="1198"/>
    </row>
    <row r="4" spans="1:4" ht="16.5" customHeight="1" thickBot="1">
      <c r="B4" s="16"/>
      <c r="C4" s="16"/>
      <c r="D4" s="16"/>
    </row>
    <row r="5" spans="1:4" ht="18" customHeight="1" thickBot="1">
      <c r="B5" s="34" t="s">
        <v>2</v>
      </c>
      <c r="C5" s="250" t="s">
        <v>3</v>
      </c>
      <c r="D5" s="258" t="s">
        <v>402</v>
      </c>
    </row>
    <row r="6" spans="1:4" ht="15.75">
      <c r="A6" s="20" t="s">
        <v>103</v>
      </c>
      <c r="B6" s="33" t="s">
        <v>181</v>
      </c>
      <c r="C6" s="251">
        <v>300</v>
      </c>
      <c r="D6" s="488">
        <v>300</v>
      </c>
    </row>
    <row r="7" spans="1:4" ht="15.75">
      <c r="A7" s="20" t="s">
        <v>103</v>
      </c>
      <c r="B7" s="32" t="s">
        <v>182</v>
      </c>
      <c r="C7" s="252">
        <v>12000</v>
      </c>
      <c r="D7" s="489">
        <f>C7-900</f>
        <v>11100</v>
      </c>
    </row>
    <row r="8" spans="1:4" ht="15.75">
      <c r="A8" s="20" t="s">
        <v>103</v>
      </c>
      <c r="B8" s="30" t="s">
        <v>183</v>
      </c>
      <c r="C8" s="252">
        <v>200</v>
      </c>
      <c r="D8" s="489">
        <v>200</v>
      </c>
    </row>
    <row r="9" spans="1:4" ht="15.75">
      <c r="A9" s="20" t="s">
        <v>290</v>
      </c>
      <c r="B9" s="30" t="s">
        <v>321</v>
      </c>
      <c r="C9" s="252">
        <v>2500</v>
      </c>
      <c r="D9" s="489">
        <v>2500</v>
      </c>
    </row>
    <row r="10" spans="1:4" ht="15.75">
      <c r="A10" s="20" t="s">
        <v>290</v>
      </c>
      <c r="B10" s="30" t="s">
        <v>322</v>
      </c>
      <c r="C10" s="252">
        <v>3400</v>
      </c>
      <c r="D10" s="489">
        <v>3400</v>
      </c>
    </row>
    <row r="11" spans="1:4" ht="15.75">
      <c r="A11" s="20" t="s">
        <v>172</v>
      </c>
      <c r="B11" s="30" t="s">
        <v>323</v>
      </c>
      <c r="C11" s="252">
        <v>10000</v>
      </c>
      <c r="D11" s="489">
        <v>10000</v>
      </c>
    </row>
    <row r="12" spans="1:4" ht="15.75">
      <c r="A12" s="20" t="s">
        <v>103</v>
      </c>
      <c r="B12" s="30" t="s">
        <v>334</v>
      </c>
      <c r="C12" s="252">
        <v>2500</v>
      </c>
      <c r="D12" s="489">
        <v>2500</v>
      </c>
    </row>
    <row r="13" spans="1:4" ht="15.75">
      <c r="B13" s="29" t="s">
        <v>115</v>
      </c>
      <c r="C13" s="253">
        <f>SUM(C6:C12)</f>
        <v>30900</v>
      </c>
      <c r="D13" s="490">
        <f>SUM(D6:D12)</f>
        <v>30000</v>
      </c>
    </row>
    <row r="14" spans="1:4" ht="15.75">
      <c r="B14" s="31"/>
      <c r="C14" s="254"/>
      <c r="D14" s="491"/>
    </row>
    <row r="15" spans="1:4" ht="15.75">
      <c r="A15" s="20" t="s">
        <v>103</v>
      </c>
      <c r="B15" s="30" t="s">
        <v>116</v>
      </c>
      <c r="C15" s="252">
        <v>2000</v>
      </c>
      <c r="D15" s="489">
        <v>2000</v>
      </c>
    </row>
    <row r="16" spans="1:4" s="13" customFormat="1" ht="16.5" customHeight="1">
      <c r="A16" s="20" t="s">
        <v>103</v>
      </c>
      <c r="B16" s="30" t="s">
        <v>117</v>
      </c>
      <c r="C16" s="252">
        <v>29000</v>
      </c>
      <c r="D16" s="489">
        <v>29000</v>
      </c>
    </row>
    <row r="17" spans="1:4" ht="15.75">
      <c r="A17" s="20" t="s">
        <v>103</v>
      </c>
      <c r="B17" s="30" t="s">
        <v>171</v>
      </c>
      <c r="C17" s="252">
        <v>6000</v>
      </c>
      <c r="D17" s="489">
        <f>C17-6000</f>
        <v>0</v>
      </c>
    </row>
    <row r="18" spans="1:4" ht="15.75">
      <c r="B18" s="29" t="s">
        <v>118</v>
      </c>
      <c r="C18" s="253">
        <f>SUM(C15:C17)</f>
        <v>37000</v>
      </c>
      <c r="D18" s="490">
        <f>SUM(D15:D17)</f>
        <v>31000</v>
      </c>
    </row>
    <row r="19" spans="1:4" ht="16.5" thickBot="1">
      <c r="B19" s="28"/>
      <c r="C19" s="255"/>
      <c r="D19" s="492"/>
    </row>
    <row r="20" spans="1:4" ht="16.5" thickBot="1">
      <c r="B20" s="27" t="s">
        <v>119</v>
      </c>
      <c r="C20" s="256">
        <f>C13+C18</f>
        <v>67900</v>
      </c>
      <c r="D20" s="493">
        <f>D13+D18</f>
        <v>61000</v>
      </c>
    </row>
    <row r="21" spans="1:4" ht="15.75" customHeight="1">
      <c r="B21" s="26"/>
      <c r="C21" s="25"/>
      <c r="D21" s="257"/>
    </row>
    <row r="22" spans="1:4" s="13" customFormat="1" ht="15.75">
      <c r="A22" s="24"/>
      <c r="B22" s="18"/>
      <c r="C22" s="19"/>
      <c r="D22" s="19"/>
    </row>
    <row r="23" spans="1:4" ht="15.75" customHeight="1"/>
    <row r="24" spans="1:4" s="13" customFormat="1" ht="14.25">
      <c r="A24" s="24"/>
      <c r="B24" s="15"/>
      <c r="C24" s="15"/>
      <c r="D24" s="15"/>
    </row>
    <row r="27" spans="1:4" ht="14.25" customHeight="1"/>
    <row r="28" spans="1:4" ht="37.5" customHeight="1"/>
    <row r="29" spans="1:4" ht="16.5" customHeight="1"/>
  </sheetData>
  <sheetProtection selectLockedCells="1" selectUnlockedCells="1"/>
  <mergeCells count="1"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rstPageNumber="0" orientation="landscape" r:id="rId1"/>
  <headerFooter alignWithMargins="0">
    <oddHeader xml:space="preserve">&amp;L9. melléklet a 8/2018.(IV.25.) önkormányzati rendelethez
9. melléklet a 27/2017.(XII.21.) önkormányzati rendelethez&amp;C
</oddHeader>
  </headerFooter>
  <colBreaks count="2" manualBreakCount="2">
    <brk id="1" max="20" man="1"/>
    <brk id="3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608"/>
  <sheetViews>
    <sheetView view="pageLayout" topLeftCell="C1" zoomScaleNormal="79" zoomScaleSheetLayoutView="100" workbookViewId="0">
      <selection activeCell="C1" sqref="C1:E1"/>
    </sheetView>
  </sheetViews>
  <sheetFormatPr defaultRowHeight="15" zeroHeight="1"/>
  <cols>
    <col min="1" max="1" width="0" style="35" hidden="1" customWidth="1"/>
    <col min="2" max="2" width="0" style="36" hidden="1" customWidth="1"/>
    <col min="3" max="3" width="97.140625" style="76" customWidth="1"/>
    <col min="4" max="4" width="42" style="17" customWidth="1"/>
    <col min="5" max="5" width="14.42578125" style="37" bestFit="1" customWidth="1"/>
    <col min="6" max="16384" width="9.140625" style="37"/>
  </cols>
  <sheetData>
    <row r="1" spans="1:32" ht="28.5" customHeight="1">
      <c r="C1" s="1199" t="s">
        <v>225</v>
      </c>
      <c r="D1" s="1199"/>
      <c r="E1" s="1199"/>
    </row>
    <row r="2" spans="1:32" ht="15" customHeight="1" thickBot="1">
      <c r="C2" s="38"/>
      <c r="D2" s="38"/>
    </row>
    <row r="3" spans="1:32" ht="13.5" customHeight="1" thickBot="1">
      <c r="C3" s="39" t="s">
        <v>291</v>
      </c>
      <c r="D3" s="40" t="s">
        <v>3</v>
      </c>
      <c r="E3" s="259" t="s">
        <v>402</v>
      </c>
    </row>
    <row r="4" spans="1:32" ht="17.25" customHeight="1">
      <c r="C4" s="41" t="s">
        <v>2</v>
      </c>
      <c r="D4" s="42"/>
      <c r="E4" s="486"/>
    </row>
    <row r="5" spans="1:32">
      <c r="C5" s="43"/>
      <c r="D5" s="44"/>
      <c r="E5" s="470"/>
    </row>
    <row r="6" spans="1:32" ht="12" customHeight="1">
      <c r="C6" s="45" t="s">
        <v>120</v>
      </c>
      <c r="D6" s="46">
        <f>SUM(D7:D8)</f>
        <v>350780</v>
      </c>
      <c r="E6" s="471">
        <f>SUM(E7:E8)</f>
        <v>386053</v>
      </c>
    </row>
    <row r="7" spans="1:32" s="48" customFormat="1">
      <c r="A7" s="47"/>
      <c r="B7" s="36" t="s">
        <v>99</v>
      </c>
      <c r="C7" s="43" t="s">
        <v>184</v>
      </c>
      <c r="D7" s="44">
        <v>348780</v>
      </c>
      <c r="E7" s="470">
        <f>D7+368+13848+21374+83-671+271</f>
        <v>384053</v>
      </c>
    </row>
    <row r="8" spans="1:32">
      <c r="A8" s="35" t="s">
        <v>121</v>
      </c>
      <c r="B8" s="36" t="s">
        <v>100</v>
      </c>
      <c r="C8" s="49" t="s">
        <v>123</v>
      </c>
      <c r="D8" s="44">
        <v>2000</v>
      </c>
      <c r="E8" s="470">
        <v>2000</v>
      </c>
    </row>
    <row r="9" spans="1:32" ht="12.75" customHeight="1">
      <c r="C9" s="43"/>
      <c r="D9" s="44"/>
      <c r="E9" s="47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</row>
    <row r="10" spans="1:32" ht="12.75" customHeight="1">
      <c r="B10" s="36" t="s">
        <v>102</v>
      </c>
      <c r="C10" s="45" t="s">
        <v>124</v>
      </c>
      <c r="D10" s="471">
        <f>SUM(D11:D29)</f>
        <v>565372</v>
      </c>
      <c r="E10" s="471">
        <f>SUM(E11:E29)</f>
        <v>566392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</row>
    <row r="11" spans="1:32" ht="15.75" customHeight="1">
      <c r="B11" s="36" t="s">
        <v>125</v>
      </c>
      <c r="C11" s="49" t="s">
        <v>185</v>
      </c>
      <c r="D11" s="44">
        <v>15000</v>
      </c>
      <c r="E11" s="44">
        <v>15000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2" spans="1:32" ht="15.75" customHeight="1">
      <c r="B12" s="36" t="s">
        <v>125</v>
      </c>
      <c r="C12" s="43" t="s">
        <v>186</v>
      </c>
      <c r="D12" s="44">
        <v>7000</v>
      </c>
      <c r="E12" s="44">
        <v>7000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</row>
    <row r="13" spans="1:32" ht="16.5" customHeight="1">
      <c r="C13" s="43" t="s">
        <v>126</v>
      </c>
      <c r="D13" s="44">
        <v>233133</v>
      </c>
      <c r="E13" s="44">
        <v>233133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</row>
    <row r="14" spans="1:32" ht="15" customHeight="1">
      <c r="B14" s="36" t="s">
        <v>127</v>
      </c>
      <c r="C14" s="43" t="s">
        <v>292</v>
      </c>
      <c r="D14" s="44">
        <v>158795</v>
      </c>
      <c r="E14" s="44">
        <v>158795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</row>
    <row r="15" spans="1:32">
      <c r="A15" s="35" t="s">
        <v>127</v>
      </c>
      <c r="B15" s="36" t="s">
        <v>125</v>
      </c>
      <c r="C15" s="49" t="s">
        <v>187</v>
      </c>
      <c r="D15" s="44">
        <v>64169</v>
      </c>
      <c r="E15" s="44">
        <v>64169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</row>
    <row r="16" spans="1:32">
      <c r="A16" s="35" t="s">
        <v>127</v>
      </c>
      <c r="B16" s="36" t="s">
        <v>125</v>
      </c>
      <c r="C16" s="49" t="s">
        <v>128</v>
      </c>
      <c r="D16" s="44">
        <v>45000</v>
      </c>
      <c r="E16" s="44">
        <v>45000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</row>
    <row r="17" spans="1:32" s="52" customFormat="1">
      <c r="A17" s="51" t="s">
        <v>125</v>
      </c>
      <c r="B17" s="53" t="s">
        <v>108</v>
      </c>
      <c r="C17" s="49" t="s">
        <v>188</v>
      </c>
      <c r="D17" s="44">
        <v>4000</v>
      </c>
      <c r="E17" s="44">
        <v>4000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1:32">
      <c r="A18" s="35" t="s">
        <v>125</v>
      </c>
      <c r="B18" s="36" t="s">
        <v>129</v>
      </c>
      <c r="C18" s="43" t="s">
        <v>293</v>
      </c>
      <c r="D18" s="44">
        <v>1775</v>
      </c>
      <c r="E18" s="44">
        <v>1775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</row>
    <row r="19" spans="1:32">
      <c r="A19" s="35" t="s">
        <v>125</v>
      </c>
      <c r="B19" s="36" t="s">
        <v>129</v>
      </c>
      <c r="C19" s="43" t="s">
        <v>189</v>
      </c>
      <c r="D19" s="44">
        <v>14000</v>
      </c>
      <c r="E19" s="44">
        <v>14000</v>
      </c>
    </row>
    <row r="20" spans="1:32">
      <c r="A20" s="35" t="s">
        <v>129</v>
      </c>
      <c r="B20" s="36" t="s">
        <v>125</v>
      </c>
      <c r="C20" s="43" t="s">
        <v>190</v>
      </c>
      <c r="D20" s="44">
        <v>15000</v>
      </c>
      <c r="E20" s="44">
        <v>15000</v>
      </c>
    </row>
    <row r="21" spans="1:32">
      <c r="B21" s="36" t="s">
        <v>125</v>
      </c>
      <c r="C21" s="43" t="s">
        <v>294</v>
      </c>
      <c r="D21" s="44">
        <v>1500</v>
      </c>
      <c r="E21" s="44">
        <v>1500</v>
      </c>
    </row>
    <row r="22" spans="1:32" s="50" customFormat="1">
      <c r="A22" s="477"/>
      <c r="B22" s="478" t="s">
        <v>125</v>
      </c>
      <c r="C22" s="479" t="s">
        <v>219</v>
      </c>
      <c r="D22" s="134">
        <v>6000</v>
      </c>
      <c r="E22" s="134">
        <v>6000</v>
      </c>
    </row>
    <row r="23" spans="1:32" s="50" customFormat="1" ht="30">
      <c r="A23" s="477"/>
      <c r="B23" s="478"/>
      <c r="C23" s="485" t="s">
        <v>591</v>
      </c>
      <c r="D23" s="483">
        <v>0</v>
      </c>
      <c r="E23" s="473">
        <v>150</v>
      </c>
    </row>
    <row r="24" spans="1:32" s="50" customFormat="1" ht="30">
      <c r="A24" s="477"/>
      <c r="B24" s="478"/>
      <c r="C24" s="485" t="s">
        <v>592</v>
      </c>
      <c r="D24" s="483">
        <v>0</v>
      </c>
      <c r="E24" s="473">
        <v>100</v>
      </c>
    </row>
    <row r="25" spans="1:32" s="50" customFormat="1" ht="30">
      <c r="A25" s="477"/>
      <c r="B25" s="478"/>
      <c r="C25" s="485" t="s">
        <v>593</v>
      </c>
      <c r="D25" s="483">
        <v>0</v>
      </c>
      <c r="E25" s="473">
        <v>50</v>
      </c>
    </row>
    <row r="26" spans="1:32" s="50" customFormat="1" ht="30">
      <c r="A26" s="477"/>
      <c r="B26" s="478"/>
      <c r="C26" s="485" t="s">
        <v>594</v>
      </c>
      <c r="D26" s="483">
        <v>0</v>
      </c>
      <c r="E26" s="473">
        <v>250</v>
      </c>
    </row>
    <row r="27" spans="1:32" s="50" customFormat="1" ht="30">
      <c r="A27" s="477"/>
      <c r="B27" s="478"/>
      <c r="C27" s="485" t="s">
        <v>596</v>
      </c>
      <c r="D27" s="483">
        <v>0</v>
      </c>
      <c r="E27" s="473">
        <v>300</v>
      </c>
    </row>
    <row r="28" spans="1:32" s="50" customFormat="1" ht="30">
      <c r="A28" s="477"/>
      <c r="B28" s="478"/>
      <c r="C28" s="485" t="s">
        <v>598</v>
      </c>
      <c r="D28" s="483">
        <v>0</v>
      </c>
      <c r="E28" s="473">
        <v>70</v>
      </c>
    </row>
    <row r="29" spans="1:32" s="50" customFormat="1">
      <c r="A29" s="477"/>
      <c r="B29" s="478"/>
      <c r="C29" s="485" t="s">
        <v>599</v>
      </c>
      <c r="D29" s="483">
        <v>0</v>
      </c>
      <c r="E29" s="473">
        <v>100</v>
      </c>
    </row>
    <row r="30" spans="1:32" s="50" customFormat="1">
      <c r="A30" s="477"/>
      <c r="B30" s="478"/>
      <c r="C30" s="485"/>
      <c r="D30" s="483"/>
      <c r="E30" s="473"/>
    </row>
    <row r="31" spans="1:32" s="50" customFormat="1" ht="13.5" customHeight="1">
      <c r="A31" s="477"/>
      <c r="B31" s="478"/>
      <c r="C31" s="480" t="s">
        <v>191</v>
      </c>
      <c r="D31" s="133">
        <f>D6+D10</f>
        <v>916152</v>
      </c>
      <c r="E31" s="472">
        <f>E6+E10</f>
        <v>952445</v>
      </c>
      <c r="G31" s="17"/>
    </row>
    <row r="32" spans="1:32" s="50" customFormat="1" ht="15" customHeight="1">
      <c r="A32" s="477"/>
      <c r="B32" s="478"/>
      <c r="C32" s="479"/>
      <c r="D32" s="134"/>
      <c r="E32" s="473"/>
    </row>
    <row r="33" spans="1:5" s="50" customFormat="1">
      <c r="A33" s="477"/>
      <c r="B33" s="478"/>
      <c r="C33" s="481" t="s">
        <v>130</v>
      </c>
      <c r="D33" s="136">
        <f>SUM(D34:D35)</f>
        <v>40000</v>
      </c>
      <c r="E33" s="475">
        <f>SUM(E34:E35)</f>
        <v>55000</v>
      </c>
    </row>
    <row r="34" spans="1:5" s="50" customFormat="1">
      <c r="A34" s="477"/>
      <c r="B34" s="478" t="s">
        <v>235</v>
      </c>
      <c r="C34" s="479" t="s">
        <v>192</v>
      </c>
      <c r="D34" s="134">
        <v>40000</v>
      </c>
      <c r="E34" s="473">
        <v>40000</v>
      </c>
    </row>
    <row r="35" spans="1:5" s="50" customFormat="1" ht="30">
      <c r="A35" s="477"/>
      <c r="B35" s="478"/>
      <c r="C35" s="482" t="s">
        <v>586</v>
      </c>
      <c r="D35" s="483">
        <v>0</v>
      </c>
      <c r="E35" s="473">
        <v>15000</v>
      </c>
    </row>
    <row r="36" spans="1:5" s="50" customFormat="1">
      <c r="A36" s="477"/>
      <c r="B36" s="478"/>
      <c r="C36" s="479"/>
      <c r="D36" s="134"/>
      <c r="E36" s="473"/>
    </row>
    <row r="37" spans="1:5" s="50" customFormat="1">
      <c r="A37" s="477"/>
      <c r="B37" s="478"/>
      <c r="C37" s="481" t="s">
        <v>130</v>
      </c>
      <c r="D37" s="134"/>
      <c r="E37" s="473"/>
    </row>
    <row r="38" spans="1:5" s="50" customFormat="1">
      <c r="A38" s="477"/>
      <c r="B38" s="478"/>
      <c r="C38" s="480" t="s">
        <v>131</v>
      </c>
      <c r="D38" s="133">
        <f>SUM(D34:D36)</f>
        <v>40000</v>
      </c>
      <c r="E38" s="472">
        <f>SUM(E34:E36)</f>
        <v>55000</v>
      </c>
    </row>
    <row r="39" spans="1:5" s="50" customFormat="1">
      <c r="A39" s="477"/>
      <c r="B39" s="478"/>
      <c r="C39" s="479"/>
      <c r="D39" s="134"/>
      <c r="E39" s="473"/>
    </row>
    <row r="40" spans="1:5" s="50" customFormat="1">
      <c r="A40" s="477"/>
      <c r="B40" s="478"/>
      <c r="C40" s="484" t="s">
        <v>132</v>
      </c>
      <c r="D40" s="135">
        <f>D31+D38</f>
        <v>956152</v>
      </c>
      <c r="E40" s="474">
        <f>E31+E38</f>
        <v>1007445</v>
      </c>
    </row>
    <row r="41" spans="1:5" s="50" customFormat="1">
      <c r="A41" s="477"/>
      <c r="B41" s="478"/>
      <c r="C41" s="479"/>
      <c r="D41" s="134"/>
      <c r="E41" s="473"/>
    </row>
    <row r="42" spans="1:5" s="50" customFormat="1" ht="15.75" customHeight="1">
      <c r="A42" s="477"/>
      <c r="B42" s="478"/>
      <c r="C42" s="481" t="s">
        <v>133</v>
      </c>
      <c r="D42" s="136">
        <f>SUM(D43:D45)</f>
        <v>6000</v>
      </c>
      <c r="E42" s="136">
        <f>SUM(E43:E45)</f>
        <v>6200</v>
      </c>
    </row>
    <row r="43" spans="1:5">
      <c r="B43" s="36" t="s">
        <v>102</v>
      </c>
      <c r="C43" s="49" t="s">
        <v>214</v>
      </c>
      <c r="D43" s="134">
        <v>6000</v>
      </c>
      <c r="E43" s="473">
        <v>6000</v>
      </c>
    </row>
    <row r="44" spans="1:5" s="50" customFormat="1" ht="30">
      <c r="A44" s="477"/>
      <c r="B44" s="478"/>
      <c r="C44" s="485" t="s">
        <v>595</v>
      </c>
      <c r="D44" s="483">
        <v>0</v>
      </c>
      <c r="E44" s="473">
        <v>100</v>
      </c>
    </row>
    <row r="45" spans="1:5" s="50" customFormat="1" ht="30">
      <c r="A45" s="477"/>
      <c r="B45" s="478"/>
      <c r="C45" s="485" t="s">
        <v>597</v>
      </c>
      <c r="D45" s="483">
        <v>0</v>
      </c>
      <c r="E45" s="473">
        <v>100</v>
      </c>
    </row>
    <row r="46" spans="1:5">
      <c r="A46" s="35" t="s">
        <v>125</v>
      </c>
      <c r="C46" s="43"/>
      <c r="D46" s="134"/>
      <c r="E46" s="473"/>
    </row>
    <row r="47" spans="1:5" ht="15" customHeight="1">
      <c r="C47" s="54" t="s">
        <v>193</v>
      </c>
      <c r="D47" s="133">
        <f>D42</f>
        <v>6000</v>
      </c>
      <c r="E47" s="472">
        <f>E42</f>
        <v>6200</v>
      </c>
    </row>
    <row r="48" spans="1:5" s="58" customFormat="1">
      <c r="A48" s="56"/>
      <c r="B48" s="57"/>
      <c r="C48" s="54"/>
      <c r="D48" s="133"/>
      <c r="E48" s="472"/>
    </row>
    <row r="49" spans="1:5" ht="12.75" customHeight="1">
      <c r="C49" s="45" t="s">
        <v>295</v>
      </c>
      <c r="D49" s="136">
        <f>SUM(D50)</f>
        <v>0</v>
      </c>
      <c r="E49" s="475">
        <v>0</v>
      </c>
    </row>
    <row r="50" spans="1:5" s="61" customFormat="1">
      <c r="A50" s="59"/>
      <c r="B50" s="60"/>
      <c r="C50" s="43"/>
      <c r="D50" s="134"/>
      <c r="E50" s="473"/>
    </row>
    <row r="51" spans="1:5" s="48" customFormat="1">
      <c r="A51" s="47"/>
      <c r="B51" s="36"/>
      <c r="C51" s="55" t="s">
        <v>134</v>
      </c>
      <c r="D51" s="135">
        <f>D47+D49</f>
        <v>6000</v>
      </c>
      <c r="E51" s="474">
        <f>E47+E49</f>
        <v>6200</v>
      </c>
    </row>
    <row r="52" spans="1:5" s="48" customFormat="1" ht="15.75" thickBot="1">
      <c r="A52" s="47"/>
      <c r="B52" s="36"/>
      <c r="C52" s="62"/>
      <c r="D52" s="137"/>
      <c r="E52" s="487"/>
    </row>
    <row r="53" spans="1:5" s="48" customFormat="1" ht="29.25" thickBot="1">
      <c r="A53" s="47"/>
      <c r="B53" s="36"/>
      <c r="C53" s="39" t="s">
        <v>135</v>
      </c>
      <c r="D53" s="63">
        <f>D40+D51</f>
        <v>962152</v>
      </c>
      <c r="E53" s="476">
        <f>E40+E51</f>
        <v>1013645</v>
      </c>
    </row>
    <row r="54" spans="1:5">
      <c r="C54" s="64"/>
      <c r="D54" s="65"/>
    </row>
    <row r="55" spans="1:5" ht="13.5" customHeight="1">
      <c r="C55" s="64"/>
      <c r="D55" s="65"/>
    </row>
    <row r="56" spans="1:5" s="48" customFormat="1" ht="12" customHeight="1" thickBot="1">
      <c r="A56" s="47"/>
      <c r="B56" s="36"/>
      <c r="C56" s="64"/>
      <c r="D56" s="65"/>
    </row>
    <row r="57" spans="1:5" ht="15.75" thickBot="1">
      <c r="A57" s="35" t="s">
        <v>125</v>
      </c>
      <c r="C57" s="66" t="s">
        <v>136</v>
      </c>
      <c r="D57" s="67" t="s">
        <v>3</v>
      </c>
      <c r="E57" s="259" t="s">
        <v>402</v>
      </c>
    </row>
    <row r="58" spans="1:5" ht="15.75" thickBot="1">
      <c r="A58" s="35" t="s">
        <v>125</v>
      </c>
      <c r="C58" s="68" t="s">
        <v>2</v>
      </c>
      <c r="D58" s="40"/>
      <c r="E58" s="259"/>
    </row>
    <row r="59" spans="1:5">
      <c r="A59" s="35" t="s">
        <v>125</v>
      </c>
      <c r="C59" s="69"/>
      <c r="D59" s="70"/>
      <c r="E59" s="70"/>
    </row>
    <row r="60" spans="1:5">
      <c r="A60" s="35" t="s">
        <v>125</v>
      </c>
      <c r="C60" s="69" t="s">
        <v>137</v>
      </c>
      <c r="D60" s="71">
        <f>SUM(D61:D62)</f>
        <v>1200</v>
      </c>
      <c r="E60" s="71">
        <f>SUM(E61:E62)</f>
        <v>1200</v>
      </c>
    </row>
    <row r="61" spans="1:5">
      <c r="A61" s="35" t="s">
        <v>125</v>
      </c>
      <c r="C61" s="72" t="s">
        <v>138</v>
      </c>
      <c r="D61" s="73">
        <v>1200</v>
      </c>
      <c r="E61" s="73">
        <v>1200</v>
      </c>
    </row>
    <row r="62" spans="1:5" s="52" customFormat="1" ht="14.25" customHeight="1" thickBot="1">
      <c r="A62" s="51" t="s">
        <v>102</v>
      </c>
      <c r="B62" s="53"/>
      <c r="C62" s="74"/>
      <c r="D62" s="75"/>
      <c r="E62" s="75"/>
    </row>
    <row r="63" spans="1:5" s="222" customFormat="1" ht="29.25" thickBot="1">
      <c r="A63" s="219" t="s">
        <v>125</v>
      </c>
      <c r="B63" s="220"/>
      <c r="C63" s="39" t="s">
        <v>139</v>
      </c>
      <c r="D63" s="221">
        <f>SUM(D60)</f>
        <v>1200</v>
      </c>
      <c r="E63" s="221">
        <f>SUM(E60)</f>
        <v>1200</v>
      </c>
    </row>
    <row r="64" spans="1:5">
      <c r="A64" s="35" t="s">
        <v>125</v>
      </c>
    </row>
    <row r="65" spans="1:4">
      <c r="A65" s="35" t="s">
        <v>125</v>
      </c>
    </row>
    <row r="66" spans="1:4">
      <c r="A66" s="35" t="s">
        <v>125</v>
      </c>
    </row>
    <row r="67" spans="1:4"/>
    <row r="68" spans="1:4"/>
    <row r="69" spans="1:4"/>
    <row r="70" spans="1:4"/>
    <row r="71" spans="1:4"/>
    <row r="72" spans="1:4"/>
    <row r="73" spans="1:4" s="58" customFormat="1">
      <c r="A73" s="56"/>
      <c r="B73" s="57"/>
    </row>
    <row r="74" spans="1:4" s="48" customFormat="1">
      <c r="A74" s="47"/>
      <c r="B74" s="36"/>
    </row>
    <row r="75" spans="1:4" s="48" customFormat="1">
      <c r="A75" s="47"/>
      <c r="B75" s="36"/>
    </row>
    <row r="76" spans="1:4">
      <c r="C76" s="37"/>
      <c r="D76" s="37"/>
    </row>
    <row r="77" spans="1:4" s="61" customFormat="1">
      <c r="A77" s="59"/>
      <c r="B77" s="60"/>
    </row>
    <row r="78" spans="1:4" s="48" customFormat="1" ht="33.75" customHeight="1">
      <c r="A78" s="47"/>
      <c r="B78" s="36"/>
    </row>
    <row r="79" spans="1:4" s="79" customFormat="1" ht="36.75" customHeight="1">
      <c r="A79" s="77"/>
      <c r="B79" s="78"/>
    </row>
    <row r="80" spans="1:4" ht="15.75" customHeight="1"/>
    <row r="81" spans="1:2"/>
    <row r="82" spans="1:2"/>
    <row r="83" spans="1:2"/>
    <row r="84" spans="1:2"/>
    <row r="85" spans="1:2"/>
    <row r="86" spans="1:2" ht="30.75" customHeight="1"/>
    <row r="87" spans="1:2" ht="30.75" hidden="1" customHeight="1"/>
    <row r="88" spans="1:2" ht="10.5" hidden="1" customHeight="1">
      <c r="A88" s="59"/>
      <c r="B88" s="60"/>
    </row>
    <row r="89" spans="1:2" hidden="1"/>
    <row r="90" spans="1:2" hidden="1"/>
    <row r="91" spans="1:2" hidden="1"/>
    <row r="92" spans="1:2" hidden="1"/>
    <row r="93" spans="1:2" hidden="1"/>
    <row r="94" spans="1:2" hidden="1"/>
    <row r="95" spans="1:2" hidden="1"/>
    <row r="96" spans="1:2" hidden="1"/>
    <row r="97" spans="1:2" hidden="1"/>
    <row r="98" spans="1:2" hidden="1"/>
    <row r="99" spans="1:2" hidden="1"/>
    <row r="100" spans="1:2" hidden="1">
      <c r="A100" s="59"/>
      <c r="B100" s="60"/>
    </row>
    <row r="101" spans="1:2" hidden="1"/>
    <row r="102" spans="1:2" hidden="1"/>
    <row r="103" spans="1:2" hidden="1"/>
    <row r="104" spans="1:2" hidden="1"/>
    <row r="105" spans="1:2" hidden="1"/>
    <row r="106" spans="1:2" hidden="1"/>
    <row r="107" spans="1:2" hidden="1">
      <c r="A107" s="47" t="s">
        <v>140</v>
      </c>
    </row>
    <row r="108" spans="1:2" hidden="1">
      <c r="A108" s="35" t="s">
        <v>98</v>
      </c>
    </row>
    <row r="109" spans="1:2" hidden="1">
      <c r="A109" s="35" t="s">
        <v>121</v>
      </c>
    </row>
    <row r="110" spans="1:2" hidden="1">
      <c r="A110" s="35" t="s">
        <v>122</v>
      </c>
    </row>
    <row r="111" spans="1:2" hidden="1">
      <c r="A111" s="35" t="s">
        <v>100</v>
      </c>
    </row>
    <row r="112" spans="1:2" hidden="1">
      <c r="A112" s="35" t="s">
        <v>125</v>
      </c>
    </row>
    <row r="113" spans="1:1" hidden="1">
      <c r="A113" s="35" t="s">
        <v>102</v>
      </c>
    </row>
    <row r="114" spans="1:1" hidden="1">
      <c r="A114" s="35" t="s">
        <v>127</v>
      </c>
    </row>
    <row r="115" spans="1:1" hidden="1">
      <c r="A115" s="35" t="s">
        <v>108</v>
      </c>
    </row>
    <row r="116" spans="1:1" hidden="1">
      <c r="A116" s="35" t="s">
        <v>129</v>
      </c>
    </row>
    <row r="117" spans="1:1" hidden="1">
      <c r="A117" s="47" t="s">
        <v>141</v>
      </c>
    </row>
    <row r="118" spans="1:1" hidden="1"/>
    <row r="119" spans="1:1" hidden="1">
      <c r="A119" s="47" t="s">
        <v>142</v>
      </c>
    </row>
    <row r="120" spans="1:1" hidden="1">
      <c r="A120" s="35" t="s">
        <v>125</v>
      </c>
    </row>
    <row r="121" spans="1:1" hidden="1"/>
    <row r="122" spans="1:1" hidden="1">
      <c r="A122" s="47" t="s">
        <v>143</v>
      </c>
    </row>
    <row r="123" spans="1:1" hidden="1">
      <c r="A123" s="35" t="s">
        <v>125</v>
      </c>
    </row>
    <row r="124" spans="1:1" hidden="1">
      <c r="A124" s="35" t="s">
        <v>102</v>
      </c>
    </row>
    <row r="125" spans="1:1" hidden="1">
      <c r="A125" s="47" t="s">
        <v>144</v>
      </c>
    </row>
    <row r="126" spans="1:1" hidden="1"/>
    <row r="127" spans="1:1" hidden="1"/>
    <row r="128" spans="1:1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  <row r="65587"/>
    <row r="65588"/>
    <row r="65589"/>
    <row r="65590"/>
    <row r="65591"/>
    <row r="65592"/>
    <row r="65593"/>
    <row r="65594"/>
    <row r="65595"/>
    <row r="65596"/>
    <row r="65597"/>
    <row r="65598"/>
    <row r="65599"/>
    <row r="65600"/>
    <row r="65601"/>
    <row r="65602"/>
    <row r="65603"/>
    <row r="65604"/>
    <row r="65605"/>
    <row r="65606"/>
    <row r="65607"/>
    <row r="65608"/>
  </sheetData>
  <mergeCells count="1">
    <mergeCell ref="C1:E1"/>
  </mergeCells>
  <printOptions horizontalCentered="1"/>
  <pageMargins left="0.47244094488188981" right="0.47244094488188981" top="1.1417322834645669" bottom="0.78740157480314965" header="0.51181102362204722" footer="0.51181102362204722"/>
  <pageSetup paperSize="9" scale="61" firstPageNumber="0" fitToHeight="0" orientation="portrait" r:id="rId1"/>
  <headerFooter alignWithMargins="0">
    <oddHeader xml:space="preserve">&amp;L&amp;12 10. melléklet a 8/2018.(IV.25.) önkormányzati rendelethez
10. melléklet a 27/2017. (XII.21.) önkormányzati rendelethez
&amp;C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view="pageLayout" topLeftCell="B1" zoomScaleNormal="79" zoomScaleSheetLayoutView="100" workbookViewId="0">
      <selection activeCell="F7" sqref="F7"/>
    </sheetView>
  </sheetViews>
  <sheetFormatPr defaultRowHeight="15"/>
  <cols>
    <col min="1" max="1" width="0" style="138" hidden="1" customWidth="1"/>
    <col min="2" max="2" width="80" style="173" customWidth="1"/>
    <col min="3" max="4" width="13.7109375" style="174" customWidth="1"/>
    <col min="5" max="16384" width="9.140625" style="139"/>
  </cols>
  <sheetData>
    <row r="1" spans="1:4" ht="14.25" customHeight="1">
      <c r="B1" s="1200" t="s">
        <v>226</v>
      </c>
      <c r="C1" s="1200"/>
      <c r="D1" s="1200"/>
    </row>
    <row r="2" spans="1:4" ht="14.25" customHeight="1">
      <c r="B2" s="1200"/>
      <c r="C2" s="1200"/>
      <c r="D2" s="1200"/>
    </row>
    <row r="3" spans="1:4" ht="14.25" customHeight="1" thickBot="1">
      <c r="B3" s="140"/>
      <c r="C3" s="140"/>
      <c r="D3" s="242"/>
    </row>
    <row r="4" spans="1:4" ht="15.75" thickBot="1">
      <c r="B4" s="141" t="s">
        <v>291</v>
      </c>
      <c r="C4" s="142" t="s">
        <v>3</v>
      </c>
      <c r="D4" s="243" t="s">
        <v>401</v>
      </c>
    </row>
    <row r="5" spans="1:4">
      <c r="B5" s="143" t="s">
        <v>2</v>
      </c>
      <c r="C5" s="144"/>
      <c r="D5" s="144"/>
    </row>
    <row r="6" spans="1:4">
      <c r="B6" s="145"/>
      <c r="C6" s="146"/>
      <c r="D6" s="146"/>
    </row>
    <row r="7" spans="1:4">
      <c r="B7" s="147" t="s">
        <v>145</v>
      </c>
      <c r="C7" s="148">
        <f>SUM(C8:C21)</f>
        <v>114830</v>
      </c>
      <c r="D7" s="148">
        <f>SUM(D8:D21)</f>
        <v>836958</v>
      </c>
    </row>
    <row r="8" spans="1:4" ht="30">
      <c r="A8" s="36" t="s">
        <v>98</v>
      </c>
      <c r="B8" s="145" t="s">
        <v>194</v>
      </c>
      <c r="C8" s="146">
        <v>9830</v>
      </c>
      <c r="D8" s="146">
        <f>C8-105</f>
        <v>9725</v>
      </c>
    </row>
    <row r="9" spans="1:4" s="149" customFormat="1">
      <c r="A9" s="138" t="s">
        <v>296</v>
      </c>
      <c r="B9" s="145" t="s">
        <v>297</v>
      </c>
      <c r="C9" s="146">
        <v>104500</v>
      </c>
      <c r="D9" s="146">
        <v>104500</v>
      </c>
    </row>
    <row r="10" spans="1:4" s="149" customFormat="1">
      <c r="A10" s="138" t="s">
        <v>298</v>
      </c>
      <c r="B10" s="145" t="s">
        <v>299</v>
      </c>
      <c r="C10" s="146">
        <v>500</v>
      </c>
      <c r="D10" s="146">
        <v>500</v>
      </c>
    </row>
    <row r="11" spans="1:4" s="149" customFormat="1" ht="30">
      <c r="A11" s="138"/>
      <c r="B11" s="461" t="s">
        <v>576</v>
      </c>
      <c r="C11" s="460">
        <v>0</v>
      </c>
      <c r="D11" s="460">
        <v>23974</v>
      </c>
    </row>
    <row r="12" spans="1:4" s="149" customFormat="1" ht="45">
      <c r="A12" s="138"/>
      <c r="B12" s="461" t="s">
        <v>578</v>
      </c>
      <c r="C12" s="460">
        <v>0</v>
      </c>
      <c r="D12" s="460">
        <v>18050</v>
      </c>
    </row>
    <row r="13" spans="1:4" s="149" customFormat="1" ht="45">
      <c r="A13" s="138"/>
      <c r="B13" s="461" t="s">
        <v>579</v>
      </c>
      <c r="C13" s="460">
        <v>0</v>
      </c>
      <c r="D13" s="460">
        <v>4296</v>
      </c>
    </row>
    <row r="14" spans="1:4" s="149" customFormat="1" ht="45">
      <c r="A14" s="138"/>
      <c r="B14" s="461" t="s">
        <v>580</v>
      </c>
      <c r="C14" s="460">
        <v>0</v>
      </c>
      <c r="D14" s="460">
        <v>2320</v>
      </c>
    </row>
    <row r="15" spans="1:4" s="149" customFormat="1" ht="30">
      <c r="A15" s="138"/>
      <c r="B15" s="461" t="s">
        <v>581</v>
      </c>
      <c r="C15" s="460">
        <v>0</v>
      </c>
      <c r="D15" s="460">
        <v>106232</v>
      </c>
    </row>
    <row r="16" spans="1:4" s="149" customFormat="1" ht="30">
      <c r="A16" s="138"/>
      <c r="B16" s="461" t="s">
        <v>582</v>
      </c>
      <c r="C16" s="460">
        <v>0</v>
      </c>
      <c r="D16" s="460">
        <v>410821</v>
      </c>
    </row>
    <row r="17" spans="1:4" s="149" customFormat="1" ht="45">
      <c r="A17" s="138"/>
      <c r="B17" s="461" t="s">
        <v>583</v>
      </c>
      <c r="C17" s="460">
        <v>0</v>
      </c>
      <c r="D17" s="460">
        <v>29807</v>
      </c>
    </row>
    <row r="18" spans="1:4" s="149" customFormat="1" ht="45">
      <c r="A18" s="138"/>
      <c r="B18" s="461" t="s">
        <v>584</v>
      </c>
      <c r="C18" s="460">
        <v>0</v>
      </c>
      <c r="D18" s="460">
        <v>30813</v>
      </c>
    </row>
    <row r="19" spans="1:4" s="149" customFormat="1" ht="45">
      <c r="A19" s="138"/>
      <c r="B19" s="461" t="s">
        <v>585</v>
      </c>
      <c r="C19" s="460">
        <v>0</v>
      </c>
      <c r="D19" s="460">
        <v>45611</v>
      </c>
    </row>
    <row r="20" spans="1:4" s="149" customFormat="1" ht="30">
      <c r="A20" s="138"/>
      <c r="B20" s="461" t="s">
        <v>587</v>
      </c>
      <c r="C20" s="460">
        <v>0</v>
      </c>
      <c r="D20" s="460">
        <v>3609</v>
      </c>
    </row>
    <row r="21" spans="1:4" s="149" customFormat="1">
      <c r="A21" s="138"/>
      <c r="B21" s="466" t="s">
        <v>318</v>
      </c>
      <c r="C21" s="146">
        <v>0</v>
      </c>
      <c r="D21" s="146">
        <v>46700</v>
      </c>
    </row>
    <row r="22" spans="1:4" s="149" customFormat="1">
      <c r="A22" s="138"/>
      <c r="B22" s="461"/>
      <c r="C22" s="460"/>
      <c r="D22" s="460"/>
    </row>
    <row r="23" spans="1:4" ht="30">
      <c r="B23" s="150" t="s">
        <v>195</v>
      </c>
      <c r="C23" s="151">
        <f>C7</f>
        <v>114830</v>
      </c>
      <c r="D23" s="151">
        <f>D7</f>
        <v>836958</v>
      </c>
    </row>
    <row r="24" spans="1:4" s="149" customFormat="1">
      <c r="A24" s="138"/>
      <c r="B24" s="145"/>
      <c r="C24" s="148"/>
      <c r="D24" s="148"/>
    </row>
    <row r="25" spans="1:4">
      <c r="B25" s="147" t="s">
        <v>300</v>
      </c>
      <c r="C25" s="148">
        <f>SUM(C26:C28)</f>
        <v>10912</v>
      </c>
      <c r="D25" s="148">
        <f>SUM(D26:D28)</f>
        <v>10912</v>
      </c>
    </row>
    <row r="26" spans="1:4" ht="15" customHeight="1">
      <c r="A26" s="138" t="s">
        <v>235</v>
      </c>
      <c r="B26" s="145" t="s">
        <v>237</v>
      </c>
      <c r="C26" s="146">
        <v>7931</v>
      </c>
      <c r="D26" s="146">
        <v>7931</v>
      </c>
    </row>
    <row r="27" spans="1:4" s="154" customFormat="1" ht="31.5" customHeight="1">
      <c r="A27" s="152" t="s">
        <v>102</v>
      </c>
      <c r="B27" s="153" t="s">
        <v>241</v>
      </c>
      <c r="C27" s="146">
        <v>781</v>
      </c>
      <c r="D27" s="146">
        <v>781</v>
      </c>
    </row>
    <row r="28" spans="1:4">
      <c r="A28" s="138" t="s">
        <v>108</v>
      </c>
      <c r="B28" s="145" t="s">
        <v>301</v>
      </c>
      <c r="C28" s="146">
        <v>2200</v>
      </c>
      <c r="D28" s="146">
        <v>2200</v>
      </c>
    </row>
    <row r="29" spans="1:4" s="149" customFormat="1">
      <c r="A29" s="138"/>
      <c r="B29" s="182"/>
      <c r="C29" s="146"/>
      <c r="D29" s="146"/>
    </row>
    <row r="30" spans="1:4" s="149" customFormat="1" ht="28.5">
      <c r="A30" s="138"/>
      <c r="B30" s="147" t="s">
        <v>146</v>
      </c>
      <c r="C30" s="148">
        <f>SUM(C31:C32)</f>
        <v>40000</v>
      </c>
      <c r="D30" s="148">
        <f>SUM(D31:D32)</f>
        <v>55000</v>
      </c>
    </row>
    <row r="31" spans="1:4" s="149" customFormat="1">
      <c r="A31" s="138" t="s">
        <v>235</v>
      </c>
      <c r="B31" s="145" t="s">
        <v>302</v>
      </c>
      <c r="C31" s="146">
        <v>40000</v>
      </c>
      <c r="D31" s="146">
        <v>40000</v>
      </c>
    </row>
    <row r="32" spans="1:4" s="149" customFormat="1" ht="30">
      <c r="A32" s="138"/>
      <c r="B32" s="461" t="s">
        <v>586</v>
      </c>
      <c r="C32" s="460">
        <v>0</v>
      </c>
      <c r="D32" s="460">
        <v>15000</v>
      </c>
    </row>
    <row r="33" spans="1:4" s="149" customFormat="1">
      <c r="A33" s="138"/>
      <c r="B33" s="183"/>
      <c r="C33" s="146"/>
      <c r="D33" s="146"/>
    </row>
    <row r="34" spans="1:4" s="149" customFormat="1" ht="30">
      <c r="A34" s="138"/>
      <c r="B34" s="150" t="s">
        <v>196</v>
      </c>
      <c r="C34" s="151">
        <f>C30+C25</f>
        <v>50912</v>
      </c>
      <c r="D34" s="151">
        <f>D30+D25</f>
        <v>65912</v>
      </c>
    </row>
    <row r="35" spans="1:4" s="149" customFormat="1">
      <c r="A35" s="138"/>
      <c r="B35" s="145"/>
      <c r="C35" s="146"/>
      <c r="D35" s="146"/>
    </row>
    <row r="36" spans="1:4" s="149" customFormat="1">
      <c r="A36" s="138"/>
      <c r="B36" s="147" t="s">
        <v>147</v>
      </c>
      <c r="C36" s="148">
        <f>SUM(C37:C46)</f>
        <v>0</v>
      </c>
      <c r="D36" s="148">
        <f>SUM(D37:D46)</f>
        <v>992116</v>
      </c>
    </row>
    <row r="37" spans="1:4" s="149" customFormat="1" ht="30">
      <c r="A37" s="138"/>
      <c r="B37" s="461" t="s">
        <v>576</v>
      </c>
      <c r="C37" s="460">
        <v>0</v>
      </c>
      <c r="D37" s="460">
        <v>226026</v>
      </c>
    </row>
    <row r="38" spans="1:4" s="149" customFormat="1" ht="45">
      <c r="A38" s="138"/>
      <c r="B38" s="461" t="s">
        <v>578</v>
      </c>
      <c r="C38" s="460">
        <v>0</v>
      </c>
      <c r="D38" s="460">
        <v>321950</v>
      </c>
    </row>
    <row r="39" spans="1:4" s="149" customFormat="1" ht="45">
      <c r="A39" s="138"/>
      <c r="B39" s="461" t="s">
        <v>579</v>
      </c>
      <c r="C39" s="460">
        <v>0</v>
      </c>
      <c r="D39" s="460">
        <v>37218</v>
      </c>
    </row>
    <row r="40" spans="1:4" s="149" customFormat="1" ht="45">
      <c r="A40" s="138"/>
      <c r="B40" s="461" t="s">
        <v>580</v>
      </c>
      <c r="C40" s="460">
        <v>0</v>
      </c>
      <c r="D40" s="460">
        <v>38545</v>
      </c>
    </row>
    <row r="41" spans="1:4" s="149" customFormat="1" ht="45">
      <c r="A41" s="138"/>
      <c r="B41" s="461" t="s">
        <v>584</v>
      </c>
      <c r="C41" s="460">
        <v>0</v>
      </c>
      <c r="D41" s="460">
        <v>87377</v>
      </c>
    </row>
    <row r="42" spans="1:4" s="149" customFormat="1">
      <c r="A42" s="138"/>
      <c r="B42" s="461" t="s">
        <v>317</v>
      </c>
      <c r="C42" s="460">
        <v>0</v>
      </c>
      <c r="D42" s="460">
        <v>60000</v>
      </c>
    </row>
    <row r="43" spans="1:4" s="149" customFormat="1" ht="30">
      <c r="A43" s="138"/>
      <c r="B43" s="461" t="s">
        <v>589</v>
      </c>
      <c r="C43" s="460">
        <v>0</v>
      </c>
      <c r="D43" s="460">
        <v>40000</v>
      </c>
    </row>
    <row r="44" spans="1:4" s="149" customFormat="1">
      <c r="A44" s="138"/>
      <c r="B44" s="461" t="s">
        <v>319</v>
      </c>
      <c r="C44" s="460">
        <v>0</v>
      </c>
      <c r="D44" s="460">
        <v>31000</v>
      </c>
    </row>
    <row r="45" spans="1:4" s="149" customFormat="1">
      <c r="A45" s="138"/>
      <c r="B45" s="461" t="s">
        <v>329</v>
      </c>
      <c r="C45" s="460">
        <v>0</v>
      </c>
      <c r="D45" s="460">
        <v>150000</v>
      </c>
    </row>
    <row r="46" spans="1:4" s="149" customFormat="1">
      <c r="A46" s="138"/>
      <c r="B46" s="461"/>
      <c r="C46" s="460"/>
      <c r="D46" s="460"/>
    </row>
    <row r="47" spans="1:4" s="149" customFormat="1">
      <c r="A47" s="138"/>
      <c r="B47" s="464" t="s">
        <v>577</v>
      </c>
      <c r="C47" s="148">
        <v>0</v>
      </c>
      <c r="D47" s="148">
        <v>0</v>
      </c>
    </row>
    <row r="48" spans="1:4">
      <c r="B48" s="155"/>
      <c r="C48" s="146"/>
      <c r="D48" s="146"/>
    </row>
    <row r="49" spans="1:4" ht="30">
      <c r="B49" s="150" t="s">
        <v>197</v>
      </c>
      <c r="C49" s="151">
        <f>C36+C47</f>
        <v>0</v>
      </c>
      <c r="D49" s="151">
        <f>D36+D47</f>
        <v>992116</v>
      </c>
    </row>
    <row r="50" spans="1:4" s="149" customFormat="1">
      <c r="A50" s="138"/>
      <c r="B50" s="156"/>
      <c r="C50" s="157"/>
      <c r="D50" s="157"/>
    </row>
    <row r="51" spans="1:4" s="159" customFormat="1" ht="29.25" customHeight="1">
      <c r="A51" s="158"/>
      <c r="B51" s="147" t="s">
        <v>148</v>
      </c>
      <c r="C51" s="148">
        <f>SUM(C52:C54)</f>
        <v>190283</v>
      </c>
      <c r="D51" s="148">
        <f>SUM(D52:D54)</f>
        <v>190283</v>
      </c>
    </row>
    <row r="52" spans="1:4" s="159" customFormat="1" ht="30">
      <c r="A52" s="158" t="s">
        <v>235</v>
      </c>
      <c r="B52" s="145" t="s">
        <v>237</v>
      </c>
      <c r="C52" s="146">
        <v>93357</v>
      </c>
      <c r="D52" s="146">
        <v>93357</v>
      </c>
    </row>
    <row r="53" spans="1:4" s="161" customFormat="1" ht="30.75" customHeight="1">
      <c r="A53" s="160" t="s">
        <v>102</v>
      </c>
      <c r="B53" s="153" t="s">
        <v>241</v>
      </c>
      <c r="C53" s="146">
        <v>82676</v>
      </c>
      <c r="D53" s="146">
        <v>82676</v>
      </c>
    </row>
    <row r="54" spans="1:4" s="161" customFormat="1">
      <c r="A54" s="160" t="s">
        <v>102</v>
      </c>
      <c r="B54" s="153" t="s">
        <v>242</v>
      </c>
      <c r="C54" s="146">
        <v>14250</v>
      </c>
      <c r="D54" s="146">
        <v>14250</v>
      </c>
    </row>
    <row r="55" spans="1:4">
      <c r="B55" s="145"/>
      <c r="C55" s="146"/>
      <c r="D55" s="146"/>
    </row>
    <row r="56" spans="1:4" s="162" customFormat="1" ht="28.5">
      <c r="A56" s="138"/>
      <c r="B56" s="147" t="s">
        <v>149</v>
      </c>
      <c r="C56" s="148">
        <f>SUM(C57:C59)</f>
        <v>736</v>
      </c>
      <c r="D56" s="148">
        <f>SUM(D57:D59)</f>
        <v>736</v>
      </c>
    </row>
    <row r="57" spans="1:4">
      <c r="A57" s="36" t="s">
        <v>101</v>
      </c>
      <c r="B57" s="145" t="s">
        <v>150</v>
      </c>
      <c r="C57" s="146">
        <v>500</v>
      </c>
      <c r="D57" s="146">
        <v>500</v>
      </c>
    </row>
    <row r="58" spans="1:4">
      <c r="A58" s="138" t="s">
        <v>102</v>
      </c>
      <c r="B58" s="145" t="s">
        <v>198</v>
      </c>
      <c r="C58" s="146">
        <v>56</v>
      </c>
      <c r="D58" s="146">
        <v>56</v>
      </c>
    </row>
    <row r="59" spans="1:4">
      <c r="A59" s="36" t="s">
        <v>101</v>
      </c>
      <c r="B59" s="145" t="s">
        <v>304</v>
      </c>
      <c r="C59" s="146">
        <v>180</v>
      </c>
      <c r="D59" s="146">
        <v>180</v>
      </c>
    </row>
    <row r="60" spans="1:4">
      <c r="B60" s="145"/>
      <c r="C60" s="146"/>
      <c r="D60" s="146"/>
    </row>
    <row r="61" spans="1:4" ht="30">
      <c r="B61" s="150" t="s">
        <v>199</v>
      </c>
      <c r="C61" s="151">
        <f>C51+C56</f>
        <v>191019</v>
      </c>
      <c r="D61" s="151">
        <f>D51+D56</f>
        <v>191019</v>
      </c>
    </row>
    <row r="62" spans="1:4" ht="15.75" thickBot="1">
      <c r="B62" s="163"/>
      <c r="C62" s="164"/>
      <c r="D62" s="164"/>
    </row>
    <row r="63" spans="1:4" ht="29.25" thickBot="1">
      <c r="B63" s="165" t="s">
        <v>151</v>
      </c>
      <c r="C63" s="166">
        <f>C23+C34+C49+C61</f>
        <v>356761</v>
      </c>
      <c r="D63" s="166">
        <f>D23+D34+D49+D61</f>
        <v>2086005</v>
      </c>
    </row>
    <row r="64" spans="1:4">
      <c r="A64" s="158"/>
      <c r="B64" s="196"/>
      <c r="C64" s="197"/>
      <c r="D64" s="197"/>
    </row>
    <row r="65" spans="1:4" ht="15.75" thickBot="1">
      <c r="A65" s="158"/>
      <c r="B65" s="198"/>
      <c r="C65" s="197"/>
      <c r="D65" s="197"/>
    </row>
    <row r="66" spans="1:4" ht="15.75" thickBot="1">
      <c r="B66" s="165" t="s">
        <v>136</v>
      </c>
      <c r="C66" s="167" t="s">
        <v>3</v>
      </c>
      <c r="D66" s="243" t="s">
        <v>401</v>
      </c>
    </row>
    <row r="67" spans="1:4" s="162" customFormat="1">
      <c r="A67" s="138"/>
      <c r="B67" s="143" t="s">
        <v>2</v>
      </c>
      <c r="C67" s="459"/>
      <c r="D67" s="168"/>
    </row>
    <row r="68" spans="1:4">
      <c r="B68" s="145"/>
      <c r="C68" s="458"/>
      <c r="D68" s="146"/>
    </row>
    <row r="69" spans="1:4">
      <c r="B69" s="169" t="s">
        <v>97</v>
      </c>
      <c r="C69" s="170">
        <f>C70</f>
        <v>600</v>
      </c>
      <c r="D69" s="170">
        <f>D70</f>
        <v>600</v>
      </c>
    </row>
    <row r="70" spans="1:4" ht="28.5">
      <c r="B70" s="147" t="s">
        <v>149</v>
      </c>
      <c r="C70" s="148">
        <f>SUM(C71)</f>
        <v>600</v>
      </c>
      <c r="D70" s="148">
        <f>SUM(D71)</f>
        <v>600</v>
      </c>
    </row>
    <row r="71" spans="1:4">
      <c r="B71" s="145" t="s">
        <v>152</v>
      </c>
      <c r="C71" s="146">
        <v>600</v>
      </c>
      <c r="D71" s="146">
        <v>600</v>
      </c>
    </row>
    <row r="72" spans="1:4">
      <c r="B72" s="175"/>
      <c r="C72" s="176"/>
      <c r="D72" s="176"/>
    </row>
    <row r="73" spans="1:4">
      <c r="B73" s="150" t="s">
        <v>159</v>
      </c>
      <c r="C73" s="177">
        <f>C71</f>
        <v>600</v>
      </c>
      <c r="D73" s="177">
        <f>D71</f>
        <v>600</v>
      </c>
    </row>
    <row r="74" spans="1:4">
      <c r="B74" s="145"/>
      <c r="C74" s="146"/>
      <c r="D74" s="146"/>
    </row>
    <row r="75" spans="1:4">
      <c r="B75" s="147" t="s">
        <v>145</v>
      </c>
      <c r="C75" s="148">
        <f>C77+C81+C86+C91</f>
        <v>31037</v>
      </c>
      <c r="D75" s="148">
        <f>D77+D81+D86+D91</f>
        <v>37862</v>
      </c>
    </row>
    <row r="76" spans="1:4">
      <c r="B76" s="462"/>
      <c r="C76" s="463"/>
      <c r="D76" s="463"/>
    </row>
    <row r="77" spans="1:4">
      <c r="B77" s="169" t="s">
        <v>97</v>
      </c>
      <c r="C77" s="170">
        <f>C78</f>
        <v>0</v>
      </c>
      <c r="D77" s="170">
        <f>D78</f>
        <v>5724</v>
      </c>
    </row>
    <row r="78" spans="1:4">
      <c r="B78" s="147" t="s">
        <v>145</v>
      </c>
      <c r="C78" s="148">
        <f>C79</f>
        <v>0</v>
      </c>
      <c r="D78" s="148">
        <f>D79</f>
        <v>5724</v>
      </c>
    </row>
    <row r="79" spans="1:4" s="37" customFormat="1">
      <c r="A79" s="36"/>
      <c r="B79" s="461" t="s">
        <v>588</v>
      </c>
      <c r="C79" s="465">
        <v>0</v>
      </c>
      <c r="D79" s="465">
        <v>5724</v>
      </c>
    </row>
    <row r="80" spans="1:4" s="37" customFormat="1">
      <c r="A80" s="36"/>
      <c r="B80" s="461"/>
      <c r="C80" s="465"/>
      <c r="D80" s="465"/>
    </row>
    <row r="81" spans="1:4">
      <c r="B81" s="169" t="s">
        <v>153</v>
      </c>
      <c r="C81" s="170">
        <f t="shared" ref="C81:D81" si="0">SUM(C82)</f>
        <v>10718</v>
      </c>
      <c r="D81" s="170">
        <f t="shared" si="0"/>
        <v>11125</v>
      </c>
    </row>
    <row r="82" spans="1:4">
      <c r="B82" s="147" t="s">
        <v>145</v>
      </c>
      <c r="C82" s="148">
        <f>SUM(C83:C84)</f>
        <v>10718</v>
      </c>
      <c r="D82" s="148">
        <f>SUM(D83:D84)</f>
        <v>11125</v>
      </c>
    </row>
    <row r="83" spans="1:4">
      <c r="B83" s="145" t="s">
        <v>174</v>
      </c>
      <c r="C83" s="146">
        <v>10718</v>
      </c>
      <c r="D83" s="146">
        <v>10718</v>
      </c>
    </row>
    <row r="84" spans="1:4" s="37" customFormat="1">
      <c r="A84" s="36"/>
      <c r="B84" s="461" t="s">
        <v>588</v>
      </c>
      <c r="C84" s="465">
        <v>0</v>
      </c>
      <c r="D84" s="465">
        <v>407</v>
      </c>
    </row>
    <row r="85" spans="1:4">
      <c r="B85" s="145"/>
      <c r="C85" s="146"/>
      <c r="D85" s="146"/>
    </row>
    <row r="86" spans="1:4" s="162" customFormat="1">
      <c r="A86" s="138"/>
      <c r="B86" s="169" t="s">
        <v>154</v>
      </c>
      <c r="C86" s="170">
        <f>SUM(C87)</f>
        <v>10798</v>
      </c>
      <c r="D86" s="170">
        <f>SUM(D87)</f>
        <v>11205</v>
      </c>
    </row>
    <row r="87" spans="1:4">
      <c r="B87" s="147" t="s">
        <v>145</v>
      </c>
      <c r="C87" s="148">
        <f>SUM(C88:C89)</f>
        <v>10798</v>
      </c>
      <c r="D87" s="148">
        <f>SUM(D88:D89)</f>
        <v>11205</v>
      </c>
    </row>
    <row r="88" spans="1:4" s="149" customFormat="1">
      <c r="A88" s="138"/>
      <c r="B88" s="145" t="s">
        <v>155</v>
      </c>
      <c r="C88" s="146">
        <v>10798</v>
      </c>
      <c r="D88" s="146">
        <v>10798</v>
      </c>
    </row>
    <row r="89" spans="1:4" s="37" customFormat="1">
      <c r="A89" s="36"/>
      <c r="B89" s="461" t="s">
        <v>588</v>
      </c>
      <c r="C89" s="465">
        <v>0</v>
      </c>
      <c r="D89" s="465">
        <v>407</v>
      </c>
    </row>
    <row r="90" spans="1:4">
      <c r="B90" s="145"/>
      <c r="C90" s="146"/>
      <c r="D90" s="146"/>
    </row>
    <row r="91" spans="1:4">
      <c r="B91" s="169" t="s">
        <v>156</v>
      </c>
      <c r="C91" s="170">
        <f t="shared" ref="C91:D91" si="1">SUM(C92)</f>
        <v>9521</v>
      </c>
      <c r="D91" s="170">
        <f t="shared" si="1"/>
        <v>9808</v>
      </c>
    </row>
    <row r="92" spans="1:4" s="172" customFormat="1">
      <c r="A92" s="171"/>
      <c r="B92" s="147" t="s">
        <v>145</v>
      </c>
      <c r="C92" s="148">
        <f>SUM(C93:C94)</f>
        <v>9521</v>
      </c>
      <c r="D92" s="148">
        <f>SUM(D93:D94)</f>
        <v>9808</v>
      </c>
    </row>
    <row r="93" spans="1:4">
      <c r="B93" s="145" t="s">
        <v>157</v>
      </c>
      <c r="C93" s="146">
        <v>9521</v>
      </c>
      <c r="D93" s="146">
        <v>9521</v>
      </c>
    </row>
    <row r="94" spans="1:4" s="37" customFormat="1">
      <c r="A94" s="36"/>
      <c r="B94" s="461" t="s">
        <v>588</v>
      </c>
      <c r="C94" s="465">
        <v>0</v>
      </c>
      <c r="D94" s="465">
        <v>287</v>
      </c>
    </row>
    <row r="95" spans="1:4" s="172" customFormat="1">
      <c r="A95" s="171"/>
      <c r="B95" s="145"/>
      <c r="C95" s="146"/>
      <c r="D95" s="146"/>
    </row>
    <row r="96" spans="1:4">
      <c r="B96" s="150" t="s">
        <v>158</v>
      </c>
      <c r="C96" s="151">
        <f>C81+C86+C91+C77</f>
        <v>31037</v>
      </c>
      <c r="D96" s="151">
        <f>D81+D86+D91+D77</f>
        <v>37862</v>
      </c>
    </row>
    <row r="97" spans="2:4" ht="15.75" customHeight="1" thickBot="1">
      <c r="B97" s="145"/>
      <c r="C97" s="146"/>
      <c r="D97" s="146"/>
    </row>
    <row r="98" spans="2:4" ht="43.5" thickBot="1">
      <c r="B98" s="165" t="s">
        <v>160</v>
      </c>
      <c r="C98" s="166">
        <f>SUM(C96,C73)</f>
        <v>31637</v>
      </c>
      <c r="D98" s="166">
        <f>SUM(D96,D73)</f>
        <v>38462</v>
      </c>
    </row>
  </sheetData>
  <mergeCells count="1">
    <mergeCell ref="B1:D2"/>
  </mergeCells>
  <printOptions horizontalCentered="1"/>
  <pageMargins left="0.47244094488188981" right="0.47244094488188981" top="0.94488188976377963" bottom="0.74803149606299213" header="0.51181102362204722" footer="0.51181102362204722"/>
  <pageSetup paperSize="9" scale="80" firstPageNumber="0" fitToWidth="0" orientation="portrait" r:id="rId1"/>
  <headerFooter alignWithMargins="0">
    <oddHeader xml:space="preserve">&amp;L11. melléklet a 8/2018.(IV.25.)  önkormányzati rendelethez
11. melléklet a 27/2017(XII.21.) önkormányzati rendelethez
</oddHeader>
  </headerFooter>
  <rowBreaks count="1" manualBreakCount="1">
    <brk id="65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view="pageLayout" zoomScaleNormal="100" workbookViewId="0">
      <selection sqref="A1:B1"/>
    </sheetView>
  </sheetViews>
  <sheetFormatPr defaultRowHeight="12.75"/>
  <cols>
    <col min="1" max="1" width="43.85546875" customWidth="1"/>
    <col min="2" max="3" width="17.5703125" bestFit="1" customWidth="1"/>
  </cols>
  <sheetData>
    <row r="1" spans="1:3">
      <c r="A1" s="1201" t="s">
        <v>695</v>
      </c>
      <c r="B1" s="1201"/>
      <c r="C1" s="678"/>
    </row>
    <row r="2" spans="1:3" ht="15.75" thickBot="1">
      <c r="A2" s="679"/>
      <c r="B2" s="680"/>
      <c r="C2" s="680"/>
    </row>
    <row r="3" spans="1:3" ht="26.25" thickBot="1">
      <c r="A3" s="1202" t="s">
        <v>696</v>
      </c>
      <c r="B3" s="681" t="s">
        <v>697</v>
      </c>
      <c r="C3" s="682" t="s">
        <v>697</v>
      </c>
    </row>
    <row r="4" spans="1:3" ht="13.5" thickBot="1">
      <c r="A4" s="1203"/>
      <c r="B4" s="683" t="s">
        <v>3</v>
      </c>
      <c r="C4" s="683" t="s">
        <v>402</v>
      </c>
    </row>
    <row r="5" spans="1:3" ht="18.75" customHeight="1">
      <c r="A5" s="684" t="s">
        <v>698</v>
      </c>
      <c r="B5" s="685">
        <v>22</v>
      </c>
      <c r="C5" s="685">
        <v>22</v>
      </c>
    </row>
    <row r="6" spans="1:3" ht="11.25" customHeight="1">
      <c r="A6" s="686" t="s">
        <v>662</v>
      </c>
      <c r="B6" s="687">
        <v>18.75</v>
      </c>
      <c r="C6" s="687">
        <v>18.75</v>
      </c>
    </row>
    <row r="7" spans="1:3">
      <c r="A7" s="686" t="s">
        <v>699</v>
      </c>
      <c r="B7" s="687">
        <v>3.5</v>
      </c>
      <c r="C7" s="687">
        <v>3.5</v>
      </c>
    </row>
    <row r="8" spans="1:3">
      <c r="A8" s="688" t="s">
        <v>700</v>
      </c>
      <c r="B8" s="689">
        <v>22.25</v>
      </c>
      <c r="C8" s="689">
        <f>SUM(C6:C7)</f>
        <v>22.25</v>
      </c>
    </row>
    <row r="9" spans="1:3">
      <c r="A9" s="686" t="s">
        <v>701</v>
      </c>
      <c r="B9" s="687">
        <v>23</v>
      </c>
      <c r="C9" s="687">
        <v>23</v>
      </c>
    </row>
    <row r="10" spans="1:3">
      <c r="A10" s="686" t="s">
        <v>664</v>
      </c>
      <c r="B10" s="687">
        <v>13</v>
      </c>
      <c r="C10" s="687">
        <v>13</v>
      </c>
    </row>
    <row r="11" spans="1:3">
      <c r="A11" s="686" t="s">
        <v>702</v>
      </c>
      <c r="B11" s="687">
        <v>18</v>
      </c>
      <c r="C11" s="687">
        <v>18</v>
      </c>
    </row>
    <row r="12" spans="1:3">
      <c r="A12" s="686" t="s">
        <v>703</v>
      </c>
      <c r="B12" s="687">
        <v>7</v>
      </c>
      <c r="C12" s="687">
        <v>7</v>
      </c>
    </row>
    <row r="13" spans="1:3">
      <c r="A13" s="688" t="s">
        <v>704</v>
      </c>
      <c r="B13" s="689">
        <f>SUM(B11:B12)</f>
        <v>25</v>
      </c>
      <c r="C13" s="689">
        <f>SUM(C11:C12)</f>
        <v>25</v>
      </c>
    </row>
    <row r="14" spans="1:3">
      <c r="A14" s="688" t="s">
        <v>705</v>
      </c>
      <c r="B14" s="689">
        <f>SUM(B5,B8,B9,B10,B13)</f>
        <v>105.25</v>
      </c>
      <c r="C14" s="689">
        <f>SUM(C5,C8,C9,C10,C13)</f>
        <v>105.25</v>
      </c>
    </row>
    <row r="15" spans="1:3">
      <c r="A15" s="686" t="s">
        <v>706</v>
      </c>
      <c r="B15" s="687">
        <v>39.5</v>
      </c>
      <c r="C15" s="687">
        <v>39.5</v>
      </c>
    </row>
    <row r="16" spans="1:3">
      <c r="A16" s="686" t="s">
        <v>707</v>
      </c>
      <c r="B16" s="687">
        <v>9.5</v>
      </c>
      <c r="C16" s="687">
        <v>9.5</v>
      </c>
    </row>
    <row r="17" spans="1:3">
      <c r="A17" s="686" t="s">
        <v>681</v>
      </c>
      <c r="B17" s="687">
        <v>14.5</v>
      </c>
      <c r="C17" s="687">
        <v>14.5</v>
      </c>
    </row>
    <row r="18" spans="1:3">
      <c r="A18" s="686" t="s">
        <v>708</v>
      </c>
      <c r="B18" s="687">
        <v>10</v>
      </c>
      <c r="C18" s="687">
        <v>11</v>
      </c>
    </row>
    <row r="19" spans="1:3">
      <c r="A19" s="690" t="s">
        <v>709</v>
      </c>
      <c r="B19" s="687">
        <v>42</v>
      </c>
      <c r="C19" s="687">
        <v>42</v>
      </c>
    </row>
    <row r="20" spans="1:3" ht="27">
      <c r="A20" s="691" t="s">
        <v>710</v>
      </c>
      <c r="B20" s="692">
        <f>SUM(B14,B15,B16,B17,B18)</f>
        <v>178.75</v>
      </c>
      <c r="C20" s="692">
        <f>SUM(C14,C15,C16,C17,C18)</f>
        <v>179.75</v>
      </c>
    </row>
    <row r="21" spans="1:3">
      <c r="A21" s="693" t="s">
        <v>711</v>
      </c>
      <c r="B21" s="694">
        <f>SUM(B19:B20)</f>
        <v>220.75</v>
      </c>
      <c r="C21" s="694">
        <f>SUM(C19:C20)</f>
        <v>221.75</v>
      </c>
    </row>
    <row r="22" spans="1:3">
      <c r="A22" s="686"/>
      <c r="B22" s="687"/>
      <c r="C22" s="687"/>
    </row>
    <row r="23" spans="1:3">
      <c r="A23" s="693" t="s">
        <v>70</v>
      </c>
      <c r="B23" s="687"/>
      <c r="C23" s="687"/>
    </row>
    <row r="24" spans="1:3">
      <c r="A24" s="686" t="s">
        <v>712</v>
      </c>
      <c r="B24" s="695">
        <v>83</v>
      </c>
      <c r="C24" s="695">
        <v>83</v>
      </c>
    </row>
    <row r="25" spans="1:3">
      <c r="A25" s="696" t="s">
        <v>713</v>
      </c>
      <c r="B25" s="687">
        <v>5</v>
      </c>
      <c r="C25" s="687">
        <v>5</v>
      </c>
    </row>
    <row r="26" spans="1:3">
      <c r="A26" s="686" t="s">
        <v>714</v>
      </c>
      <c r="B26" s="687">
        <v>3</v>
      </c>
      <c r="C26" s="687">
        <v>3</v>
      </c>
    </row>
    <row r="27" spans="1:3">
      <c r="A27" s="686" t="s">
        <v>715</v>
      </c>
      <c r="B27" s="687">
        <v>6</v>
      </c>
      <c r="C27" s="687">
        <v>6</v>
      </c>
    </row>
    <row r="28" spans="1:3">
      <c r="A28" s="693" t="s">
        <v>716</v>
      </c>
      <c r="B28" s="694">
        <f>SUM(B24:B27)</f>
        <v>97</v>
      </c>
      <c r="C28" s="694">
        <f>SUM(C24:C27)</f>
        <v>97</v>
      </c>
    </row>
    <row r="29" spans="1:3">
      <c r="A29" s="693"/>
      <c r="B29" s="687"/>
      <c r="C29" s="687"/>
    </row>
    <row r="30" spans="1:3">
      <c r="A30" s="693" t="s">
        <v>717</v>
      </c>
      <c r="B30" s="694">
        <v>2</v>
      </c>
      <c r="C30" s="694">
        <v>2</v>
      </c>
    </row>
    <row r="31" spans="1:3">
      <c r="A31" s="686"/>
      <c r="B31" s="687"/>
      <c r="C31" s="687"/>
    </row>
    <row r="32" spans="1:3" ht="13.5" thickBot="1">
      <c r="A32" s="697" t="s">
        <v>61</v>
      </c>
      <c r="B32" s="698">
        <f>SUM(B21+B28+B30)</f>
        <v>319.75</v>
      </c>
      <c r="C32" s="698">
        <f>SUM(C21+C28+C30)</f>
        <v>320.75</v>
      </c>
    </row>
    <row r="33" spans="1:3" ht="18.75">
      <c r="A33" s="699"/>
      <c r="B33" s="700"/>
      <c r="C33" s="700"/>
    </row>
    <row r="34" spans="1:3" ht="15.75">
      <c r="A34" s="701"/>
      <c r="B34" s="14"/>
      <c r="C34" s="14"/>
    </row>
    <row r="35" spans="1:3">
      <c r="A35" s="1204" t="s">
        <v>718</v>
      </c>
      <c r="B35" s="1204"/>
      <c r="C35" s="702"/>
    </row>
    <row r="36" spans="1:3" ht="13.5" thickBot="1">
      <c r="A36" s="14"/>
      <c r="B36" s="14"/>
      <c r="C36" s="14"/>
    </row>
    <row r="37" spans="1:3" ht="13.5" thickBot="1">
      <c r="A37" s="1205" t="s">
        <v>2</v>
      </c>
      <c r="B37" s="794" t="s">
        <v>719</v>
      </c>
      <c r="C37" s="795" t="s">
        <v>719</v>
      </c>
    </row>
    <row r="38" spans="1:3" ht="13.5" thickBot="1">
      <c r="A38" s="1206"/>
      <c r="B38" s="799" t="s">
        <v>3</v>
      </c>
      <c r="C38" s="683" t="s">
        <v>402</v>
      </c>
    </row>
    <row r="39" spans="1:3">
      <c r="A39" s="797" t="s">
        <v>720</v>
      </c>
      <c r="B39" s="800">
        <v>90</v>
      </c>
      <c r="C39" s="703">
        <v>90</v>
      </c>
    </row>
    <row r="40" spans="1:3" ht="13.5" thickBot="1">
      <c r="A40" s="798" t="s">
        <v>721</v>
      </c>
      <c r="B40" s="801">
        <f>SUM(B39)</f>
        <v>90</v>
      </c>
      <c r="C40" s="796">
        <v>90</v>
      </c>
    </row>
  </sheetData>
  <mergeCells count="4">
    <mergeCell ref="A1:B1"/>
    <mergeCell ref="A3:A4"/>
    <mergeCell ref="A35:B35"/>
    <mergeCell ref="A37:A38"/>
  </mergeCells>
  <pageMargins left="0.7" right="0.7" top="0.75" bottom="0.75" header="0.3" footer="0.3"/>
  <pageSetup paperSize="9" orientation="portrait" r:id="rId1"/>
  <headerFooter>
    <oddHeader>&amp;L12. melléklet a 8/2018.(IV.25.) önkormányzati rendelethez
12. melléklet a 27/2017.(XII.21.)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Layout" zoomScaleNormal="100" workbookViewId="0">
      <selection sqref="A1:H1"/>
    </sheetView>
  </sheetViews>
  <sheetFormatPr defaultRowHeight="12.75"/>
  <cols>
    <col min="2" max="2" width="18.85546875" customWidth="1"/>
    <col min="3" max="4" width="14.28515625" customWidth="1"/>
    <col min="5" max="6" width="16.7109375" customWidth="1"/>
    <col min="7" max="9" width="19.85546875" customWidth="1"/>
  </cols>
  <sheetData>
    <row r="1" spans="1:9">
      <c r="A1" s="1207" t="s">
        <v>200</v>
      </c>
      <c r="B1" s="1208"/>
      <c r="C1" s="1208"/>
      <c r="D1" s="1208"/>
      <c r="E1" s="1208"/>
      <c r="F1" s="1208"/>
      <c r="G1" s="1208"/>
      <c r="H1" s="1209"/>
      <c r="I1" s="244"/>
    </row>
    <row r="2" spans="1:9">
      <c r="A2" s="1210" t="s">
        <v>227</v>
      </c>
      <c r="B2" s="1211"/>
      <c r="C2" s="1211"/>
      <c r="D2" s="1211"/>
      <c r="E2" s="1211"/>
      <c r="F2" s="1211"/>
      <c r="G2" s="1211"/>
      <c r="H2" s="1212"/>
      <c r="I2" s="245"/>
    </row>
    <row r="3" spans="1:9">
      <c r="A3" s="1215"/>
      <c r="B3" s="1216"/>
      <c r="C3" s="1216"/>
      <c r="D3" s="1216"/>
      <c r="E3" s="1216"/>
      <c r="F3" s="1217"/>
      <c r="G3" s="1217"/>
      <c r="H3" s="770"/>
      <c r="I3" s="245"/>
    </row>
    <row r="4" spans="1:9" ht="15.75">
      <c r="A4" s="771"/>
      <c r="B4" s="772"/>
      <c r="C4" s="772"/>
      <c r="D4" s="772"/>
      <c r="E4" s="772"/>
      <c r="F4" s="773"/>
      <c r="G4" s="774"/>
      <c r="H4" s="775"/>
      <c r="I4" s="246"/>
    </row>
    <row r="5" spans="1:9" ht="12.75" customHeight="1">
      <c r="A5" s="1218" t="s">
        <v>2</v>
      </c>
      <c r="B5" s="1219"/>
      <c r="C5" s="1220" t="s">
        <v>216</v>
      </c>
      <c r="D5" s="1219"/>
      <c r="E5" s="1220" t="s">
        <v>217</v>
      </c>
      <c r="F5" s="1219"/>
      <c r="G5" s="1220" t="s">
        <v>106</v>
      </c>
      <c r="H5" s="1221"/>
      <c r="I5" s="247"/>
    </row>
    <row r="6" spans="1:9" ht="12.75" customHeight="1">
      <c r="A6" s="776"/>
      <c r="B6" s="777"/>
      <c r="C6" s="778" t="s">
        <v>4</v>
      </c>
      <c r="D6" s="778" t="s">
        <v>402</v>
      </c>
      <c r="E6" s="778" t="s">
        <v>4</v>
      </c>
      <c r="F6" s="778" t="s">
        <v>402</v>
      </c>
      <c r="G6" s="778" t="s">
        <v>4</v>
      </c>
      <c r="H6" s="779" t="s">
        <v>402</v>
      </c>
      <c r="I6" s="247"/>
    </row>
    <row r="7" spans="1:9">
      <c r="A7" s="1213" t="s">
        <v>203</v>
      </c>
      <c r="B7" s="1214"/>
      <c r="C7" s="780">
        <v>105091</v>
      </c>
      <c r="D7" s="780">
        <v>105091</v>
      </c>
      <c r="E7" s="780">
        <v>536822</v>
      </c>
      <c r="F7" s="781">
        <v>536822</v>
      </c>
      <c r="G7" s="782">
        <f>C7+E7</f>
        <v>641913</v>
      </c>
      <c r="H7" s="785">
        <f>D7+F7</f>
        <v>641913</v>
      </c>
      <c r="I7" s="248"/>
    </row>
    <row r="8" spans="1:9">
      <c r="A8" s="783"/>
      <c r="B8" s="784" t="s">
        <v>201</v>
      </c>
      <c r="C8" s="780">
        <v>43788</v>
      </c>
      <c r="D8" s="780">
        <v>43788</v>
      </c>
      <c r="E8" s="780">
        <v>107279</v>
      </c>
      <c r="F8" s="781">
        <v>107279</v>
      </c>
      <c r="G8" s="782">
        <f>C8+E8</f>
        <v>151067</v>
      </c>
      <c r="H8" s="785">
        <f>D8+F8</f>
        <v>151067</v>
      </c>
      <c r="I8" s="248"/>
    </row>
    <row r="9" spans="1:9">
      <c r="A9" s="783"/>
      <c r="B9" s="784" t="s">
        <v>202</v>
      </c>
      <c r="C9" s="780">
        <v>1089</v>
      </c>
      <c r="D9" s="780">
        <v>1089</v>
      </c>
      <c r="E9" s="780">
        <v>5956</v>
      </c>
      <c r="F9" s="781">
        <v>5956</v>
      </c>
      <c r="G9" s="782">
        <f t="shared" ref="G9:G27" si="0">C9+E9</f>
        <v>7045</v>
      </c>
      <c r="H9" s="785">
        <f t="shared" ref="H9:H27" si="1">D9+F9</f>
        <v>7045</v>
      </c>
      <c r="I9" s="248"/>
    </row>
    <row r="10" spans="1:9">
      <c r="A10" s="1213" t="s">
        <v>204</v>
      </c>
      <c r="B10" s="1214"/>
      <c r="C10" s="780">
        <f>C7-C8</f>
        <v>61303</v>
      </c>
      <c r="D10" s="780">
        <f>D7-D8</f>
        <v>61303</v>
      </c>
      <c r="E10" s="780">
        <f>E7-E8</f>
        <v>429543</v>
      </c>
      <c r="F10" s="780">
        <f>F7-F8</f>
        <v>429543</v>
      </c>
      <c r="G10" s="782">
        <f t="shared" si="0"/>
        <v>490846</v>
      </c>
      <c r="H10" s="785">
        <f t="shared" si="1"/>
        <v>490846</v>
      </c>
      <c r="I10" s="248"/>
    </row>
    <row r="11" spans="1:9">
      <c r="A11" s="783"/>
      <c r="B11" s="784" t="s">
        <v>201</v>
      </c>
      <c r="C11" s="780">
        <v>35030</v>
      </c>
      <c r="D11" s="780">
        <v>35030</v>
      </c>
      <c r="E11" s="780">
        <v>71519</v>
      </c>
      <c r="F11" s="781">
        <v>71519</v>
      </c>
      <c r="G11" s="782">
        <f t="shared" si="0"/>
        <v>106549</v>
      </c>
      <c r="H11" s="785">
        <f t="shared" si="1"/>
        <v>106549</v>
      </c>
      <c r="I11" s="248"/>
    </row>
    <row r="12" spans="1:9">
      <c r="A12" s="783"/>
      <c r="B12" s="784" t="s">
        <v>202</v>
      </c>
      <c r="C12" s="780">
        <v>478</v>
      </c>
      <c r="D12" s="780">
        <v>478</v>
      </c>
      <c r="E12" s="780">
        <v>3964</v>
      </c>
      <c r="F12" s="781">
        <v>3964</v>
      </c>
      <c r="G12" s="782">
        <f t="shared" si="0"/>
        <v>4442</v>
      </c>
      <c r="H12" s="785">
        <f t="shared" si="1"/>
        <v>4442</v>
      </c>
      <c r="I12" s="248"/>
    </row>
    <row r="13" spans="1:9">
      <c r="A13" s="1213" t="s">
        <v>205</v>
      </c>
      <c r="B13" s="1214"/>
      <c r="C13" s="780">
        <f>C10-C11</f>
        <v>26273</v>
      </c>
      <c r="D13" s="780">
        <f>D10-D11</f>
        <v>26273</v>
      </c>
      <c r="E13" s="780">
        <f>E10-E11</f>
        <v>358024</v>
      </c>
      <c r="F13" s="780">
        <f>F10-F11</f>
        <v>358024</v>
      </c>
      <c r="G13" s="782">
        <f t="shared" si="0"/>
        <v>384297</v>
      </c>
      <c r="H13" s="785">
        <f t="shared" si="1"/>
        <v>384297</v>
      </c>
      <c r="I13" s="248"/>
    </row>
    <row r="14" spans="1:9">
      <c r="A14" s="783"/>
      <c r="B14" s="784" t="s">
        <v>201</v>
      </c>
      <c r="C14" s="780">
        <v>26273</v>
      </c>
      <c r="D14" s="780">
        <v>26273</v>
      </c>
      <c r="E14" s="780">
        <v>71519</v>
      </c>
      <c r="F14" s="781">
        <v>71519</v>
      </c>
      <c r="G14" s="782">
        <f t="shared" si="0"/>
        <v>97792</v>
      </c>
      <c r="H14" s="785">
        <f t="shared" si="1"/>
        <v>97792</v>
      </c>
      <c r="I14" s="248"/>
    </row>
    <row r="15" spans="1:9">
      <c r="A15" s="783"/>
      <c r="B15" s="784" t="s">
        <v>202</v>
      </c>
      <c r="C15" s="780">
        <v>130</v>
      </c>
      <c r="D15" s="780">
        <v>130</v>
      </c>
      <c r="E15" s="780">
        <v>3284</v>
      </c>
      <c r="F15" s="781">
        <v>3284</v>
      </c>
      <c r="G15" s="782">
        <f t="shared" si="0"/>
        <v>3414</v>
      </c>
      <c r="H15" s="785">
        <f t="shared" si="1"/>
        <v>3414</v>
      </c>
      <c r="I15" s="248"/>
    </row>
    <row r="16" spans="1:9">
      <c r="A16" s="1213" t="s">
        <v>206</v>
      </c>
      <c r="B16" s="1214"/>
      <c r="C16" s="780"/>
      <c r="D16" s="780"/>
      <c r="E16" s="780">
        <f>E13-E14</f>
        <v>286505</v>
      </c>
      <c r="F16" s="780">
        <f>F13-F14</f>
        <v>286505</v>
      </c>
      <c r="G16" s="782">
        <f t="shared" si="0"/>
        <v>286505</v>
      </c>
      <c r="H16" s="785">
        <f t="shared" si="1"/>
        <v>286505</v>
      </c>
      <c r="I16" s="248"/>
    </row>
    <row r="17" spans="1:9">
      <c r="A17" s="783"/>
      <c r="B17" s="784" t="s">
        <v>201</v>
      </c>
      <c r="C17" s="780"/>
      <c r="D17" s="780"/>
      <c r="E17" s="780">
        <v>71519</v>
      </c>
      <c r="F17" s="781">
        <v>71519</v>
      </c>
      <c r="G17" s="782">
        <f t="shared" si="0"/>
        <v>71519</v>
      </c>
      <c r="H17" s="785">
        <f t="shared" si="1"/>
        <v>71519</v>
      </c>
      <c r="I17" s="248"/>
    </row>
    <row r="18" spans="1:9">
      <c r="A18" s="783"/>
      <c r="B18" s="784" t="s">
        <v>202</v>
      </c>
      <c r="C18" s="780"/>
      <c r="D18" s="780"/>
      <c r="E18" s="780">
        <v>2586</v>
      </c>
      <c r="F18" s="781">
        <v>2586</v>
      </c>
      <c r="G18" s="782">
        <f t="shared" si="0"/>
        <v>2586</v>
      </c>
      <c r="H18" s="785">
        <f t="shared" si="1"/>
        <v>2586</v>
      </c>
      <c r="I18" s="248"/>
    </row>
    <row r="19" spans="1:9">
      <c r="A19" s="1213" t="s">
        <v>207</v>
      </c>
      <c r="B19" s="1214"/>
      <c r="C19" s="780"/>
      <c r="D19" s="780"/>
      <c r="E19" s="780">
        <f>E16-E17</f>
        <v>214986</v>
      </c>
      <c r="F19" s="780">
        <f>F16-F17</f>
        <v>214986</v>
      </c>
      <c r="G19" s="782">
        <f t="shared" si="0"/>
        <v>214986</v>
      </c>
      <c r="H19" s="785">
        <f t="shared" si="1"/>
        <v>214986</v>
      </c>
      <c r="I19" s="248"/>
    </row>
    <row r="20" spans="1:9">
      <c r="A20" s="783"/>
      <c r="B20" s="784" t="s">
        <v>201</v>
      </c>
      <c r="C20" s="780"/>
      <c r="D20" s="780"/>
      <c r="E20" s="780">
        <v>71519</v>
      </c>
      <c r="F20" s="781">
        <v>71519</v>
      </c>
      <c r="G20" s="782">
        <f t="shared" si="0"/>
        <v>71519</v>
      </c>
      <c r="H20" s="785">
        <f t="shared" si="1"/>
        <v>71519</v>
      </c>
      <c r="I20" s="248"/>
    </row>
    <row r="21" spans="1:9">
      <c r="A21" s="783"/>
      <c r="B21" s="784" t="s">
        <v>202</v>
      </c>
      <c r="C21" s="780"/>
      <c r="D21" s="780"/>
      <c r="E21" s="780">
        <v>1897</v>
      </c>
      <c r="F21" s="781">
        <v>1897</v>
      </c>
      <c r="G21" s="782">
        <f t="shared" si="0"/>
        <v>1897</v>
      </c>
      <c r="H21" s="785">
        <f t="shared" si="1"/>
        <v>1897</v>
      </c>
      <c r="I21" s="248"/>
    </row>
    <row r="22" spans="1:9">
      <c r="A22" s="1213" t="s">
        <v>208</v>
      </c>
      <c r="B22" s="1214"/>
      <c r="C22" s="780"/>
      <c r="D22" s="780"/>
      <c r="E22" s="780">
        <f>E19-E20</f>
        <v>143467</v>
      </c>
      <c r="F22" s="780">
        <f>F19-F20</f>
        <v>143467</v>
      </c>
      <c r="G22" s="782">
        <f t="shared" si="0"/>
        <v>143467</v>
      </c>
      <c r="H22" s="785">
        <f t="shared" si="1"/>
        <v>143467</v>
      </c>
      <c r="I22" s="248"/>
    </row>
    <row r="23" spans="1:9">
      <c r="A23" s="783"/>
      <c r="B23" s="784" t="s">
        <v>201</v>
      </c>
      <c r="C23" s="780"/>
      <c r="D23" s="780"/>
      <c r="E23" s="780">
        <v>71519</v>
      </c>
      <c r="F23" s="781">
        <v>71519</v>
      </c>
      <c r="G23" s="782">
        <f t="shared" si="0"/>
        <v>71519</v>
      </c>
      <c r="H23" s="785">
        <f t="shared" si="1"/>
        <v>71519</v>
      </c>
      <c r="I23" s="248"/>
    </row>
    <row r="24" spans="1:9">
      <c r="A24" s="783"/>
      <c r="B24" s="784" t="s">
        <v>202</v>
      </c>
      <c r="C24" s="780"/>
      <c r="D24" s="780"/>
      <c r="E24" s="780">
        <v>1208</v>
      </c>
      <c r="F24" s="781">
        <v>1208</v>
      </c>
      <c r="G24" s="782">
        <f t="shared" si="0"/>
        <v>1208</v>
      </c>
      <c r="H24" s="785">
        <f t="shared" si="1"/>
        <v>1208</v>
      </c>
      <c r="I24" s="248"/>
    </row>
    <row r="25" spans="1:9">
      <c r="A25" s="1213" t="s">
        <v>209</v>
      </c>
      <c r="B25" s="1214"/>
      <c r="C25" s="780"/>
      <c r="D25" s="780"/>
      <c r="E25" s="780">
        <f>E22-E23</f>
        <v>71948</v>
      </c>
      <c r="F25" s="780">
        <f>F22-F23</f>
        <v>71948</v>
      </c>
      <c r="G25" s="782">
        <f t="shared" si="0"/>
        <v>71948</v>
      </c>
      <c r="H25" s="785">
        <f t="shared" si="1"/>
        <v>71948</v>
      </c>
      <c r="I25" s="248"/>
    </row>
    <row r="26" spans="1:9">
      <c r="A26" s="783"/>
      <c r="B26" s="784" t="s">
        <v>201</v>
      </c>
      <c r="C26" s="780"/>
      <c r="D26" s="780"/>
      <c r="E26" s="780">
        <v>71948</v>
      </c>
      <c r="F26" s="781">
        <v>71948</v>
      </c>
      <c r="G26" s="782">
        <f t="shared" si="0"/>
        <v>71948</v>
      </c>
      <c r="H26" s="785">
        <f t="shared" si="1"/>
        <v>71948</v>
      </c>
      <c r="I26" s="248"/>
    </row>
    <row r="27" spans="1:9" ht="13.5" thickBot="1">
      <c r="A27" s="786"/>
      <c r="B27" s="787" t="s">
        <v>202</v>
      </c>
      <c r="C27" s="788"/>
      <c r="D27" s="788"/>
      <c r="E27" s="788">
        <v>521</v>
      </c>
      <c r="F27" s="789">
        <v>521</v>
      </c>
      <c r="G27" s="790">
        <f t="shared" si="0"/>
        <v>521</v>
      </c>
      <c r="H27" s="791">
        <f t="shared" si="1"/>
        <v>521</v>
      </c>
      <c r="I27" s="248"/>
    </row>
  </sheetData>
  <mergeCells count="14">
    <mergeCell ref="A1:H1"/>
    <mergeCell ref="A2:H2"/>
    <mergeCell ref="A25:B25"/>
    <mergeCell ref="A3:G3"/>
    <mergeCell ref="A5:B5"/>
    <mergeCell ref="A7:B7"/>
    <mergeCell ref="A10:B10"/>
    <mergeCell ref="A13:B13"/>
    <mergeCell ref="A16:B16"/>
    <mergeCell ref="A19:B19"/>
    <mergeCell ref="A22:B22"/>
    <mergeCell ref="C5:D5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&amp;L13. melléklet a 8/2018.(IV.25.)  önkormányzati rendelethez
13. melléklet a 27/2017. (XII.21.)  önkormányzati rendelethez
&amp;C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Layout" zoomScaleNormal="100" workbookViewId="0">
      <selection sqref="A1:J1"/>
    </sheetView>
  </sheetViews>
  <sheetFormatPr defaultRowHeight="12.75"/>
  <cols>
    <col min="1" max="1" width="20.42578125" customWidth="1"/>
    <col min="2" max="9" width="10.140625" bestFit="1" customWidth="1"/>
    <col min="10" max="10" width="11.28515625" bestFit="1" customWidth="1"/>
    <col min="11" max="11" width="10.140625" bestFit="1" customWidth="1"/>
  </cols>
  <sheetData>
    <row r="1" spans="1:11" ht="14.25">
      <c r="A1" s="1222" t="s">
        <v>722</v>
      </c>
      <c r="B1" s="1222"/>
      <c r="C1" s="1222"/>
      <c r="D1" s="1222"/>
      <c r="E1" s="1222"/>
      <c r="F1" s="1222"/>
      <c r="G1" s="1222"/>
      <c r="H1" s="1222"/>
      <c r="I1" s="1222"/>
      <c r="J1" s="1222"/>
    </row>
    <row r="2" spans="1:11" ht="15.75" thickBot="1">
      <c r="A2" s="704"/>
      <c r="B2" s="704"/>
      <c r="C2" s="704"/>
      <c r="D2" s="704"/>
      <c r="E2" s="704"/>
      <c r="F2" s="704"/>
      <c r="G2" s="704"/>
      <c r="H2" s="704"/>
      <c r="I2" s="704"/>
      <c r="J2" s="704"/>
    </row>
    <row r="3" spans="1:11" ht="64.5" thickTop="1" thickBot="1">
      <c r="A3" s="705" t="s">
        <v>2</v>
      </c>
      <c r="B3" s="706" t="s">
        <v>723</v>
      </c>
      <c r="C3" s="706" t="s">
        <v>724</v>
      </c>
      <c r="D3" s="706" t="s">
        <v>725</v>
      </c>
      <c r="E3" s="706" t="s">
        <v>726</v>
      </c>
      <c r="F3" s="706" t="s">
        <v>727</v>
      </c>
      <c r="G3" s="706" t="s">
        <v>728</v>
      </c>
      <c r="H3" s="706" t="s">
        <v>729</v>
      </c>
      <c r="I3" s="706" t="s">
        <v>730</v>
      </c>
      <c r="J3" s="707" t="s">
        <v>72</v>
      </c>
      <c r="K3" s="708" t="s">
        <v>731</v>
      </c>
    </row>
    <row r="4" spans="1:11" ht="14.25">
      <c r="A4" s="709" t="s">
        <v>732</v>
      </c>
      <c r="B4" s="710">
        <v>1943000</v>
      </c>
      <c r="C4" s="710">
        <v>1943000</v>
      </c>
      <c r="D4" s="710">
        <v>2017000</v>
      </c>
      <c r="E4" s="710">
        <v>2017000</v>
      </c>
      <c r="F4" s="710">
        <v>2025000</v>
      </c>
      <c r="G4" s="710">
        <v>2025000</v>
      </c>
      <c r="H4" s="710">
        <v>2025000</v>
      </c>
      <c r="I4" s="710">
        <v>2025000</v>
      </c>
      <c r="J4" s="711">
        <f>SUM(B4:I4)</f>
        <v>16020000</v>
      </c>
      <c r="K4" s="712">
        <v>1943000</v>
      </c>
    </row>
    <row r="5" spans="1:11" ht="57">
      <c r="A5" s="713" t="s">
        <v>733</v>
      </c>
      <c r="B5" s="714">
        <v>150</v>
      </c>
      <c r="C5" s="714">
        <v>150</v>
      </c>
      <c r="D5" s="714">
        <v>3500</v>
      </c>
      <c r="E5" s="714">
        <v>3800</v>
      </c>
      <c r="F5" s="714">
        <v>3800</v>
      </c>
      <c r="G5" s="714">
        <v>3800</v>
      </c>
      <c r="H5" s="714">
        <v>3800</v>
      </c>
      <c r="I5" s="714">
        <v>3800</v>
      </c>
      <c r="J5" s="711">
        <f>SUM(B5:I5)</f>
        <v>22800</v>
      </c>
      <c r="K5" s="715">
        <v>150</v>
      </c>
    </row>
    <row r="6" spans="1:11" ht="28.5">
      <c r="A6" s="716" t="s">
        <v>734</v>
      </c>
      <c r="B6" s="717">
        <f>SUM(B7:B10)</f>
        <v>138597</v>
      </c>
      <c r="C6" s="717">
        <f>SUM(C7:C10)</f>
        <v>138597</v>
      </c>
      <c r="D6" s="717">
        <f>SUM(D7:D10)</f>
        <v>91100</v>
      </c>
      <c r="E6" s="717">
        <f t="shared" ref="E6:I6" si="0">SUM(E7:E10)</f>
        <v>90100</v>
      </c>
      <c r="F6" s="717">
        <f t="shared" si="0"/>
        <v>89100</v>
      </c>
      <c r="G6" s="717">
        <f t="shared" si="0"/>
        <v>87800</v>
      </c>
      <c r="H6" s="717">
        <f t="shared" si="0"/>
        <v>87800</v>
      </c>
      <c r="I6" s="717">
        <f t="shared" si="0"/>
        <v>87800</v>
      </c>
      <c r="J6" s="711">
        <f>SUM(B6:I6)</f>
        <v>810894</v>
      </c>
      <c r="K6" s="715">
        <f>SUM(K7:K10)</f>
        <v>138597</v>
      </c>
    </row>
    <row r="7" spans="1:11" ht="15">
      <c r="A7" s="718" t="s">
        <v>735</v>
      </c>
      <c r="B7" s="719">
        <v>2000</v>
      </c>
      <c r="C7" s="719">
        <v>2000</v>
      </c>
      <c r="D7" s="719">
        <v>1100</v>
      </c>
      <c r="E7" s="719">
        <v>1100</v>
      </c>
      <c r="F7" s="719">
        <v>1100</v>
      </c>
      <c r="G7" s="719">
        <v>800</v>
      </c>
      <c r="H7" s="719">
        <v>800</v>
      </c>
      <c r="I7" s="719">
        <v>800</v>
      </c>
      <c r="J7" s="711">
        <f>SUM(B7:I7)</f>
        <v>9700</v>
      </c>
      <c r="K7" s="720">
        <v>2000</v>
      </c>
    </row>
    <row r="8" spans="1:11" ht="75">
      <c r="A8" s="718" t="s">
        <v>736</v>
      </c>
      <c r="B8" s="719">
        <v>34077</v>
      </c>
      <c r="C8" s="719">
        <v>34077</v>
      </c>
      <c r="D8" s="719">
        <v>10000</v>
      </c>
      <c r="E8" s="719">
        <v>10000</v>
      </c>
      <c r="F8" s="719">
        <v>10000</v>
      </c>
      <c r="G8" s="719">
        <v>10000</v>
      </c>
      <c r="H8" s="719">
        <v>10000</v>
      </c>
      <c r="I8" s="719">
        <v>10000</v>
      </c>
      <c r="J8" s="711">
        <f t="shared" ref="J8:J17" si="1">SUM(B8:I8)</f>
        <v>128154</v>
      </c>
      <c r="K8" s="720">
        <v>34077</v>
      </c>
    </row>
    <row r="9" spans="1:11" ht="60">
      <c r="A9" s="718" t="s">
        <v>737</v>
      </c>
      <c r="B9" s="719">
        <v>94520</v>
      </c>
      <c r="C9" s="719">
        <v>94520</v>
      </c>
      <c r="D9" s="719">
        <v>70000</v>
      </c>
      <c r="E9" s="719">
        <v>69000</v>
      </c>
      <c r="F9" s="719">
        <v>68000</v>
      </c>
      <c r="G9" s="719">
        <v>67000</v>
      </c>
      <c r="H9" s="719">
        <v>67000</v>
      </c>
      <c r="I9" s="719">
        <v>67000</v>
      </c>
      <c r="J9" s="711">
        <f t="shared" si="1"/>
        <v>597040</v>
      </c>
      <c r="K9" s="720">
        <v>94520</v>
      </c>
    </row>
    <row r="10" spans="1:11" ht="15">
      <c r="A10" s="718" t="s">
        <v>738</v>
      </c>
      <c r="B10" s="719">
        <v>8000</v>
      </c>
      <c r="C10" s="719">
        <v>8000</v>
      </c>
      <c r="D10" s="719">
        <v>10000</v>
      </c>
      <c r="E10" s="719">
        <v>10000</v>
      </c>
      <c r="F10" s="719">
        <v>10000</v>
      </c>
      <c r="G10" s="719">
        <v>10000</v>
      </c>
      <c r="H10" s="719">
        <v>10000</v>
      </c>
      <c r="I10" s="719">
        <v>10000</v>
      </c>
      <c r="J10" s="711">
        <f t="shared" si="1"/>
        <v>76000</v>
      </c>
      <c r="K10" s="720">
        <v>8000</v>
      </c>
    </row>
    <row r="11" spans="1:11" ht="99.75">
      <c r="A11" s="716" t="s">
        <v>739</v>
      </c>
      <c r="B11" s="717">
        <v>1535722</v>
      </c>
      <c r="C11" s="717">
        <v>1535722</v>
      </c>
      <c r="D11" s="717">
        <v>68000</v>
      </c>
      <c r="E11" s="717">
        <v>67000</v>
      </c>
      <c r="F11" s="717">
        <v>66000</v>
      </c>
      <c r="G11" s="717">
        <v>66000</v>
      </c>
      <c r="H11" s="717">
        <v>66000</v>
      </c>
      <c r="I11" s="717">
        <v>66000</v>
      </c>
      <c r="J11" s="711">
        <f t="shared" si="1"/>
        <v>3470444</v>
      </c>
      <c r="K11" s="715">
        <v>1535722</v>
      </c>
    </row>
    <row r="12" spans="1:11" ht="28.5">
      <c r="A12" s="716" t="s">
        <v>740</v>
      </c>
      <c r="B12" s="717">
        <f>SUM(B4,B6,B5,B11)</f>
        <v>3617469</v>
      </c>
      <c r="C12" s="717">
        <f>SUM(C4,C6,C5,C11)</f>
        <v>3617469</v>
      </c>
      <c r="D12" s="717">
        <f t="shared" ref="D12:I12" si="2">SUM(D4,D6,D5,D11)</f>
        <v>2179600</v>
      </c>
      <c r="E12" s="717">
        <f t="shared" si="2"/>
        <v>2177900</v>
      </c>
      <c r="F12" s="717">
        <f t="shared" si="2"/>
        <v>2183900</v>
      </c>
      <c r="G12" s="717">
        <f t="shared" si="2"/>
        <v>2182600</v>
      </c>
      <c r="H12" s="717">
        <f t="shared" si="2"/>
        <v>2182600</v>
      </c>
      <c r="I12" s="717">
        <f t="shared" si="2"/>
        <v>2182600</v>
      </c>
      <c r="J12" s="711">
        <f t="shared" si="1"/>
        <v>20324138</v>
      </c>
      <c r="K12" s="715">
        <f>SUM(K4,K6,K5,K11)</f>
        <v>3617469</v>
      </c>
    </row>
    <row r="13" spans="1:11" ht="28.5">
      <c r="A13" s="716" t="s">
        <v>741</v>
      </c>
      <c r="B13" s="717">
        <f>B12/2</f>
        <v>1808734.5</v>
      </c>
      <c r="C13" s="717">
        <f>C12/2</f>
        <v>1808734.5</v>
      </c>
      <c r="D13" s="717">
        <f t="shared" ref="D13:E13" si="3">D12/2</f>
        <v>1089800</v>
      </c>
      <c r="E13" s="717">
        <f t="shared" si="3"/>
        <v>1088950</v>
      </c>
      <c r="F13" s="717">
        <f>F12/2</f>
        <v>1091950</v>
      </c>
      <c r="G13" s="717">
        <f t="shared" ref="G13:I13" si="4">G12/2</f>
        <v>1091300</v>
      </c>
      <c r="H13" s="717">
        <f t="shared" si="4"/>
        <v>1091300</v>
      </c>
      <c r="I13" s="717">
        <f t="shared" si="4"/>
        <v>1091300</v>
      </c>
      <c r="J13" s="711">
        <f t="shared" si="1"/>
        <v>10162069</v>
      </c>
      <c r="K13" s="715">
        <f>K12/2</f>
        <v>1808734.5</v>
      </c>
    </row>
    <row r="14" spans="1:11" ht="71.25">
      <c r="A14" s="716" t="s">
        <v>742</v>
      </c>
      <c r="B14" s="717">
        <f>B15</f>
        <v>158112</v>
      </c>
      <c r="C14" s="717">
        <f>C15</f>
        <v>158112</v>
      </c>
      <c r="D14" s="717">
        <f t="shared" ref="D14:I14" si="5">D15</f>
        <v>110991</v>
      </c>
      <c r="E14" s="717">
        <f t="shared" si="5"/>
        <v>101206</v>
      </c>
      <c r="F14" s="717">
        <f t="shared" si="5"/>
        <v>74105</v>
      </c>
      <c r="G14" s="717">
        <f t="shared" si="5"/>
        <v>73416</v>
      </c>
      <c r="H14" s="717">
        <f t="shared" si="5"/>
        <v>72727</v>
      </c>
      <c r="I14" s="717">
        <f t="shared" si="5"/>
        <v>72469</v>
      </c>
      <c r="J14" s="711">
        <f t="shared" si="1"/>
        <v>821138</v>
      </c>
      <c r="K14" s="715">
        <f>K15</f>
        <v>158112</v>
      </c>
    </row>
    <row r="15" spans="1:11" ht="45">
      <c r="A15" s="718" t="s">
        <v>743</v>
      </c>
      <c r="B15" s="719">
        <v>158112</v>
      </c>
      <c r="C15" s="719">
        <v>158112</v>
      </c>
      <c r="D15" s="719">
        <v>110991</v>
      </c>
      <c r="E15" s="719">
        <v>101206</v>
      </c>
      <c r="F15" s="719">
        <v>74105</v>
      </c>
      <c r="G15" s="719">
        <v>73416</v>
      </c>
      <c r="H15" s="719">
        <v>72727</v>
      </c>
      <c r="I15" s="719">
        <v>72469</v>
      </c>
      <c r="J15" s="711">
        <f t="shared" si="1"/>
        <v>821138</v>
      </c>
      <c r="K15" s="720">
        <v>158112</v>
      </c>
    </row>
    <row r="16" spans="1:11" ht="85.5">
      <c r="A16" s="716" t="s">
        <v>744</v>
      </c>
      <c r="B16" s="717">
        <v>0</v>
      </c>
      <c r="C16" s="717">
        <v>0</v>
      </c>
      <c r="D16" s="717">
        <v>0</v>
      </c>
      <c r="E16" s="717">
        <v>0</v>
      </c>
      <c r="F16" s="717">
        <v>0</v>
      </c>
      <c r="G16" s="717">
        <v>0</v>
      </c>
      <c r="H16" s="717">
        <v>0</v>
      </c>
      <c r="I16" s="717">
        <v>0</v>
      </c>
      <c r="J16" s="711">
        <f t="shared" si="1"/>
        <v>0</v>
      </c>
      <c r="K16" s="715">
        <v>0</v>
      </c>
    </row>
    <row r="17" spans="1:11" ht="42.75">
      <c r="A17" s="716" t="s">
        <v>745</v>
      </c>
      <c r="B17" s="717">
        <f t="shared" ref="B17:I17" si="6">B14+B16</f>
        <v>158112</v>
      </c>
      <c r="C17" s="717">
        <f t="shared" si="6"/>
        <v>158112</v>
      </c>
      <c r="D17" s="717">
        <f t="shared" si="6"/>
        <v>110991</v>
      </c>
      <c r="E17" s="717">
        <f t="shared" si="6"/>
        <v>101206</v>
      </c>
      <c r="F17" s="717">
        <f t="shared" si="6"/>
        <v>74105</v>
      </c>
      <c r="G17" s="717">
        <f t="shared" si="6"/>
        <v>73416</v>
      </c>
      <c r="H17" s="717">
        <f t="shared" si="6"/>
        <v>72727</v>
      </c>
      <c r="I17" s="717">
        <f t="shared" si="6"/>
        <v>72469</v>
      </c>
      <c r="J17" s="711">
        <f t="shared" si="1"/>
        <v>821138</v>
      </c>
      <c r="K17" s="715">
        <f t="shared" ref="K17" si="7">K14+K16</f>
        <v>158112</v>
      </c>
    </row>
    <row r="18" spans="1:11" ht="57.75" thickBot="1">
      <c r="A18" s="721" t="s">
        <v>746</v>
      </c>
      <c r="B18" s="722">
        <f t="shared" ref="B18:K18" si="8">B13-B17</f>
        <v>1650622.5</v>
      </c>
      <c r="C18" s="722">
        <f t="shared" si="8"/>
        <v>1650622.5</v>
      </c>
      <c r="D18" s="722">
        <f t="shared" si="8"/>
        <v>978809</v>
      </c>
      <c r="E18" s="722">
        <f t="shared" si="8"/>
        <v>987744</v>
      </c>
      <c r="F18" s="722">
        <f>F13-F17</f>
        <v>1017845</v>
      </c>
      <c r="G18" s="722">
        <f t="shared" si="8"/>
        <v>1017884</v>
      </c>
      <c r="H18" s="722">
        <f t="shared" si="8"/>
        <v>1018573</v>
      </c>
      <c r="I18" s="722">
        <f t="shared" si="8"/>
        <v>1018831</v>
      </c>
      <c r="J18" s="723">
        <f t="shared" si="8"/>
        <v>9340931</v>
      </c>
      <c r="K18" s="724">
        <f t="shared" si="8"/>
        <v>1650622.5</v>
      </c>
    </row>
  </sheetData>
  <mergeCells count="1">
    <mergeCell ref="A1:J1"/>
  </mergeCells>
  <pageMargins left="0.7" right="0.7" top="0.75" bottom="0.75" header="0.3" footer="0.3"/>
  <pageSetup paperSize="9" scale="72" orientation="portrait" r:id="rId1"/>
  <headerFooter>
    <oddHeader>&amp;L13. melléklet a 8/2018.(IV.25.) önkormányzati rendelethez
13. melléklet a 27/2017.(XII.21.)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5"/>
  <sheetViews>
    <sheetView topLeftCell="C1" zoomScale="79" zoomScaleNormal="79" zoomScaleSheetLayoutView="100" workbookViewId="0">
      <selection activeCell="C3" sqref="C3"/>
    </sheetView>
  </sheetViews>
  <sheetFormatPr defaultRowHeight="15"/>
  <cols>
    <col min="1" max="1" width="0" style="80" hidden="1" customWidth="1"/>
    <col min="2" max="2" width="42.28515625" style="82" customWidth="1"/>
    <col min="3" max="4" width="11" style="83" customWidth="1"/>
    <col min="5" max="5" width="42.28515625" style="82" customWidth="1"/>
    <col min="6" max="7" width="9.140625" style="83" customWidth="1"/>
    <col min="8" max="9" width="8.85546875" style="83" customWidth="1"/>
    <col min="10" max="11" width="9.42578125" style="83" customWidth="1"/>
    <col min="12" max="15" width="10.7109375" style="83" customWidth="1"/>
    <col min="16" max="17" width="10" style="83" customWidth="1"/>
    <col min="18" max="19" width="10" style="84" customWidth="1"/>
    <col min="20" max="20" width="10.5703125" style="80" hidden="1" customWidth="1"/>
    <col min="21" max="16384" width="9.140625" style="82"/>
  </cols>
  <sheetData>
    <row r="2" spans="1:20">
      <c r="B2" s="1223" t="s">
        <v>573</v>
      </c>
      <c r="C2" s="1223"/>
      <c r="D2" s="1223"/>
      <c r="E2" s="1223"/>
      <c r="F2" s="1223"/>
      <c r="G2" s="1223"/>
      <c r="H2" s="1223"/>
      <c r="I2" s="1223"/>
      <c r="J2" s="1223"/>
      <c r="K2" s="1223"/>
      <c r="L2" s="1223"/>
      <c r="M2" s="1223"/>
      <c r="N2" s="1223"/>
      <c r="O2" s="1223"/>
      <c r="P2" s="1223"/>
      <c r="Q2" s="1223"/>
      <c r="R2" s="1223"/>
      <c r="S2" s="1223"/>
      <c r="T2" s="81"/>
    </row>
    <row r="3" spans="1:20" ht="15.75" thickBot="1"/>
    <row r="4" spans="1:20" ht="15.75" thickBot="1">
      <c r="B4" s="1228" t="s">
        <v>96</v>
      </c>
      <c r="C4" s="1229"/>
      <c r="D4" s="371"/>
      <c r="E4" s="1230" t="s">
        <v>161</v>
      </c>
      <c r="F4" s="1231"/>
      <c r="G4" s="1231"/>
      <c r="H4" s="1231"/>
      <c r="I4" s="1231"/>
      <c r="J4" s="1231"/>
      <c r="K4" s="1231"/>
      <c r="L4" s="1231"/>
      <c r="M4" s="1231"/>
      <c r="N4" s="1231"/>
      <c r="O4" s="1231"/>
      <c r="P4" s="1231"/>
      <c r="Q4" s="1231"/>
      <c r="R4" s="1231"/>
      <c r="S4" s="1232"/>
      <c r="T4" s="85"/>
    </row>
    <row r="5" spans="1:20" s="88" customFormat="1" ht="45" customHeight="1">
      <c r="A5" s="86"/>
      <c r="B5" s="1233" t="s">
        <v>162</v>
      </c>
      <c r="C5" s="1235" t="s">
        <v>3</v>
      </c>
      <c r="D5" s="1224" t="s">
        <v>572</v>
      </c>
      <c r="E5" s="1237" t="s">
        <v>162</v>
      </c>
      <c r="F5" s="1224" t="s">
        <v>305</v>
      </c>
      <c r="G5" s="1227"/>
      <c r="H5" s="1239" t="s">
        <v>306</v>
      </c>
      <c r="I5" s="1240"/>
      <c r="J5" s="1226" t="s">
        <v>307</v>
      </c>
      <c r="K5" s="1227"/>
      <c r="L5" s="1226" t="s">
        <v>575</v>
      </c>
      <c r="M5" s="1227"/>
      <c r="N5" s="1239" t="s">
        <v>62</v>
      </c>
      <c r="O5" s="1240"/>
      <c r="P5" s="1226" t="s">
        <v>63</v>
      </c>
      <c r="Q5" s="1227"/>
      <c r="R5" s="1226" t="s">
        <v>72</v>
      </c>
      <c r="S5" s="1227"/>
      <c r="T5" s="87"/>
    </row>
    <row r="6" spans="1:20" s="88" customFormat="1" ht="28.5" customHeight="1">
      <c r="A6" s="86"/>
      <c r="B6" s="1234"/>
      <c r="C6" s="1236"/>
      <c r="D6" s="1225"/>
      <c r="E6" s="1238"/>
      <c r="F6" s="457" t="s">
        <v>3</v>
      </c>
      <c r="G6" s="397" t="s">
        <v>572</v>
      </c>
      <c r="H6" s="444" t="s">
        <v>3</v>
      </c>
      <c r="I6" s="397" t="s">
        <v>572</v>
      </c>
      <c r="J6" s="444" t="s">
        <v>3</v>
      </c>
      <c r="K6" s="397" t="s">
        <v>572</v>
      </c>
      <c r="L6" s="444" t="s">
        <v>3</v>
      </c>
      <c r="M6" s="397" t="s">
        <v>572</v>
      </c>
      <c r="N6" s="444" t="s">
        <v>3</v>
      </c>
      <c r="O6" s="397" t="s">
        <v>572</v>
      </c>
      <c r="P6" s="444" t="s">
        <v>3</v>
      </c>
      <c r="Q6" s="397" t="s">
        <v>572</v>
      </c>
      <c r="R6" s="444" t="s">
        <v>3</v>
      </c>
      <c r="S6" s="397" t="s">
        <v>572</v>
      </c>
      <c r="T6" s="87"/>
    </row>
    <row r="7" spans="1:20" s="88" customFormat="1">
      <c r="A7" s="86"/>
      <c r="B7" s="89" t="s">
        <v>308</v>
      </c>
      <c r="C7" s="90">
        <f>SUM(C8:C20)</f>
        <v>1573389</v>
      </c>
      <c r="D7" s="375">
        <f>SUM(D8:D20)</f>
        <v>1245689</v>
      </c>
      <c r="E7" s="455"/>
      <c r="F7" s="445">
        <f t="shared" ref="F7:Q7" si="0">SUM(F8:F20)</f>
        <v>0</v>
      </c>
      <c r="G7" s="446">
        <f t="shared" si="0"/>
        <v>0</v>
      </c>
      <c r="H7" s="451">
        <f t="shared" si="0"/>
        <v>0</v>
      </c>
      <c r="I7" s="452">
        <f t="shared" si="0"/>
        <v>0</v>
      </c>
      <c r="J7" s="445">
        <f t="shared" si="0"/>
        <v>46700</v>
      </c>
      <c r="K7" s="446">
        <f t="shared" si="0"/>
        <v>0</v>
      </c>
      <c r="L7" s="451">
        <f t="shared" si="0"/>
        <v>0</v>
      </c>
      <c r="M7" s="452">
        <f t="shared" si="0"/>
        <v>0</v>
      </c>
      <c r="N7" s="451">
        <f t="shared" si="0"/>
        <v>1142490</v>
      </c>
      <c r="O7" s="452">
        <f t="shared" si="0"/>
        <v>1111490</v>
      </c>
      <c r="P7" s="445">
        <f t="shared" si="0"/>
        <v>384199</v>
      </c>
      <c r="Q7" s="446">
        <f t="shared" si="0"/>
        <v>134199</v>
      </c>
      <c r="R7" s="445">
        <f>F7+H7+J7+L7+N7+P7</f>
        <v>1573389</v>
      </c>
      <c r="S7" s="446">
        <f>G7+I7+K7+M7+O7+Q7</f>
        <v>1245689</v>
      </c>
      <c r="T7" s="85"/>
    </row>
    <row r="8" spans="1:20" s="88" customFormat="1" ht="45">
      <c r="A8" s="86" t="s">
        <v>98</v>
      </c>
      <c r="B8" s="91" t="s">
        <v>232</v>
      </c>
      <c r="C8" s="92">
        <v>2160</v>
      </c>
      <c r="D8" s="376">
        <v>2160</v>
      </c>
      <c r="E8" s="378" t="s">
        <v>309</v>
      </c>
      <c r="F8" s="456"/>
      <c r="G8" s="454"/>
      <c r="H8" s="449"/>
      <c r="I8" s="450"/>
      <c r="J8" s="453"/>
      <c r="K8" s="454"/>
      <c r="L8" s="449"/>
      <c r="M8" s="450"/>
      <c r="N8" s="449">
        <v>2160</v>
      </c>
      <c r="O8" s="450">
        <v>2160</v>
      </c>
      <c r="P8" s="447"/>
      <c r="Q8" s="448"/>
      <c r="R8" s="398">
        <f t="shared" ref="R8:R31" si="1">F8+H8+J8+L8+N8+P8</f>
        <v>2160</v>
      </c>
      <c r="S8" s="379">
        <f t="shared" ref="S8:S31" si="2">G8+I8+K8+M8+O8+Q8</f>
        <v>2160</v>
      </c>
      <c r="T8" s="93" t="s">
        <v>98</v>
      </c>
    </row>
    <row r="9" spans="1:20" s="88" customFormat="1" ht="45">
      <c r="A9" s="86" t="s">
        <v>98</v>
      </c>
      <c r="B9" s="22" t="s">
        <v>233</v>
      </c>
      <c r="C9" s="94">
        <v>206912</v>
      </c>
      <c r="D9" s="373">
        <v>206912</v>
      </c>
      <c r="E9" s="380" t="s">
        <v>233</v>
      </c>
      <c r="F9" s="381"/>
      <c r="G9" s="400"/>
      <c r="H9" s="412"/>
      <c r="I9" s="413"/>
      <c r="J9" s="428"/>
      <c r="K9" s="400"/>
      <c r="L9" s="412"/>
      <c r="M9" s="413"/>
      <c r="N9" s="412">
        <v>206912</v>
      </c>
      <c r="O9" s="413">
        <v>206912</v>
      </c>
      <c r="P9" s="409"/>
      <c r="Q9" s="372"/>
      <c r="R9" s="398">
        <f t="shared" si="1"/>
        <v>206912</v>
      </c>
      <c r="S9" s="379">
        <f t="shared" si="2"/>
        <v>206912</v>
      </c>
      <c r="T9" s="85" t="s">
        <v>102</v>
      </c>
    </row>
    <row r="10" spans="1:20" s="88" customFormat="1" ht="60">
      <c r="A10" s="86" t="s">
        <v>98</v>
      </c>
      <c r="B10" s="95" t="s">
        <v>234</v>
      </c>
      <c r="C10" s="94">
        <v>169425</v>
      </c>
      <c r="D10" s="373">
        <v>169425</v>
      </c>
      <c r="E10" s="382" t="s">
        <v>310</v>
      </c>
      <c r="F10" s="383"/>
      <c r="G10" s="401"/>
      <c r="H10" s="414"/>
      <c r="I10" s="415"/>
      <c r="J10" s="429"/>
      <c r="K10" s="401"/>
      <c r="L10" s="414"/>
      <c r="M10" s="415"/>
      <c r="N10" s="414">
        <v>169425</v>
      </c>
      <c r="O10" s="415">
        <v>169425</v>
      </c>
      <c r="P10" s="409"/>
      <c r="Q10" s="372"/>
      <c r="R10" s="398">
        <f t="shared" si="1"/>
        <v>169425</v>
      </c>
      <c r="S10" s="379">
        <f t="shared" si="2"/>
        <v>169425</v>
      </c>
      <c r="T10" s="93" t="s">
        <v>102</v>
      </c>
    </row>
    <row r="11" spans="1:20" s="88" customFormat="1" ht="75">
      <c r="A11" s="86" t="s">
        <v>98</v>
      </c>
      <c r="B11" s="23" t="s">
        <v>238</v>
      </c>
      <c r="C11" s="94">
        <v>320479</v>
      </c>
      <c r="D11" s="373">
        <v>320479</v>
      </c>
      <c r="E11" s="384" t="s">
        <v>311</v>
      </c>
      <c r="F11" s="385"/>
      <c r="G11" s="402"/>
      <c r="H11" s="416"/>
      <c r="I11" s="417"/>
      <c r="J11" s="430"/>
      <c r="K11" s="402"/>
      <c r="L11" s="416"/>
      <c r="M11" s="417"/>
      <c r="N11" s="416">
        <v>320479</v>
      </c>
      <c r="O11" s="417">
        <v>320479</v>
      </c>
      <c r="P11" s="409"/>
      <c r="Q11" s="372"/>
      <c r="R11" s="398">
        <f t="shared" si="1"/>
        <v>320479</v>
      </c>
      <c r="S11" s="379">
        <f t="shared" si="2"/>
        <v>320479</v>
      </c>
      <c r="T11" s="93" t="s">
        <v>102</v>
      </c>
    </row>
    <row r="12" spans="1:20" s="88" customFormat="1" ht="30">
      <c r="A12" s="86" t="s">
        <v>98</v>
      </c>
      <c r="B12" s="23" t="s">
        <v>239</v>
      </c>
      <c r="C12" s="94">
        <v>140239</v>
      </c>
      <c r="D12" s="373">
        <v>140239</v>
      </c>
      <c r="E12" s="384" t="s">
        <v>239</v>
      </c>
      <c r="F12" s="386"/>
      <c r="G12" s="403"/>
      <c r="H12" s="418"/>
      <c r="I12" s="419"/>
      <c r="J12" s="431"/>
      <c r="K12" s="403"/>
      <c r="L12" s="418"/>
      <c r="M12" s="419"/>
      <c r="N12" s="418">
        <v>6040</v>
      </c>
      <c r="O12" s="419">
        <v>6040</v>
      </c>
      <c r="P12" s="409">
        <v>134199</v>
      </c>
      <c r="Q12" s="372">
        <v>134199</v>
      </c>
      <c r="R12" s="398">
        <f t="shared" si="1"/>
        <v>140239</v>
      </c>
      <c r="S12" s="379">
        <f t="shared" si="2"/>
        <v>140239</v>
      </c>
      <c r="T12" s="93" t="s">
        <v>102</v>
      </c>
    </row>
    <row r="13" spans="1:20" s="88" customFormat="1" ht="45">
      <c r="A13" s="86" t="s">
        <v>98</v>
      </c>
      <c r="B13" s="21" t="s">
        <v>312</v>
      </c>
      <c r="C13" s="94">
        <v>401522</v>
      </c>
      <c r="D13" s="373">
        <v>401522</v>
      </c>
      <c r="E13" s="387" t="s">
        <v>313</v>
      </c>
      <c r="F13" s="388"/>
      <c r="G13" s="404"/>
      <c r="H13" s="420"/>
      <c r="I13" s="421"/>
      <c r="J13" s="432"/>
      <c r="K13" s="404"/>
      <c r="L13" s="420"/>
      <c r="M13" s="421"/>
      <c r="N13" s="420">
        <v>401522</v>
      </c>
      <c r="O13" s="421">
        <v>401522</v>
      </c>
      <c r="P13" s="409"/>
      <c r="Q13" s="372"/>
      <c r="R13" s="398">
        <f t="shared" si="1"/>
        <v>401522</v>
      </c>
      <c r="S13" s="379">
        <f t="shared" si="2"/>
        <v>401522</v>
      </c>
      <c r="T13" s="93" t="s">
        <v>102</v>
      </c>
    </row>
    <row r="14" spans="1:20" s="88" customFormat="1" ht="45">
      <c r="A14" s="86" t="s">
        <v>98</v>
      </c>
      <c r="B14" s="96" t="s">
        <v>318</v>
      </c>
      <c r="C14" s="181">
        <v>46700</v>
      </c>
      <c r="D14" s="373">
        <v>0</v>
      </c>
      <c r="E14" s="389" t="s">
        <v>318</v>
      </c>
      <c r="F14" s="386"/>
      <c r="G14" s="403"/>
      <c r="H14" s="418"/>
      <c r="I14" s="419"/>
      <c r="J14" s="431">
        <v>46700</v>
      </c>
      <c r="K14" s="403">
        <v>0</v>
      </c>
      <c r="L14" s="418"/>
      <c r="M14" s="419"/>
      <c r="N14" s="418"/>
      <c r="O14" s="419"/>
      <c r="P14" s="409"/>
      <c r="Q14" s="372"/>
      <c r="R14" s="398">
        <f t="shared" si="1"/>
        <v>46700</v>
      </c>
      <c r="S14" s="379">
        <f t="shared" si="2"/>
        <v>0</v>
      </c>
      <c r="T14" s="93" t="s">
        <v>108</v>
      </c>
    </row>
    <row r="15" spans="1:20" s="88" customFormat="1" ht="30">
      <c r="A15" s="86" t="s">
        <v>98</v>
      </c>
      <c r="B15" s="179" t="s">
        <v>317</v>
      </c>
      <c r="C15" s="181">
        <v>60000</v>
      </c>
      <c r="D15" s="373">
        <v>0</v>
      </c>
      <c r="E15" s="387" t="s">
        <v>317</v>
      </c>
      <c r="F15" s="386"/>
      <c r="G15" s="403"/>
      <c r="H15" s="418"/>
      <c r="I15" s="419"/>
      <c r="J15" s="431"/>
      <c r="K15" s="403"/>
      <c r="L15" s="418"/>
      <c r="M15" s="419"/>
      <c r="N15" s="418"/>
      <c r="O15" s="419"/>
      <c r="P15" s="409">
        <v>60000</v>
      </c>
      <c r="Q15" s="372">
        <v>0</v>
      </c>
      <c r="R15" s="398">
        <f t="shared" si="1"/>
        <v>60000</v>
      </c>
      <c r="S15" s="379">
        <f t="shared" si="2"/>
        <v>0</v>
      </c>
      <c r="T15" s="93" t="s">
        <v>243</v>
      </c>
    </row>
    <row r="16" spans="1:20" s="88" customFormat="1" ht="45">
      <c r="A16" s="86" t="s">
        <v>98</v>
      </c>
      <c r="B16" s="96" t="s">
        <v>320</v>
      </c>
      <c r="C16" s="181">
        <v>40000</v>
      </c>
      <c r="D16" s="373">
        <v>0</v>
      </c>
      <c r="E16" s="389" t="s">
        <v>320</v>
      </c>
      <c r="F16" s="386"/>
      <c r="G16" s="403"/>
      <c r="H16" s="418"/>
      <c r="I16" s="419"/>
      <c r="J16" s="431"/>
      <c r="K16" s="403"/>
      <c r="L16" s="418"/>
      <c r="M16" s="419"/>
      <c r="N16" s="418"/>
      <c r="O16" s="419"/>
      <c r="P16" s="409">
        <v>40000</v>
      </c>
      <c r="Q16" s="372">
        <v>0</v>
      </c>
      <c r="R16" s="398">
        <f t="shared" si="1"/>
        <v>40000</v>
      </c>
      <c r="S16" s="379">
        <f t="shared" si="2"/>
        <v>0</v>
      </c>
      <c r="T16" s="93" t="s">
        <v>243</v>
      </c>
    </row>
    <row r="17" spans="1:20" s="88" customFormat="1" ht="30">
      <c r="A17" s="86" t="s">
        <v>98</v>
      </c>
      <c r="B17" s="179" t="s">
        <v>319</v>
      </c>
      <c r="C17" s="181">
        <v>31000</v>
      </c>
      <c r="D17" s="373">
        <v>0</v>
      </c>
      <c r="E17" s="387" t="s">
        <v>319</v>
      </c>
      <c r="F17" s="386"/>
      <c r="G17" s="403"/>
      <c r="H17" s="418"/>
      <c r="I17" s="419"/>
      <c r="J17" s="431"/>
      <c r="K17" s="403"/>
      <c r="L17" s="418"/>
      <c r="M17" s="419"/>
      <c r="N17" s="418">
        <v>31000</v>
      </c>
      <c r="O17" s="419">
        <v>0</v>
      </c>
      <c r="P17" s="409"/>
      <c r="Q17" s="372"/>
      <c r="R17" s="398">
        <f t="shared" si="1"/>
        <v>31000</v>
      </c>
      <c r="S17" s="379">
        <f t="shared" si="2"/>
        <v>0</v>
      </c>
      <c r="T17" s="93" t="s">
        <v>243</v>
      </c>
    </row>
    <row r="18" spans="1:20" s="88" customFormat="1" ht="30">
      <c r="A18" s="86" t="s">
        <v>98</v>
      </c>
      <c r="B18" s="96" t="s">
        <v>329</v>
      </c>
      <c r="C18" s="181">
        <v>150000</v>
      </c>
      <c r="D18" s="373">
        <v>0</v>
      </c>
      <c r="E18" s="389" t="s">
        <v>303</v>
      </c>
      <c r="F18" s="390"/>
      <c r="G18" s="405"/>
      <c r="H18" s="422"/>
      <c r="I18" s="423"/>
      <c r="J18" s="433"/>
      <c r="K18" s="405"/>
      <c r="L18" s="422"/>
      <c r="M18" s="423"/>
      <c r="N18" s="422"/>
      <c r="O18" s="423"/>
      <c r="P18" s="410">
        <v>150000</v>
      </c>
      <c r="Q18" s="373">
        <v>0</v>
      </c>
      <c r="R18" s="398">
        <f t="shared" si="1"/>
        <v>150000</v>
      </c>
      <c r="S18" s="379">
        <f t="shared" si="2"/>
        <v>0</v>
      </c>
      <c r="T18" s="93" t="s">
        <v>243</v>
      </c>
    </row>
    <row r="19" spans="1:20" s="88" customFormat="1">
      <c r="A19" s="86" t="s">
        <v>98</v>
      </c>
      <c r="B19" s="96" t="s">
        <v>251</v>
      </c>
      <c r="C19" s="178">
        <v>4952</v>
      </c>
      <c r="D19" s="373">
        <v>4952</v>
      </c>
      <c r="E19" s="389" t="s">
        <v>251</v>
      </c>
      <c r="F19" s="390"/>
      <c r="G19" s="405"/>
      <c r="H19" s="422"/>
      <c r="I19" s="423"/>
      <c r="J19" s="433"/>
      <c r="K19" s="405"/>
      <c r="L19" s="422"/>
      <c r="M19" s="423"/>
      <c r="N19" s="422">
        <v>4952</v>
      </c>
      <c r="O19" s="423">
        <v>4952</v>
      </c>
      <c r="P19" s="410"/>
      <c r="Q19" s="373"/>
      <c r="R19" s="398">
        <f t="shared" si="1"/>
        <v>4952</v>
      </c>
      <c r="S19" s="379">
        <f t="shared" si="2"/>
        <v>4952</v>
      </c>
      <c r="T19" s="93" t="s">
        <v>250</v>
      </c>
    </row>
    <row r="20" spans="1:20" s="88" customFormat="1">
      <c r="A20" s="86"/>
      <c r="B20" s="180"/>
      <c r="C20" s="178"/>
      <c r="D20" s="373"/>
      <c r="E20" s="391"/>
      <c r="F20" s="390"/>
      <c r="G20" s="405"/>
      <c r="H20" s="422"/>
      <c r="I20" s="423"/>
      <c r="J20" s="433"/>
      <c r="K20" s="405"/>
      <c r="L20" s="422"/>
      <c r="M20" s="423"/>
      <c r="N20" s="422"/>
      <c r="O20" s="423"/>
      <c r="P20" s="410"/>
      <c r="Q20" s="373"/>
      <c r="R20" s="398"/>
      <c r="S20" s="379"/>
      <c r="T20" s="93"/>
    </row>
    <row r="21" spans="1:20" s="88" customFormat="1">
      <c r="A21" s="86" t="s">
        <v>98</v>
      </c>
      <c r="B21" s="97" t="s">
        <v>314</v>
      </c>
      <c r="C21" s="98">
        <f>SUM(C22:C30)</f>
        <v>80411</v>
      </c>
      <c r="D21" s="377">
        <f>SUM(D22:D30)</f>
        <v>80661</v>
      </c>
      <c r="E21" s="392"/>
      <c r="F21" s="393">
        <f t="shared" ref="F21:Q21" si="3">SUM(F22:F30)</f>
        <v>26789</v>
      </c>
      <c r="G21" s="406">
        <f t="shared" si="3"/>
        <v>26789</v>
      </c>
      <c r="H21" s="424">
        <f t="shared" si="3"/>
        <v>7500</v>
      </c>
      <c r="I21" s="425">
        <f t="shared" si="3"/>
        <v>7500</v>
      </c>
      <c r="J21" s="434">
        <f t="shared" si="3"/>
        <v>46122</v>
      </c>
      <c r="K21" s="406">
        <f t="shared" si="3"/>
        <v>46122</v>
      </c>
      <c r="L21" s="424">
        <f t="shared" si="3"/>
        <v>0</v>
      </c>
      <c r="M21" s="425">
        <f t="shared" si="3"/>
        <v>250</v>
      </c>
      <c r="N21" s="424">
        <f t="shared" si="3"/>
        <v>0</v>
      </c>
      <c r="O21" s="425">
        <f t="shared" si="3"/>
        <v>0</v>
      </c>
      <c r="P21" s="411">
        <f t="shared" si="3"/>
        <v>0</v>
      </c>
      <c r="Q21" s="374">
        <f t="shared" si="3"/>
        <v>0</v>
      </c>
      <c r="R21" s="398">
        <f t="shared" si="1"/>
        <v>80411</v>
      </c>
      <c r="S21" s="379">
        <f t="shared" si="2"/>
        <v>80661</v>
      </c>
      <c r="T21" s="93"/>
    </row>
    <row r="22" spans="1:20" s="88" customFormat="1" ht="45">
      <c r="A22" s="86" t="s">
        <v>98</v>
      </c>
      <c r="B22" s="21" t="s">
        <v>232</v>
      </c>
      <c r="C22" s="94">
        <v>6840</v>
      </c>
      <c r="D22" s="373">
        <v>6840</v>
      </c>
      <c r="E22" s="387" t="s">
        <v>315</v>
      </c>
      <c r="F22" s="388">
        <v>1446</v>
      </c>
      <c r="G22" s="404">
        <v>1446</v>
      </c>
      <c r="H22" s="420">
        <v>619</v>
      </c>
      <c r="I22" s="421">
        <v>619</v>
      </c>
      <c r="J22" s="432">
        <v>4775</v>
      </c>
      <c r="K22" s="404">
        <v>4775</v>
      </c>
      <c r="L22" s="420"/>
      <c r="M22" s="421"/>
      <c r="N22" s="420"/>
      <c r="O22" s="421"/>
      <c r="P22" s="409"/>
      <c r="Q22" s="372"/>
      <c r="R22" s="398">
        <f t="shared" si="1"/>
        <v>6840</v>
      </c>
      <c r="S22" s="379">
        <f t="shared" si="2"/>
        <v>6840</v>
      </c>
      <c r="T22" s="93" t="s">
        <v>98</v>
      </c>
    </row>
    <row r="23" spans="1:20" s="88" customFormat="1" ht="45">
      <c r="A23" s="86" t="s">
        <v>98</v>
      </c>
      <c r="B23" s="22" t="s">
        <v>233</v>
      </c>
      <c r="C23" s="94">
        <v>10144</v>
      </c>
      <c r="D23" s="373">
        <v>10144</v>
      </c>
      <c r="E23" s="380" t="s">
        <v>233</v>
      </c>
      <c r="F23" s="388">
        <v>3959</v>
      </c>
      <c r="G23" s="404">
        <v>3959</v>
      </c>
      <c r="H23" s="420">
        <v>1042</v>
      </c>
      <c r="I23" s="421">
        <v>1042</v>
      </c>
      <c r="J23" s="432">
        <v>5143</v>
      </c>
      <c r="K23" s="404">
        <v>5143</v>
      </c>
      <c r="L23" s="420"/>
      <c r="M23" s="421"/>
      <c r="N23" s="420"/>
      <c r="O23" s="421"/>
      <c r="P23" s="409"/>
      <c r="Q23" s="372"/>
      <c r="R23" s="398">
        <f t="shared" si="1"/>
        <v>10144</v>
      </c>
      <c r="S23" s="379">
        <f t="shared" si="2"/>
        <v>10144</v>
      </c>
      <c r="T23" s="93" t="s">
        <v>102</v>
      </c>
    </row>
    <row r="24" spans="1:20" s="88" customFormat="1" ht="60">
      <c r="A24" s="86" t="s">
        <v>98</v>
      </c>
      <c r="B24" s="95" t="s">
        <v>234</v>
      </c>
      <c r="C24" s="94">
        <v>8668</v>
      </c>
      <c r="D24" s="373">
        <v>8668</v>
      </c>
      <c r="E24" s="382" t="s">
        <v>234</v>
      </c>
      <c r="F24" s="394">
        <v>2771</v>
      </c>
      <c r="G24" s="407">
        <v>2771</v>
      </c>
      <c r="H24" s="437">
        <v>729</v>
      </c>
      <c r="I24" s="438">
        <v>729</v>
      </c>
      <c r="J24" s="435">
        <v>5168</v>
      </c>
      <c r="K24" s="407">
        <v>5168</v>
      </c>
      <c r="L24" s="420"/>
      <c r="M24" s="421"/>
      <c r="N24" s="420"/>
      <c r="O24" s="421"/>
      <c r="P24" s="409"/>
      <c r="Q24" s="372"/>
      <c r="R24" s="398">
        <f t="shared" si="1"/>
        <v>8668</v>
      </c>
      <c r="S24" s="379">
        <f t="shared" si="2"/>
        <v>8668</v>
      </c>
      <c r="T24" s="93" t="s">
        <v>102</v>
      </c>
    </row>
    <row r="25" spans="1:20" s="88" customFormat="1" ht="75">
      <c r="A25" s="86" t="s">
        <v>98</v>
      </c>
      <c r="B25" s="23" t="s">
        <v>238</v>
      </c>
      <c r="C25" s="94">
        <v>17303</v>
      </c>
      <c r="D25" s="373">
        <v>17303</v>
      </c>
      <c r="E25" s="384" t="s">
        <v>238</v>
      </c>
      <c r="F25" s="394">
        <v>7039</v>
      </c>
      <c r="G25" s="407">
        <v>7039</v>
      </c>
      <c r="H25" s="437">
        <v>1711</v>
      </c>
      <c r="I25" s="438">
        <v>1711</v>
      </c>
      <c r="J25" s="435">
        <v>8553</v>
      </c>
      <c r="K25" s="407">
        <v>8553</v>
      </c>
      <c r="L25" s="416"/>
      <c r="M25" s="417"/>
      <c r="N25" s="416"/>
      <c r="O25" s="417"/>
      <c r="P25" s="409"/>
      <c r="Q25" s="372"/>
      <c r="R25" s="398">
        <f t="shared" si="1"/>
        <v>17303</v>
      </c>
      <c r="S25" s="379">
        <f t="shared" si="2"/>
        <v>17303</v>
      </c>
      <c r="T25" s="93" t="s">
        <v>102</v>
      </c>
    </row>
    <row r="26" spans="1:20" s="88" customFormat="1" ht="30">
      <c r="A26" s="86" t="s">
        <v>98</v>
      </c>
      <c r="B26" s="23" t="s">
        <v>239</v>
      </c>
      <c r="C26" s="94">
        <v>7729</v>
      </c>
      <c r="D26" s="373">
        <v>7729</v>
      </c>
      <c r="E26" s="384" t="s">
        <v>239</v>
      </c>
      <c r="F26" s="385">
        <v>2737</v>
      </c>
      <c r="G26" s="402">
        <v>2737</v>
      </c>
      <c r="H26" s="416">
        <v>1013</v>
      </c>
      <c r="I26" s="417">
        <v>1013</v>
      </c>
      <c r="J26" s="430">
        <v>3979</v>
      </c>
      <c r="K26" s="402">
        <v>3979</v>
      </c>
      <c r="L26" s="416"/>
      <c r="M26" s="417"/>
      <c r="N26" s="416"/>
      <c r="O26" s="417"/>
      <c r="P26" s="409"/>
      <c r="Q26" s="372"/>
      <c r="R26" s="398">
        <f t="shared" si="1"/>
        <v>7729</v>
      </c>
      <c r="S26" s="379">
        <f t="shared" si="2"/>
        <v>7729</v>
      </c>
      <c r="T26" s="93" t="s">
        <v>102</v>
      </c>
    </row>
    <row r="27" spans="1:20" s="88" customFormat="1" ht="45">
      <c r="A27" s="86" t="s">
        <v>98</v>
      </c>
      <c r="B27" s="21" t="s">
        <v>312</v>
      </c>
      <c r="C27" s="94">
        <v>28797</v>
      </c>
      <c r="D27" s="373">
        <v>28797</v>
      </c>
      <c r="E27" s="387" t="s">
        <v>312</v>
      </c>
      <c r="F27" s="394">
        <v>8837</v>
      </c>
      <c r="G27" s="407">
        <v>8837</v>
      </c>
      <c r="H27" s="437">
        <v>2386</v>
      </c>
      <c r="I27" s="438">
        <v>2386</v>
      </c>
      <c r="J27" s="435">
        <v>17574</v>
      </c>
      <c r="K27" s="407">
        <v>17574</v>
      </c>
      <c r="L27" s="424"/>
      <c r="M27" s="425"/>
      <c r="N27" s="424"/>
      <c r="O27" s="425"/>
      <c r="P27" s="409"/>
      <c r="Q27" s="372"/>
      <c r="R27" s="398">
        <f t="shared" si="1"/>
        <v>28797</v>
      </c>
      <c r="S27" s="379">
        <f t="shared" si="2"/>
        <v>28797</v>
      </c>
      <c r="T27" s="93" t="s">
        <v>102</v>
      </c>
    </row>
    <row r="28" spans="1:20" s="88" customFormat="1" ht="30">
      <c r="A28" s="86" t="s">
        <v>98</v>
      </c>
      <c r="B28" s="195" t="s">
        <v>327</v>
      </c>
      <c r="C28" s="94">
        <v>930</v>
      </c>
      <c r="D28" s="373">
        <v>930</v>
      </c>
      <c r="E28" s="395" t="s">
        <v>327</v>
      </c>
      <c r="F28" s="393"/>
      <c r="G28" s="406"/>
      <c r="H28" s="424"/>
      <c r="I28" s="425"/>
      <c r="J28" s="436">
        <v>930</v>
      </c>
      <c r="K28" s="408">
        <v>930</v>
      </c>
      <c r="L28" s="424"/>
      <c r="M28" s="425"/>
      <c r="N28" s="424"/>
      <c r="O28" s="425"/>
      <c r="P28" s="409"/>
      <c r="Q28" s="372"/>
      <c r="R28" s="398">
        <f t="shared" si="1"/>
        <v>930</v>
      </c>
      <c r="S28" s="379">
        <f t="shared" si="2"/>
        <v>930</v>
      </c>
      <c r="T28" s="93" t="s">
        <v>326</v>
      </c>
    </row>
    <row r="29" spans="1:20" s="88" customFormat="1" ht="60">
      <c r="A29" s="86"/>
      <c r="B29" s="395" t="s">
        <v>574</v>
      </c>
      <c r="C29" s="439">
        <v>0</v>
      </c>
      <c r="D29" s="373">
        <v>250</v>
      </c>
      <c r="E29" s="395" t="s">
        <v>574</v>
      </c>
      <c r="F29" s="440"/>
      <c r="G29" s="441"/>
      <c r="H29" s="442"/>
      <c r="I29" s="443"/>
      <c r="J29" s="436"/>
      <c r="K29" s="408"/>
      <c r="L29" s="442"/>
      <c r="M29" s="443">
        <v>250</v>
      </c>
      <c r="N29" s="442"/>
      <c r="O29" s="443"/>
      <c r="P29" s="409"/>
      <c r="Q29" s="407"/>
      <c r="R29" s="398">
        <f t="shared" si="1"/>
        <v>0</v>
      </c>
      <c r="S29" s="379">
        <f t="shared" si="2"/>
        <v>250</v>
      </c>
      <c r="T29" s="93"/>
    </row>
    <row r="30" spans="1:20" s="88" customFormat="1">
      <c r="A30" s="86"/>
      <c r="B30" s="96"/>
      <c r="C30" s="94"/>
      <c r="D30" s="373"/>
      <c r="E30" s="387"/>
      <c r="F30" s="388"/>
      <c r="G30" s="404"/>
      <c r="H30" s="420"/>
      <c r="I30" s="421"/>
      <c r="J30" s="432"/>
      <c r="K30" s="404"/>
      <c r="L30" s="420"/>
      <c r="M30" s="421"/>
      <c r="N30" s="420"/>
      <c r="O30" s="421"/>
      <c r="P30" s="409"/>
      <c r="Q30" s="372"/>
      <c r="R30" s="398"/>
      <c r="S30" s="379"/>
      <c r="T30" s="93"/>
    </row>
    <row r="31" spans="1:20" ht="15.75" thickBot="1">
      <c r="B31" s="99" t="s">
        <v>72</v>
      </c>
      <c r="C31" s="100">
        <f>C7+C21</f>
        <v>1653800</v>
      </c>
      <c r="D31" s="101">
        <f>D7+D21</f>
        <v>1326350</v>
      </c>
      <c r="E31" s="99" t="s">
        <v>72</v>
      </c>
      <c r="F31" s="101">
        <f t="shared" ref="F31:Q31" si="4">F7+F21</f>
        <v>26789</v>
      </c>
      <c r="G31" s="101">
        <f t="shared" si="4"/>
        <v>26789</v>
      </c>
      <c r="H31" s="426">
        <f t="shared" si="4"/>
        <v>7500</v>
      </c>
      <c r="I31" s="427">
        <f t="shared" si="4"/>
        <v>7500</v>
      </c>
      <c r="J31" s="102">
        <f t="shared" si="4"/>
        <v>92822</v>
      </c>
      <c r="K31" s="101">
        <f t="shared" si="4"/>
        <v>46122</v>
      </c>
      <c r="L31" s="426">
        <f t="shared" si="4"/>
        <v>0</v>
      </c>
      <c r="M31" s="427">
        <f t="shared" si="4"/>
        <v>250</v>
      </c>
      <c r="N31" s="426">
        <f t="shared" si="4"/>
        <v>1142490</v>
      </c>
      <c r="O31" s="427">
        <f t="shared" si="4"/>
        <v>1111490</v>
      </c>
      <c r="P31" s="102">
        <f t="shared" si="4"/>
        <v>384199</v>
      </c>
      <c r="Q31" s="102">
        <f t="shared" si="4"/>
        <v>134199</v>
      </c>
      <c r="R31" s="399">
        <f t="shared" si="1"/>
        <v>1653800</v>
      </c>
      <c r="S31" s="396">
        <f t="shared" si="2"/>
        <v>1326350</v>
      </c>
      <c r="T31" s="85"/>
    </row>
    <row r="32" spans="1:20">
      <c r="B32" s="103"/>
      <c r="C32" s="104"/>
      <c r="D32" s="104"/>
      <c r="E32" s="103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4"/>
      <c r="Q32" s="104"/>
      <c r="R32" s="104"/>
      <c r="S32" s="104"/>
      <c r="T32" s="85"/>
    </row>
    <row r="33" spans="2:20">
      <c r="B33" s="106"/>
      <c r="C33" s="107"/>
      <c r="D33" s="107"/>
      <c r="E33" s="106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8"/>
      <c r="S33" s="108"/>
      <c r="T33" s="81"/>
    </row>
    <row r="34" spans="2:20">
      <c r="B34" s="106"/>
      <c r="C34" s="107"/>
      <c r="D34" s="107"/>
      <c r="E34" s="106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8"/>
      <c r="S34" s="108"/>
      <c r="T34" s="81"/>
    </row>
    <row r="35" spans="2:20">
      <c r="B35" s="106"/>
      <c r="C35" s="107"/>
      <c r="D35" s="107"/>
      <c r="E35" s="106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8"/>
      <c r="S35" s="108"/>
      <c r="T35" s="81"/>
    </row>
  </sheetData>
  <sheetProtection selectLockedCells="1" selectUnlockedCells="1"/>
  <mergeCells count="14">
    <mergeCell ref="B2:S2"/>
    <mergeCell ref="D5:D6"/>
    <mergeCell ref="R5:S5"/>
    <mergeCell ref="L5:M5"/>
    <mergeCell ref="B4:C4"/>
    <mergeCell ref="E4:S4"/>
    <mergeCell ref="B5:B6"/>
    <mergeCell ref="C5:C6"/>
    <mergeCell ref="E5:E6"/>
    <mergeCell ref="F5:G5"/>
    <mergeCell ref="H5:I5"/>
    <mergeCell ref="J5:K5"/>
    <mergeCell ref="N5:O5"/>
    <mergeCell ref="P5:Q5"/>
  </mergeCells>
  <printOptions horizontalCentered="1"/>
  <pageMargins left="0.39370078740157483" right="0.39370078740157483" top="0.59055118110236227" bottom="0.59055118110236227" header="0.70866141732283472" footer="0.51181102362204722"/>
  <pageSetup paperSize="9" scale="56" firstPageNumber="0" fitToWidth="0" fitToHeight="0" orientation="landscape" horizontalDpi="300" verticalDpi="300" r:id="rId1"/>
  <headerFooter alignWithMargins="0">
    <oddHeader xml:space="preserve">&amp;L14. melléklet a 8/2018.(IV.25.)  önkormányzati rendelethez
14. melléklet a 27/2017.(XII.21.) 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view="pageLayout" zoomScaleNormal="100" workbookViewId="0">
      <selection activeCell="B1" sqref="B1"/>
    </sheetView>
  </sheetViews>
  <sheetFormatPr defaultRowHeight="15.75"/>
  <cols>
    <col min="1" max="1" width="12.5703125" style="359" customWidth="1"/>
    <col min="2" max="2" width="79.28515625" style="359" customWidth="1"/>
    <col min="3" max="3" width="17" style="359" customWidth="1"/>
    <col min="4" max="4" width="19.5703125" style="360" bestFit="1" customWidth="1"/>
    <col min="5" max="5" width="13.7109375" style="361" customWidth="1"/>
    <col min="6" max="6" width="14.42578125" style="362" customWidth="1"/>
    <col min="7" max="8" width="12.140625" style="362" customWidth="1"/>
    <col min="9" max="16384" width="9.140625" style="359"/>
  </cols>
  <sheetData>
    <row r="1" spans="1:9">
      <c r="A1" s="813"/>
      <c r="B1" s="813"/>
      <c r="C1" s="813"/>
      <c r="D1" s="814"/>
      <c r="E1" s="815"/>
      <c r="F1" s="815"/>
      <c r="G1" s="815"/>
      <c r="H1" s="815"/>
    </row>
    <row r="2" spans="1:9">
      <c r="A2" s="1247" t="s">
        <v>407</v>
      </c>
      <c r="B2" s="1247"/>
      <c r="C2" s="1247"/>
      <c r="D2" s="1247"/>
      <c r="E2" s="1247"/>
      <c r="F2" s="1247"/>
      <c r="G2" s="1247"/>
      <c r="H2" s="1247"/>
    </row>
    <row r="3" spans="1:9">
      <c r="A3" s="1248" t="s">
        <v>408</v>
      </c>
      <c r="B3" s="1248"/>
      <c r="C3" s="1248"/>
      <c r="D3" s="1248"/>
      <c r="E3" s="1248"/>
      <c r="F3" s="1248"/>
      <c r="G3" s="1248"/>
      <c r="H3" s="1248"/>
    </row>
    <row r="4" spans="1:9" ht="16.5" thickBot="1">
      <c r="A4" s="813"/>
      <c r="B4" s="813"/>
      <c r="C4" s="813"/>
      <c r="D4" s="814"/>
      <c r="E4" s="815"/>
      <c r="F4" s="815"/>
      <c r="G4" s="815"/>
      <c r="H4" s="815"/>
    </row>
    <row r="5" spans="1:9" ht="28.5" customHeight="1" thickTop="1">
      <c r="A5" s="1249" t="s">
        <v>409</v>
      </c>
      <c r="B5" s="1251" t="s">
        <v>410</v>
      </c>
      <c r="C5" s="1253" t="s">
        <v>411</v>
      </c>
      <c r="D5" s="1254"/>
      <c r="E5" s="1254"/>
      <c r="F5" s="1254"/>
      <c r="G5" s="1255" t="s">
        <v>840</v>
      </c>
      <c r="H5" s="1257" t="s">
        <v>841</v>
      </c>
      <c r="I5" s="1241"/>
    </row>
    <row r="6" spans="1:9" ht="70.5" customHeight="1" thickBot="1">
      <c r="A6" s="1250"/>
      <c r="B6" s="1252"/>
      <c r="C6" s="1242" t="s">
        <v>412</v>
      </c>
      <c r="D6" s="1243"/>
      <c r="E6" s="816" t="s">
        <v>413</v>
      </c>
      <c r="F6" s="817" t="s">
        <v>842</v>
      </c>
      <c r="G6" s="1256"/>
      <c r="H6" s="1258"/>
      <c r="I6" s="1241"/>
    </row>
    <row r="7" spans="1:9" ht="23.25" customHeight="1" thickTop="1">
      <c r="A7" s="818" t="s">
        <v>414</v>
      </c>
      <c r="B7" s="819" t="s">
        <v>415</v>
      </c>
      <c r="C7" s="820"/>
      <c r="D7" s="821"/>
      <c r="E7" s="822"/>
      <c r="F7" s="822"/>
      <c r="G7" s="823"/>
      <c r="H7" s="824"/>
      <c r="I7" s="365"/>
    </row>
    <row r="8" spans="1:9">
      <c r="A8" s="825" t="s">
        <v>416</v>
      </c>
      <c r="B8" s="826" t="s">
        <v>843</v>
      </c>
      <c r="C8" s="803">
        <v>58.32</v>
      </c>
      <c r="D8" s="827" t="s">
        <v>417</v>
      </c>
      <c r="E8" s="828">
        <v>4580000</v>
      </c>
      <c r="F8" s="829">
        <f>C8*E8</f>
        <v>267105600</v>
      </c>
      <c r="G8" s="830">
        <v>267106</v>
      </c>
      <c r="H8" s="831">
        <v>267106</v>
      </c>
      <c r="I8" s="366"/>
    </row>
    <row r="9" spans="1:9">
      <c r="A9" s="825"/>
      <c r="B9" s="832" t="s">
        <v>418</v>
      </c>
      <c r="C9" s="803"/>
      <c r="D9" s="827"/>
      <c r="E9" s="828"/>
      <c r="F9" s="829">
        <v>-70387817</v>
      </c>
      <c r="G9" s="830">
        <v>-70388</v>
      </c>
      <c r="H9" s="831">
        <v>-70388</v>
      </c>
      <c r="I9" s="366"/>
    </row>
    <row r="10" spans="1:9">
      <c r="A10" s="825"/>
      <c r="B10" s="826" t="s">
        <v>419</v>
      </c>
      <c r="C10" s="803"/>
      <c r="D10" s="827"/>
      <c r="E10" s="828"/>
      <c r="F10" s="833">
        <f>SUM(F8:F9)</f>
        <v>196717783</v>
      </c>
      <c r="G10" s="834">
        <f>SUM(G8:G9)</f>
        <v>196718</v>
      </c>
      <c r="H10" s="835">
        <f>SUM(H8:H9)</f>
        <v>196718</v>
      </c>
      <c r="I10" s="366"/>
    </row>
    <row r="11" spans="1:9">
      <c r="A11" s="836" t="s">
        <v>420</v>
      </c>
      <c r="B11" s="837" t="s">
        <v>421</v>
      </c>
      <c r="C11" s="803"/>
      <c r="D11" s="827"/>
      <c r="E11" s="828"/>
      <c r="F11" s="828"/>
      <c r="G11" s="830"/>
      <c r="H11" s="831"/>
      <c r="I11" s="366"/>
    </row>
    <row r="12" spans="1:9">
      <c r="A12" s="838" t="s">
        <v>422</v>
      </c>
      <c r="B12" s="802" t="s">
        <v>423</v>
      </c>
      <c r="C12" s="839">
        <f>F12/E12</f>
        <v>1705.2</v>
      </c>
      <c r="D12" s="804" t="s">
        <v>424</v>
      </c>
      <c r="E12" s="805">
        <v>22300</v>
      </c>
      <c r="F12" s="828">
        <v>38025960</v>
      </c>
      <c r="G12" s="830">
        <v>38026</v>
      </c>
      <c r="H12" s="831">
        <v>38026</v>
      </c>
      <c r="I12" s="366"/>
    </row>
    <row r="13" spans="1:9">
      <c r="A13" s="838"/>
      <c r="B13" s="832" t="s">
        <v>418</v>
      </c>
      <c r="C13" s="839"/>
      <c r="D13" s="804"/>
      <c r="E13" s="805"/>
      <c r="F13" s="828">
        <v>-38025960</v>
      </c>
      <c r="G13" s="830">
        <v>-38026</v>
      </c>
      <c r="H13" s="831">
        <v>-38026</v>
      </c>
      <c r="I13" s="366"/>
    </row>
    <row r="14" spans="1:9">
      <c r="A14" s="838" t="s">
        <v>425</v>
      </c>
      <c r="B14" s="802" t="s">
        <v>426</v>
      </c>
      <c r="C14" s="803">
        <f>F14/E14</f>
        <v>208.6</v>
      </c>
      <c r="D14" s="804" t="s">
        <v>427</v>
      </c>
      <c r="E14" s="805">
        <v>400000</v>
      </c>
      <c r="F14" s="828">
        <v>83440000</v>
      </c>
      <c r="G14" s="830">
        <v>83440</v>
      </c>
      <c r="H14" s="831">
        <v>83440</v>
      </c>
      <c r="I14" s="366"/>
    </row>
    <row r="15" spans="1:9">
      <c r="A15" s="838"/>
      <c r="B15" s="832" t="s">
        <v>418</v>
      </c>
      <c r="C15" s="803"/>
      <c r="D15" s="804"/>
      <c r="E15" s="805"/>
      <c r="F15" s="828">
        <v>-83440000</v>
      </c>
      <c r="G15" s="830">
        <v>-83440</v>
      </c>
      <c r="H15" s="831">
        <v>-83440</v>
      </c>
      <c r="I15" s="366"/>
    </row>
    <row r="16" spans="1:9">
      <c r="A16" s="838" t="s">
        <v>428</v>
      </c>
      <c r="B16" s="802" t="s">
        <v>429</v>
      </c>
      <c r="C16" s="828">
        <f>F16/E16</f>
        <v>129404</v>
      </c>
      <c r="D16" s="804" t="s">
        <v>430</v>
      </c>
      <c r="E16" s="805">
        <v>104</v>
      </c>
      <c r="F16" s="828">
        <v>13458016</v>
      </c>
      <c r="G16" s="830">
        <v>13458</v>
      </c>
      <c r="H16" s="831">
        <v>13458</v>
      </c>
      <c r="I16" s="366"/>
    </row>
    <row r="17" spans="1:9">
      <c r="A17" s="838"/>
      <c r="B17" s="832" t="s">
        <v>418</v>
      </c>
      <c r="C17" s="828"/>
      <c r="D17" s="804"/>
      <c r="E17" s="805"/>
      <c r="F17" s="828">
        <v>-13458016</v>
      </c>
      <c r="G17" s="830">
        <v>-13458</v>
      </c>
      <c r="H17" s="831">
        <v>-13458</v>
      </c>
      <c r="I17" s="366"/>
    </row>
    <row r="18" spans="1:9">
      <c r="A18" s="838" t="s">
        <v>431</v>
      </c>
      <c r="B18" s="802" t="s">
        <v>432</v>
      </c>
      <c r="C18" s="803">
        <f>F18/E18</f>
        <v>102.41</v>
      </c>
      <c r="D18" s="804" t="s">
        <v>427</v>
      </c>
      <c r="E18" s="805">
        <v>295000</v>
      </c>
      <c r="F18" s="828">
        <v>30210950</v>
      </c>
      <c r="G18" s="830">
        <v>30211</v>
      </c>
      <c r="H18" s="831">
        <v>30211</v>
      </c>
      <c r="I18" s="366"/>
    </row>
    <row r="19" spans="1:9">
      <c r="A19" s="838"/>
      <c r="B19" s="832" t="s">
        <v>418</v>
      </c>
      <c r="C19" s="803"/>
      <c r="D19" s="804"/>
      <c r="E19" s="805"/>
      <c r="F19" s="828">
        <v>-30210950</v>
      </c>
      <c r="G19" s="830">
        <v>-30211</v>
      </c>
      <c r="H19" s="831">
        <v>-30211</v>
      </c>
      <c r="I19" s="366"/>
    </row>
    <row r="20" spans="1:9">
      <c r="A20" s="840" t="s">
        <v>420</v>
      </c>
      <c r="B20" s="841" t="s">
        <v>433</v>
      </c>
      <c r="C20" s="803"/>
      <c r="D20" s="827"/>
      <c r="E20" s="828"/>
      <c r="F20" s="833">
        <f>SUM(F12:F19)</f>
        <v>0</v>
      </c>
      <c r="G20" s="842">
        <f>SUM(G12:G19)</f>
        <v>0</v>
      </c>
      <c r="H20" s="843">
        <f>SUM(H12:H19)</f>
        <v>0</v>
      </c>
      <c r="I20" s="366"/>
    </row>
    <row r="21" spans="1:9">
      <c r="A21" s="840" t="s">
        <v>434</v>
      </c>
      <c r="B21" s="808" t="s">
        <v>844</v>
      </c>
      <c r="C21" s="828">
        <v>23343</v>
      </c>
      <c r="D21" s="827" t="s">
        <v>417</v>
      </c>
      <c r="E21" s="828">
        <v>2700</v>
      </c>
      <c r="F21" s="833">
        <f>C21*E21</f>
        <v>63026100</v>
      </c>
      <c r="G21" s="830">
        <v>63026</v>
      </c>
      <c r="H21" s="831">
        <v>63026</v>
      </c>
      <c r="I21" s="366"/>
    </row>
    <row r="22" spans="1:9">
      <c r="A22" s="840"/>
      <c r="B22" s="832" t="s">
        <v>418</v>
      </c>
      <c r="C22" s="828"/>
      <c r="D22" s="827"/>
      <c r="E22" s="828"/>
      <c r="F22" s="829">
        <v>-63026100</v>
      </c>
      <c r="G22" s="830">
        <v>-63026</v>
      </c>
      <c r="H22" s="831">
        <v>-63026</v>
      </c>
      <c r="I22" s="366"/>
    </row>
    <row r="23" spans="1:9" ht="16.5" customHeight="1">
      <c r="A23" s="840" t="s">
        <v>435</v>
      </c>
      <c r="B23" s="808" t="s">
        <v>436</v>
      </c>
      <c r="C23" s="803">
        <v>691</v>
      </c>
      <c r="D23" s="827" t="s">
        <v>417</v>
      </c>
      <c r="E23" s="828">
        <v>2550</v>
      </c>
      <c r="F23" s="833">
        <f>C23*E23</f>
        <v>1762050</v>
      </c>
      <c r="G23" s="830">
        <v>1762</v>
      </c>
      <c r="H23" s="831">
        <v>1762</v>
      </c>
      <c r="I23" s="366"/>
    </row>
    <row r="24" spans="1:9">
      <c r="A24" s="840"/>
      <c r="B24" s="832" t="s">
        <v>418</v>
      </c>
      <c r="C24" s="803"/>
      <c r="D24" s="827"/>
      <c r="E24" s="828"/>
      <c r="F24" s="829">
        <v>-1762050</v>
      </c>
      <c r="G24" s="830">
        <v>-1762</v>
      </c>
      <c r="H24" s="831">
        <v>-1762</v>
      </c>
      <c r="I24" s="366"/>
    </row>
    <row r="25" spans="1:9">
      <c r="A25" s="840" t="s">
        <v>437</v>
      </c>
      <c r="B25" s="841" t="s">
        <v>438</v>
      </c>
      <c r="C25" s="828">
        <v>43044000</v>
      </c>
      <c r="D25" s="827" t="s">
        <v>439</v>
      </c>
      <c r="E25" s="844">
        <v>1</v>
      </c>
      <c r="F25" s="833">
        <f>C25*E25</f>
        <v>43044000</v>
      </c>
      <c r="G25" s="830">
        <v>43044</v>
      </c>
      <c r="H25" s="831">
        <v>43044</v>
      </c>
      <c r="I25" s="366"/>
    </row>
    <row r="26" spans="1:9">
      <c r="A26" s="840"/>
      <c r="B26" s="832" t="s">
        <v>418</v>
      </c>
      <c r="C26" s="828"/>
      <c r="D26" s="827"/>
      <c r="E26" s="844"/>
      <c r="F26" s="833">
        <v>-43044000</v>
      </c>
      <c r="G26" s="830">
        <v>-43044</v>
      </c>
      <c r="H26" s="831">
        <v>-43044</v>
      </c>
      <c r="I26" s="366"/>
    </row>
    <row r="27" spans="1:9">
      <c r="A27" s="845" t="s">
        <v>440</v>
      </c>
      <c r="B27" s="846" t="s">
        <v>441</v>
      </c>
      <c r="C27" s="803"/>
      <c r="D27" s="827"/>
      <c r="E27" s="828"/>
      <c r="F27" s="847">
        <f>F10+F20+F21+F22+F23+F24+F25+F26</f>
        <v>196717783</v>
      </c>
      <c r="G27" s="834">
        <f>G10+G20+G21+G22+G23+G24+G25+G26</f>
        <v>196718</v>
      </c>
      <c r="H27" s="835">
        <f>H10+H20+H21+H22+H23+H24+H25+H26</f>
        <v>196718</v>
      </c>
      <c r="I27" s="366"/>
    </row>
    <row r="28" spans="1:9">
      <c r="A28" s="845" t="s">
        <v>442</v>
      </c>
      <c r="B28" s="846" t="s">
        <v>443</v>
      </c>
      <c r="C28" s="803" t="s">
        <v>444</v>
      </c>
      <c r="D28" s="827"/>
      <c r="E28" s="828"/>
      <c r="F28" s="828">
        <v>815814</v>
      </c>
      <c r="G28" s="830">
        <v>0</v>
      </c>
      <c r="H28" s="831">
        <v>816</v>
      </c>
      <c r="I28" s="366"/>
    </row>
    <row r="29" spans="1:9">
      <c r="A29" s="848" t="s">
        <v>414</v>
      </c>
      <c r="B29" s="846" t="s">
        <v>445</v>
      </c>
      <c r="C29" s="803"/>
      <c r="D29" s="827"/>
      <c r="E29" s="830"/>
      <c r="F29" s="847">
        <f>F27+F28</f>
        <v>197533597</v>
      </c>
      <c r="G29" s="834">
        <f>G27+G28</f>
        <v>196718</v>
      </c>
      <c r="H29" s="907">
        <f>H27+H28</f>
        <v>197534</v>
      </c>
      <c r="I29" s="906"/>
    </row>
    <row r="30" spans="1:9" ht="30" customHeight="1">
      <c r="A30" s="840" t="s">
        <v>446</v>
      </c>
      <c r="B30" s="849" t="s">
        <v>447</v>
      </c>
      <c r="C30" s="803"/>
      <c r="D30" s="827"/>
      <c r="E30" s="828"/>
      <c r="F30" s="828"/>
      <c r="G30" s="830"/>
      <c r="H30" s="831"/>
      <c r="I30" s="366"/>
    </row>
    <row r="31" spans="1:9" ht="22.5" customHeight="1">
      <c r="A31" s="840"/>
      <c r="B31" s="850" t="s">
        <v>448</v>
      </c>
      <c r="C31" s="803">
        <v>49.8</v>
      </c>
      <c r="D31" s="827" t="s">
        <v>417</v>
      </c>
      <c r="E31" s="828">
        <v>4419000</v>
      </c>
      <c r="F31" s="828">
        <f>C31*E31*8/12</f>
        <v>146710800</v>
      </c>
      <c r="G31" s="830">
        <v>146711</v>
      </c>
      <c r="H31" s="831">
        <v>146711</v>
      </c>
      <c r="I31" s="366"/>
    </row>
    <row r="32" spans="1:9" ht="19.5" customHeight="1">
      <c r="A32" s="840"/>
      <c r="B32" s="850" t="s">
        <v>449</v>
      </c>
      <c r="C32" s="851">
        <v>48.5</v>
      </c>
      <c r="D32" s="827" t="s">
        <v>417</v>
      </c>
      <c r="E32" s="828">
        <v>4419000</v>
      </c>
      <c r="F32" s="828">
        <f>C32*E32*4/12</f>
        <v>71440500</v>
      </c>
      <c r="G32" s="830">
        <v>71440</v>
      </c>
      <c r="H32" s="831">
        <v>71440</v>
      </c>
      <c r="I32" s="366"/>
    </row>
    <row r="33" spans="1:9" ht="18" customHeight="1">
      <c r="A33" s="840"/>
      <c r="B33" s="850" t="s">
        <v>450</v>
      </c>
      <c r="C33" s="803">
        <v>34</v>
      </c>
      <c r="D33" s="827" t="s">
        <v>417</v>
      </c>
      <c r="E33" s="828">
        <v>2205000</v>
      </c>
      <c r="F33" s="828">
        <f>C33*E33*8/12</f>
        <v>49980000</v>
      </c>
      <c r="G33" s="830">
        <v>49980</v>
      </c>
      <c r="H33" s="831">
        <v>49980</v>
      </c>
      <c r="I33" s="366"/>
    </row>
    <row r="34" spans="1:9" ht="21.75" customHeight="1">
      <c r="A34" s="840"/>
      <c r="B34" s="850" t="s">
        <v>451</v>
      </c>
      <c r="C34" s="803">
        <v>34</v>
      </c>
      <c r="D34" s="827" t="s">
        <v>417</v>
      </c>
      <c r="E34" s="828">
        <v>2205000</v>
      </c>
      <c r="F34" s="828">
        <f>C34*E34*4/12</f>
        <v>24990000</v>
      </c>
      <c r="G34" s="830">
        <v>24990</v>
      </c>
      <c r="H34" s="831">
        <v>24990</v>
      </c>
      <c r="I34" s="366"/>
    </row>
    <row r="35" spans="1:9" ht="32.25" customHeight="1">
      <c r="A35" s="845" t="s">
        <v>446</v>
      </c>
      <c r="B35" s="852" t="s">
        <v>452</v>
      </c>
      <c r="C35" s="803"/>
      <c r="D35" s="827"/>
      <c r="E35" s="828"/>
      <c r="F35" s="833">
        <f>SUM(F31:F34)</f>
        <v>293121300</v>
      </c>
      <c r="G35" s="834">
        <f>SUM(G31:G34)</f>
        <v>293121</v>
      </c>
      <c r="H35" s="835">
        <f>SUM(H31:H34)</f>
        <v>293121</v>
      </c>
      <c r="I35" s="366"/>
    </row>
    <row r="36" spans="1:9">
      <c r="A36" s="840" t="s">
        <v>453</v>
      </c>
      <c r="B36" s="841" t="s">
        <v>454</v>
      </c>
      <c r="C36" s="803"/>
      <c r="D36" s="827"/>
      <c r="E36" s="828"/>
      <c r="F36" s="828"/>
      <c r="G36" s="830"/>
      <c r="H36" s="831"/>
      <c r="I36" s="366"/>
    </row>
    <row r="37" spans="1:9">
      <c r="A37" s="836" t="s">
        <v>455</v>
      </c>
      <c r="B37" s="837" t="s">
        <v>456</v>
      </c>
      <c r="C37" s="803">
        <v>549</v>
      </c>
      <c r="D37" s="827" t="s">
        <v>417</v>
      </c>
      <c r="E37" s="828">
        <v>81700</v>
      </c>
      <c r="F37" s="828">
        <f>C37*E37*8/12</f>
        <v>29902200</v>
      </c>
      <c r="G37" s="830">
        <v>29902</v>
      </c>
      <c r="H37" s="831">
        <v>29902</v>
      </c>
      <c r="I37" s="366"/>
    </row>
    <row r="38" spans="1:9">
      <c r="A38" s="840"/>
      <c r="B38" s="837" t="s">
        <v>457</v>
      </c>
      <c r="C38" s="803">
        <v>538</v>
      </c>
      <c r="D38" s="827" t="s">
        <v>417</v>
      </c>
      <c r="E38" s="828">
        <v>81700</v>
      </c>
      <c r="F38" s="828">
        <f>C38*E38*4/12</f>
        <v>14651533.333333334</v>
      </c>
      <c r="G38" s="830">
        <v>14652</v>
      </c>
      <c r="H38" s="831">
        <v>14652</v>
      </c>
      <c r="I38" s="366"/>
    </row>
    <row r="39" spans="1:9">
      <c r="A39" s="836" t="s">
        <v>458</v>
      </c>
      <c r="B39" s="837" t="s">
        <v>459</v>
      </c>
      <c r="C39" s="803" t="s">
        <v>444</v>
      </c>
      <c r="D39" s="827"/>
      <c r="E39" s="828"/>
      <c r="F39" s="828"/>
      <c r="G39" s="830"/>
      <c r="H39" s="831"/>
      <c r="I39" s="366"/>
    </row>
    <row r="40" spans="1:9">
      <c r="A40" s="845" t="s">
        <v>460</v>
      </c>
      <c r="B40" s="853" t="s">
        <v>461</v>
      </c>
      <c r="C40" s="803"/>
      <c r="D40" s="827"/>
      <c r="E40" s="828"/>
      <c r="F40" s="833">
        <f>SUM(F37:F39)</f>
        <v>44553733.333333336</v>
      </c>
      <c r="G40" s="842">
        <f>SUM(G37:G39)</f>
        <v>44554</v>
      </c>
      <c r="H40" s="843">
        <f>SUM(H37:H39)</f>
        <v>44554</v>
      </c>
      <c r="I40" s="366"/>
    </row>
    <row r="41" spans="1:9">
      <c r="A41" s="840" t="s">
        <v>462</v>
      </c>
      <c r="B41" s="841" t="s">
        <v>463</v>
      </c>
      <c r="C41" s="803"/>
      <c r="D41" s="827"/>
      <c r="E41" s="828"/>
      <c r="F41" s="828"/>
      <c r="G41" s="830"/>
      <c r="H41" s="831"/>
      <c r="I41" s="366"/>
    </row>
    <row r="42" spans="1:9">
      <c r="A42" s="840"/>
      <c r="B42" s="837" t="s">
        <v>464</v>
      </c>
      <c r="C42" s="803">
        <v>22</v>
      </c>
      <c r="D42" s="827" t="s">
        <v>417</v>
      </c>
      <c r="E42" s="828">
        <v>401000</v>
      </c>
      <c r="F42" s="828">
        <f>C42*E42</f>
        <v>8822000</v>
      </c>
      <c r="G42" s="830">
        <v>8822</v>
      </c>
      <c r="H42" s="831">
        <v>8822</v>
      </c>
      <c r="I42" s="366"/>
    </row>
    <row r="43" spans="1:9">
      <c r="A43" s="840"/>
      <c r="B43" s="837" t="s">
        <v>465</v>
      </c>
      <c r="C43" s="803">
        <v>6</v>
      </c>
      <c r="D43" s="827" t="s">
        <v>417</v>
      </c>
      <c r="E43" s="828">
        <v>367584</v>
      </c>
      <c r="F43" s="828">
        <f>C43*E43</f>
        <v>2205504</v>
      </c>
      <c r="G43" s="830">
        <v>0</v>
      </c>
      <c r="H43" s="831">
        <v>2205</v>
      </c>
      <c r="I43" s="366"/>
    </row>
    <row r="44" spans="1:9">
      <c r="A44" s="845" t="s">
        <v>462</v>
      </c>
      <c r="B44" s="853" t="s">
        <v>463</v>
      </c>
      <c r="C44" s="803"/>
      <c r="D44" s="827"/>
      <c r="E44" s="828"/>
      <c r="F44" s="833">
        <f>SUM(F42:F43)</f>
        <v>11027504</v>
      </c>
      <c r="G44" s="842">
        <f>SUM(G42:G43)</f>
        <v>8822</v>
      </c>
      <c r="H44" s="843">
        <f>SUM(H42:H43)</f>
        <v>11027</v>
      </c>
      <c r="I44" s="366"/>
    </row>
    <row r="45" spans="1:9" ht="24" customHeight="1">
      <c r="A45" s="848" t="s">
        <v>466</v>
      </c>
      <c r="B45" s="852" t="s">
        <v>467</v>
      </c>
      <c r="C45" s="803"/>
      <c r="D45" s="827"/>
      <c r="E45" s="828"/>
      <c r="F45" s="847">
        <f>F35+F40+F44</f>
        <v>348702537.33333331</v>
      </c>
      <c r="G45" s="834">
        <f>G35+G40+G44</f>
        <v>346497</v>
      </c>
      <c r="H45" s="907">
        <f>H35+H40+H44</f>
        <v>348702</v>
      </c>
      <c r="I45" s="906"/>
    </row>
    <row r="46" spans="1:9">
      <c r="A46" s="854" t="s">
        <v>468</v>
      </c>
      <c r="B46" s="855" t="s">
        <v>469</v>
      </c>
      <c r="C46" s="803"/>
      <c r="D46" s="827"/>
      <c r="E46" s="828"/>
      <c r="F46" s="833">
        <v>15146756</v>
      </c>
      <c r="G46" s="830">
        <v>0</v>
      </c>
      <c r="H46" s="835">
        <v>15147</v>
      </c>
      <c r="I46" s="366"/>
    </row>
    <row r="47" spans="1:9">
      <c r="A47" s="836" t="s">
        <v>470</v>
      </c>
      <c r="B47" s="837" t="s">
        <v>471</v>
      </c>
      <c r="C47" s="803"/>
      <c r="D47" s="827"/>
      <c r="E47" s="828"/>
      <c r="F47" s="828"/>
      <c r="G47" s="830"/>
      <c r="H47" s="831"/>
      <c r="I47" s="366"/>
    </row>
    <row r="48" spans="1:9">
      <c r="A48" s="840" t="s">
        <v>472</v>
      </c>
      <c r="B48" s="837" t="s">
        <v>473</v>
      </c>
      <c r="C48" s="803">
        <v>8.4</v>
      </c>
      <c r="D48" s="827" t="s">
        <v>417</v>
      </c>
      <c r="E48" s="828">
        <v>3400000</v>
      </c>
      <c r="F48" s="828">
        <f>C48*E48</f>
        <v>28560000</v>
      </c>
      <c r="G48" s="830">
        <v>25200</v>
      </c>
      <c r="H48" s="831">
        <v>28560</v>
      </c>
      <c r="I48" s="366"/>
    </row>
    <row r="49" spans="1:9">
      <c r="A49" s="840" t="s">
        <v>474</v>
      </c>
      <c r="B49" s="837" t="s">
        <v>475</v>
      </c>
      <c r="C49" s="803">
        <v>4.9000000000000004</v>
      </c>
      <c r="D49" s="827" t="s">
        <v>417</v>
      </c>
      <c r="E49" s="828">
        <v>3300000</v>
      </c>
      <c r="F49" s="828">
        <f>C49*E49</f>
        <v>16170000.000000002</v>
      </c>
      <c r="G49" s="830">
        <v>14700</v>
      </c>
      <c r="H49" s="831">
        <v>16170</v>
      </c>
      <c r="I49" s="366"/>
    </row>
    <row r="50" spans="1:9">
      <c r="A50" s="840" t="s">
        <v>476</v>
      </c>
      <c r="B50" s="837" t="s">
        <v>477</v>
      </c>
      <c r="C50" s="803">
        <v>65</v>
      </c>
      <c r="D50" s="827" t="s">
        <v>417</v>
      </c>
      <c r="E50" s="828">
        <v>55360</v>
      </c>
      <c r="F50" s="828">
        <f>C50*E50</f>
        <v>3598400</v>
      </c>
      <c r="G50" s="830">
        <v>3598</v>
      </c>
      <c r="H50" s="831">
        <v>3598</v>
      </c>
      <c r="I50" s="366"/>
    </row>
    <row r="51" spans="1:9">
      <c r="A51" s="840"/>
      <c r="B51" s="841" t="s">
        <v>478</v>
      </c>
      <c r="C51" s="803"/>
      <c r="D51" s="827"/>
      <c r="E51" s="828" t="s">
        <v>479</v>
      </c>
      <c r="F51" s="828">
        <f>F50*10%</f>
        <v>359840</v>
      </c>
      <c r="G51" s="830">
        <v>360</v>
      </c>
      <c r="H51" s="831">
        <v>360</v>
      </c>
      <c r="I51" s="366"/>
    </row>
    <row r="52" spans="1:9" ht="22.5" customHeight="1">
      <c r="A52" s="838" t="s">
        <v>480</v>
      </c>
      <c r="B52" s="850" t="s">
        <v>845</v>
      </c>
      <c r="C52" s="803">
        <v>3</v>
      </c>
      <c r="D52" s="827" t="s">
        <v>417</v>
      </c>
      <c r="E52" s="828">
        <v>25000</v>
      </c>
      <c r="F52" s="829">
        <f>C52*E52</f>
        <v>75000</v>
      </c>
      <c r="G52" s="830">
        <v>75</v>
      </c>
      <c r="H52" s="831">
        <v>75</v>
      </c>
      <c r="I52" s="366"/>
    </row>
    <row r="53" spans="1:9" ht="20.25" customHeight="1">
      <c r="A53" s="838" t="s">
        <v>481</v>
      </c>
      <c r="B53" s="850" t="s">
        <v>846</v>
      </c>
      <c r="C53" s="803">
        <v>20</v>
      </c>
      <c r="D53" s="827" t="s">
        <v>417</v>
      </c>
      <c r="E53" s="828">
        <v>330000</v>
      </c>
      <c r="F53" s="829">
        <f>C53*E53</f>
        <v>6600000</v>
      </c>
      <c r="G53" s="830">
        <v>4200</v>
      </c>
      <c r="H53" s="831">
        <v>6600</v>
      </c>
      <c r="I53" s="366"/>
    </row>
    <row r="54" spans="1:9" ht="19.5" customHeight="1">
      <c r="A54" s="838"/>
      <c r="B54" s="849" t="s">
        <v>482</v>
      </c>
      <c r="C54" s="803"/>
      <c r="D54" s="827"/>
      <c r="E54" s="828" t="s">
        <v>483</v>
      </c>
      <c r="F54" s="828">
        <f>F53*30%</f>
        <v>1980000</v>
      </c>
      <c r="G54" s="830">
        <v>1260</v>
      </c>
      <c r="H54" s="831">
        <v>1980</v>
      </c>
      <c r="I54" s="366"/>
    </row>
    <row r="55" spans="1:9" ht="20.25" customHeight="1">
      <c r="A55" s="840" t="s">
        <v>484</v>
      </c>
      <c r="B55" s="852" t="s">
        <v>485</v>
      </c>
      <c r="C55" s="803"/>
      <c r="D55" s="827"/>
      <c r="E55" s="828"/>
      <c r="F55" s="828">
        <f>SUM(F52:F54)</f>
        <v>8655000</v>
      </c>
      <c r="G55" s="830">
        <f>SUM(G52:G54)</f>
        <v>5535</v>
      </c>
      <c r="H55" s="831">
        <f>SUM(H52:H54)</f>
        <v>8655</v>
      </c>
      <c r="I55" s="366"/>
    </row>
    <row r="56" spans="1:9" ht="18.75" customHeight="1">
      <c r="A56" s="840" t="s">
        <v>486</v>
      </c>
      <c r="B56" s="856" t="s">
        <v>487</v>
      </c>
      <c r="C56" s="803">
        <v>45</v>
      </c>
      <c r="D56" s="827" t="s">
        <v>417</v>
      </c>
      <c r="E56" s="828">
        <v>109000</v>
      </c>
      <c r="F56" s="828">
        <f>C56*E56</f>
        <v>4905000</v>
      </c>
      <c r="G56" s="830">
        <v>4905</v>
      </c>
      <c r="H56" s="831">
        <v>4905</v>
      </c>
      <c r="I56" s="366"/>
    </row>
    <row r="57" spans="1:9" ht="18" customHeight="1">
      <c r="A57" s="840"/>
      <c r="B57" s="849" t="s">
        <v>488</v>
      </c>
      <c r="C57" s="803"/>
      <c r="D57" s="827"/>
      <c r="E57" s="828" t="s">
        <v>489</v>
      </c>
      <c r="F57" s="828">
        <f>F56*50%</f>
        <v>2452500</v>
      </c>
      <c r="G57" s="830">
        <v>2452</v>
      </c>
      <c r="H57" s="831">
        <v>2452</v>
      </c>
      <c r="I57" s="366"/>
    </row>
    <row r="58" spans="1:9" ht="18" customHeight="1">
      <c r="A58" s="840" t="s">
        <v>490</v>
      </c>
      <c r="B58" s="850" t="s">
        <v>491</v>
      </c>
      <c r="C58" s="803">
        <v>32</v>
      </c>
      <c r="D58" s="827" t="s">
        <v>417</v>
      </c>
      <c r="E58" s="828">
        <v>500000</v>
      </c>
      <c r="F58" s="828">
        <f>C58*E58</f>
        <v>16000000</v>
      </c>
      <c r="G58" s="830">
        <v>16000</v>
      </c>
      <c r="H58" s="831">
        <v>16000</v>
      </c>
      <c r="I58" s="366"/>
    </row>
    <row r="59" spans="1:9" ht="16.5" customHeight="1">
      <c r="A59" s="840"/>
      <c r="B59" s="849" t="s">
        <v>492</v>
      </c>
      <c r="C59" s="803"/>
      <c r="D59" s="827"/>
      <c r="E59" s="828" t="s">
        <v>493</v>
      </c>
      <c r="F59" s="828">
        <f>F58*10%</f>
        <v>1600000</v>
      </c>
      <c r="G59" s="830">
        <v>1600</v>
      </c>
      <c r="H59" s="831">
        <v>1600</v>
      </c>
      <c r="I59" s="366"/>
    </row>
    <row r="60" spans="1:9" ht="17.25" customHeight="1">
      <c r="A60" s="840" t="s">
        <v>494</v>
      </c>
      <c r="B60" s="850" t="s">
        <v>495</v>
      </c>
      <c r="C60" s="803">
        <v>35</v>
      </c>
      <c r="D60" s="827" t="s">
        <v>417</v>
      </c>
      <c r="E60" s="828">
        <v>206100</v>
      </c>
      <c r="F60" s="828">
        <f>C60*E60</f>
        <v>7213500</v>
      </c>
      <c r="G60" s="830">
        <v>7214</v>
      </c>
      <c r="H60" s="831">
        <v>7214</v>
      </c>
      <c r="I60" s="366"/>
    </row>
    <row r="61" spans="1:9" ht="36" customHeight="1">
      <c r="A61" s="840"/>
      <c r="B61" s="849" t="s">
        <v>496</v>
      </c>
      <c r="C61" s="803"/>
      <c r="D61" s="827"/>
      <c r="E61" s="828" t="s">
        <v>497</v>
      </c>
      <c r="F61" s="828">
        <f>F60*20%</f>
        <v>1442700</v>
      </c>
      <c r="G61" s="830">
        <v>1443</v>
      </c>
      <c r="H61" s="831">
        <v>1443</v>
      </c>
      <c r="I61" s="366"/>
    </row>
    <row r="62" spans="1:9" ht="18" customHeight="1">
      <c r="A62" s="840" t="s">
        <v>498</v>
      </c>
      <c r="B62" s="850" t="s">
        <v>499</v>
      </c>
      <c r="C62" s="803">
        <v>32</v>
      </c>
      <c r="D62" s="827" t="s">
        <v>500</v>
      </c>
      <c r="E62" s="828">
        <v>490000</v>
      </c>
      <c r="F62" s="828">
        <f>C62*E62</f>
        <v>15680000</v>
      </c>
      <c r="G62" s="830">
        <v>14987</v>
      </c>
      <c r="H62" s="831">
        <v>15680</v>
      </c>
      <c r="I62" s="366"/>
    </row>
    <row r="63" spans="1:9" ht="21" customHeight="1">
      <c r="A63" s="840"/>
      <c r="B63" s="849" t="s">
        <v>501</v>
      </c>
      <c r="C63" s="803"/>
      <c r="D63" s="827"/>
      <c r="E63" s="828" t="s">
        <v>502</v>
      </c>
      <c r="F63" s="828">
        <f>F62*10%</f>
        <v>1568000</v>
      </c>
      <c r="G63" s="830">
        <v>1499</v>
      </c>
      <c r="H63" s="831">
        <v>1568</v>
      </c>
      <c r="I63" s="366"/>
    </row>
    <row r="64" spans="1:9" ht="15.75" customHeight="1">
      <c r="A64" s="840" t="s">
        <v>503</v>
      </c>
      <c r="B64" s="850" t="s">
        <v>504</v>
      </c>
      <c r="C64" s="803">
        <v>1</v>
      </c>
      <c r="D64" s="827"/>
      <c r="E64" s="828">
        <v>4100000</v>
      </c>
      <c r="F64" s="828">
        <f>C64*E64</f>
        <v>4100000</v>
      </c>
      <c r="G64" s="830">
        <v>3000</v>
      </c>
      <c r="H64" s="831">
        <v>4100</v>
      </c>
      <c r="I64" s="366"/>
    </row>
    <row r="65" spans="1:9" ht="16.5" customHeight="1">
      <c r="A65" s="840"/>
      <c r="B65" s="850" t="s">
        <v>505</v>
      </c>
      <c r="C65" s="803">
        <v>2884</v>
      </c>
      <c r="D65" s="827" t="s">
        <v>506</v>
      </c>
      <c r="E65" s="828">
        <v>1800</v>
      </c>
      <c r="F65" s="828">
        <f>C65*E65</f>
        <v>5191200</v>
      </c>
      <c r="G65" s="830">
        <v>5191</v>
      </c>
      <c r="H65" s="831">
        <v>5191</v>
      </c>
      <c r="I65" s="366"/>
    </row>
    <row r="66" spans="1:9" ht="25.5" customHeight="1">
      <c r="A66" s="840"/>
      <c r="B66" s="850" t="s">
        <v>507</v>
      </c>
      <c r="C66" s="803">
        <v>2485</v>
      </c>
      <c r="D66" s="827" t="s">
        <v>506</v>
      </c>
      <c r="E66" s="828">
        <v>1800</v>
      </c>
      <c r="F66" s="828">
        <f>C66*E66</f>
        <v>4473000</v>
      </c>
      <c r="G66" s="830">
        <v>4473</v>
      </c>
      <c r="H66" s="831">
        <v>4473</v>
      </c>
      <c r="I66" s="366"/>
    </row>
    <row r="67" spans="1:9" ht="18.75" customHeight="1">
      <c r="A67" s="840" t="s">
        <v>508</v>
      </c>
      <c r="B67" s="850" t="s">
        <v>509</v>
      </c>
      <c r="C67" s="803">
        <v>1</v>
      </c>
      <c r="D67" s="804" t="s">
        <v>510</v>
      </c>
      <c r="E67" s="828">
        <v>3400000</v>
      </c>
      <c r="F67" s="828">
        <f>C67*E67</f>
        <v>3400000</v>
      </c>
      <c r="G67" s="830">
        <v>2000</v>
      </c>
      <c r="H67" s="831">
        <v>3400</v>
      </c>
      <c r="I67" s="366"/>
    </row>
    <row r="68" spans="1:9" ht="20.25" customHeight="1">
      <c r="A68" s="840"/>
      <c r="B68" s="850" t="s">
        <v>511</v>
      </c>
      <c r="C68" s="803">
        <v>40</v>
      </c>
      <c r="D68" s="804" t="s">
        <v>512</v>
      </c>
      <c r="E68" s="828">
        <v>150000</v>
      </c>
      <c r="F68" s="828">
        <f>C68*E68</f>
        <v>6000000</v>
      </c>
      <c r="G68" s="830">
        <v>6000</v>
      </c>
      <c r="H68" s="831">
        <v>6000</v>
      </c>
      <c r="I68" s="366"/>
    </row>
    <row r="69" spans="1:9" ht="33" customHeight="1">
      <c r="A69" s="840" t="s">
        <v>513</v>
      </c>
      <c r="B69" s="850" t="s">
        <v>514</v>
      </c>
      <c r="C69" s="803" t="s">
        <v>515</v>
      </c>
      <c r="D69" s="804"/>
      <c r="E69" s="828"/>
      <c r="F69" s="828">
        <v>0</v>
      </c>
      <c r="G69" s="830">
        <v>0</v>
      </c>
      <c r="H69" s="831">
        <v>0</v>
      </c>
      <c r="I69" s="366"/>
    </row>
    <row r="70" spans="1:9">
      <c r="A70" s="845" t="s">
        <v>470</v>
      </c>
      <c r="B70" s="853" t="s">
        <v>516</v>
      </c>
      <c r="C70" s="803"/>
      <c r="D70" s="827"/>
      <c r="E70" s="828"/>
      <c r="F70" s="833">
        <f>F48+F49+F50+F51+F55+F56+F57+F58+F59+F60+F61+F62+F63+F64+F65+F66+F67+F68</f>
        <v>131369140</v>
      </c>
      <c r="G70" s="834">
        <f>G48+G49+G50+G51+G55+G56+G57+G58+G59+G60+G61+G62+G63+G64+G65+G66+G67+G68</f>
        <v>120157</v>
      </c>
      <c r="H70" s="835">
        <f>H48+H49+H50+H51+H55+H56+H57+H58+H59+H60+H61+H62+H63+H64+H65+H66+H67+H68</f>
        <v>131369</v>
      </c>
      <c r="I70" s="366"/>
    </row>
    <row r="71" spans="1:9">
      <c r="A71" s="857" t="s">
        <v>517</v>
      </c>
      <c r="B71" s="858" t="s">
        <v>518</v>
      </c>
      <c r="C71" s="803">
        <v>42</v>
      </c>
      <c r="D71" s="827" t="s">
        <v>417</v>
      </c>
      <c r="E71" s="828">
        <v>2848000</v>
      </c>
      <c r="F71" s="828">
        <f>C71*E71</f>
        <v>119616000</v>
      </c>
      <c r="G71" s="830">
        <v>109454</v>
      </c>
      <c r="H71" s="831">
        <v>119616</v>
      </c>
      <c r="I71" s="366"/>
    </row>
    <row r="72" spans="1:9">
      <c r="A72" s="857" t="s">
        <v>517</v>
      </c>
      <c r="B72" s="858" t="s">
        <v>519</v>
      </c>
      <c r="C72" s="859"/>
      <c r="D72" s="860"/>
      <c r="E72" s="861"/>
      <c r="F72" s="828">
        <v>45890000</v>
      </c>
      <c r="G72" s="830">
        <v>45807</v>
      </c>
      <c r="H72" s="831">
        <v>45890</v>
      </c>
      <c r="I72" s="366"/>
    </row>
    <row r="73" spans="1:9">
      <c r="A73" s="845" t="s">
        <v>520</v>
      </c>
      <c r="B73" s="858" t="s">
        <v>521</v>
      </c>
      <c r="C73" s="803"/>
      <c r="D73" s="827"/>
      <c r="E73" s="828"/>
      <c r="F73" s="833">
        <f>SUM(F71:F72)</f>
        <v>165506000</v>
      </c>
      <c r="G73" s="834">
        <f>SUM(G71:G72)</f>
        <v>155261</v>
      </c>
      <c r="H73" s="835">
        <f>SUM(H71:H72)</f>
        <v>165506</v>
      </c>
      <c r="I73" s="366"/>
    </row>
    <row r="74" spans="1:9">
      <c r="A74" s="840" t="s">
        <v>522</v>
      </c>
      <c r="B74" s="841" t="s">
        <v>523</v>
      </c>
      <c r="C74" s="803"/>
      <c r="D74" s="827"/>
      <c r="E74" s="828"/>
      <c r="F74" s="828"/>
      <c r="G74" s="830"/>
      <c r="H74" s="831"/>
      <c r="I74" s="366"/>
    </row>
    <row r="75" spans="1:9" ht="18" customHeight="1">
      <c r="A75" s="838" t="s">
        <v>524</v>
      </c>
      <c r="B75" s="850" t="s">
        <v>525</v>
      </c>
      <c r="C75" s="803">
        <v>36.51</v>
      </c>
      <c r="D75" s="827" t="s">
        <v>526</v>
      </c>
      <c r="E75" s="828">
        <v>1900000</v>
      </c>
      <c r="F75" s="828">
        <f>C75*E75</f>
        <v>69369000</v>
      </c>
      <c r="G75" s="830">
        <v>69369</v>
      </c>
      <c r="H75" s="831">
        <v>69369</v>
      </c>
      <c r="I75" s="366"/>
    </row>
    <row r="76" spans="1:9">
      <c r="A76" s="838" t="s">
        <v>527</v>
      </c>
      <c r="B76" s="837" t="s">
        <v>528</v>
      </c>
      <c r="C76" s="859"/>
      <c r="D76" s="860"/>
      <c r="E76" s="861"/>
      <c r="F76" s="828">
        <v>72284564</v>
      </c>
      <c r="G76" s="830">
        <v>62712</v>
      </c>
      <c r="H76" s="831">
        <v>72285</v>
      </c>
      <c r="I76" s="366"/>
    </row>
    <row r="77" spans="1:9">
      <c r="A77" s="845" t="s">
        <v>522</v>
      </c>
      <c r="B77" s="853" t="s">
        <v>529</v>
      </c>
      <c r="C77" s="803"/>
      <c r="D77" s="827"/>
      <c r="E77" s="828"/>
      <c r="F77" s="833">
        <f>SUM(F75:F76)</f>
        <v>141653564</v>
      </c>
      <c r="G77" s="834">
        <f>SUM(G75:G76)</f>
        <v>132081</v>
      </c>
      <c r="H77" s="835">
        <f>SUM(H75:H76)</f>
        <v>141654</v>
      </c>
      <c r="I77" s="366"/>
    </row>
    <row r="78" spans="1:9">
      <c r="A78" s="845" t="s">
        <v>530</v>
      </c>
      <c r="B78" s="837" t="s">
        <v>531</v>
      </c>
      <c r="C78" s="803">
        <v>2007</v>
      </c>
      <c r="D78" s="827" t="s">
        <v>417</v>
      </c>
      <c r="E78" s="828">
        <v>285</v>
      </c>
      <c r="F78" s="833">
        <f>C78*E78</f>
        <v>571995</v>
      </c>
      <c r="G78" s="830">
        <v>572</v>
      </c>
      <c r="H78" s="831">
        <v>572</v>
      </c>
      <c r="I78" s="366"/>
    </row>
    <row r="79" spans="1:9" ht="15" customHeight="1">
      <c r="A79" s="862" t="s">
        <v>532</v>
      </c>
      <c r="B79" s="863" t="s">
        <v>533</v>
      </c>
      <c r="C79" s="803">
        <v>4</v>
      </c>
      <c r="D79" s="827" t="s">
        <v>417</v>
      </c>
      <c r="E79" s="828">
        <v>4419000</v>
      </c>
      <c r="F79" s="828">
        <f>C79*E79</f>
        <v>17676000</v>
      </c>
      <c r="G79" s="830">
        <v>17676</v>
      </c>
      <c r="H79" s="831">
        <v>17676</v>
      </c>
      <c r="I79" s="366"/>
    </row>
    <row r="80" spans="1:9" ht="15" customHeight="1">
      <c r="A80" s="862"/>
      <c r="B80" s="863" t="s">
        <v>534</v>
      </c>
      <c r="C80" s="803">
        <v>16.3</v>
      </c>
      <c r="D80" s="827" t="s">
        <v>417</v>
      </c>
      <c r="E80" s="828">
        <v>2993000</v>
      </c>
      <c r="F80" s="828">
        <f>C80*E80</f>
        <v>48785900</v>
      </c>
      <c r="G80" s="830">
        <v>48786</v>
      </c>
      <c r="H80" s="831">
        <v>48786</v>
      </c>
      <c r="I80" s="366"/>
    </row>
    <row r="81" spans="1:9" ht="15" customHeight="1">
      <c r="A81" s="862" t="s">
        <v>535</v>
      </c>
      <c r="B81" s="863" t="s">
        <v>536</v>
      </c>
      <c r="C81" s="1244" t="s">
        <v>537</v>
      </c>
      <c r="D81" s="1245"/>
      <c r="E81" s="1246"/>
      <c r="F81" s="828">
        <v>0</v>
      </c>
      <c r="G81" s="830">
        <v>0</v>
      </c>
      <c r="H81" s="831">
        <v>0</v>
      </c>
      <c r="I81" s="366"/>
    </row>
    <row r="82" spans="1:9" ht="15" customHeight="1">
      <c r="A82" s="854" t="s">
        <v>538</v>
      </c>
      <c r="B82" s="864" t="s">
        <v>539</v>
      </c>
      <c r="C82" s="803"/>
      <c r="D82" s="827"/>
      <c r="E82" s="828"/>
      <c r="F82" s="833">
        <f>SUM(F79:F81)</f>
        <v>66461900</v>
      </c>
      <c r="G82" s="842">
        <v>66462</v>
      </c>
      <c r="H82" s="843">
        <v>66462</v>
      </c>
      <c r="I82" s="366"/>
    </row>
    <row r="83" spans="1:9" ht="30.75" customHeight="1">
      <c r="A83" s="865" t="s">
        <v>540</v>
      </c>
      <c r="B83" s="864" t="s">
        <v>541</v>
      </c>
      <c r="C83" s="803"/>
      <c r="D83" s="827"/>
      <c r="E83" s="828"/>
      <c r="F83" s="847">
        <f>F46+F70+F73+F77+F78+F82</f>
        <v>520709355</v>
      </c>
      <c r="G83" s="834">
        <f>G46+G70+G73+G77+G78+G82</f>
        <v>474533</v>
      </c>
      <c r="H83" s="835">
        <f>H46+H70+H73+H77+H78+H82</f>
        <v>520710</v>
      </c>
      <c r="I83" s="366"/>
    </row>
    <row r="84" spans="1:9" ht="21" customHeight="1">
      <c r="A84" s="845" t="s">
        <v>542</v>
      </c>
      <c r="B84" s="850" t="s">
        <v>543</v>
      </c>
      <c r="C84" s="803"/>
      <c r="D84" s="827"/>
      <c r="E84" s="828"/>
      <c r="F84" s="828"/>
      <c r="G84" s="830"/>
      <c r="H84" s="831"/>
      <c r="I84" s="366"/>
    </row>
    <row r="85" spans="1:9" ht="27.75" customHeight="1">
      <c r="A85" s="840" t="s">
        <v>544</v>
      </c>
      <c r="B85" s="850" t="s">
        <v>545</v>
      </c>
      <c r="C85" s="859"/>
      <c r="D85" s="860"/>
      <c r="E85" s="861"/>
      <c r="F85" s="828">
        <v>100500000</v>
      </c>
      <c r="G85" s="830">
        <v>97200</v>
      </c>
      <c r="H85" s="831">
        <v>100500</v>
      </c>
      <c r="I85" s="366"/>
    </row>
    <row r="86" spans="1:9">
      <c r="A86" s="840" t="s">
        <v>546</v>
      </c>
      <c r="B86" s="837" t="s">
        <v>547</v>
      </c>
      <c r="C86" s="828">
        <v>23343</v>
      </c>
      <c r="D86" s="827" t="s">
        <v>417</v>
      </c>
      <c r="E86" s="828">
        <v>1210</v>
      </c>
      <c r="F86" s="828">
        <f>C86*E86</f>
        <v>28245030</v>
      </c>
      <c r="G86" s="830">
        <v>28245</v>
      </c>
      <c r="H86" s="831">
        <v>28245</v>
      </c>
      <c r="I86" s="366"/>
    </row>
    <row r="87" spans="1:9">
      <c r="A87" s="840" t="s">
        <v>548</v>
      </c>
      <c r="B87" s="837" t="s">
        <v>549</v>
      </c>
      <c r="C87" s="803"/>
      <c r="D87" s="827"/>
      <c r="E87" s="828"/>
      <c r="F87" s="828"/>
      <c r="G87" s="830"/>
      <c r="H87" s="831"/>
      <c r="I87" s="366"/>
    </row>
    <row r="88" spans="1:9">
      <c r="A88" s="854" t="s">
        <v>550</v>
      </c>
      <c r="B88" s="837" t="s">
        <v>551</v>
      </c>
      <c r="C88" s="803" t="s">
        <v>552</v>
      </c>
      <c r="D88" s="827"/>
      <c r="E88" s="828"/>
      <c r="F88" s="828">
        <v>2807595</v>
      </c>
      <c r="G88" s="830">
        <v>0</v>
      </c>
      <c r="H88" s="831">
        <v>2808</v>
      </c>
      <c r="I88" s="366"/>
    </row>
    <row r="89" spans="1:9">
      <c r="A89" s="865" t="s">
        <v>553</v>
      </c>
      <c r="B89" s="853" t="s">
        <v>554</v>
      </c>
      <c r="C89" s="803"/>
      <c r="D89" s="827"/>
      <c r="E89" s="828"/>
      <c r="F89" s="847">
        <f>SUM(F85:F88)</f>
        <v>131552625</v>
      </c>
      <c r="G89" s="834">
        <f>SUM(G85:G88)</f>
        <v>125445</v>
      </c>
      <c r="H89" s="835">
        <f>SUM(H85:H88)</f>
        <v>131553</v>
      </c>
      <c r="I89" s="366"/>
    </row>
    <row r="90" spans="1:9">
      <c r="A90" s="866" t="s">
        <v>555</v>
      </c>
      <c r="B90" s="837" t="s">
        <v>556</v>
      </c>
      <c r="C90" s="803"/>
      <c r="D90" s="827"/>
      <c r="E90" s="828"/>
      <c r="F90" s="828"/>
      <c r="G90" s="830"/>
      <c r="H90" s="831"/>
      <c r="I90" s="366"/>
    </row>
    <row r="91" spans="1:9">
      <c r="A91" s="838"/>
      <c r="B91" s="837" t="s">
        <v>847</v>
      </c>
      <c r="C91" s="828">
        <v>69364624834</v>
      </c>
      <c r="D91" s="827" t="s">
        <v>557</v>
      </c>
      <c r="E91" s="867">
        <v>5.4999999999999997E-3</v>
      </c>
      <c r="F91" s="828">
        <f>C91*E91</f>
        <v>381505436.58699995</v>
      </c>
      <c r="G91" s="830">
        <v>381505</v>
      </c>
      <c r="H91" s="831">
        <v>381505</v>
      </c>
      <c r="I91" s="366"/>
    </row>
    <row r="92" spans="1:9" ht="57" customHeight="1">
      <c r="A92" s="838"/>
      <c r="B92" s="850" t="s">
        <v>848</v>
      </c>
      <c r="C92" s="828">
        <f>F91</f>
        <v>381505436.58699995</v>
      </c>
      <c r="D92" s="827"/>
      <c r="E92" s="867">
        <v>0.9</v>
      </c>
      <c r="F92" s="828">
        <f>C92*E92</f>
        <v>343354892.92829996</v>
      </c>
      <c r="G92" s="830"/>
      <c r="H92" s="831"/>
      <c r="I92" s="366"/>
    </row>
    <row r="93" spans="1:9" ht="36" customHeight="1">
      <c r="A93" s="865" t="s">
        <v>558</v>
      </c>
      <c r="B93" s="850" t="s">
        <v>849</v>
      </c>
      <c r="C93" s="1244" t="s">
        <v>559</v>
      </c>
      <c r="D93" s="1245"/>
      <c r="E93" s="1246"/>
      <c r="F93" s="847">
        <v>-343354893</v>
      </c>
      <c r="G93" s="830"/>
      <c r="H93" s="831"/>
      <c r="I93" s="366"/>
    </row>
    <row r="94" spans="1:9" ht="37.5" customHeight="1" thickBot="1">
      <c r="A94" s="868"/>
      <c r="B94" s="806" t="s">
        <v>560</v>
      </c>
      <c r="C94" s="869"/>
      <c r="D94" s="870"/>
      <c r="E94" s="871"/>
      <c r="F94" s="871">
        <f>F29+F45+F83+F89</f>
        <v>1198498114.3333333</v>
      </c>
      <c r="G94" s="872">
        <f>G29+G45+G83+G89</f>
        <v>1143193</v>
      </c>
      <c r="H94" s="873">
        <f>H29+H45+H83+H89</f>
        <v>1198499</v>
      </c>
      <c r="I94" s="370"/>
    </row>
    <row r="95" spans="1:9" ht="37.5" customHeight="1" thickTop="1">
      <c r="A95" s="874"/>
      <c r="B95" s="807" t="s">
        <v>561</v>
      </c>
      <c r="C95" s="875"/>
      <c r="D95" s="876"/>
      <c r="E95" s="877"/>
      <c r="F95" s="877">
        <v>0</v>
      </c>
      <c r="G95" s="878">
        <v>0</v>
      </c>
      <c r="H95" s="879">
        <v>0</v>
      </c>
      <c r="I95" s="366"/>
    </row>
    <row r="96" spans="1:9" ht="24" customHeight="1">
      <c r="A96" s="880"/>
      <c r="B96" s="808" t="s">
        <v>562</v>
      </c>
      <c r="C96" s="881"/>
      <c r="D96" s="882"/>
      <c r="E96" s="883"/>
      <c r="F96" s="883">
        <f>SUM(F94:F95)</f>
        <v>1198498114.3333333</v>
      </c>
      <c r="G96" s="884">
        <f>SUM(G94:G95)</f>
        <v>1143193</v>
      </c>
      <c r="H96" s="885">
        <f>SUM(H94:H95)</f>
        <v>1198499</v>
      </c>
      <c r="I96" s="366"/>
    </row>
    <row r="97" spans="1:9" s="363" customFormat="1" ht="24" customHeight="1">
      <c r="A97" s="880"/>
      <c r="B97" s="809" t="s">
        <v>563</v>
      </c>
      <c r="C97" s="803"/>
      <c r="D97" s="827"/>
      <c r="E97" s="828"/>
      <c r="F97" s="828">
        <v>1187006</v>
      </c>
      <c r="G97" s="828"/>
      <c r="H97" s="831">
        <v>1187</v>
      </c>
      <c r="I97" s="366"/>
    </row>
    <row r="98" spans="1:9" s="363" customFormat="1" ht="24" customHeight="1" thickBot="1">
      <c r="A98" s="886"/>
      <c r="B98" s="810" t="s">
        <v>570</v>
      </c>
      <c r="C98" s="887"/>
      <c r="D98" s="888"/>
      <c r="E98" s="889"/>
      <c r="F98" s="889">
        <f>SUM(F96:F97)</f>
        <v>1199685120.3333333</v>
      </c>
      <c r="G98" s="889">
        <f t="shared" ref="G98:H98" si="0">SUM(G96:G97)</f>
        <v>1143193</v>
      </c>
      <c r="H98" s="890">
        <f t="shared" si="0"/>
        <v>1199686</v>
      </c>
      <c r="I98" s="366"/>
    </row>
    <row r="99" spans="1:9" s="363" customFormat="1" ht="24" customHeight="1" thickBot="1">
      <c r="A99" s="891"/>
      <c r="B99" s="811" t="s">
        <v>571</v>
      </c>
      <c r="C99" s="869"/>
      <c r="D99" s="870"/>
      <c r="E99" s="871"/>
      <c r="F99" s="871"/>
      <c r="G99" s="871">
        <v>0</v>
      </c>
      <c r="H99" s="873">
        <v>0</v>
      </c>
      <c r="I99" s="366"/>
    </row>
    <row r="100" spans="1:9" s="363" customFormat="1" ht="24" customHeight="1" thickTop="1">
      <c r="A100" s="892"/>
      <c r="B100" s="812"/>
      <c r="C100" s="892"/>
      <c r="D100" s="893"/>
      <c r="E100" s="894"/>
      <c r="F100" s="894"/>
      <c r="G100" s="894"/>
      <c r="H100" s="894"/>
      <c r="I100" s="366"/>
    </row>
    <row r="101" spans="1:9">
      <c r="A101" s="895"/>
      <c r="B101" s="896"/>
      <c r="C101" s="895"/>
      <c r="D101" s="897"/>
      <c r="E101" s="898"/>
      <c r="F101" s="898"/>
      <c r="G101" s="898"/>
      <c r="H101" s="898"/>
      <c r="I101" s="365"/>
    </row>
    <row r="102" spans="1:9">
      <c r="A102" s="892"/>
      <c r="B102" s="899"/>
      <c r="C102" s="895"/>
      <c r="D102" s="897"/>
      <c r="E102" s="898"/>
      <c r="F102" s="900"/>
      <c r="G102" s="900"/>
      <c r="H102" s="895"/>
      <c r="I102" s="365"/>
    </row>
    <row r="103" spans="1:9">
      <c r="A103" s="813"/>
      <c r="B103" s="896"/>
      <c r="C103" s="895"/>
      <c r="D103" s="897" t="s">
        <v>564</v>
      </c>
      <c r="E103" s="898"/>
      <c r="F103" s="898"/>
      <c r="G103" s="898"/>
      <c r="H103" s="898"/>
      <c r="I103" s="365"/>
    </row>
    <row r="104" spans="1:9">
      <c r="A104" s="813"/>
      <c r="B104" s="901" t="s">
        <v>565</v>
      </c>
      <c r="C104" s="895"/>
      <c r="D104" s="897"/>
      <c r="E104" s="898"/>
      <c r="F104" s="898"/>
      <c r="G104" s="898"/>
      <c r="H104" s="898"/>
      <c r="I104" s="365"/>
    </row>
    <row r="105" spans="1:9" ht="16.5" thickBot="1">
      <c r="A105" s="813"/>
      <c r="B105" s="901" t="s">
        <v>566</v>
      </c>
      <c r="C105" s="895"/>
      <c r="D105" s="897"/>
      <c r="E105" s="898"/>
      <c r="F105" s="898"/>
      <c r="G105" s="898"/>
      <c r="H105" s="898"/>
      <c r="I105" s="365"/>
    </row>
    <row r="106" spans="1:9" ht="16.5" thickBot="1">
      <c r="A106" s="813"/>
      <c r="B106" s="902" t="s">
        <v>567</v>
      </c>
      <c r="C106" s="895"/>
      <c r="D106" s="897"/>
      <c r="E106" s="903">
        <f>F92</f>
        <v>343354892.92829996</v>
      </c>
      <c r="F106" s="898"/>
      <c r="G106" s="898"/>
      <c r="H106" s="898"/>
      <c r="I106" s="365"/>
    </row>
    <row r="107" spans="1:9">
      <c r="A107" s="813"/>
      <c r="B107" s="904" t="s">
        <v>434</v>
      </c>
      <c r="C107" s="828">
        <f>F21</f>
        <v>63026100</v>
      </c>
      <c r="D107" s="827"/>
      <c r="E107" s="905">
        <f>E106-C107</f>
        <v>280328792.92829996</v>
      </c>
      <c r="F107" s="898"/>
      <c r="G107" s="898"/>
      <c r="H107" s="898"/>
      <c r="I107" s="365"/>
    </row>
    <row r="108" spans="1:9">
      <c r="A108" s="813"/>
      <c r="B108" s="904" t="s">
        <v>435</v>
      </c>
      <c r="C108" s="828">
        <f>F23</f>
        <v>1762050</v>
      </c>
      <c r="D108" s="827"/>
      <c r="E108" s="828">
        <f>E107-C108</f>
        <v>278566742.92829996</v>
      </c>
      <c r="F108" s="898"/>
      <c r="G108" s="898"/>
      <c r="H108" s="898"/>
      <c r="I108" s="365"/>
    </row>
    <row r="109" spans="1:9">
      <c r="A109" s="813"/>
      <c r="B109" s="904" t="s">
        <v>422</v>
      </c>
      <c r="C109" s="828">
        <f>F12</f>
        <v>38025960</v>
      </c>
      <c r="D109" s="827"/>
      <c r="E109" s="828">
        <f t="shared" ref="E109:E114" si="1">E108-C109</f>
        <v>240540782.92829996</v>
      </c>
      <c r="F109" s="898"/>
      <c r="G109" s="898"/>
      <c r="H109" s="898"/>
      <c r="I109" s="365"/>
    </row>
    <row r="110" spans="1:9">
      <c r="A110" s="813"/>
      <c r="B110" s="904" t="s">
        <v>425</v>
      </c>
      <c r="C110" s="828">
        <f>F14</f>
        <v>83440000</v>
      </c>
      <c r="D110" s="827"/>
      <c r="E110" s="828">
        <f t="shared" si="1"/>
        <v>157100782.92829996</v>
      </c>
      <c r="F110" s="898"/>
      <c r="G110" s="898"/>
      <c r="H110" s="898"/>
      <c r="I110" s="365"/>
    </row>
    <row r="111" spans="1:9">
      <c r="A111" s="813"/>
      <c r="B111" s="904" t="s">
        <v>428</v>
      </c>
      <c r="C111" s="828">
        <f>F16</f>
        <v>13458016</v>
      </c>
      <c r="D111" s="827"/>
      <c r="E111" s="828">
        <f t="shared" si="1"/>
        <v>143642766.92829996</v>
      </c>
      <c r="F111" s="898"/>
      <c r="G111" s="898"/>
      <c r="H111" s="898"/>
      <c r="I111" s="365"/>
    </row>
    <row r="112" spans="1:9">
      <c r="A112" s="813"/>
      <c r="B112" s="904" t="s">
        <v>431</v>
      </c>
      <c r="C112" s="828">
        <f>F18</f>
        <v>30210950</v>
      </c>
      <c r="D112" s="827"/>
      <c r="E112" s="828">
        <f t="shared" si="1"/>
        <v>113431816.92829996</v>
      </c>
      <c r="F112" s="898"/>
      <c r="G112" s="898"/>
      <c r="H112" s="898"/>
      <c r="I112" s="365"/>
    </row>
    <row r="113" spans="1:9" s="362" customFormat="1">
      <c r="A113" s="813"/>
      <c r="B113" s="904" t="s">
        <v>437</v>
      </c>
      <c r="C113" s="828">
        <f>F25</f>
        <v>43044000</v>
      </c>
      <c r="D113" s="827"/>
      <c r="E113" s="828">
        <f t="shared" si="1"/>
        <v>70387816.928299963</v>
      </c>
      <c r="F113" s="898"/>
      <c r="G113" s="898"/>
      <c r="H113" s="898"/>
      <c r="I113" s="365"/>
    </row>
    <row r="114" spans="1:9" s="362" customFormat="1">
      <c r="A114" s="813"/>
      <c r="B114" s="904" t="s">
        <v>416</v>
      </c>
      <c r="C114" s="828">
        <v>70387817</v>
      </c>
      <c r="D114" s="827"/>
      <c r="E114" s="828">
        <f t="shared" si="1"/>
        <v>-7.1700036525726318E-2</v>
      </c>
      <c r="F114" s="898"/>
      <c r="G114" s="898"/>
      <c r="H114" s="898"/>
      <c r="I114" s="365"/>
    </row>
    <row r="115" spans="1:9" s="362" customFormat="1">
      <c r="A115" s="359"/>
      <c r="B115" s="364"/>
      <c r="C115" s="365"/>
      <c r="D115" s="367"/>
      <c r="E115" s="368"/>
      <c r="F115" s="366"/>
      <c r="G115" s="366"/>
      <c r="H115" s="366"/>
      <c r="I115" s="365"/>
    </row>
  </sheetData>
  <mergeCells count="11">
    <mergeCell ref="I5:I6"/>
    <mergeCell ref="C6:D6"/>
    <mergeCell ref="C81:E81"/>
    <mergeCell ref="C93:E93"/>
    <mergeCell ref="A2:H2"/>
    <mergeCell ref="A3:H3"/>
    <mergeCell ref="A5:A6"/>
    <mergeCell ref="B5:B6"/>
    <mergeCell ref="C5:F5"/>
    <mergeCell ref="G5:G6"/>
    <mergeCell ref="H5:H6"/>
  </mergeCells>
  <printOptions horizontalCentered="1" verticalCentered="1"/>
  <pageMargins left="0.31496062992125984" right="0.70866141732283472" top="0.35433070866141736" bottom="0.74803149606299213" header="0.31496062992125984" footer="0.31496062992125984"/>
  <pageSetup paperSize="9" scale="50" orientation="portrait" r:id="rId1"/>
  <headerFooter>
    <oddHeader xml:space="preserve">&amp;L15. melléklet a 8/2018.(IV.25.)  önkormányzati rendelethez
15. melléklet a 27/2017.(XII.21.)  önkormányzati rendelethez
</oddHeader>
  </headerFooter>
  <rowBreaks count="1" manualBreakCount="1">
    <brk id="63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zoomScaleNormal="100" zoomScaleSheetLayoutView="100" workbookViewId="0">
      <selection sqref="A1:XFD1"/>
    </sheetView>
  </sheetViews>
  <sheetFormatPr defaultRowHeight="15"/>
  <cols>
    <col min="1" max="1" width="41" style="111" customWidth="1"/>
    <col min="2" max="2" width="11.28515625" style="110" customWidth="1"/>
    <col min="3" max="3" width="14.140625" style="110" bestFit="1" customWidth="1"/>
    <col min="4" max="16384" width="9.140625" style="109"/>
  </cols>
  <sheetData>
    <row r="1" spans="1:3" ht="15.75">
      <c r="A1" s="1259" t="s">
        <v>228</v>
      </c>
      <c r="B1" s="1259"/>
      <c r="C1" s="1259"/>
    </row>
    <row r="2" spans="1:3" ht="16.5" thickBot="1">
      <c r="A2" s="132"/>
      <c r="B2" s="131"/>
      <c r="C2" s="131"/>
    </row>
    <row r="3" spans="1:3" ht="16.5" thickBot="1">
      <c r="A3" s="130" t="s">
        <v>2</v>
      </c>
      <c r="B3" s="129" t="s">
        <v>3</v>
      </c>
      <c r="C3" s="129" t="s">
        <v>401</v>
      </c>
    </row>
    <row r="4" spans="1:3" ht="15.75">
      <c r="A4" s="128" t="s">
        <v>163</v>
      </c>
      <c r="B4" s="127">
        <f>B6+B9+B12</f>
        <v>115000</v>
      </c>
      <c r="C4" s="127">
        <f>C6+C9+C12</f>
        <v>101368</v>
      </c>
    </row>
    <row r="5" spans="1:3" s="121" customFormat="1" ht="15.75">
      <c r="A5" s="126"/>
      <c r="B5" s="125"/>
      <c r="C5" s="125"/>
    </row>
    <row r="6" spans="1:3" s="121" customFormat="1" ht="15.75">
      <c r="A6" s="123" t="s">
        <v>164</v>
      </c>
      <c r="B6" s="122">
        <f>SUM(B7)</f>
        <v>15000</v>
      </c>
      <c r="C6" s="122">
        <f>SUM(C7)</f>
        <v>11341</v>
      </c>
    </row>
    <row r="7" spans="1:3" s="112" customFormat="1" ht="15.75">
      <c r="A7" s="120" t="s">
        <v>164</v>
      </c>
      <c r="B7" s="119">
        <v>15000</v>
      </c>
      <c r="C7" s="119">
        <v>11341</v>
      </c>
    </row>
    <row r="8" spans="1:3" ht="15.75">
      <c r="A8" s="120"/>
      <c r="B8" s="119"/>
      <c r="C8" s="119"/>
    </row>
    <row r="9" spans="1:3" ht="15.75">
      <c r="A9" s="123" t="s">
        <v>165</v>
      </c>
      <c r="B9" s="122">
        <f>B10</f>
        <v>100000</v>
      </c>
      <c r="C9" s="122">
        <f>C10</f>
        <v>74949</v>
      </c>
    </row>
    <row r="10" spans="1:3" s="112" customFormat="1" ht="15.75">
      <c r="A10" s="120" t="s">
        <v>165</v>
      </c>
      <c r="B10" s="119">
        <v>100000</v>
      </c>
      <c r="C10" s="119">
        <v>74949</v>
      </c>
    </row>
    <row r="11" spans="1:3" s="112" customFormat="1" ht="15.75">
      <c r="A11" s="330"/>
      <c r="B11" s="331"/>
      <c r="C11" s="331"/>
    </row>
    <row r="12" spans="1:3" s="334" customFormat="1" ht="15.75">
      <c r="A12" s="332" t="s">
        <v>404</v>
      </c>
      <c r="B12" s="333">
        <f>B13</f>
        <v>0</v>
      </c>
      <c r="C12" s="333">
        <f>C13</f>
        <v>15078</v>
      </c>
    </row>
    <row r="13" spans="1:3" s="337" customFormat="1" ht="15.75">
      <c r="A13" s="335" t="s">
        <v>405</v>
      </c>
      <c r="B13" s="336">
        <v>0</v>
      </c>
      <c r="C13" s="336">
        <v>15078</v>
      </c>
    </row>
    <row r="14" spans="1:3" ht="15.75">
      <c r="A14" s="120"/>
      <c r="B14" s="124"/>
      <c r="C14" s="124"/>
    </row>
    <row r="15" spans="1:3" ht="15" customHeight="1">
      <c r="A15" s="123" t="s">
        <v>166</v>
      </c>
      <c r="B15" s="122">
        <f>SUM(B17)</f>
        <v>50000</v>
      </c>
      <c r="C15" s="122">
        <f>SUM(C17)</f>
        <v>35000</v>
      </c>
    </row>
    <row r="16" spans="1:3" ht="17.25" customHeight="1">
      <c r="A16" s="123"/>
      <c r="B16" s="122"/>
      <c r="C16" s="122"/>
    </row>
    <row r="17" spans="1:3" ht="15.75">
      <c r="A17" s="123" t="s">
        <v>167</v>
      </c>
      <c r="B17" s="122">
        <f>SUM(B18)</f>
        <v>50000</v>
      </c>
      <c r="C17" s="122">
        <f>SUM(C18)</f>
        <v>35000</v>
      </c>
    </row>
    <row r="18" spans="1:3" ht="15.75">
      <c r="A18" s="120" t="s">
        <v>167</v>
      </c>
      <c r="B18" s="119">
        <v>50000</v>
      </c>
      <c r="C18" s="119">
        <v>35000</v>
      </c>
    </row>
    <row r="19" spans="1:3" ht="16.5" thickBot="1">
      <c r="A19" s="118"/>
      <c r="B19" s="117"/>
      <c r="C19" s="117"/>
    </row>
    <row r="20" spans="1:3" ht="16.5" thickBot="1">
      <c r="A20" s="116" t="s">
        <v>168</v>
      </c>
      <c r="B20" s="115">
        <f>B4+B15</f>
        <v>165000</v>
      </c>
      <c r="C20" s="115">
        <f>C4+C15</f>
        <v>136368</v>
      </c>
    </row>
    <row r="21" spans="1:3" s="112" customFormat="1" ht="14.25">
      <c r="A21" s="114"/>
      <c r="B21" s="113"/>
      <c r="C21" s="113"/>
    </row>
  </sheetData>
  <sheetProtection selectLockedCells="1" selectUnlockedCells="1"/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0" fitToHeight="0" orientation="portrait" horizontalDpi="300" verticalDpi="300" r:id="rId1"/>
  <headerFooter alignWithMargins="0">
    <oddHeader>&amp;L16. melléklet a 8/2018.(IV.25.)  önkormányzati rendelethez
16. melléklet a 27/2017. (XII.21.) 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1"/>
  <sheetViews>
    <sheetView tabSelected="1" zoomScale="80" zoomScaleNormal="80" workbookViewId="0">
      <selection activeCell="J6" sqref="J6"/>
    </sheetView>
  </sheetViews>
  <sheetFormatPr defaultRowHeight="12.75"/>
  <cols>
    <col min="1" max="1" width="43" bestFit="1" customWidth="1"/>
    <col min="2" max="2" width="35.42578125" customWidth="1"/>
    <col min="3" max="3" width="19.5703125" customWidth="1"/>
    <col min="4" max="4" width="16.85546875" customWidth="1"/>
    <col min="5" max="5" width="13.85546875" bestFit="1" customWidth="1"/>
    <col min="6" max="8" width="11" customWidth="1"/>
    <col min="9" max="9" width="20" bestFit="1" customWidth="1"/>
  </cols>
  <sheetData>
    <row r="1" ht="15.75" customHeight="1"/>
    <row r="3" ht="16.5" customHeight="1"/>
    <row r="6" ht="81.75" customHeight="1"/>
    <row r="9" ht="48" customHeight="1"/>
    <row r="17" ht="37.5" customHeight="1"/>
    <row r="18" ht="55.5" customHeight="1"/>
    <row r="21" ht="37.5" customHeight="1"/>
    <row r="26" ht="33" customHeight="1"/>
    <row r="30" ht="15.75" customHeight="1"/>
    <row r="31" ht="15.75" customHeight="1"/>
  </sheetData>
  <printOptions horizontalCentered="1"/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Header xml:space="preserve">&amp;L17. melléklet a ../2018.(....)  önkormányzati rendelethez
17. melléklet a 27/2017(....) 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8"/>
  <sheetViews>
    <sheetView view="pageLayout" zoomScaleNormal="79" zoomScaleSheetLayoutView="75" workbookViewId="0">
      <selection activeCell="A9" sqref="A9"/>
    </sheetView>
  </sheetViews>
  <sheetFormatPr defaultRowHeight="15"/>
  <cols>
    <col min="1" max="1" width="68.42578125" style="210" customWidth="1"/>
    <col min="2" max="3" width="14.5703125" style="211" customWidth="1"/>
    <col min="4" max="4" width="56" style="210" customWidth="1"/>
    <col min="5" max="6" width="14.5703125" style="211" customWidth="1"/>
    <col min="7" max="16384" width="9.140625" style="212"/>
  </cols>
  <sheetData>
    <row r="1" spans="1:6" s="209" customFormat="1" ht="15" customHeight="1">
      <c r="A1" s="1139" t="s">
        <v>222</v>
      </c>
      <c r="B1" s="1139"/>
      <c r="C1" s="1139"/>
      <c r="D1" s="1139"/>
      <c r="E1" s="1139"/>
      <c r="F1" s="908"/>
    </row>
    <row r="2" spans="1:6" ht="16.5" thickBot="1">
      <c r="A2" s="909"/>
      <c r="B2" s="910"/>
      <c r="C2" s="910"/>
      <c r="D2" s="909"/>
      <c r="E2" s="910"/>
      <c r="F2" s="910"/>
    </row>
    <row r="3" spans="1:6" ht="16.5" thickBot="1">
      <c r="A3" s="1140" t="s">
        <v>0</v>
      </c>
      <c r="B3" s="1141"/>
      <c r="C3" s="1142"/>
      <c r="D3" s="1140" t="s">
        <v>1</v>
      </c>
      <c r="E3" s="1141"/>
      <c r="F3" s="1142"/>
    </row>
    <row r="4" spans="1:6" ht="15.75">
      <c r="A4" s="911" t="s">
        <v>2</v>
      </c>
      <c r="B4" s="912" t="s">
        <v>3</v>
      </c>
      <c r="C4" s="912" t="s">
        <v>400</v>
      </c>
      <c r="D4" s="911" t="s">
        <v>2</v>
      </c>
      <c r="E4" s="913" t="s">
        <v>3</v>
      </c>
      <c r="F4" s="912" t="s">
        <v>400</v>
      </c>
    </row>
    <row r="5" spans="1:6" ht="15.75">
      <c r="A5" s="914" t="s">
        <v>5</v>
      </c>
      <c r="B5" s="915">
        <f>'3. sz. melléklet'!H6</f>
        <v>1143193</v>
      </c>
      <c r="C5" s="915">
        <f>'3. sz. melléklet'!I6</f>
        <v>1199686</v>
      </c>
      <c r="D5" s="916" t="s">
        <v>6</v>
      </c>
      <c r="E5" s="917">
        <f>'4.sz. melléklet'!J6</f>
        <v>1427857</v>
      </c>
      <c r="F5" s="917">
        <f>'4.sz. melléklet'!K6</f>
        <v>1605479</v>
      </c>
    </row>
    <row r="6" spans="1:6" ht="15.75">
      <c r="A6" s="914" t="s">
        <v>7</v>
      </c>
      <c r="B6" s="915">
        <f>'3. sz. melléklet'!H9</f>
        <v>218119</v>
      </c>
      <c r="C6" s="915">
        <f>'3. sz. melléklet'!I9</f>
        <v>951533</v>
      </c>
      <c r="D6" s="918" t="s">
        <v>50</v>
      </c>
      <c r="E6" s="917">
        <f>'4.sz. melléklet'!J7</f>
        <v>297493</v>
      </c>
      <c r="F6" s="917">
        <f>'4.sz. melléklet'!K7</f>
        <v>337911</v>
      </c>
    </row>
    <row r="7" spans="1:6" ht="15.75">
      <c r="A7" s="919" t="s">
        <v>8</v>
      </c>
      <c r="B7" s="920">
        <f>'3. sz. melléklet'!H10</f>
        <v>218119</v>
      </c>
      <c r="C7" s="920">
        <f>'3. sz. melléklet'!I10</f>
        <v>951533</v>
      </c>
      <c r="D7" s="918"/>
      <c r="E7" s="917"/>
      <c r="F7" s="917"/>
    </row>
    <row r="8" spans="1:6" ht="15.75">
      <c r="A8" s="919"/>
      <c r="B8" s="920"/>
      <c r="C8" s="921"/>
      <c r="D8" s="918" t="s">
        <v>11</v>
      </c>
      <c r="E8" s="917">
        <f>'4.sz. melléklet'!J8</f>
        <v>2059727</v>
      </c>
      <c r="F8" s="917">
        <f>'4.sz. melléklet'!K8</f>
        <v>2487329</v>
      </c>
    </row>
    <row r="9" spans="1:6" ht="15.75">
      <c r="A9" s="914" t="s">
        <v>10</v>
      </c>
      <c r="B9" s="915">
        <f>'3. sz. melléklet'!H13</f>
        <v>2045000</v>
      </c>
      <c r="C9" s="915">
        <f>'3. sz. melléklet'!I13</f>
        <v>2045000</v>
      </c>
      <c r="D9" s="918" t="s">
        <v>14</v>
      </c>
      <c r="E9" s="917">
        <f>'4.sz. melléklet'!J9</f>
        <v>67900</v>
      </c>
      <c r="F9" s="917">
        <f>'4.sz. melléklet'!K9</f>
        <v>61000</v>
      </c>
    </row>
    <row r="10" spans="1:6" ht="15.75">
      <c r="A10" s="919" t="s">
        <v>12</v>
      </c>
      <c r="B10" s="920">
        <f>'3. sz. melléklet'!H14</f>
        <v>500000</v>
      </c>
      <c r="C10" s="920">
        <f>'3. sz. melléklet'!I14</f>
        <v>500000</v>
      </c>
      <c r="D10" s="918" t="s">
        <v>51</v>
      </c>
      <c r="E10" s="917">
        <f>'4.sz. melléklet'!J10</f>
        <v>1089152</v>
      </c>
      <c r="F10" s="917">
        <f>'4.sz. melléklet'!K10</f>
        <v>1126813</v>
      </c>
    </row>
    <row r="11" spans="1:6" ht="15.75">
      <c r="A11" s="922"/>
      <c r="B11" s="923"/>
      <c r="C11" s="921"/>
      <c r="D11" s="924" t="s">
        <v>173</v>
      </c>
      <c r="E11" s="925">
        <f>'4.sz. melléklet'!J11</f>
        <v>18000</v>
      </c>
      <c r="F11" s="925">
        <f>'4.sz. melléklet'!K11</f>
        <v>500</v>
      </c>
    </row>
    <row r="12" spans="1:6" ht="15.75">
      <c r="A12" s="919" t="s">
        <v>13</v>
      </c>
      <c r="B12" s="920">
        <f>'3. sz. melléklet'!H17</f>
        <v>1537000</v>
      </c>
      <c r="C12" s="920">
        <f>'3. sz. melléklet'!I17</f>
        <v>1537000</v>
      </c>
      <c r="D12" s="924" t="s">
        <v>403</v>
      </c>
      <c r="E12" s="925">
        <f>'4.sz. melléklet'!J12</f>
        <v>0</v>
      </c>
      <c r="F12" s="925">
        <f>'4.sz. melléklet'!K12</f>
        <v>17500</v>
      </c>
    </row>
    <row r="13" spans="1:6" ht="15.75">
      <c r="A13" s="919"/>
      <c r="B13" s="920"/>
      <c r="C13" s="921"/>
      <c r="D13" s="926" t="s">
        <v>52</v>
      </c>
      <c r="E13" s="925">
        <f>'4.sz. melléklet'!J13</f>
        <v>40000</v>
      </c>
      <c r="F13" s="925">
        <f>'4.sz. melléklet'!K13</f>
        <v>55000</v>
      </c>
    </row>
    <row r="14" spans="1:6" ht="15.75">
      <c r="A14" s="919" t="s">
        <v>15</v>
      </c>
      <c r="B14" s="920">
        <f>'3. sz. melléklet'!H22</f>
        <v>5000</v>
      </c>
      <c r="C14" s="920">
        <f>'3. sz. melléklet'!I22</f>
        <v>5000</v>
      </c>
      <c r="D14" s="927" t="s">
        <v>53</v>
      </c>
      <c r="E14" s="925">
        <f>'4.sz. melléklet'!J14</f>
        <v>916152</v>
      </c>
      <c r="F14" s="925">
        <f>'4.sz. melléklet'!K14</f>
        <v>952445</v>
      </c>
    </row>
    <row r="15" spans="1:6" ht="15.75">
      <c r="A15" s="919" t="s">
        <v>17</v>
      </c>
      <c r="B15" s="920">
        <f>'3. sz. melléklet'!H23</f>
        <v>3000</v>
      </c>
      <c r="C15" s="920">
        <f>'3. sz. melléklet'!I23</f>
        <v>3000</v>
      </c>
      <c r="D15" s="927" t="s">
        <v>21</v>
      </c>
      <c r="E15" s="925">
        <f>'4.sz. melléklet'!J15</f>
        <v>115000</v>
      </c>
      <c r="F15" s="925">
        <f>'4.sz. melléklet'!K15</f>
        <v>101368</v>
      </c>
    </row>
    <row r="16" spans="1:6" ht="15" customHeight="1">
      <c r="A16" s="919"/>
      <c r="B16" s="920"/>
      <c r="C16" s="921"/>
      <c r="D16" s="928" t="s">
        <v>23</v>
      </c>
      <c r="E16" s="925">
        <f>'4.sz. melléklet'!J16</f>
        <v>15000</v>
      </c>
      <c r="F16" s="925">
        <f>'4.sz. melléklet'!K16</f>
        <v>11341</v>
      </c>
    </row>
    <row r="17" spans="1:252" ht="15.75">
      <c r="A17" s="914" t="s">
        <v>20</v>
      </c>
      <c r="B17" s="915">
        <f>'3. sz. melléklet'!H24</f>
        <v>2235961</v>
      </c>
      <c r="C17" s="915">
        <f>'3. sz. melléklet'!I24</f>
        <v>2238130</v>
      </c>
      <c r="D17" s="928" t="s">
        <v>179</v>
      </c>
      <c r="E17" s="925">
        <f>'4.sz. melléklet'!J17</f>
        <v>100000</v>
      </c>
      <c r="F17" s="925">
        <f>'4.sz. melléklet'!K17</f>
        <v>74949</v>
      </c>
    </row>
    <row r="18" spans="1:252" s="223" customFormat="1" ht="31.5">
      <c r="A18" s="929" t="s">
        <v>54</v>
      </c>
      <c r="B18" s="930">
        <f>'3. sz. melléklet'!H25</f>
        <v>1536222</v>
      </c>
      <c r="C18" s="930">
        <f>'3. sz. melléklet'!I25</f>
        <v>1536222</v>
      </c>
      <c r="D18" s="931" t="s">
        <v>406</v>
      </c>
      <c r="E18" s="925">
        <f>'4.sz. melléklet'!J18</f>
        <v>0</v>
      </c>
      <c r="F18" s="925">
        <f>'4.sz. melléklet'!K18</f>
        <v>15078</v>
      </c>
    </row>
    <row r="19" spans="1:252" ht="15.75">
      <c r="A19" s="919" t="s">
        <v>24</v>
      </c>
      <c r="B19" s="920">
        <f>'3. sz. melléklet'!H26</f>
        <v>66269</v>
      </c>
      <c r="C19" s="920">
        <f>'3. sz. melléklet'!I26</f>
        <v>66269</v>
      </c>
      <c r="D19" s="918"/>
      <c r="E19" s="932"/>
      <c r="F19" s="932"/>
    </row>
    <row r="20" spans="1:252" ht="15.75">
      <c r="A20" s="919" t="s">
        <v>25</v>
      </c>
      <c r="B20" s="920">
        <f>'3. sz. melléklet'!H27</f>
        <v>27960</v>
      </c>
      <c r="C20" s="920">
        <f>'3. sz. melléklet'!I27</f>
        <v>27960</v>
      </c>
      <c r="D20" s="926"/>
      <c r="E20" s="932"/>
      <c r="F20" s="932"/>
    </row>
    <row r="21" spans="1:252" ht="15.75">
      <c r="A21" s="919" t="s">
        <v>26</v>
      </c>
      <c r="B21" s="920">
        <f>'3. sz. melléklet'!H28</f>
        <v>94520</v>
      </c>
      <c r="C21" s="920">
        <f>'3. sz. melléklet'!I28</f>
        <v>94520</v>
      </c>
      <c r="D21" s="927"/>
      <c r="E21" s="925"/>
      <c r="F21" s="925"/>
    </row>
    <row r="22" spans="1:252" ht="15.75">
      <c r="A22" s="919" t="s">
        <v>27</v>
      </c>
      <c r="B22" s="920">
        <f>'3. sz. melléklet'!H29</f>
        <v>81688</v>
      </c>
      <c r="C22" s="920">
        <f>'3. sz. melléklet'!I29</f>
        <v>83857</v>
      </c>
      <c r="D22" s="927"/>
      <c r="E22" s="933"/>
      <c r="F22" s="933"/>
    </row>
    <row r="23" spans="1:252" ht="15.75">
      <c r="A23" s="919" t="s">
        <v>28</v>
      </c>
      <c r="B23" s="920">
        <f>'3. sz. melléklet'!H30</f>
        <v>429052</v>
      </c>
      <c r="C23" s="920">
        <f>'3. sz. melléklet'!I30</f>
        <v>429052</v>
      </c>
      <c r="D23" s="928"/>
      <c r="E23" s="933"/>
      <c r="F23" s="933"/>
    </row>
    <row r="24" spans="1:252" ht="15.75">
      <c r="A24" s="919" t="s">
        <v>30</v>
      </c>
      <c r="B24" s="920">
        <f>'3. sz. melléklet'!H31</f>
        <v>150</v>
      </c>
      <c r="C24" s="920">
        <f>'3. sz. melléklet'!I31</f>
        <v>150</v>
      </c>
      <c r="D24" s="928"/>
      <c r="E24" s="925"/>
      <c r="F24" s="925"/>
    </row>
    <row r="25" spans="1:252" ht="15.75">
      <c r="A25" s="934" t="s">
        <v>229</v>
      </c>
      <c r="B25" s="935">
        <f>'3. sz. melléklet'!H32</f>
        <v>100</v>
      </c>
      <c r="C25" s="935">
        <f>'3. sz. melléklet'!I32</f>
        <v>100</v>
      </c>
      <c r="D25" s="936"/>
      <c r="E25" s="937"/>
      <c r="F25" s="937"/>
    </row>
    <row r="26" spans="1:252" ht="15.75">
      <c r="A26" s="914" t="s">
        <v>55</v>
      </c>
      <c r="B26" s="915">
        <f>SUM(B27)</f>
        <v>892255</v>
      </c>
      <c r="C26" s="915">
        <f>SUM(C27)</f>
        <v>1023433</v>
      </c>
      <c r="D26" s="926"/>
      <c r="E26" s="925"/>
      <c r="F26" s="925"/>
    </row>
    <row r="27" spans="1:252" ht="15.75">
      <c r="A27" s="919" t="s">
        <v>397</v>
      </c>
      <c r="B27" s="920">
        <v>892255</v>
      </c>
      <c r="C27" s="921">
        <v>1023433</v>
      </c>
      <c r="D27" s="926"/>
      <c r="E27" s="925"/>
      <c r="F27" s="925"/>
      <c r="IQ27" s="213"/>
      <c r="IR27" s="213"/>
    </row>
    <row r="28" spans="1:252" ht="17.25" customHeight="1">
      <c r="A28" s="914" t="s">
        <v>34</v>
      </c>
      <c r="B28" s="915">
        <f>'3. sz. melléklet'!H35</f>
        <v>50912</v>
      </c>
      <c r="C28" s="915">
        <f>'3. sz. melléklet'!I35</f>
        <v>65922</v>
      </c>
      <c r="D28" s="926"/>
      <c r="E28" s="925"/>
      <c r="F28" s="925"/>
      <c r="IQ28" s="213"/>
      <c r="IR28" s="213"/>
    </row>
    <row r="29" spans="1:252" ht="15.75">
      <c r="A29" s="919" t="s">
        <v>18</v>
      </c>
      <c r="B29" s="920">
        <f>'3. sz. melléklet'!H36</f>
        <v>40000</v>
      </c>
      <c r="C29" s="920">
        <f>'3. sz. melléklet'!I36</f>
        <v>55000</v>
      </c>
      <c r="D29" s="926"/>
      <c r="E29" s="925"/>
      <c r="F29" s="925"/>
      <c r="IQ29" s="213"/>
      <c r="IR29" s="213"/>
    </row>
    <row r="30" spans="1:252" ht="15.75">
      <c r="A30" s="938" t="s">
        <v>8</v>
      </c>
      <c r="B30" s="935">
        <f>'3. sz. melléklet'!H37</f>
        <v>10912</v>
      </c>
      <c r="C30" s="935">
        <f>'3. sz. melléklet'!I37</f>
        <v>10922</v>
      </c>
      <c r="D30" s="939"/>
      <c r="E30" s="937"/>
      <c r="F30" s="937"/>
      <c r="IQ30" s="213"/>
      <c r="IR30" s="213"/>
    </row>
    <row r="31" spans="1:252" s="213" customFormat="1" ht="15.75">
      <c r="A31" s="918" t="s">
        <v>56</v>
      </c>
      <c r="B31" s="915">
        <f>(B5+B6+B9+B17+B28-B26)</f>
        <v>4800930</v>
      </c>
      <c r="C31" s="915">
        <f>(C5+C6+C9+C17+C28-C26)</f>
        <v>5476838</v>
      </c>
      <c r="D31" s="918" t="s">
        <v>57</v>
      </c>
      <c r="E31" s="917">
        <f>(E5+E6+E8+E9+E10)</f>
        <v>4942129</v>
      </c>
      <c r="F31" s="917">
        <f>(F5+F6+F8+F9+F10)</f>
        <v>5618532</v>
      </c>
    </row>
    <row r="32" spans="1:252" s="213" customFormat="1" ht="15.75">
      <c r="A32" s="918" t="s">
        <v>43</v>
      </c>
      <c r="B32" s="940">
        <f>'14. sz. melléklet '!C21</f>
        <v>80411</v>
      </c>
      <c r="C32" s="940">
        <f>'14. sz. melléklet '!D21</f>
        <v>80661</v>
      </c>
      <c r="D32" s="918"/>
      <c r="E32" s="917"/>
      <c r="F32" s="917"/>
    </row>
    <row r="33" spans="1:6" s="213" customFormat="1" ht="15.75">
      <c r="A33" s="941" t="s">
        <v>601</v>
      </c>
      <c r="B33" s="942">
        <f>'3. sz. melléklet'!H42</f>
        <v>0</v>
      </c>
      <c r="C33" s="942">
        <f>'3. sz. melléklet'!I42</f>
        <v>1500000</v>
      </c>
      <c r="D33" s="941" t="s">
        <v>600</v>
      </c>
      <c r="E33" s="943">
        <f>'4.sz. melléklet'!J28</f>
        <v>0</v>
      </c>
      <c r="F33" s="943">
        <f>'4.sz. melléklet'!K28</f>
        <v>1500000</v>
      </c>
    </row>
    <row r="34" spans="1:6" s="213" customFormat="1" ht="15.75">
      <c r="A34" s="944" t="s">
        <v>58</v>
      </c>
      <c r="B34" s="915">
        <f>'3. sz. melléklet'!H45</f>
        <v>1943975</v>
      </c>
      <c r="C34" s="915">
        <f>'3. sz. melléklet'!I45</f>
        <v>1954346</v>
      </c>
      <c r="D34" s="918" t="s">
        <v>316</v>
      </c>
      <c r="E34" s="945">
        <v>1883187</v>
      </c>
      <c r="F34" s="917">
        <v>1893313</v>
      </c>
    </row>
    <row r="35" spans="1:6" s="213" customFormat="1" ht="15.75">
      <c r="A35" s="946" t="s">
        <v>230</v>
      </c>
      <c r="B35" s="947">
        <f>'3. sz. melléklet'!H43</f>
        <v>35000</v>
      </c>
      <c r="C35" s="947">
        <f>'3. sz. melléklet'!I43</f>
        <v>35000</v>
      </c>
      <c r="D35" s="948" t="s">
        <v>170</v>
      </c>
      <c r="E35" s="949">
        <f>'4.sz. melléklet'!J29</f>
        <v>35000</v>
      </c>
      <c r="F35" s="949">
        <f>'4.sz. melléklet'!K29</f>
        <v>35000</v>
      </c>
    </row>
    <row r="36" spans="1:6" s="213" customFormat="1" ht="15.75">
      <c r="A36" s="918" t="s">
        <v>59</v>
      </c>
      <c r="B36" s="915">
        <f>SUM(B32:B35)</f>
        <v>2059386</v>
      </c>
      <c r="C36" s="915">
        <f>SUM(C32:C35)</f>
        <v>3570007</v>
      </c>
      <c r="D36" s="918" t="s">
        <v>60</v>
      </c>
      <c r="E36" s="917">
        <f>SUM(E33:E35)</f>
        <v>1918187</v>
      </c>
      <c r="F36" s="917">
        <f>SUM(F33:F35)</f>
        <v>3428313</v>
      </c>
    </row>
    <row r="37" spans="1:6" s="213" customFormat="1" ht="16.5" thickBot="1">
      <c r="A37" s="950" t="s">
        <v>61</v>
      </c>
      <c r="B37" s="951">
        <f>(B31+B36)</f>
        <v>6860316</v>
      </c>
      <c r="C37" s="951">
        <f>(C31+C36)</f>
        <v>9046845</v>
      </c>
      <c r="D37" s="950" t="s">
        <v>61</v>
      </c>
      <c r="E37" s="952">
        <f>(E31+E36)</f>
        <v>6860316</v>
      </c>
      <c r="F37" s="952">
        <f>(F31+F36)</f>
        <v>9046845</v>
      </c>
    </row>
    <row r="38" spans="1:6" s="213" customFormat="1" ht="15.75">
      <c r="A38" s="953"/>
      <c r="B38" s="954"/>
      <c r="C38" s="954"/>
      <c r="D38" s="953"/>
      <c r="E38" s="955"/>
      <c r="F38" s="955"/>
    </row>
    <row r="39" spans="1:6" s="213" customFormat="1" ht="15.75">
      <c r="A39" s="956"/>
      <c r="B39" s="957"/>
      <c r="C39" s="957"/>
      <c r="D39" s="958"/>
      <c r="E39" s="955"/>
      <c r="F39" s="955"/>
    </row>
    <row r="40" spans="1:6" s="213" customFormat="1" ht="15.75">
      <c r="A40" s="956"/>
      <c r="B40" s="957"/>
      <c r="C40" s="957"/>
      <c r="D40" s="953"/>
      <c r="E40" s="955"/>
      <c r="F40" s="955"/>
    </row>
    <row r="41" spans="1:6" s="209" customFormat="1" ht="15" customHeight="1">
      <c r="A41" s="1139" t="s">
        <v>331</v>
      </c>
      <c r="B41" s="1139"/>
      <c r="C41" s="1139"/>
      <c r="D41" s="1139"/>
      <c r="E41" s="1139"/>
      <c r="F41" s="908"/>
    </row>
    <row r="42" spans="1:6" ht="14.25" customHeight="1" thickBot="1">
      <c r="A42" s="909"/>
      <c r="B42" s="910"/>
      <c r="C42" s="910"/>
      <c r="D42" s="959"/>
      <c r="E42" s="910"/>
      <c r="F42" s="910"/>
    </row>
    <row r="43" spans="1:6" s="209" customFormat="1" ht="16.5" thickBot="1">
      <c r="A43" s="1140" t="s">
        <v>0</v>
      </c>
      <c r="B43" s="1141"/>
      <c r="C43" s="1142"/>
      <c r="D43" s="1140" t="s">
        <v>1</v>
      </c>
      <c r="E43" s="1141"/>
      <c r="F43" s="1142"/>
    </row>
    <row r="44" spans="1:6" s="209" customFormat="1" ht="16.5" thickBot="1">
      <c r="A44" s="960" t="s">
        <v>2</v>
      </c>
      <c r="B44" s="961" t="s">
        <v>3</v>
      </c>
      <c r="C44" s="961" t="s">
        <v>400</v>
      </c>
      <c r="D44" s="960" t="s">
        <v>2</v>
      </c>
      <c r="E44" s="962" t="s">
        <v>4</v>
      </c>
      <c r="F44" s="962" t="s">
        <v>400</v>
      </c>
    </row>
    <row r="45" spans="1:6" s="209" customFormat="1" ht="15.75">
      <c r="A45" s="963" t="s">
        <v>32</v>
      </c>
      <c r="B45" s="964">
        <f>'3. sz. melléklet'!H33</f>
        <v>1500</v>
      </c>
      <c r="C45" s="964">
        <f>'3. sz. melléklet'!I33</f>
        <v>1500</v>
      </c>
      <c r="D45" s="965" t="s">
        <v>62</v>
      </c>
      <c r="E45" s="966">
        <f>'4.sz. melléklet'!J19</f>
        <v>1863729</v>
      </c>
      <c r="F45" s="966">
        <f>'4.sz. melléklet'!K19</f>
        <v>2509173</v>
      </c>
    </row>
    <row r="46" spans="1:6" s="209" customFormat="1" ht="15.75">
      <c r="A46" s="967" t="s">
        <v>215</v>
      </c>
      <c r="B46" s="968">
        <f>'3. sz. melléklet'!H34</f>
        <v>1500</v>
      </c>
      <c r="C46" s="968">
        <f>'3. sz. melléklet'!I34</f>
        <v>1500</v>
      </c>
      <c r="D46" s="969"/>
      <c r="E46" s="970"/>
      <c r="F46" s="970"/>
    </row>
    <row r="47" spans="1:6" s="209" customFormat="1" ht="15.75">
      <c r="A47" s="971"/>
      <c r="B47" s="972"/>
      <c r="C47" s="973"/>
      <c r="D47" s="974" t="s">
        <v>63</v>
      </c>
      <c r="E47" s="917">
        <f>'4.sz. melléklet'!J20</f>
        <v>529166</v>
      </c>
      <c r="F47" s="917">
        <f>'4.sz. melléklet'!K20</f>
        <v>694116</v>
      </c>
    </row>
    <row r="48" spans="1:6" s="209" customFormat="1" ht="15.75">
      <c r="A48" s="963" t="s">
        <v>602</v>
      </c>
      <c r="B48" s="975">
        <f>'3. sz. melléklet'!H11</f>
        <v>0</v>
      </c>
      <c r="C48" s="975">
        <f>'3. sz. melléklet'!I11</f>
        <v>992116</v>
      </c>
      <c r="D48" s="976"/>
      <c r="E48" s="943"/>
      <c r="F48" s="943"/>
    </row>
    <row r="49" spans="1:6" s="209" customFormat="1" ht="15.75">
      <c r="A49" s="971"/>
      <c r="B49" s="972"/>
      <c r="C49" s="973"/>
      <c r="D49" s="974"/>
      <c r="E49" s="917"/>
      <c r="F49" s="917"/>
    </row>
    <row r="50" spans="1:6" s="209" customFormat="1" ht="15.75">
      <c r="A50" s="963" t="s">
        <v>85</v>
      </c>
      <c r="B50" s="977">
        <f>'3. sz. melléklet'!H38</f>
        <v>191619</v>
      </c>
      <c r="C50" s="977">
        <f>'3. sz. melléklet'!I38</f>
        <v>191864</v>
      </c>
      <c r="D50" s="978" t="s">
        <v>64</v>
      </c>
      <c r="E50" s="917">
        <f>'4.sz. melléklet'!J21</f>
        <v>57200</v>
      </c>
      <c r="F50" s="917">
        <f>'4.sz. melléklet'!K21</f>
        <v>42400</v>
      </c>
    </row>
    <row r="51" spans="1:6" ht="15.75">
      <c r="A51" s="967" t="s">
        <v>18</v>
      </c>
      <c r="B51" s="979">
        <f>'3. sz. melléklet'!H39</f>
        <v>1336</v>
      </c>
      <c r="C51" s="979">
        <f>'3. sz. melléklet'!I39</f>
        <v>1336</v>
      </c>
      <c r="D51" s="980" t="s">
        <v>18</v>
      </c>
      <c r="E51" s="925">
        <f>'4.sz. melléklet'!J22</f>
        <v>1200</v>
      </c>
      <c r="F51" s="925">
        <f>'4.sz. melléklet'!K22</f>
        <v>1200</v>
      </c>
    </row>
    <row r="52" spans="1:6" ht="15.75">
      <c r="A52" s="967" t="s">
        <v>177</v>
      </c>
      <c r="B52" s="979">
        <f>'3. sz. melléklet'!H40</f>
        <v>190283</v>
      </c>
      <c r="C52" s="979">
        <f>'3. sz. melléklet'!I40</f>
        <v>190528</v>
      </c>
      <c r="D52" s="980" t="s">
        <v>35</v>
      </c>
      <c r="E52" s="925">
        <f>'4.sz. melléklet'!J23</f>
        <v>6000</v>
      </c>
      <c r="F52" s="925">
        <f>'4.sz. melléklet'!K23</f>
        <v>6200</v>
      </c>
    </row>
    <row r="53" spans="1:6" ht="15.75">
      <c r="A53" s="963" t="s">
        <v>65</v>
      </c>
      <c r="B53" s="977">
        <f>SUM(B54:B54)</f>
        <v>892255</v>
      </c>
      <c r="C53" s="977">
        <f>SUM(C54:C54)</f>
        <v>1023433</v>
      </c>
      <c r="D53" s="980" t="s">
        <v>36</v>
      </c>
      <c r="E53" s="925">
        <f>'4.sz. melléklet'!J24</f>
        <v>50000</v>
      </c>
      <c r="F53" s="925">
        <f>'4.sz. melléklet'!K24</f>
        <v>35000</v>
      </c>
    </row>
    <row r="54" spans="1:6" ht="15.75">
      <c r="A54" s="919" t="s">
        <v>397</v>
      </c>
      <c r="B54" s="979">
        <f>B27</f>
        <v>892255</v>
      </c>
      <c r="C54" s="979">
        <f>C27</f>
        <v>1023433</v>
      </c>
      <c r="D54" s="981" t="s">
        <v>37</v>
      </c>
      <c r="E54" s="982">
        <f>'4.sz. melléklet'!J25</f>
        <v>50000</v>
      </c>
      <c r="F54" s="982">
        <f>'4.sz. melléklet'!K25</f>
        <v>35000</v>
      </c>
    </row>
    <row r="55" spans="1:6" ht="16.5" thickBot="1">
      <c r="A55" s="967"/>
      <c r="B55" s="983"/>
      <c r="C55" s="984"/>
      <c r="D55" s="985"/>
      <c r="E55" s="933"/>
      <c r="F55" s="933"/>
    </row>
    <row r="56" spans="1:6" ht="16.5" thickBot="1">
      <c r="A56" s="986" t="s">
        <v>56</v>
      </c>
      <c r="B56" s="987">
        <f>(B45+B50+B53+B48)</f>
        <v>1085374</v>
      </c>
      <c r="C56" s="987">
        <f>(C45+C50+C53+C48)</f>
        <v>2208913</v>
      </c>
      <c r="D56" s="988" t="s">
        <v>57</v>
      </c>
      <c r="E56" s="989">
        <f>(E45+E47+E50)</f>
        <v>2450095</v>
      </c>
      <c r="F56" s="989">
        <f>(F45+F47+F50)</f>
        <v>3245689</v>
      </c>
    </row>
    <row r="57" spans="1:6" ht="16.5" thickBot="1">
      <c r="A57" s="990" t="s">
        <v>66</v>
      </c>
      <c r="B57" s="991">
        <f>SUM(B58)</f>
        <v>1576576</v>
      </c>
      <c r="C57" s="991">
        <f>SUM(C58)</f>
        <v>1248876</v>
      </c>
      <c r="D57" s="992" t="s">
        <v>747</v>
      </c>
      <c r="E57" s="993">
        <v>60788</v>
      </c>
      <c r="F57" s="993">
        <v>61033</v>
      </c>
    </row>
    <row r="58" spans="1:6" ht="15.75">
      <c r="A58" s="963" t="s">
        <v>43</v>
      </c>
      <c r="B58" s="983">
        <f>'14. sz. melléklet '!C7+'3. sz. melléklet'!F44</f>
        <v>1576576</v>
      </c>
      <c r="C58" s="983">
        <f>'14. sz. melléklet '!D7+'3. sz. melléklet'!G44</f>
        <v>1248876</v>
      </c>
      <c r="D58" s="992" t="s">
        <v>41</v>
      </c>
      <c r="E58" s="993">
        <f>'4.sz. melléklet'!J27</f>
        <v>151067</v>
      </c>
      <c r="F58" s="993">
        <f>'4.sz. melléklet'!K27</f>
        <v>151067</v>
      </c>
    </row>
    <row r="59" spans="1:6" ht="15.75">
      <c r="A59" s="963"/>
      <c r="B59" s="994"/>
      <c r="C59" s="995"/>
      <c r="D59" s="974"/>
      <c r="E59" s="917"/>
      <c r="F59" s="917"/>
    </row>
    <row r="60" spans="1:6" ht="15.75">
      <c r="A60" s="967"/>
      <c r="B60" s="996"/>
      <c r="C60" s="997"/>
      <c r="D60" s="998"/>
      <c r="E60" s="917"/>
      <c r="F60" s="917"/>
    </row>
    <row r="61" spans="1:6" ht="16.5" thickBot="1">
      <c r="A61" s="999"/>
      <c r="B61" s="1000"/>
      <c r="C61" s="1001"/>
      <c r="D61" s="1002"/>
      <c r="E61" s="1003"/>
      <c r="F61" s="1003"/>
    </row>
    <row r="62" spans="1:6" ht="15.75" customHeight="1" thickBot="1">
      <c r="A62" s="988" t="s">
        <v>59</v>
      </c>
      <c r="B62" s="1004">
        <f>B59+B57</f>
        <v>1576576</v>
      </c>
      <c r="C62" s="1004">
        <f>C59+C57</f>
        <v>1248876</v>
      </c>
      <c r="D62" s="988" t="s">
        <v>60</v>
      </c>
      <c r="E62" s="989">
        <f>SUM(E57,E58)</f>
        <v>211855</v>
      </c>
      <c r="F62" s="989">
        <f>SUM(F57,F58)</f>
        <v>212100</v>
      </c>
    </row>
    <row r="63" spans="1:6" ht="16.5" thickBot="1">
      <c r="A63" s="1005" t="s">
        <v>61</v>
      </c>
      <c r="B63" s="1006">
        <f>SUM(B62+B56)</f>
        <v>2661950</v>
      </c>
      <c r="C63" s="1006">
        <f>SUM(C62+C56)</f>
        <v>3457789</v>
      </c>
      <c r="D63" s="1007" t="s">
        <v>61</v>
      </c>
      <c r="E63" s="1008">
        <f>(E56+E62)</f>
        <v>2661950</v>
      </c>
      <c r="F63" s="1008">
        <f>(F56+F62)</f>
        <v>3457789</v>
      </c>
    </row>
    <row r="64" spans="1:6" ht="15.75">
      <c r="A64" s="1009"/>
      <c r="B64" s="1010"/>
      <c r="C64" s="1010"/>
      <c r="D64" s="1009"/>
      <c r="E64" s="1010"/>
      <c r="F64" s="1010"/>
    </row>
    <row r="65" spans="1:6" ht="15.75">
      <c r="A65" s="1011" t="s">
        <v>67</v>
      </c>
      <c r="B65" s="1012">
        <f>B63+B37</f>
        <v>9522266</v>
      </c>
      <c r="C65" s="1012">
        <f>C63+C37</f>
        <v>12504634</v>
      </c>
      <c r="D65" s="1013" t="s">
        <v>68</v>
      </c>
      <c r="E65" s="1014">
        <f>(E37+E63)</f>
        <v>9522266</v>
      </c>
      <c r="F65" s="1014">
        <f>(F37+F63)</f>
        <v>12504634</v>
      </c>
    </row>
    <row r="67" spans="1:6">
      <c r="A67" s="214"/>
      <c r="B67" s="215"/>
      <c r="C67" s="215"/>
      <c r="D67" s="218"/>
    </row>
    <row r="68" spans="1:6">
      <c r="A68" s="216"/>
      <c r="B68" s="217"/>
      <c r="C68" s="217"/>
      <c r="D68" s="218"/>
    </row>
  </sheetData>
  <sheetProtection selectLockedCells="1" selectUnlockedCells="1"/>
  <mergeCells count="6">
    <mergeCell ref="A1:E1"/>
    <mergeCell ref="A41:E41"/>
    <mergeCell ref="A3:C3"/>
    <mergeCell ref="D3:F3"/>
    <mergeCell ref="A43:C43"/>
    <mergeCell ref="D43:F43"/>
  </mergeCells>
  <printOptions horizontalCentered="1"/>
  <pageMargins left="0.35433070866141736" right="0.35433070866141736" top="0.59055118110236227" bottom="0.39370078740157483" header="0.51181102362204722" footer="0.51181102362204722"/>
  <pageSetup paperSize="9" scale="45" firstPageNumber="0" orientation="landscape" r:id="rId1"/>
  <headerFooter alignWithMargins="0">
    <oddHeader>&amp;L2. melléklet a 8/2018.(IV.25.) önkormányzati rendelethez
2. melléklet a 27/2017. (XII. 21.)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view="pageLayout" zoomScale="70" zoomScaleNormal="70" zoomScaleSheetLayoutView="70" zoomScalePageLayoutView="70" workbookViewId="0">
      <selection activeCell="A2" sqref="A2:H2"/>
    </sheetView>
  </sheetViews>
  <sheetFormatPr defaultRowHeight="18.75"/>
  <cols>
    <col min="1" max="1" width="103" style="200" bestFit="1" customWidth="1"/>
    <col min="2" max="2" width="20.140625" style="200" customWidth="1"/>
    <col min="3" max="3" width="17.5703125" style="200" bestFit="1" customWidth="1"/>
    <col min="4" max="4" width="15.140625" style="200" customWidth="1"/>
    <col min="5" max="5" width="17.5703125" style="200" bestFit="1" customWidth="1"/>
    <col min="6" max="6" width="12.85546875" style="200" bestFit="1" customWidth="1"/>
    <col min="7" max="7" width="17.5703125" style="200" bestFit="1" customWidth="1"/>
    <col min="8" max="8" width="15.85546875" style="200" customWidth="1"/>
    <col min="9" max="9" width="17.5703125" style="200" bestFit="1" customWidth="1"/>
    <col min="10" max="11" width="11.7109375" style="200" bestFit="1" customWidth="1"/>
    <col min="12" max="16384" width="9.140625" style="200"/>
  </cols>
  <sheetData>
    <row r="1" spans="1:9">
      <c r="A1" s="199"/>
    </row>
    <row r="2" spans="1:9">
      <c r="A2" s="1145" t="s">
        <v>336</v>
      </c>
      <c r="B2" s="1145"/>
      <c r="C2" s="1145"/>
      <c r="D2" s="1145"/>
      <c r="E2" s="1145"/>
      <c r="F2" s="1145"/>
      <c r="G2" s="1145"/>
      <c r="H2" s="1145"/>
    </row>
    <row r="3" spans="1:9" ht="19.5" thickBot="1"/>
    <row r="4" spans="1:9" ht="74.25" customHeight="1" thickBot="1">
      <c r="A4" s="1143" t="s">
        <v>169</v>
      </c>
      <c r="B4" s="1146" t="s">
        <v>69</v>
      </c>
      <c r="C4" s="1147"/>
      <c r="D4" s="1148" t="s">
        <v>70</v>
      </c>
      <c r="E4" s="1148"/>
      <c r="F4" s="1149" t="s">
        <v>71</v>
      </c>
      <c r="G4" s="1150"/>
      <c r="H4" s="1148" t="s">
        <v>72</v>
      </c>
      <c r="I4" s="1147"/>
    </row>
    <row r="5" spans="1:9" ht="25.5" customHeight="1">
      <c r="A5" s="1144"/>
      <c r="B5" s="290" t="s">
        <v>3</v>
      </c>
      <c r="C5" s="291" t="s">
        <v>399</v>
      </c>
      <c r="D5" s="269" t="s">
        <v>3</v>
      </c>
      <c r="E5" s="261" t="s">
        <v>399</v>
      </c>
      <c r="F5" s="271" t="s">
        <v>3</v>
      </c>
      <c r="G5" s="272" t="s">
        <v>399</v>
      </c>
      <c r="H5" s="269" t="s">
        <v>4</v>
      </c>
      <c r="I5" s="310" t="s">
        <v>399</v>
      </c>
    </row>
    <row r="6" spans="1:9" s="199" customFormat="1" ht="18.600000000000001" customHeight="1">
      <c r="A6" s="311" t="s">
        <v>5</v>
      </c>
      <c r="B6" s="292">
        <f>SUM(B7:B8)</f>
        <v>1143193</v>
      </c>
      <c r="C6" s="293">
        <f>SUM(C7:C8)</f>
        <v>1199686</v>
      </c>
      <c r="D6" s="270">
        <v>0</v>
      </c>
      <c r="E6" s="262">
        <v>0</v>
      </c>
      <c r="F6" s="273">
        <v>0</v>
      </c>
      <c r="G6" s="274">
        <v>0</v>
      </c>
      <c r="H6" s="270">
        <f>B6+D6+F6</f>
        <v>1143193</v>
      </c>
      <c r="I6" s="293">
        <f>C6+E6+G6</f>
        <v>1199686</v>
      </c>
    </row>
    <row r="7" spans="1:9" ht="18.600000000000001" customHeight="1">
      <c r="A7" s="369" t="s">
        <v>568</v>
      </c>
      <c r="B7" s="294">
        <f>'15. sz. melléklet'!G98</f>
        <v>1143193</v>
      </c>
      <c r="C7" s="295">
        <f>'15. sz. melléklet'!H98</f>
        <v>1199686</v>
      </c>
      <c r="D7" s="285"/>
      <c r="E7" s="264"/>
      <c r="F7" s="275"/>
      <c r="G7" s="276"/>
      <c r="H7" s="285"/>
      <c r="I7" s="295"/>
    </row>
    <row r="8" spans="1:9" ht="18.600000000000001" customHeight="1">
      <c r="A8" s="369" t="s">
        <v>569</v>
      </c>
      <c r="B8" s="294">
        <f>'15. sz. melléklet'!G99</f>
        <v>0</v>
      </c>
      <c r="C8" s="295">
        <f>'15. sz. melléklet'!H99</f>
        <v>0</v>
      </c>
      <c r="D8" s="285"/>
      <c r="E8" s="264"/>
      <c r="F8" s="275"/>
      <c r="G8" s="276"/>
      <c r="H8" s="285"/>
      <c r="I8" s="295"/>
    </row>
    <row r="9" spans="1:9" ht="18.600000000000001" customHeight="1">
      <c r="A9" s="312" t="s">
        <v>73</v>
      </c>
      <c r="B9" s="292">
        <f>SUM(B10)</f>
        <v>114830</v>
      </c>
      <c r="C9" s="293">
        <f>SUM(C10)</f>
        <v>836958</v>
      </c>
      <c r="D9" s="270">
        <f>SUM(D10:D10)</f>
        <v>31037</v>
      </c>
      <c r="E9" s="262">
        <f t="shared" ref="E9:G9" si="0">SUM(E10:E10)</f>
        <v>37862</v>
      </c>
      <c r="F9" s="273">
        <f t="shared" si="0"/>
        <v>72252</v>
      </c>
      <c r="G9" s="263">
        <f t="shared" si="0"/>
        <v>76713</v>
      </c>
      <c r="H9" s="270">
        <f t="shared" ref="H9:I40" si="1">B9+D9+F9</f>
        <v>218119</v>
      </c>
      <c r="I9" s="293">
        <f t="shared" si="1"/>
        <v>951533</v>
      </c>
    </row>
    <row r="10" spans="1:9" ht="18.600000000000001" customHeight="1">
      <c r="A10" s="313" t="s">
        <v>8</v>
      </c>
      <c r="B10" s="294">
        <f>'11. sz. melléklet '!C7</f>
        <v>114830</v>
      </c>
      <c r="C10" s="295">
        <f>'11. sz. melléklet '!D7</f>
        <v>836958</v>
      </c>
      <c r="D10" s="285">
        <f>'11. sz. melléklet '!C96</f>
        <v>31037</v>
      </c>
      <c r="E10" s="264">
        <f>'11. sz. melléklet '!D96</f>
        <v>37862</v>
      </c>
      <c r="F10" s="275">
        <v>72252</v>
      </c>
      <c r="G10" s="276">
        <v>76713</v>
      </c>
      <c r="H10" s="270">
        <f t="shared" si="1"/>
        <v>218119</v>
      </c>
      <c r="I10" s="293">
        <f t="shared" si="1"/>
        <v>951533</v>
      </c>
    </row>
    <row r="11" spans="1:9" ht="18.600000000000001" customHeight="1">
      <c r="A11" s="467" t="s">
        <v>590</v>
      </c>
      <c r="B11" s="292">
        <f>SUM(B12)</f>
        <v>0</v>
      </c>
      <c r="C11" s="293">
        <f>SUM(C12)</f>
        <v>992116</v>
      </c>
      <c r="D11" s="270">
        <f>SUM(D12:D12)</f>
        <v>0</v>
      </c>
      <c r="E11" s="262">
        <f t="shared" ref="E11:G11" si="2">SUM(E12:E12)</f>
        <v>0</v>
      </c>
      <c r="F11" s="273">
        <f t="shared" si="2"/>
        <v>0</v>
      </c>
      <c r="G11" s="263">
        <f t="shared" si="2"/>
        <v>0</v>
      </c>
      <c r="H11" s="270">
        <f t="shared" ref="H11:H12" si="3">B11+D11+F11</f>
        <v>0</v>
      </c>
      <c r="I11" s="293">
        <f t="shared" ref="I11:I12" si="4">C11+E11+G11</f>
        <v>992116</v>
      </c>
    </row>
    <row r="12" spans="1:9" ht="18.600000000000001" customHeight="1">
      <c r="A12" s="313" t="s">
        <v>8</v>
      </c>
      <c r="B12" s="294">
        <f>'11. sz. melléklet '!C36</f>
        <v>0</v>
      </c>
      <c r="C12" s="295">
        <f>'11. sz. melléklet '!D36</f>
        <v>992116</v>
      </c>
      <c r="D12" s="285"/>
      <c r="E12" s="264"/>
      <c r="F12" s="275"/>
      <c r="G12" s="276"/>
      <c r="H12" s="270">
        <f t="shared" si="3"/>
        <v>0</v>
      </c>
      <c r="I12" s="293">
        <f t="shared" si="4"/>
        <v>992116</v>
      </c>
    </row>
    <row r="13" spans="1:9" s="201" customFormat="1" ht="18.600000000000001" customHeight="1">
      <c r="A13" s="314" t="s">
        <v>74</v>
      </c>
      <c r="B13" s="292">
        <f>SUM(B14+B17+B22+B23)</f>
        <v>2045000</v>
      </c>
      <c r="C13" s="293">
        <f>SUM(C14+C17+C22+C23)</f>
        <v>2045000</v>
      </c>
      <c r="D13" s="270">
        <f>SUM(D14+D17+D22+D23)</f>
        <v>0</v>
      </c>
      <c r="E13" s="262">
        <f t="shared" ref="E13:G13" si="5">SUM(E14+E17+E22+E23)</f>
        <v>0</v>
      </c>
      <c r="F13" s="273">
        <f t="shared" si="5"/>
        <v>0</v>
      </c>
      <c r="G13" s="274">
        <f t="shared" si="5"/>
        <v>0</v>
      </c>
      <c r="H13" s="270">
        <f t="shared" si="1"/>
        <v>2045000</v>
      </c>
      <c r="I13" s="293">
        <f t="shared" si="1"/>
        <v>2045000</v>
      </c>
    </row>
    <row r="14" spans="1:9" s="201" customFormat="1" ht="18.600000000000001" customHeight="1">
      <c r="A14" s="313" t="s">
        <v>12</v>
      </c>
      <c r="B14" s="296">
        <f>SUM(B15:B16)</f>
        <v>500000</v>
      </c>
      <c r="C14" s="297">
        <f>SUM(C15:C16)</f>
        <v>500000</v>
      </c>
      <c r="D14" s="288">
        <f t="shared" ref="D14:G14" si="6">SUM(D15:D16)</f>
        <v>0</v>
      </c>
      <c r="E14" s="267">
        <f t="shared" si="6"/>
        <v>0</v>
      </c>
      <c r="F14" s="281">
        <f t="shared" si="6"/>
        <v>0</v>
      </c>
      <c r="G14" s="282">
        <f t="shared" si="6"/>
        <v>0</v>
      </c>
      <c r="H14" s="270">
        <f t="shared" si="1"/>
        <v>500000</v>
      </c>
      <c r="I14" s="293">
        <f t="shared" si="1"/>
        <v>500000</v>
      </c>
    </row>
    <row r="15" spans="1:9" s="201" customFormat="1" ht="18.600000000000001" customHeight="1">
      <c r="A15" s="315" t="s">
        <v>75</v>
      </c>
      <c r="B15" s="298">
        <v>350000</v>
      </c>
      <c r="C15" s="299">
        <v>350000</v>
      </c>
      <c r="D15" s="287"/>
      <c r="E15" s="266"/>
      <c r="F15" s="279"/>
      <c r="G15" s="280"/>
      <c r="H15" s="270">
        <f t="shared" si="1"/>
        <v>350000</v>
      </c>
      <c r="I15" s="293">
        <f t="shared" si="1"/>
        <v>350000</v>
      </c>
    </row>
    <row r="16" spans="1:9" s="201" customFormat="1" ht="18.600000000000001" customHeight="1">
      <c r="A16" s="316" t="s">
        <v>76</v>
      </c>
      <c r="B16" s="300">
        <v>150000</v>
      </c>
      <c r="C16" s="301">
        <v>150000</v>
      </c>
      <c r="D16" s="286"/>
      <c r="E16" s="265"/>
      <c r="F16" s="277"/>
      <c r="G16" s="278"/>
      <c r="H16" s="270">
        <f t="shared" si="1"/>
        <v>150000</v>
      </c>
      <c r="I16" s="293">
        <f t="shared" si="1"/>
        <v>150000</v>
      </c>
    </row>
    <row r="17" spans="1:9" s="201" customFormat="1" ht="18.600000000000001" customHeight="1">
      <c r="A17" s="313" t="s">
        <v>77</v>
      </c>
      <c r="B17" s="296">
        <f>SUM(B18:B21)</f>
        <v>1537000</v>
      </c>
      <c r="C17" s="297">
        <f>SUM(C18:C21)</f>
        <v>1537000</v>
      </c>
      <c r="D17" s="288">
        <f t="shared" ref="D17:G17" si="7">SUM(D18:D21)</f>
        <v>0</v>
      </c>
      <c r="E17" s="267">
        <f t="shared" si="7"/>
        <v>0</v>
      </c>
      <c r="F17" s="281">
        <f t="shared" si="7"/>
        <v>0</v>
      </c>
      <c r="G17" s="282">
        <f t="shared" si="7"/>
        <v>0</v>
      </c>
      <c r="H17" s="270">
        <f t="shared" si="1"/>
        <v>1537000</v>
      </c>
      <c r="I17" s="293">
        <f t="shared" si="1"/>
        <v>1537000</v>
      </c>
    </row>
    <row r="18" spans="1:9" s="201" customFormat="1" ht="18.600000000000001" customHeight="1">
      <c r="A18" s="315" t="s">
        <v>78</v>
      </c>
      <c r="B18" s="300">
        <v>1400000</v>
      </c>
      <c r="C18" s="301">
        <v>1400000</v>
      </c>
      <c r="D18" s="286"/>
      <c r="E18" s="265"/>
      <c r="F18" s="277"/>
      <c r="G18" s="278"/>
      <c r="H18" s="270">
        <f t="shared" si="1"/>
        <v>1400000</v>
      </c>
      <c r="I18" s="293">
        <f t="shared" si="1"/>
        <v>1400000</v>
      </c>
    </row>
    <row r="19" spans="1:9" s="201" customFormat="1" ht="18.600000000000001" customHeight="1">
      <c r="A19" s="315" t="s">
        <v>79</v>
      </c>
      <c r="B19" s="300">
        <v>92000</v>
      </c>
      <c r="C19" s="301">
        <v>92000</v>
      </c>
      <c r="D19" s="286"/>
      <c r="E19" s="265"/>
      <c r="F19" s="277"/>
      <c r="G19" s="278"/>
      <c r="H19" s="270">
        <f t="shared" si="1"/>
        <v>92000</v>
      </c>
      <c r="I19" s="293">
        <f t="shared" si="1"/>
        <v>92000</v>
      </c>
    </row>
    <row r="20" spans="1:9" s="201" customFormat="1" ht="18.600000000000001" customHeight="1">
      <c r="A20" s="315" t="s">
        <v>80</v>
      </c>
      <c r="B20" s="300">
        <v>43000</v>
      </c>
      <c r="C20" s="301">
        <v>43000</v>
      </c>
      <c r="D20" s="286"/>
      <c r="E20" s="265"/>
      <c r="F20" s="277"/>
      <c r="G20" s="278"/>
      <c r="H20" s="270">
        <f t="shared" si="1"/>
        <v>43000</v>
      </c>
      <c r="I20" s="293">
        <f t="shared" si="1"/>
        <v>43000</v>
      </c>
    </row>
    <row r="21" spans="1:9" ht="18.600000000000001" customHeight="1">
      <c r="A21" s="315" t="s">
        <v>81</v>
      </c>
      <c r="B21" s="300">
        <v>2000</v>
      </c>
      <c r="C21" s="301">
        <v>2000</v>
      </c>
      <c r="D21" s="288"/>
      <c r="E21" s="267"/>
      <c r="F21" s="281"/>
      <c r="G21" s="282"/>
      <c r="H21" s="270">
        <f t="shared" si="1"/>
        <v>2000</v>
      </c>
      <c r="I21" s="293">
        <f t="shared" si="1"/>
        <v>2000</v>
      </c>
    </row>
    <row r="22" spans="1:9" s="201" customFormat="1" ht="18.600000000000001" customHeight="1">
      <c r="A22" s="317" t="s">
        <v>15</v>
      </c>
      <c r="B22" s="296">
        <v>5000</v>
      </c>
      <c r="C22" s="297">
        <v>5000</v>
      </c>
      <c r="D22" s="288"/>
      <c r="E22" s="267"/>
      <c r="F22" s="281"/>
      <c r="G22" s="282"/>
      <c r="H22" s="270">
        <f t="shared" si="1"/>
        <v>5000</v>
      </c>
      <c r="I22" s="293">
        <f t="shared" si="1"/>
        <v>5000</v>
      </c>
    </row>
    <row r="23" spans="1:9" s="201" customFormat="1" ht="18.600000000000001" customHeight="1">
      <c r="A23" s="317" t="s">
        <v>178</v>
      </c>
      <c r="B23" s="296">
        <v>3000</v>
      </c>
      <c r="C23" s="297">
        <v>3000</v>
      </c>
      <c r="D23" s="289"/>
      <c r="E23" s="268"/>
      <c r="F23" s="283"/>
      <c r="G23" s="284"/>
      <c r="H23" s="270">
        <f t="shared" si="1"/>
        <v>3000</v>
      </c>
      <c r="I23" s="293">
        <f t="shared" si="1"/>
        <v>3000</v>
      </c>
    </row>
    <row r="24" spans="1:9" ht="18.600000000000001" customHeight="1">
      <c r="A24" s="312" t="s">
        <v>20</v>
      </c>
      <c r="B24" s="302">
        <f>SUM(B25+B26+B27+B28+B30+B31+B32)</f>
        <v>2042636</v>
      </c>
      <c r="C24" s="303">
        <f>SUM(C25+C26+C27+C28+C30+C31+C32)</f>
        <v>2042636</v>
      </c>
      <c r="D24" s="289">
        <f>SUM(D25+D26+D27+D28+D30+D31)</f>
        <v>7460</v>
      </c>
      <c r="E24" s="268">
        <f>SUM(E25+E26+E27+E28+E30+E31)</f>
        <v>7460</v>
      </c>
      <c r="F24" s="283">
        <f>SUM(F25+F26+F27+F28+F30+F29)</f>
        <v>185865</v>
      </c>
      <c r="G24" s="263">
        <f>SUM(G25+G26+G27+G28+G30+G29)</f>
        <v>188034</v>
      </c>
      <c r="H24" s="270">
        <f t="shared" si="1"/>
        <v>2235961</v>
      </c>
      <c r="I24" s="293">
        <f t="shared" si="1"/>
        <v>2238130</v>
      </c>
    </row>
    <row r="25" spans="1:9" ht="18.600000000000001" customHeight="1">
      <c r="A25" s="313" t="s">
        <v>22</v>
      </c>
      <c r="B25" s="296">
        <v>1534222</v>
      </c>
      <c r="C25" s="297">
        <v>1534222</v>
      </c>
      <c r="D25" s="288"/>
      <c r="E25" s="267"/>
      <c r="F25" s="281">
        <v>2000</v>
      </c>
      <c r="G25" s="282">
        <v>2000</v>
      </c>
      <c r="H25" s="270">
        <f t="shared" si="1"/>
        <v>1536222</v>
      </c>
      <c r="I25" s="293">
        <f t="shared" si="1"/>
        <v>1536222</v>
      </c>
    </row>
    <row r="26" spans="1:9" ht="18.600000000000001" customHeight="1">
      <c r="A26" s="313" t="s">
        <v>82</v>
      </c>
      <c r="B26" s="296">
        <v>8093</v>
      </c>
      <c r="C26" s="297">
        <v>8093</v>
      </c>
      <c r="D26" s="288">
        <v>7460</v>
      </c>
      <c r="E26" s="267">
        <v>7460</v>
      </c>
      <c r="F26" s="281">
        <v>50716</v>
      </c>
      <c r="G26" s="282">
        <v>50716</v>
      </c>
      <c r="H26" s="270">
        <f t="shared" si="1"/>
        <v>66269</v>
      </c>
      <c r="I26" s="293">
        <f t="shared" si="1"/>
        <v>66269</v>
      </c>
    </row>
    <row r="27" spans="1:9" ht="18.600000000000001" customHeight="1">
      <c r="A27" s="313" t="s">
        <v>25</v>
      </c>
      <c r="B27" s="296">
        <v>25984</v>
      </c>
      <c r="C27" s="297">
        <v>25984</v>
      </c>
      <c r="D27" s="288"/>
      <c r="E27" s="267"/>
      <c r="F27" s="281">
        <v>1976</v>
      </c>
      <c r="G27" s="282">
        <v>1976</v>
      </c>
      <c r="H27" s="270">
        <f t="shared" si="1"/>
        <v>27960</v>
      </c>
      <c r="I27" s="293">
        <f t="shared" si="1"/>
        <v>27960</v>
      </c>
    </row>
    <row r="28" spans="1:9" ht="21" customHeight="1">
      <c r="A28" s="313" t="s">
        <v>83</v>
      </c>
      <c r="B28" s="296">
        <v>94520</v>
      </c>
      <c r="C28" s="297">
        <v>94520</v>
      </c>
      <c r="D28" s="288"/>
      <c r="E28" s="267"/>
      <c r="F28" s="281"/>
      <c r="G28" s="282"/>
      <c r="H28" s="270">
        <f t="shared" si="1"/>
        <v>94520</v>
      </c>
      <c r="I28" s="293">
        <f t="shared" si="1"/>
        <v>94520</v>
      </c>
    </row>
    <row r="29" spans="1:9" ht="18.600000000000001" customHeight="1">
      <c r="A29" s="313" t="s">
        <v>27</v>
      </c>
      <c r="B29" s="296">
        <v>0</v>
      </c>
      <c r="C29" s="297">
        <v>0</v>
      </c>
      <c r="D29" s="288"/>
      <c r="E29" s="267"/>
      <c r="F29" s="281">
        <v>81688</v>
      </c>
      <c r="G29" s="282">
        <v>83857</v>
      </c>
      <c r="H29" s="270">
        <f t="shared" si="1"/>
        <v>81688</v>
      </c>
      <c r="I29" s="293">
        <f t="shared" si="1"/>
        <v>83857</v>
      </c>
    </row>
    <row r="30" spans="1:9" ht="18.600000000000001" customHeight="1">
      <c r="A30" s="318" t="s">
        <v>28</v>
      </c>
      <c r="B30" s="296">
        <v>379567</v>
      </c>
      <c r="C30" s="297">
        <v>379567</v>
      </c>
      <c r="D30" s="288"/>
      <c r="E30" s="267"/>
      <c r="F30" s="281">
        <v>49485</v>
      </c>
      <c r="G30" s="282">
        <v>49485</v>
      </c>
      <c r="H30" s="270">
        <f t="shared" si="1"/>
        <v>429052</v>
      </c>
      <c r="I30" s="293">
        <f t="shared" si="1"/>
        <v>429052</v>
      </c>
    </row>
    <row r="31" spans="1:9" s="199" customFormat="1" ht="18.600000000000001" customHeight="1">
      <c r="A31" s="313" t="s">
        <v>30</v>
      </c>
      <c r="B31" s="296">
        <v>150</v>
      </c>
      <c r="C31" s="297">
        <v>150</v>
      </c>
      <c r="D31" s="289"/>
      <c r="E31" s="268"/>
      <c r="F31" s="283"/>
      <c r="G31" s="284"/>
      <c r="H31" s="270">
        <f t="shared" si="1"/>
        <v>150</v>
      </c>
      <c r="I31" s="293">
        <f t="shared" si="1"/>
        <v>150</v>
      </c>
    </row>
    <row r="32" spans="1:9" s="199" customFormat="1" ht="18.600000000000001" customHeight="1">
      <c r="A32" s="313" t="s">
        <v>229</v>
      </c>
      <c r="B32" s="296">
        <v>100</v>
      </c>
      <c r="C32" s="297">
        <v>100</v>
      </c>
      <c r="D32" s="289"/>
      <c r="E32" s="268"/>
      <c r="F32" s="283"/>
      <c r="G32" s="284"/>
      <c r="H32" s="270">
        <f t="shared" si="1"/>
        <v>100</v>
      </c>
      <c r="I32" s="293">
        <f t="shared" si="1"/>
        <v>100</v>
      </c>
    </row>
    <row r="33" spans="1:12" ht="18.600000000000001" customHeight="1">
      <c r="A33" s="314" t="s">
        <v>32</v>
      </c>
      <c r="B33" s="302">
        <f>SUM(B34)</f>
        <v>1500</v>
      </c>
      <c r="C33" s="303">
        <f>SUM(C34)</f>
        <v>1500</v>
      </c>
      <c r="D33" s="289">
        <f>SUM(D34)</f>
        <v>0</v>
      </c>
      <c r="E33" s="268">
        <v>0</v>
      </c>
      <c r="F33" s="283"/>
      <c r="G33" s="284"/>
      <c r="H33" s="270">
        <f t="shared" si="1"/>
        <v>1500</v>
      </c>
      <c r="I33" s="293">
        <f t="shared" si="1"/>
        <v>1500</v>
      </c>
    </row>
    <row r="34" spans="1:12" s="199" customFormat="1" ht="18.600000000000001" customHeight="1">
      <c r="A34" s="313" t="s">
        <v>215</v>
      </c>
      <c r="B34" s="296">
        <v>1500</v>
      </c>
      <c r="C34" s="297">
        <v>1500</v>
      </c>
      <c r="D34" s="288"/>
      <c r="E34" s="267"/>
      <c r="F34" s="283"/>
      <c r="G34" s="284"/>
      <c r="H34" s="270">
        <f t="shared" si="1"/>
        <v>1500</v>
      </c>
      <c r="I34" s="293">
        <f t="shared" si="1"/>
        <v>1500</v>
      </c>
    </row>
    <row r="35" spans="1:12" s="199" customFormat="1" ht="18.600000000000001" customHeight="1">
      <c r="A35" s="314" t="s">
        <v>34</v>
      </c>
      <c r="B35" s="302">
        <f t="shared" ref="B35:G35" si="8">SUM(B36:B37)</f>
        <v>50912</v>
      </c>
      <c r="C35" s="303">
        <f t="shared" si="8"/>
        <v>65912</v>
      </c>
      <c r="D35" s="289">
        <f t="shared" si="8"/>
        <v>0</v>
      </c>
      <c r="E35" s="268">
        <f t="shared" si="8"/>
        <v>0</v>
      </c>
      <c r="F35" s="283">
        <f t="shared" si="8"/>
        <v>0</v>
      </c>
      <c r="G35" s="284">
        <f t="shared" si="8"/>
        <v>10</v>
      </c>
      <c r="H35" s="270">
        <f t="shared" si="1"/>
        <v>50912</v>
      </c>
      <c r="I35" s="293">
        <f t="shared" si="1"/>
        <v>65922</v>
      </c>
    </row>
    <row r="36" spans="1:12" s="199" customFormat="1" ht="18.600000000000001" customHeight="1">
      <c r="A36" s="313" t="s">
        <v>84</v>
      </c>
      <c r="B36" s="296">
        <f>'11. sz. melléklet '!C30</f>
        <v>40000</v>
      </c>
      <c r="C36" s="297">
        <f>'11. sz. melléklet '!D30</f>
        <v>55000</v>
      </c>
      <c r="D36" s="288"/>
      <c r="E36" s="267"/>
      <c r="F36" s="283"/>
      <c r="G36" s="284"/>
      <c r="H36" s="270">
        <f t="shared" si="1"/>
        <v>40000</v>
      </c>
      <c r="I36" s="293">
        <f t="shared" si="1"/>
        <v>55000</v>
      </c>
    </row>
    <row r="37" spans="1:12" s="199" customFormat="1" ht="18.600000000000001" customHeight="1">
      <c r="A37" s="313" t="s">
        <v>8</v>
      </c>
      <c r="B37" s="296">
        <f>'11. sz. melléklet '!C25</f>
        <v>10912</v>
      </c>
      <c r="C37" s="297">
        <f>'11. sz. melléklet '!D25</f>
        <v>10912</v>
      </c>
      <c r="D37" s="288"/>
      <c r="E37" s="267"/>
      <c r="F37" s="283"/>
      <c r="G37" s="282">
        <v>10</v>
      </c>
      <c r="H37" s="270">
        <f t="shared" si="1"/>
        <v>10912</v>
      </c>
      <c r="I37" s="293">
        <f t="shared" si="1"/>
        <v>10922</v>
      </c>
    </row>
    <row r="38" spans="1:12" ht="18.600000000000001" customHeight="1">
      <c r="A38" s="319" t="s">
        <v>85</v>
      </c>
      <c r="B38" s="302">
        <f t="shared" ref="B38:G38" si="9">SUM(B39:B40)</f>
        <v>191019</v>
      </c>
      <c r="C38" s="303">
        <f t="shared" si="9"/>
        <v>191019</v>
      </c>
      <c r="D38" s="289">
        <f t="shared" si="9"/>
        <v>600</v>
      </c>
      <c r="E38" s="289">
        <f t="shared" si="9"/>
        <v>600</v>
      </c>
      <c r="F38" s="283">
        <f t="shared" si="9"/>
        <v>0</v>
      </c>
      <c r="G38" s="284">
        <f t="shared" si="9"/>
        <v>245</v>
      </c>
      <c r="H38" s="270">
        <f t="shared" si="1"/>
        <v>191619</v>
      </c>
      <c r="I38" s="293">
        <f t="shared" si="1"/>
        <v>191864</v>
      </c>
    </row>
    <row r="39" spans="1:12" ht="18.600000000000001" customHeight="1">
      <c r="A39" s="320" t="s">
        <v>84</v>
      </c>
      <c r="B39" s="296">
        <f>'11. sz. melléklet '!C56</f>
        <v>736</v>
      </c>
      <c r="C39" s="297">
        <f>'11. sz. melléklet '!D56</f>
        <v>736</v>
      </c>
      <c r="D39" s="288">
        <f>'11. sz. melléklet '!C73</f>
        <v>600</v>
      </c>
      <c r="E39" s="288">
        <f>'11. sz. melléklet '!D73</f>
        <v>600</v>
      </c>
      <c r="F39" s="281"/>
      <c r="G39" s="284"/>
      <c r="H39" s="468">
        <f t="shared" si="1"/>
        <v>1336</v>
      </c>
      <c r="I39" s="469">
        <f t="shared" si="1"/>
        <v>1336</v>
      </c>
    </row>
    <row r="40" spans="1:12" s="201" customFormat="1" ht="18.600000000000001" customHeight="1">
      <c r="A40" s="320" t="s">
        <v>8</v>
      </c>
      <c r="B40" s="296">
        <f>'11. sz. melléklet '!C51</f>
        <v>190283</v>
      </c>
      <c r="C40" s="297">
        <f>'11. sz. melléklet '!D51</f>
        <v>190283</v>
      </c>
      <c r="D40" s="286"/>
      <c r="E40" s="286"/>
      <c r="F40" s="277"/>
      <c r="G40" s="282">
        <v>245</v>
      </c>
      <c r="H40" s="270">
        <f t="shared" si="1"/>
        <v>190283</v>
      </c>
      <c r="I40" s="293">
        <f t="shared" si="1"/>
        <v>190528</v>
      </c>
    </row>
    <row r="41" spans="1:12" s="201" customFormat="1" ht="18.600000000000001" customHeight="1">
      <c r="A41" s="319" t="s">
        <v>86</v>
      </c>
      <c r="B41" s="304">
        <f>SUM(B6+B9+B11+B13+B24+B33+B38+B35)</f>
        <v>5589090</v>
      </c>
      <c r="C41" s="305">
        <f t="shared" ref="C41:G41" si="10">SUM(C6+C9+C11+C13+C24+C33+C38+C35)</f>
        <v>7374827</v>
      </c>
      <c r="D41" s="289">
        <f t="shared" si="10"/>
        <v>39097</v>
      </c>
      <c r="E41" s="268">
        <f t="shared" si="10"/>
        <v>45922</v>
      </c>
      <c r="F41" s="283">
        <f t="shared" si="10"/>
        <v>258117</v>
      </c>
      <c r="G41" s="284">
        <f t="shared" si="10"/>
        <v>265002</v>
      </c>
      <c r="H41" s="270">
        <f>B41+D41+F41</f>
        <v>5886304</v>
      </c>
      <c r="I41" s="293">
        <f>C41+E41+G41</f>
        <v>7685751</v>
      </c>
    </row>
    <row r="42" spans="1:12" s="201" customFormat="1" ht="18.600000000000001" customHeight="1">
      <c r="A42" s="562" t="s">
        <v>601</v>
      </c>
      <c r="B42" s="556">
        <v>0</v>
      </c>
      <c r="C42" s="557">
        <v>1500000</v>
      </c>
      <c r="D42" s="558"/>
      <c r="E42" s="559"/>
      <c r="F42" s="560"/>
      <c r="G42" s="561"/>
      <c r="H42" s="270">
        <f>B42+D42+F42</f>
        <v>0</v>
      </c>
      <c r="I42" s="293">
        <f>C42+E42+G42</f>
        <v>1500000</v>
      </c>
    </row>
    <row r="43" spans="1:12" s="202" customFormat="1" ht="18.600000000000001" customHeight="1">
      <c r="A43" s="321" t="s">
        <v>398</v>
      </c>
      <c r="B43" s="302">
        <v>35000</v>
      </c>
      <c r="C43" s="303">
        <v>35000</v>
      </c>
      <c r="D43" s="289"/>
      <c r="E43" s="268"/>
      <c r="F43" s="283"/>
      <c r="G43" s="284"/>
      <c r="H43" s="270">
        <f>SUM(SUM(B43))</f>
        <v>35000</v>
      </c>
      <c r="I43" s="293">
        <f>SUM(SUM(C43))</f>
        <v>35000</v>
      </c>
    </row>
    <row r="44" spans="1:12">
      <c r="A44" s="319" t="s">
        <v>43</v>
      </c>
      <c r="B44" s="302">
        <f>'14. sz. melléklet '!C31</f>
        <v>1653800</v>
      </c>
      <c r="C44" s="303">
        <f>'14. sz. melléklet '!D31</f>
        <v>1326350</v>
      </c>
      <c r="D44" s="288"/>
      <c r="E44" s="267"/>
      <c r="F44" s="281">
        <v>3187</v>
      </c>
      <c r="G44" s="282">
        <v>3187</v>
      </c>
      <c r="H44" s="270">
        <f t="shared" ref="H44:I46" si="11">B44+D44+F44</f>
        <v>1656987</v>
      </c>
      <c r="I44" s="293">
        <f t="shared" si="11"/>
        <v>1329537</v>
      </c>
    </row>
    <row r="45" spans="1:12">
      <c r="A45" s="319" t="s">
        <v>87</v>
      </c>
      <c r="B45" s="296"/>
      <c r="C45" s="297"/>
      <c r="D45" s="288">
        <v>781228</v>
      </c>
      <c r="E45" s="267">
        <v>781486</v>
      </c>
      <c r="F45" s="281">
        <v>1162747</v>
      </c>
      <c r="G45" s="282">
        <v>1172860</v>
      </c>
      <c r="H45" s="270">
        <f t="shared" si="11"/>
        <v>1943975</v>
      </c>
      <c r="I45" s="293">
        <f>C45+E45+G45</f>
        <v>1954346</v>
      </c>
      <c r="J45" s="203"/>
      <c r="K45" s="203"/>
      <c r="L45" s="203"/>
    </row>
    <row r="46" spans="1:12">
      <c r="A46" s="322" t="s">
        <v>88</v>
      </c>
      <c r="B46" s="306">
        <f>SUM(B42:B45)</f>
        <v>1688800</v>
      </c>
      <c r="C46" s="307">
        <f>SUM(C42:C45)</f>
        <v>2861350</v>
      </c>
      <c r="D46" s="289">
        <f t="shared" ref="D46:G46" si="12">SUM(D42:D45)</f>
        <v>781228</v>
      </c>
      <c r="E46" s="268">
        <f t="shared" si="12"/>
        <v>781486</v>
      </c>
      <c r="F46" s="283">
        <f t="shared" si="12"/>
        <v>1165934</v>
      </c>
      <c r="G46" s="284">
        <f t="shared" si="12"/>
        <v>1176047</v>
      </c>
      <c r="H46" s="270">
        <f t="shared" si="11"/>
        <v>3635962</v>
      </c>
      <c r="I46" s="293">
        <f t="shared" si="11"/>
        <v>4818883</v>
      </c>
    </row>
    <row r="47" spans="1:12" s="199" customFormat="1" ht="19.5" thickBot="1">
      <c r="A47" s="323" t="s">
        <v>48</v>
      </c>
      <c r="B47" s="308">
        <f>SUM(B41+B46)</f>
        <v>7277890</v>
      </c>
      <c r="C47" s="309">
        <f>SUM(C41+C46)</f>
        <v>10236177</v>
      </c>
      <c r="D47" s="324">
        <f>SUM(D41+D46)</f>
        <v>820325</v>
      </c>
      <c r="E47" s="325">
        <f t="shared" ref="E47:G47" si="13">SUM(E41+E46)</f>
        <v>827408</v>
      </c>
      <c r="F47" s="326">
        <f t="shared" si="13"/>
        <v>1424051</v>
      </c>
      <c r="G47" s="327">
        <f t="shared" si="13"/>
        <v>1441049</v>
      </c>
      <c r="H47" s="328">
        <f>H41+H46</f>
        <v>9522266</v>
      </c>
      <c r="I47" s="329">
        <f>I41+I46</f>
        <v>12504634</v>
      </c>
    </row>
    <row r="49" spans="4:10">
      <c r="E49" s="203"/>
      <c r="G49" s="203"/>
    </row>
    <row r="50" spans="4:10">
      <c r="D50" s="203"/>
      <c r="E50" s="203"/>
      <c r="G50" s="203"/>
      <c r="H50" s="203"/>
    </row>
    <row r="52" spans="4:10">
      <c r="H52" s="203"/>
      <c r="I52" s="203"/>
      <c r="J52" s="203"/>
    </row>
    <row r="55" spans="4:10">
      <c r="F55" s="203"/>
    </row>
    <row r="63" spans="4:10">
      <c r="F63" s="203"/>
      <c r="H63" s="203"/>
    </row>
  </sheetData>
  <sheetProtection selectLockedCells="1" selectUnlockedCells="1"/>
  <mergeCells count="6">
    <mergeCell ref="A4:A5"/>
    <mergeCell ref="A2:H2"/>
    <mergeCell ref="B4:C4"/>
    <mergeCell ref="D4:E4"/>
    <mergeCell ref="F4:G4"/>
    <mergeCell ref="H4:I4"/>
  </mergeCells>
  <printOptions horizontalCentered="1"/>
  <pageMargins left="0.59055118110236227" right="0.59055118110236227" top="0.59055118110236227" bottom="0.59055118110236227" header="0.23622047244094491" footer="0.51181102362204722"/>
  <pageSetup paperSize="9" scale="53" firstPageNumber="0" orientation="landscape" r:id="rId1"/>
  <headerFooter alignWithMargins="0">
    <oddHeader>&amp;L3. melléklet a 8/2018.(IV.25.) önkormányzati rendelethez
3. melléklet a 27/2017. (XII. 21.)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view="pageLayout" topLeftCell="C1" zoomScale="84" zoomScaleNormal="79" zoomScaleSheetLayoutView="90" zoomScalePageLayoutView="84" workbookViewId="0">
      <selection activeCell="C1" sqref="C1:J1"/>
    </sheetView>
  </sheetViews>
  <sheetFormatPr defaultRowHeight="25.5" customHeight="1"/>
  <cols>
    <col min="1" max="2" width="0" style="1" hidden="1" customWidth="1"/>
    <col min="3" max="3" width="62.7109375" style="1" customWidth="1"/>
    <col min="4" max="5" width="18.140625" style="1" customWidth="1"/>
    <col min="6" max="6" width="9.42578125" style="1" bestFit="1" customWidth="1"/>
    <col min="7" max="7" width="14" style="1" bestFit="1" customWidth="1"/>
    <col min="8" max="9" width="12.140625" style="1" customWidth="1"/>
    <col min="10" max="11" width="14.28515625" style="1" customWidth="1"/>
    <col min="12" max="12" width="9.140625" style="1"/>
    <col min="13" max="13" width="11.140625" style="1" bestFit="1" customWidth="1"/>
    <col min="14" max="16384" width="9.140625" style="1"/>
  </cols>
  <sheetData>
    <row r="1" spans="1:20" s="2" customFormat="1" ht="18" customHeight="1">
      <c r="C1" s="1153" t="s">
        <v>335</v>
      </c>
      <c r="D1" s="1153"/>
      <c r="E1" s="1153"/>
      <c r="F1" s="1153"/>
      <c r="G1" s="1153"/>
      <c r="H1" s="1153"/>
      <c r="I1" s="1153"/>
      <c r="J1" s="1153"/>
      <c r="K1" s="241"/>
    </row>
    <row r="2" spans="1:20" s="2" customFormat="1" ht="18" customHeight="1">
      <c r="C2" s="1153" t="s">
        <v>220</v>
      </c>
      <c r="D2" s="1153"/>
      <c r="E2" s="1153"/>
      <c r="F2" s="1153"/>
      <c r="G2" s="1153"/>
      <c r="H2" s="1153"/>
      <c r="I2" s="1153"/>
      <c r="J2" s="1153"/>
      <c r="K2" s="241"/>
    </row>
    <row r="3" spans="1:20" s="2" customFormat="1" ht="18" customHeight="1" thickBot="1">
      <c r="C3" s="3"/>
      <c r="D3" s="3"/>
      <c r="E3" s="3"/>
      <c r="F3" s="3"/>
      <c r="G3" s="3"/>
      <c r="H3" s="3"/>
      <c r="I3" s="3"/>
    </row>
    <row r="4" spans="1:20" s="551" customFormat="1" ht="69.75" customHeight="1" thickBot="1">
      <c r="A4" s="549"/>
      <c r="B4" s="550"/>
      <c r="C4" s="1151" t="s">
        <v>89</v>
      </c>
      <c r="D4" s="1154" t="s">
        <v>69</v>
      </c>
      <c r="E4" s="1155"/>
      <c r="F4" s="1154" t="s">
        <v>70</v>
      </c>
      <c r="G4" s="1155"/>
      <c r="H4" s="1156" t="s">
        <v>71</v>
      </c>
      <c r="I4" s="1157"/>
      <c r="J4" s="1158" t="s">
        <v>72</v>
      </c>
      <c r="K4" s="1159"/>
      <c r="L4" s="550"/>
      <c r="M4" s="550"/>
      <c r="N4" s="550"/>
      <c r="O4" s="550"/>
      <c r="P4" s="550"/>
      <c r="Q4" s="550"/>
      <c r="R4" s="550"/>
      <c r="S4" s="550"/>
      <c r="T4" s="550"/>
    </row>
    <row r="5" spans="1:20" s="551" customFormat="1" ht="32.25" customHeight="1">
      <c r="A5" s="552"/>
      <c r="B5" s="553"/>
      <c r="C5" s="1152"/>
      <c r="D5" s="554" t="s">
        <v>3</v>
      </c>
      <c r="E5" s="501" t="s">
        <v>399</v>
      </c>
      <c r="F5" s="554" t="s">
        <v>3</v>
      </c>
      <c r="G5" s="501" t="s">
        <v>399</v>
      </c>
      <c r="H5" s="555" t="s">
        <v>3</v>
      </c>
      <c r="I5" s="494" t="s">
        <v>399</v>
      </c>
      <c r="J5" s="554" t="s">
        <v>4</v>
      </c>
      <c r="K5" s="501" t="s">
        <v>399</v>
      </c>
      <c r="L5" s="550"/>
      <c r="M5" s="550"/>
      <c r="N5" s="550"/>
      <c r="O5" s="550"/>
      <c r="P5" s="550"/>
      <c r="Q5" s="550"/>
      <c r="R5" s="550"/>
      <c r="S5" s="550"/>
      <c r="T5" s="550"/>
    </row>
    <row r="6" spans="1:20" s="7" customFormat="1" ht="19.5" customHeight="1">
      <c r="A6" s="5"/>
      <c r="B6" s="6"/>
      <c r="C6" s="524" t="s">
        <v>6</v>
      </c>
      <c r="D6" s="514">
        <v>215364</v>
      </c>
      <c r="E6" s="515">
        <v>371560</v>
      </c>
      <c r="F6" s="514">
        <v>518371</v>
      </c>
      <c r="G6" s="515">
        <v>523549</v>
      </c>
      <c r="H6" s="508">
        <v>694122</v>
      </c>
      <c r="I6" s="495">
        <v>710370</v>
      </c>
      <c r="J6" s="502">
        <f t="shared" ref="J6:K6" si="0">SUM(D6+F6+H6)</f>
        <v>1427857</v>
      </c>
      <c r="K6" s="503">
        <f t="shared" si="0"/>
        <v>1605479</v>
      </c>
      <c r="L6" s="6"/>
      <c r="M6" s="6"/>
      <c r="N6" s="6"/>
      <c r="O6" s="6"/>
      <c r="P6" s="6"/>
      <c r="Q6" s="6"/>
      <c r="R6" s="6"/>
      <c r="S6" s="6"/>
      <c r="T6" s="6"/>
    </row>
    <row r="7" spans="1:20" s="7" customFormat="1" ht="20.100000000000001" customHeight="1">
      <c r="A7" s="5"/>
      <c r="B7" s="6"/>
      <c r="C7" s="524" t="s">
        <v>90</v>
      </c>
      <c r="D7" s="514">
        <v>41189</v>
      </c>
      <c r="E7" s="515">
        <v>77345</v>
      </c>
      <c r="F7" s="514">
        <v>119114</v>
      </c>
      <c r="G7" s="515">
        <v>120184</v>
      </c>
      <c r="H7" s="508">
        <v>137190</v>
      </c>
      <c r="I7" s="495">
        <v>140382</v>
      </c>
      <c r="J7" s="502">
        <f t="shared" ref="J7:J31" si="1">SUM(D7+F7+H7)</f>
        <v>297493</v>
      </c>
      <c r="K7" s="503">
        <f t="shared" ref="K7:K32" si="2">SUM(E7+G7+I7)</f>
        <v>337911</v>
      </c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ht="20.100000000000001" customHeight="1">
      <c r="A8" s="5"/>
      <c r="B8" s="6"/>
      <c r="C8" s="525" t="s">
        <v>11</v>
      </c>
      <c r="D8" s="516">
        <v>1344936</v>
      </c>
      <c r="E8" s="517">
        <v>1774390</v>
      </c>
      <c r="F8" s="516">
        <v>170175</v>
      </c>
      <c r="G8" s="517">
        <v>171010</v>
      </c>
      <c r="H8" s="509">
        <v>544616</v>
      </c>
      <c r="I8" s="496">
        <v>541929</v>
      </c>
      <c r="J8" s="502">
        <f t="shared" si="1"/>
        <v>2059727</v>
      </c>
      <c r="K8" s="503">
        <f t="shared" si="2"/>
        <v>2487329</v>
      </c>
      <c r="L8" s="6"/>
      <c r="M8" s="204"/>
      <c r="N8" s="6"/>
      <c r="O8" s="6"/>
      <c r="P8" s="6"/>
      <c r="Q8" s="6"/>
      <c r="R8" s="6"/>
      <c r="S8" s="6"/>
      <c r="T8" s="6"/>
    </row>
    <row r="9" spans="1:20" s="7" customFormat="1" ht="20.100000000000001" customHeight="1">
      <c r="A9" s="5"/>
      <c r="B9" s="6"/>
      <c r="C9" s="524" t="s">
        <v>14</v>
      </c>
      <c r="D9" s="516">
        <f>'9. sz. melléklet '!C20</f>
        <v>67900</v>
      </c>
      <c r="E9" s="517">
        <f>'9. sz. melléklet '!D20</f>
        <v>61000</v>
      </c>
      <c r="F9" s="516">
        <v>0</v>
      </c>
      <c r="G9" s="517">
        <v>0</v>
      </c>
      <c r="H9" s="509">
        <v>0</v>
      </c>
      <c r="I9" s="496">
        <v>0</v>
      </c>
      <c r="J9" s="502">
        <f t="shared" si="1"/>
        <v>67900</v>
      </c>
      <c r="K9" s="503">
        <f t="shared" si="2"/>
        <v>61000</v>
      </c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19.5" customHeight="1">
      <c r="A10" s="5"/>
      <c r="B10" s="6"/>
      <c r="C10" s="525" t="s">
        <v>51</v>
      </c>
      <c r="D10" s="516">
        <f>SUM(D11:D15)</f>
        <v>1089152</v>
      </c>
      <c r="E10" s="517">
        <f t="shared" ref="E10:I10" si="3">SUM(E11:E15)</f>
        <v>1126813</v>
      </c>
      <c r="F10" s="516">
        <f t="shared" si="3"/>
        <v>0</v>
      </c>
      <c r="G10" s="517">
        <f t="shared" si="3"/>
        <v>0</v>
      </c>
      <c r="H10" s="509">
        <f t="shared" si="3"/>
        <v>0</v>
      </c>
      <c r="I10" s="496">
        <f t="shared" si="3"/>
        <v>0</v>
      </c>
      <c r="J10" s="502">
        <f t="shared" si="1"/>
        <v>1089152</v>
      </c>
      <c r="K10" s="503">
        <f t="shared" si="2"/>
        <v>1126813</v>
      </c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20.100000000000001" customHeight="1">
      <c r="A11" s="5"/>
      <c r="B11" s="6"/>
      <c r="C11" s="526" t="s">
        <v>173</v>
      </c>
      <c r="D11" s="532">
        <v>18000</v>
      </c>
      <c r="E11" s="533">
        <v>500</v>
      </c>
      <c r="F11" s="532">
        <v>0</v>
      </c>
      <c r="G11" s="533">
        <v>0</v>
      </c>
      <c r="H11" s="548">
        <v>0</v>
      </c>
      <c r="I11" s="506">
        <v>0</v>
      </c>
      <c r="J11" s="502">
        <f t="shared" si="1"/>
        <v>18000</v>
      </c>
      <c r="K11" s="503">
        <f t="shared" si="2"/>
        <v>500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20.100000000000001" customHeight="1">
      <c r="A12" s="260"/>
      <c r="B12" s="6"/>
      <c r="C12" s="526" t="s">
        <v>403</v>
      </c>
      <c r="D12" s="532">
        <v>0</v>
      </c>
      <c r="E12" s="533">
        <v>17500</v>
      </c>
      <c r="F12" s="532">
        <v>0</v>
      </c>
      <c r="G12" s="533">
        <v>0</v>
      </c>
      <c r="H12" s="548">
        <v>0</v>
      </c>
      <c r="I12" s="506">
        <v>0</v>
      </c>
      <c r="J12" s="502">
        <f t="shared" si="1"/>
        <v>0</v>
      </c>
      <c r="K12" s="503">
        <f t="shared" si="2"/>
        <v>17500</v>
      </c>
      <c r="L12" s="6"/>
      <c r="M12" s="6"/>
      <c r="N12" s="6"/>
      <c r="O12" s="6"/>
      <c r="P12" s="6"/>
      <c r="Q12" s="6"/>
      <c r="R12" s="6"/>
      <c r="S12" s="6"/>
      <c r="T12" s="6"/>
    </row>
    <row r="13" spans="1:20" ht="19.5" customHeight="1">
      <c r="A13" s="4"/>
      <c r="B13" s="2"/>
      <c r="C13" s="527" t="s">
        <v>18</v>
      </c>
      <c r="D13" s="518">
        <f>'10. sz. melléklet'!D38</f>
        <v>40000</v>
      </c>
      <c r="E13" s="519">
        <f>'10. sz. melléklet'!E38</f>
        <v>55000</v>
      </c>
      <c r="F13" s="518">
        <v>0</v>
      </c>
      <c r="G13" s="519">
        <v>0</v>
      </c>
      <c r="H13" s="510">
        <v>0</v>
      </c>
      <c r="I13" s="497">
        <v>0</v>
      </c>
      <c r="J13" s="502">
        <f t="shared" si="1"/>
        <v>40000</v>
      </c>
      <c r="K13" s="503">
        <f t="shared" si="2"/>
        <v>55000</v>
      </c>
      <c r="L13" s="2"/>
      <c r="M13" s="2"/>
      <c r="N13" s="2"/>
      <c r="O13" s="2"/>
      <c r="P13" s="2"/>
      <c r="Q13" s="2"/>
      <c r="R13" s="2"/>
      <c r="S13" s="2"/>
      <c r="T13" s="2"/>
    </row>
    <row r="14" spans="1:20" ht="19.5" customHeight="1">
      <c r="A14" s="4"/>
      <c r="B14" s="2"/>
      <c r="C14" s="527" t="s">
        <v>19</v>
      </c>
      <c r="D14" s="518">
        <f>'10. sz. melléklet'!D31</f>
        <v>916152</v>
      </c>
      <c r="E14" s="519">
        <f>'10. sz. melléklet'!E31</f>
        <v>952445</v>
      </c>
      <c r="F14" s="518">
        <v>0</v>
      </c>
      <c r="G14" s="519">
        <v>0</v>
      </c>
      <c r="H14" s="510">
        <v>0</v>
      </c>
      <c r="I14" s="497">
        <v>0</v>
      </c>
      <c r="J14" s="502">
        <f t="shared" si="1"/>
        <v>916152</v>
      </c>
      <c r="K14" s="503">
        <f t="shared" si="2"/>
        <v>952445</v>
      </c>
      <c r="L14" s="2"/>
      <c r="M14" s="2"/>
      <c r="N14" s="2"/>
      <c r="O14" s="2"/>
      <c r="P14" s="2"/>
      <c r="Q14" s="2"/>
      <c r="R14" s="2"/>
      <c r="S14" s="2"/>
      <c r="T14" s="2"/>
    </row>
    <row r="15" spans="1:20" s="7" customFormat="1" ht="20.100000000000001" customHeight="1">
      <c r="A15" s="5"/>
      <c r="B15" s="6"/>
      <c r="C15" s="528" t="s">
        <v>21</v>
      </c>
      <c r="D15" s="518">
        <f>'16. sz. melléklet '!B4</f>
        <v>115000</v>
      </c>
      <c r="E15" s="519">
        <f>'16. sz. melléklet '!C4</f>
        <v>101368</v>
      </c>
      <c r="F15" s="518">
        <v>0</v>
      </c>
      <c r="G15" s="519">
        <v>0</v>
      </c>
      <c r="H15" s="510">
        <v>0</v>
      </c>
      <c r="I15" s="497">
        <v>0</v>
      </c>
      <c r="J15" s="502">
        <f t="shared" si="1"/>
        <v>115000</v>
      </c>
      <c r="K15" s="503">
        <f t="shared" si="2"/>
        <v>101368</v>
      </c>
      <c r="L15" s="6"/>
      <c r="M15" s="6"/>
      <c r="N15" s="6"/>
      <c r="O15" s="6"/>
      <c r="P15" s="6"/>
      <c r="Q15" s="6"/>
      <c r="R15" s="6"/>
      <c r="S15" s="6"/>
      <c r="T15" s="6"/>
    </row>
    <row r="16" spans="1:20" s="10" customFormat="1" ht="20.100000000000001" customHeight="1">
      <c r="A16" s="8"/>
      <c r="B16" s="9"/>
      <c r="C16" s="529" t="s">
        <v>23</v>
      </c>
      <c r="D16" s="520">
        <f>'16. sz. melléklet '!B6</f>
        <v>15000</v>
      </c>
      <c r="E16" s="521">
        <f>'16. sz. melléklet '!C6</f>
        <v>11341</v>
      </c>
      <c r="F16" s="520">
        <v>0</v>
      </c>
      <c r="G16" s="521">
        <v>0</v>
      </c>
      <c r="H16" s="511">
        <v>0</v>
      </c>
      <c r="I16" s="498">
        <v>0</v>
      </c>
      <c r="J16" s="502">
        <f t="shared" si="1"/>
        <v>15000</v>
      </c>
      <c r="K16" s="503">
        <f t="shared" si="2"/>
        <v>11341</v>
      </c>
      <c r="L16" s="9"/>
      <c r="M16" s="9"/>
      <c r="N16" s="9"/>
      <c r="O16" s="9"/>
      <c r="P16" s="9"/>
      <c r="Q16" s="9"/>
      <c r="R16" s="9"/>
      <c r="S16" s="9"/>
      <c r="T16" s="9"/>
    </row>
    <row r="17" spans="1:20" s="10" customFormat="1" ht="18" customHeight="1">
      <c r="A17" s="8"/>
      <c r="B17" s="9"/>
      <c r="C17" s="529" t="s">
        <v>218</v>
      </c>
      <c r="D17" s="520">
        <f>'16. sz. melléklet '!B9</f>
        <v>100000</v>
      </c>
      <c r="E17" s="521">
        <f>'16. sz. melléklet '!C9</f>
        <v>74949</v>
      </c>
      <c r="F17" s="520">
        <v>0</v>
      </c>
      <c r="G17" s="521">
        <v>0</v>
      </c>
      <c r="H17" s="511">
        <v>0</v>
      </c>
      <c r="I17" s="498">
        <v>0</v>
      </c>
      <c r="J17" s="502">
        <f t="shared" si="1"/>
        <v>100000</v>
      </c>
      <c r="K17" s="503">
        <f t="shared" si="2"/>
        <v>74949</v>
      </c>
      <c r="L17" s="9"/>
      <c r="M17" s="9"/>
      <c r="N17" s="9"/>
      <c r="O17" s="9"/>
      <c r="P17" s="9"/>
      <c r="Q17" s="9"/>
      <c r="R17" s="9"/>
      <c r="S17" s="9"/>
      <c r="T17" s="9"/>
    </row>
    <row r="18" spans="1:20" s="10" customFormat="1" ht="18" customHeight="1">
      <c r="A18" s="9"/>
      <c r="B18" s="9"/>
      <c r="C18" s="529" t="s">
        <v>406</v>
      </c>
      <c r="D18" s="520">
        <f>'16. sz. melléklet '!B12</f>
        <v>0</v>
      </c>
      <c r="E18" s="521">
        <f>'16. sz. melléklet '!C12</f>
        <v>15078</v>
      </c>
      <c r="F18" s="520">
        <v>0</v>
      </c>
      <c r="G18" s="521">
        <v>0</v>
      </c>
      <c r="H18" s="511">
        <v>0</v>
      </c>
      <c r="I18" s="498">
        <v>0</v>
      </c>
      <c r="J18" s="502">
        <f t="shared" si="1"/>
        <v>0</v>
      </c>
      <c r="K18" s="503">
        <f t="shared" si="2"/>
        <v>15078</v>
      </c>
      <c r="L18" s="9"/>
      <c r="M18" s="9"/>
      <c r="N18" s="9"/>
      <c r="O18" s="9"/>
      <c r="P18" s="9"/>
      <c r="Q18" s="9"/>
      <c r="R18" s="9"/>
      <c r="S18" s="9"/>
      <c r="T18" s="9"/>
    </row>
    <row r="19" spans="1:20" s="7" customFormat="1" ht="20.100000000000001" customHeight="1">
      <c r="A19" s="6"/>
      <c r="B19" s="6"/>
      <c r="C19" s="524" t="s">
        <v>91</v>
      </c>
      <c r="D19" s="514">
        <f>'7. sz. melléklet '!C4</f>
        <v>1833212</v>
      </c>
      <c r="E19" s="515">
        <f>'7. sz. melléklet '!D4</f>
        <v>2478411</v>
      </c>
      <c r="F19" s="514">
        <f>'7. sz. melléklet '!C51</f>
        <v>11465</v>
      </c>
      <c r="G19" s="515">
        <f>'7. sz. melléklet '!D51</f>
        <v>11465</v>
      </c>
      <c r="H19" s="508">
        <v>19052</v>
      </c>
      <c r="I19" s="495">
        <f>19052+245</f>
        <v>19297</v>
      </c>
      <c r="J19" s="502">
        <v>1863729</v>
      </c>
      <c r="K19" s="503">
        <f t="shared" si="2"/>
        <v>2509173</v>
      </c>
      <c r="L19" s="6"/>
      <c r="M19" s="6"/>
      <c r="N19" s="6"/>
      <c r="O19" s="6"/>
      <c r="P19" s="6"/>
      <c r="Q19" s="6"/>
      <c r="R19" s="6"/>
      <c r="S19" s="6"/>
      <c r="T19" s="6"/>
    </row>
    <row r="20" spans="1:20" s="7" customFormat="1" ht="20.100000000000001" customHeight="1">
      <c r="A20" s="6"/>
      <c r="B20" s="6"/>
      <c r="C20" s="524" t="s">
        <v>92</v>
      </c>
      <c r="D20" s="514">
        <f>'8. sz. melléklet '!D5</f>
        <v>500095</v>
      </c>
      <c r="E20" s="515">
        <v>665045</v>
      </c>
      <c r="F20" s="514">
        <v>0</v>
      </c>
      <c r="G20" s="515">
        <v>0</v>
      </c>
      <c r="H20" s="508">
        <v>29071</v>
      </c>
      <c r="I20" s="495">
        <v>29071</v>
      </c>
      <c r="J20" s="502">
        <v>529166</v>
      </c>
      <c r="K20" s="503">
        <f t="shared" si="2"/>
        <v>694116</v>
      </c>
      <c r="L20" s="6"/>
      <c r="M20" s="6"/>
      <c r="N20" s="6"/>
      <c r="O20" s="6"/>
      <c r="P20" s="6"/>
      <c r="Q20" s="6"/>
      <c r="R20" s="6"/>
      <c r="S20" s="6"/>
      <c r="T20" s="6"/>
    </row>
    <row r="21" spans="1:20" s="7" customFormat="1" ht="20.100000000000001" customHeight="1">
      <c r="A21" s="6"/>
      <c r="B21" s="6"/>
      <c r="C21" s="524" t="s">
        <v>33</v>
      </c>
      <c r="D21" s="514">
        <f>SUM(D22:D24)</f>
        <v>56000</v>
      </c>
      <c r="E21" s="515">
        <f t="shared" ref="E21:I21" si="4">SUM(E22:E24)</f>
        <v>41200</v>
      </c>
      <c r="F21" s="514">
        <f t="shared" si="4"/>
        <v>1200</v>
      </c>
      <c r="G21" s="515">
        <f t="shared" si="4"/>
        <v>1200</v>
      </c>
      <c r="H21" s="508">
        <f t="shared" si="4"/>
        <v>0</v>
      </c>
      <c r="I21" s="495">
        <f t="shared" si="4"/>
        <v>0</v>
      </c>
      <c r="J21" s="502">
        <f t="shared" si="1"/>
        <v>57200</v>
      </c>
      <c r="K21" s="503">
        <f t="shared" si="2"/>
        <v>42400</v>
      </c>
      <c r="L21" s="6"/>
      <c r="M21" s="6"/>
      <c r="N21" s="6"/>
      <c r="O21" s="6"/>
      <c r="P21" s="6"/>
      <c r="Q21" s="6"/>
      <c r="R21" s="6"/>
      <c r="S21" s="6"/>
      <c r="T21" s="6"/>
    </row>
    <row r="22" spans="1:20" s="7" customFormat="1" ht="20.100000000000001" customHeight="1">
      <c r="A22" s="6"/>
      <c r="B22" s="6"/>
      <c r="C22" s="528" t="s">
        <v>18</v>
      </c>
      <c r="D22" s="534">
        <f>'10. sz. melléklet'!D49</f>
        <v>0</v>
      </c>
      <c r="E22" s="535">
        <v>0</v>
      </c>
      <c r="F22" s="518">
        <f>'10. sz. melléklet'!D60</f>
        <v>1200</v>
      </c>
      <c r="G22" s="519">
        <f>'10. sz. melléklet'!E60</f>
        <v>1200</v>
      </c>
      <c r="H22" s="508">
        <v>0</v>
      </c>
      <c r="I22" s="495">
        <v>0</v>
      </c>
      <c r="J22" s="502">
        <f t="shared" si="1"/>
        <v>1200</v>
      </c>
      <c r="K22" s="503">
        <f t="shared" si="2"/>
        <v>1200</v>
      </c>
      <c r="L22" s="6"/>
      <c r="M22" s="6"/>
      <c r="N22" s="6"/>
      <c r="O22" s="6"/>
      <c r="P22" s="6"/>
      <c r="Q22" s="6"/>
      <c r="R22" s="6"/>
      <c r="S22" s="6"/>
      <c r="T22" s="6"/>
    </row>
    <row r="23" spans="1:20" s="7" customFormat="1" ht="20.100000000000001" customHeight="1">
      <c r="A23" s="6"/>
      <c r="B23" s="6"/>
      <c r="C23" s="527" t="s">
        <v>35</v>
      </c>
      <c r="D23" s="518">
        <f>'10. sz. melléklet'!D47</f>
        <v>6000</v>
      </c>
      <c r="E23" s="519">
        <f>'10. sz. melléklet'!E47</f>
        <v>6200</v>
      </c>
      <c r="F23" s="518">
        <v>0</v>
      </c>
      <c r="G23" s="519">
        <v>0</v>
      </c>
      <c r="H23" s="508">
        <v>0</v>
      </c>
      <c r="I23" s="495">
        <v>0</v>
      </c>
      <c r="J23" s="502">
        <f t="shared" si="1"/>
        <v>6000</v>
      </c>
      <c r="K23" s="503">
        <f t="shared" si="2"/>
        <v>6200</v>
      </c>
      <c r="L23" s="6"/>
      <c r="M23" s="6"/>
      <c r="N23" s="6"/>
      <c r="O23" s="6"/>
      <c r="P23" s="6"/>
      <c r="Q23" s="6"/>
      <c r="R23" s="6"/>
      <c r="S23" s="6"/>
      <c r="T23" s="6"/>
    </row>
    <row r="24" spans="1:20" s="12" customFormat="1" ht="20.100000000000001" customHeight="1">
      <c r="A24" s="11"/>
      <c r="B24" s="11"/>
      <c r="C24" s="527" t="s">
        <v>93</v>
      </c>
      <c r="D24" s="518">
        <f>'16. sz. melléklet '!B15</f>
        <v>50000</v>
      </c>
      <c r="E24" s="519">
        <f>'16. sz. melléklet '!C15</f>
        <v>35000</v>
      </c>
      <c r="F24" s="520">
        <f>SUM(F25:F25)</f>
        <v>0</v>
      </c>
      <c r="G24" s="521">
        <v>0</v>
      </c>
      <c r="H24" s="511">
        <f>SUM(H25:H25)</f>
        <v>0</v>
      </c>
      <c r="I24" s="498">
        <v>0</v>
      </c>
      <c r="J24" s="502">
        <f t="shared" si="1"/>
        <v>50000</v>
      </c>
      <c r="K24" s="503">
        <f t="shared" si="2"/>
        <v>35000</v>
      </c>
      <c r="L24" s="11"/>
      <c r="M24" s="11"/>
      <c r="N24" s="11"/>
      <c r="O24" s="11"/>
      <c r="P24" s="11"/>
      <c r="Q24" s="11"/>
      <c r="R24" s="11"/>
      <c r="S24" s="11"/>
      <c r="T24" s="11"/>
    </row>
    <row r="25" spans="1:20" s="12" customFormat="1" ht="21.75" customHeight="1">
      <c r="A25" s="11"/>
      <c r="B25" s="11"/>
      <c r="C25" s="530" t="s">
        <v>37</v>
      </c>
      <c r="D25" s="520">
        <f>'16. sz. melléklet '!B17</f>
        <v>50000</v>
      </c>
      <c r="E25" s="521">
        <f>'16. sz. melléklet '!C17</f>
        <v>35000</v>
      </c>
      <c r="F25" s="520">
        <v>0</v>
      </c>
      <c r="G25" s="521">
        <v>0</v>
      </c>
      <c r="H25" s="511">
        <v>0</v>
      </c>
      <c r="I25" s="498">
        <v>0</v>
      </c>
      <c r="J25" s="502">
        <f t="shared" si="1"/>
        <v>50000</v>
      </c>
      <c r="K25" s="503">
        <f t="shared" si="2"/>
        <v>35000</v>
      </c>
      <c r="L25" s="11"/>
      <c r="M25" s="11"/>
      <c r="N25" s="11"/>
      <c r="O25" s="11"/>
      <c r="P25" s="11"/>
      <c r="Q25" s="11"/>
      <c r="R25" s="11"/>
      <c r="S25" s="11"/>
      <c r="T25" s="11"/>
    </row>
    <row r="26" spans="1:20" s="541" customFormat="1" ht="20.100000000000001" customHeight="1">
      <c r="C26" s="539" t="s">
        <v>94</v>
      </c>
      <c r="D26" s="542">
        <f>SUM(D6+D7+D8+D9+D10+D19+D20+D21)</f>
        <v>5147848</v>
      </c>
      <c r="E26" s="543">
        <f t="shared" ref="E26:J26" si="5">SUM(E6+E7+E8+E9+E10+E19+E20+E21)</f>
        <v>6595764</v>
      </c>
      <c r="F26" s="543">
        <f t="shared" si="5"/>
        <v>820325</v>
      </c>
      <c r="G26" s="543">
        <f t="shared" si="5"/>
        <v>827408</v>
      </c>
      <c r="H26" s="544">
        <f t="shared" si="5"/>
        <v>1424051</v>
      </c>
      <c r="I26" s="545">
        <f t="shared" si="5"/>
        <v>1441049</v>
      </c>
      <c r="J26" s="545">
        <f t="shared" si="5"/>
        <v>7392224</v>
      </c>
      <c r="K26" s="537">
        <f t="shared" si="2"/>
        <v>8864221</v>
      </c>
      <c r="L26" s="546"/>
      <c r="M26" s="546"/>
      <c r="N26" s="546"/>
      <c r="O26" s="546"/>
      <c r="P26" s="546"/>
      <c r="Q26" s="546"/>
      <c r="R26" s="546"/>
      <c r="S26" s="546"/>
      <c r="T26" s="546"/>
    </row>
    <row r="27" spans="1:20" s="7" customFormat="1" ht="20.100000000000001" customHeight="1">
      <c r="C27" s="524" t="s">
        <v>41</v>
      </c>
      <c r="D27" s="514">
        <f>'13. sz. melléklet'!G8</f>
        <v>151067</v>
      </c>
      <c r="E27" s="515">
        <f>'13. sz. melléklet'!H8</f>
        <v>151067</v>
      </c>
      <c r="F27" s="514">
        <v>0</v>
      </c>
      <c r="G27" s="515">
        <v>0</v>
      </c>
      <c r="H27" s="508">
        <v>0</v>
      </c>
      <c r="I27" s="495">
        <v>0</v>
      </c>
      <c r="J27" s="502">
        <f t="shared" si="1"/>
        <v>151067</v>
      </c>
      <c r="K27" s="503">
        <f t="shared" si="2"/>
        <v>151067</v>
      </c>
      <c r="L27" s="6"/>
      <c r="M27" s="6"/>
      <c r="N27" s="6"/>
      <c r="O27" s="6"/>
      <c r="P27" s="6"/>
      <c r="Q27" s="6"/>
      <c r="R27" s="6"/>
      <c r="S27" s="6"/>
      <c r="T27" s="6"/>
    </row>
    <row r="28" spans="1:20" s="7" customFormat="1" ht="20.100000000000001" customHeight="1">
      <c r="C28" s="524" t="s">
        <v>600</v>
      </c>
      <c r="D28" s="514">
        <v>0</v>
      </c>
      <c r="E28" s="515">
        <v>1500000</v>
      </c>
      <c r="F28" s="514">
        <v>0</v>
      </c>
      <c r="G28" s="515">
        <v>0</v>
      </c>
      <c r="H28" s="508">
        <v>0</v>
      </c>
      <c r="I28" s="495">
        <v>0</v>
      </c>
      <c r="J28" s="502">
        <f t="shared" ref="J28" si="6">SUM(D28+F28+H28)</f>
        <v>0</v>
      </c>
      <c r="K28" s="503">
        <f t="shared" ref="K28" si="7">SUM(E28+G28+I28)</f>
        <v>1500000</v>
      </c>
      <c r="L28" s="6"/>
      <c r="M28" s="6"/>
      <c r="N28" s="6"/>
      <c r="O28" s="6"/>
      <c r="P28" s="6"/>
      <c r="Q28" s="6"/>
      <c r="R28" s="6"/>
      <c r="S28" s="6"/>
      <c r="T28" s="6"/>
    </row>
    <row r="29" spans="1:20" s="7" customFormat="1" ht="20.100000000000001" customHeight="1">
      <c r="C29" s="524" t="s">
        <v>170</v>
      </c>
      <c r="D29" s="514">
        <v>35000</v>
      </c>
      <c r="E29" s="515">
        <v>35000</v>
      </c>
      <c r="F29" s="514">
        <v>0</v>
      </c>
      <c r="G29" s="515">
        <v>0</v>
      </c>
      <c r="H29" s="508">
        <v>0</v>
      </c>
      <c r="I29" s="495">
        <v>0</v>
      </c>
      <c r="J29" s="502">
        <f t="shared" si="1"/>
        <v>35000</v>
      </c>
      <c r="K29" s="503">
        <f t="shared" si="2"/>
        <v>35000</v>
      </c>
      <c r="L29" s="6"/>
      <c r="M29" s="6"/>
      <c r="N29" s="6"/>
      <c r="O29" s="6"/>
      <c r="P29" s="6"/>
      <c r="Q29" s="6"/>
      <c r="R29" s="6"/>
      <c r="S29" s="6"/>
      <c r="T29" s="6"/>
    </row>
    <row r="30" spans="1:20" s="2" customFormat="1" ht="25.5" customHeight="1">
      <c r="C30" s="524" t="s">
        <v>45</v>
      </c>
      <c r="D30" s="536">
        <v>1943975</v>
      </c>
      <c r="E30" s="537">
        <v>1954346</v>
      </c>
      <c r="F30" s="522">
        <v>0</v>
      </c>
      <c r="G30" s="523">
        <v>0</v>
      </c>
      <c r="H30" s="512">
        <v>0</v>
      </c>
      <c r="I30" s="499">
        <v>0</v>
      </c>
      <c r="J30" s="502">
        <f>SUM(D30+F30+H30)</f>
        <v>1943975</v>
      </c>
      <c r="K30" s="503">
        <f t="shared" si="2"/>
        <v>1954346</v>
      </c>
    </row>
    <row r="31" spans="1:20" s="538" customFormat="1" ht="25.5" customHeight="1">
      <c r="C31" s="539" t="s">
        <v>95</v>
      </c>
      <c r="D31" s="536">
        <f>(D30+D28+D27+D29)</f>
        <v>2130042</v>
      </c>
      <c r="E31" s="537">
        <f t="shared" ref="E31:I31" si="8">(E30+E28+E27+E29)</f>
        <v>3640413</v>
      </c>
      <c r="F31" s="536">
        <f t="shared" si="8"/>
        <v>0</v>
      </c>
      <c r="G31" s="537">
        <f t="shared" si="8"/>
        <v>0</v>
      </c>
      <c r="H31" s="540">
        <f t="shared" si="8"/>
        <v>0</v>
      </c>
      <c r="I31" s="507">
        <f t="shared" si="8"/>
        <v>0</v>
      </c>
      <c r="J31" s="536">
        <f t="shared" si="1"/>
        <v>2130042</v>
      </c>
      <c r="K31" s="537">
        <f t="shared" si="2"/>
        <v>3640413</v>
      </c>
    </row>
    <row r="32" spans="1:20" ht="25.5" customHeight="1" thickBot="1">
      <c r="C32" s="531" t="s">
        <v>49</v>
      </c>
      <c r="D32" s="504">
        <f>SUM(D26+D31)</f>
        <v>7277890</v>
      </c>
      <c r="E32" s="505">
        <f t="shared" ref="E32:J32" si="9">SUM(E26+E31)</f>
        <v>10236177</v>
      </c>
      <c r="F32" s="504">
        <f t="shared" si="9"/>
        <v>820325</v>
      </c>
      <c r="G32" s="505">
        <f t="shared" si="9"/>
        <v>827408</v>
      </c>
      <c r="H32" s="513">
        <f t="shared" si="9"/>
        <v>1424051</v>
      </c>
      <c r="I32" s="500">
        <f t="shared" si="9"/>
        <v>1441049</v>
      </c>
      <c r="J32" s="500">
        <f t="shared" si="9"/>
        <v>9522266</v>
      </c>
      <c r="K32" s="505">
        <f t="shared" si="2"/>
        <v>12504634</v>
      </c>
      <c r="L32" s="2"/>
      <c r="M32" s="2"/>
      <c r="N32" s="2"/>
      <c r="O32" s="2"/>
      <c r="P32" s="2"/>
      <c r="Q32" s="2"/>
      <c r="R32" s="2"/>
      <c r="S32" s="2"/>
      <c r="T32" s="2"/>
    </row>
    <row r="34" spans="4:5" ht="25.5" customHeight="1">
      <c r="D34" s="547"/>
      <c r="E34" s="547"/>
    </row>
  </sheetData>
  <sheetProtection selectLockedCells="1" selectUnlockedCells="1"/>
  <mergeCells count="7">
    <mergeCell ref="C4:C5"/>
    <mergeCell ref="C1:J1"/>
    <mergeCell ref="C2:J2"/>
    <mergeCell ref="D4:E4"/>
    <mergeCell ref="F4:G4"/>
    <mergeCell ref="H4:I4"/>
    <mergeCell ref="J4:K4"/>
  </mergeCells>
  <printOptions horizontalCentered="1"/>
  <pageMargins left="0.25" right="0.25" top="0.75" bottom="0.75" header="0.3" footer="0.3"/>
  <pageSetup paperSize="9" scale="71" firstPageNumber="0" orientation="landscape" r:id="rId1"/>
  <headerFooter alignWithMargins="0">
    <oddHeader>&amp;L&amp;11 4. melléklet a 8/2018.(IV.25.) önkormányzati rendelethez
 4. melléklet a 27/2017. (XII.21.)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view="pageLayout" zoomScaleNormal="90" workbookViewId="0">
      <selection activeCell="C10" sqref="C10"/>
    </sheetView>
  </sheetViews>
  <sheetFormatPr defaultRowHeight="12.75"/>
  <cols>
    <col min="3" max="3" width="94.140625" bestFit="1" customWidth="1"/>
    <col min="4" max="4" width="13.85546875" bestFit="1" customWidth="1"/>
    <col min="5" max="6" width="11.28515625" bestFit="1" customWidth="1"/>
    <col min="7" max="7" width="10.28515625" bestFit="1" customWidth="1"/>
    <col min="8" max="8" width="11.140625" bestFit="1" customWidth="1"/>
    <col min="9" max="9" width="10.140625" bestFit="1" customWidth="1"/>
    <col min="10" max="10" width="11.5703125" customWidth="1"/>
    <col min="11" max="11" width="10" bestFit="1" customWidth="1"/>
    <col min="12" max="12" width="10.7109375" bestFit="1" customWidth="1"/>
    <col min="13" max="13" width="12.42578125" bestFit="1" customWidth="1"/>
    <col min="14" max="14" width="10.7109375" bestFit="1" customWidth="1"/>
    <col min="15" max="15" width="9" bestFit="1" customWidth="1"/>
    <col min="16" max="16" width="7.7109375" customWidth="1"/>
    <col min="17" max="17" width="10.140625" bestFit="1" customWidth="1"/>
    <col min="18" max="18" width="11.28515625" bestFit="1" customWidth="1"/>
    <col min="19" max="19" width="9.28515625" customWidth="1"/>
  </cols>
  <sheetData>
    <row r="1" spans="1:19">
      <c r="A1" s="1015"/>
      <c r="B1" s="1160" t="s">
        <v>748</v>
      </c>
      <c r="C1" s="1160"/>
      <c r="D1" s="1160"/>
      <c r="E1" s="1160"/>
      <c r="F1" s="1160"/>
      <c r="G1" s="1160"/>
      <c r="H1" s="1160"/>
      <c r="I1" s="1160"/>
      <c r="J1" s="1160"/>
      <c r="K1" s="1160"/>
      <c r="L1" s="1160"/>
      <c r="M1" s="1160"/>
      <c r="N1" s="1160"/>
      <c r="O1" s="1160"/>
      <c r="P1" s="1160"/>
      <c r="Q1" s="1160"/>
      <c r="R1" s="1160"/>
      <c r="S1" s="1160"/>
    </row>
    <row r="2" spans="1:19" ht="13.5" thickBot="1">
      <c r="A2" s="1161"/>
      <c r="B2" s="1161"/>
      <c r="C2" s="1161"/>
      <c r="D2" s="1161"/>
      <c r="E2" s="1161"/>
      <c r="F2" s="1161"/>
      <c r="G2" s="1161"/>
      <c r="H2" s="1161"/>
      <c r="I2" s="1161"/>
      <c r="J2" s="1161"/>
      <c r="K2" s="1161"/>
      <c r="L2" s="1161"/>
      <c r="M2" s="1161"/>
      <c r="N2" s="1161"/>
      <c r="O2" s="1161"/>
      <c r="P2" s="1161"/>
      <c r="Q2" s="1161"/>
      <c r="R2" s="1161"/>
      <c r="S2" s="1161"/>
    </row>
    <row r="3" spans="1:19">
      <c r="A3" s="1162" t="s">
        <v>2</v>
      </c>
      <c r="B3" s="1163"/>
      <c r="C3" s="1163"/>
      <c r="D3" s="1163"/>
      <c r="E3" s="1163" t="s">
        <v>96</v>
      </c>
      <c r="F3" s="1163" t="s">
        <v>604</v>
      </c>
      <c r="G3" s="1168" t="s">
        <v>605</v>
      </c>
      <c r="H3" s="1168"/>
      <c r="I3" s="1168"/>
      <c r="J3" s="1168"/>
      <c r="K3" s="1168"/>
      <c r="L3" s="1168"/>
      <c r="M3" s="1168" t="s">
        <v>606</v>
      </c>
      <c r="N3" s="1168"/>
      <c r="O3" s="1168"/>
      <c r="P3" s="1168"/>
      <c r="Q3" s="1168" t="s">
        <v>60</v>
      </c>
      <c r="R3" s="1168"/>
      <c r="S3" s="1169" t="s">
        <v>749</v>
      </c>
    </row>
    <row r="4" spans="1:19">
      <c r="A4" s="1164"/>
      <c r="B4" s="1165"/>
      <c r="C4" s="1165"/>
      <c r="D4" s="1165"/>
      <c r="E4" s="1165"/>
      <c r="F4" s="1165"/>
      <c r="G4" s="1172" t="s">
        <v>6</v>
      </c>
      <c r="H4" s="1172" t="s">
        <v>607</v>
      </c>
      <c r="I4" s="1172" t="s">
        <v>608</v>
      </c>
      <c r="J4" s="1172" t="s">
        <v>51</v>
      </c>
      <c r="K4" s="1172" t="s">
        <v>609</v>
      </c>
      <c r="L4" s="1172" t="s">
        <v>21</v>
      </c>
      <c r="M4" s="1165" t="s">
        <v>63</v>
      </c>
      <c r="N4" s="1165" t="s">
        <v>62</v>
      </c>
      <c r="O4" s="1172" t="s">
        <v>33</v>
      </c>
      <c r="P4" s="1174" t="s">
        <v>36</v>
      </c>
      <c r="Q4" s="1174" t="s">
        <v>610</v>
      </c>
      <c r="R4" s="1172" t="s">
        <v>611</v>
      </c>
      <c r="S4" s="1170"/>
    </row>
    <row r="5" spans="1:19" ht="13.5" thickBot="1">
      <c r="A5" s="1166"/>
      <c r="B5" s="1167"/>
      <c r="C5" s="1167"/>
      <c r="D5" s="1167"/>
      <c r="E5" s="1167"/>
      <c r="F5" s="1167"/>
      <c r="G5" s="1173"/>
      <c r="H5" s="1173"/>
      <c r="I5" s="1173"/>
      <c r="J5" s="1173"/>
      <c r="K5" s="1173"/>
      <c r="L5" s="1173"/>
      <c r="M5" s="1167"/>
      <c r="N5" s="1167"/>
      <c r="O5" s="1173"/>
      <c r="P5" s="1175"/>
      <c r="Q5" s="1175"/>
      <c r="R5" s="1173"/>
      <c r="S5" s="1171"/>
    </row>
    <row r="6" spans="1:19">
      <c r="A6" s="1016" t="s">
        <v>612</v>
      </c>
      <c r="B6" s="1017" t="s">
        <v>750</v>
      </c>
      <c r="C6" s="1018" t="s">
        <v>751</v>
      </c>
      <c r="D6" s="1019" t="s">
        <v>3</v>
      </c>
      <c r="E6" s="1020">
        <v>1653800</v>
      </c>
      <c r="F6" s="1020">
        <f>SUM(G6:S6)</f>
        <v>9000</v>
      </c>
      <c r="G6" s="1021">
        <v>1446</v>
      </c>
      <c r="H6" s="1021">
        <v>619</v>
      </c>
      <c r="I6" s="1021">
        <v>4775</v>
      </c>
      <c r="J6" s="1021">
        <v>0</v>
      </c>
      <c r="K6" s="1020">
        <v>0</v>
      </c>
      <c r="L6" s="1021">
        <v>0</v>
      </c>
      <c r="M6" s="1021">
        <v>0</v>
      </c>
      <c r="N6" s="1021">
        <v>2160</v>
      </c>
      <c r="O6" s="1021">
        <v>0</v>
      </c>
      <c r="P6" s="1021">
        <v>0</v>
      </c>
      <c r="Q6" s="1021">
        <v>0</v>
      </c>
      <c r="R6" s="1022">
        <v>0</v>
      </c>
      <c r="S6" s="1023">
        <v>0</v>
      </c>
    </row>
    <row r="7" spans="1:19">
      <c r="A7" s="1016"/>
      <c r="B7" s="1017"/>
      <c r="C7" s="1018"/>
      <c r="D7" s="1019" t="s">
        <v>401</v>
      </c>
      <c r="E7" s="1020">
        <v>1326350</v>
      </c>
      <c r="F7" s="1020">
        <f t="shared" ref="F7:F74" si="0">SUM(G7:S7)</f>
        <v>0</v>
      </c>
      <c r="G7" s="1021">
        <v>0</v>
      </c>
      <c r="H7" s="1021"/>
      <c r="I7" s="1021">
        <v>0</v>
      </c>
      <c r="J7" s="1021">
        <v>0</v>
      </c>
      <c r="K7" s="1020">
        <v>0</v>
      </c>
      <c r="L7" s="1021">
        <v>0</v>
      </c>
      <c r="M7" s="1021">
        <v>0</v>
      </c>
      <c r="N7" s="1021">
        <v>0</v>
      </c>
      <c r="O7" s="1021">
        <v>0</v>
      </c>
      <c r="P7" s="1021">
        <v>0</v>
      </c>
      <c r="Q7" s="1021">
        <v>0</v>
      </c>
      <c r="R7" s="1022">
        <v>0</v>
      </c>
      <c r="S7" s="1023">
        <v>0</v>
      </c>
    </row>
    <row r="8" spans="1:19">
      <c r="A8" s="1024" t="s">
        <v>612</v>
      </c>
      <c r="B8" s="1025" t="s">
        <v>750</v>
      </c>
      <c r="C8" s="1026" t="s">
        <v>752</v>
      </c>
      <c r="D8" s="1027" t="s">
        <v>3</v>
      </c>
      <c r="E8" s="1028">
        <v>17096</v>
      </c>
      <c r="F8" s="1020">
        <f t="shared" si="0"/>
        <v>805618</v>
      </c>
      <c r="G8" s="1029">
        <v>71941</v>
      </c>
      <c r="H8" s="1029">
        <v>15769</v>
      </c>
      <c r="I8" s="1029">
        <v>642408</v>
      </c>
      <c r="J8" s="1029">
        <v>0</v>
      </c>
      <c r="K8" s="1028">
        <v>0</v>
      </c>
      <c r="L8" s="1029">
        <v>0</v>
      </c>
      <c r="M8" s="1029">
        <v>5000</v>
      </c>
      <c r="N8" s="1029">
        <v>70500</v>
      </c>
      <c r="O8" s="1029">
        <v>0</v>
      </c>
      <c r="P8" s="1029">
        <v>0</v>
      </c>
      <c r="Q8" s="1029">
        <v>0</v>
      </c>
      <c r="R8" s="1030">
        <v>0</v>
      </c>
      <c r="S8" s="1031">
        <v>0</v>
      </c>
    </row>
    <row r="9" spans="1:19">
      <c r="A9" s="1024"/>
      <c r="B9" s="1025"/>
      <c r="C9" s="1026"/>
      <c r="D9" s="1019" t="s">
        <v>401</v>
      </c>
      <c r="E9" s="1028">
        <v>16991</v>
      </c>
      <c r="F9" s="1020">
        <f t="shared" si="0"/>
        <v>659996</v>
      </c>
      <c r="G9" s="1029">
        <v>71941</v>
      </c>
      <c r="H9" s="1029">
        <v>15769</v>
      </c>
      <c r="I9" s="1029">
        <v>564935</v>
      </c>
      <c r="J9" s="1029">
        <v>0</v>
      </c>
      <c r="K9" s="1028">
        <v>0</v>
      </c>
      <c r="L9" s="1029">
        <v>0</v>
      </c>
      <c r="M9" s="1029">
        <v>5000</v>
      </c>
      <c r="N9" s="1029">
        <v>2351</v>
      </c>
      <c r="O9" s="1029">
        <v>0</v>
      </c>
      <c r="P9" s="1029">
        <v>0</v>
      </c>
      <c r="Q9" s="1029">
        <v>0</v>
      </c>
      <c r="R9" s="1030">
        <v>0</v>
      </c>
      <c r="S9" s="1031">
        <v>0</v>
      </c>
    </row>
    <row r="10" spans="1:19">
      <c r="A10" s="1024" t="s">
        <v>621</v>
      </c>
      <c r="B10" s="1025" t="s">
        <v>753</v>
      </c>
      <c r="C10" s="1026" t="s">
        <v>754</v>
      </c>
      <c r="D10" s="1027" t="s">
        <v>3</v>
      </c>
      <c r="E10" s="1028">
        <v>0</v>
      </c>
      <c r="F10" s="1020">
        <f t="shared" si="0"/>
        <v>3750</v>
      </c>
      <c r="G10" s="1032">
        <v>0</v>
      </c>
      <c r="H10" s="1032">
        <v>0</v>
      </c>
      <c r="I10" s="1032">
        <v>3750</v>
      </c>
      <c r="J10" s="1032">
        <v>0</v>
      </c>
      <c r="K10" s="1028">
        <v>0</v>
      </c>
      <c r="L10" s="1032">
        <v>0</v>
      </c>
      <c r="M10" s="1032">
        <v>0</v>
      </c>
      <c r="N10" s="1032">
        <v>0</v>
      </c>
      <c r="O10" s="1032">
        <v>0</v>
      </c>
      <c r="P10" s="1032">
        <v>0</v>
      </c>
      <c r="Q10" s="1032">
        <v>0</v>
      </c>
      <c r="R10" s="1030">
        <v>0</v>
      </c>
      <c r="S10" s="1031">
        <v>0</v>
      </c>
    </row>
    <row r="11" spans="1:19">
      <c r="A11" s="1024"/>
      <c r="B11" s="1025"/>
      <c r="C11" s="1026"/>
      <c r="D11" s="1019" t="s">
        <v>401</v>
      </c>
      <c r="E11" s="1028"/>
      <c r="F11" s="1020">
        <f t="shared" si="0"/>
        <v>3750</v>
      </c>
      <c r="G11" s="1032">
        <v>0</v>
      </c>
      <c r="H11" s="1032">
        <v>0</v>
      </c>
      <c r="I11" s="1032">
        <v>3750</v>
      </c>
      <c r="J11" s="1032">
        <v>0</v>
      </c>
      <c r="K11" s="1028">
        <v>0</v>
      </c>
      <c r="L11" s="1032">
        <v>0</v>
      </c>
      <c r="M11" s="1032">
        <v>0</v>
      </c>
      <c r="N11" s="1032">
        <v>0</v>
      </c>
      <c r="O11" s="1032">
        <v>0</v>
      </c>
      <c r="P11" s="1032">
        <v>0</v>
      </c>
      <c r="Q11" s="1032">
        <v>0</v>
      </c>
      <c r="R11" s="1030">
        <v>0</v>
      </c>
      <c r="S11" s="1031">
        <v>0</v>
      </c>
    </row>
    <row r="12" spans="1:19">
      <c r="A12" s="1024" t="s">
        <v>627</v>
      </c>
      <c r="B12" s="1025" t="s">
        <v>755</v>
      </c>
      <c r="C12" s="1026" t="s">
        <v>756</v>
      </c>
      <c r="D12" s="1027" t="s">
        <v>3</v>
      </c>
      <c r="E12" s="1028">
        <v>8500</v>
      </c>
      <c r="F12" s="1020">
        <f t="shared" si="0"/>
        <v>17500</v>
      </c>
      <c r="G12" s="1029">
        <v>0</v>
      </c>
      <c r="H12" s="1029">
        <v>0</v>
      </c>
      <c r="I12" s="1029">
        <v>17500</v>
      </c>
      <c r="J12" s="1029">
        <v>0</v>
      </c>
      <c r="K12" s="1028">
        <v>0</v>
      </c>
      <c r="L12" s="1029">
        <v>0</v>
      </c>
      <c r="M12" s="1029">
        <v>0</v>
      </c>
      <c r="N12" s="1029">
        <v>0</v>
      </c>
      <c r="O12" s="1029">
        <v>0</v>
      </c>
      <c r="P12" s="1029">
        <v>0</v>
      </c>
      <c r="Q12" s="1029">
        <v>0</v>
      </c>
      <c r="R12" s="1030">
        <v>0</v>
      </c>
      <c r="S12" s="1031">
        <v>0</v>
      </c>
    </row>
    <row r="13" spans="1:19">
      <c r="A13" s="1024"/>
      <c r="B13" s="1025"/>
      <c r="C13" s="1026"/>
      <c r="D13" s="1019" t="s">
        <v>401</v>
      </c>
      <c r="E13" s="1028">
        <v>8500</v>
      </c>
      <c r="F13" s="1020">
        <f t="shared" si="0"/>
        <v>17500</v>
      </c>
      <c r="G13" s="1029">
        <v>0</v>
      </c>
      <c r="H13" s="1029">
        <v>0</v>
      </c>
      <c r="I13" s="1029">
        <v>17500</v>
      </c>
      <c r="J13" s="1029">
        <v>0</v>
      </c>
      <c r="K13" s="1028">
        <v>0</v>
      </c>
      <c r="L13" s="1029">
        <v>0</v>
      </c>
      <c r="M13" s="1029">
        <v>0</v>
      </c>
      <c r="N13" s="1029">
        <v>0</v>
      </c>
      <c r="O13" s="1029">
        <v>0</v>
      </c>
      <c r="P13" s="1029">
        <v>0</v>
      </c>
      <c r="Q13" s="1029">
        <v>0</v>
      </c>
      <c r="R13" s="1030">
        <v>0</v>
      </c>
      <c r="S13" s="1031">
        <v>0</v>
      </c>
    </row>
    <row r="14" spans="1:19">
      <c r="A14" s="1024" t="s">
        <v>627</v>
      </c>
      <c r="B14" s="1025" t="s">
        <v>757</v>
      </c>
      <c r="C14" s="1026" t="s">
        <v>758</v>
      </c>
      <c r="D14" s="1027" t="s">
        <v>3</v>
      </c>
      <c r="E14" s="1028">
        <v>2118260</v>
      </c>
      <c r="F14" s="1020">
        <f t="shared" si="0"/>
        <v>388260</v>
      </c>
      <c r="G14" s="1029">
        <v>2716</v>
      </c>
      <c r="H14" s="1029">
        <v>1004</v>
      </c>
      <c r="I14" s="1029">
        <v>100928</v>
      </c>
      <c r="J14" s="1029">
        <v>40000</v>
      </c>
      <c r="K14" s="1028">
        <v>0</v>
      </c>
      <c r="L14" s="1029">
        <v>0</v>
      </c>
      <c r="M14" s="1029">
        <v>17000</v>
      </c>
      <c r="N14" s="1029">
        <v>226612</v>
      </c>
      <c r="O14" s="1029">
        <v>0</v>
      </c>
      <c r="P14" s="1029">
        <v>0</v>
      </c>
      <c r="Q14" s="1029">
        <v>0</v>
      </c>
      <c r="R14" s="1030">
        <v>0</v>
      </c>
      <c r="S14" s="1031">
        <v>0</v>
      </c>
    </row>
    <row r="15" spans="1:19">
      <c r="A15" s="1024"/>
      <c r="B15" s="1025"/>
      <c r="C15" s="1026"/>
      <c r="D15" s="1019" t="s">
        <v>401</v>
      </c>
      <c r="E15" s="1028">
        <v>2458260</v>
      </c>
      <c r="F15" s="1020">
        <f t="shared" si="0"/>
        <v>841837</v>
      </c>
      <c r="G15" s="1029">
        <v>6049</v>
      </c>
      <c r="H15" s="1029">
        <v>1671</v>
      </c>
      <c r="I15" s="1029">
        <v>120605</v>
      </c>
      <c r="J15" s="1029">
        <v>40000</v>
      </c>
      <c r="K15" s="1028">
        <v>0</v>
      </c>
      <c r="L15" s="1029">
        <v>0</v>
      </c>
      <c r="M15" s="1029">
        <v>17000</v>
      </c>
      <c r="N15" s="1029">
        <v>656512</v>
      </c>
      <c r="O15" s="1029">
        <v>0</v>
      </c>
      <c r="P15" s="1029">
        <v>0</v>
      </c>
      <c r="Q15" s="1029">
        <v>0</v>
      </c>
      <c r="R15" s="1030">
        <v>0</v>
      </c>
      <c r="S15" s="1031">
        <v>0</v>
      </c>
    </row>
    <row r="16" spans="1:19">
      <c r="A16" s="1024" t="s">
        <v>627</v>
      </c>
      <c r="B16" s="1025" t="s">
        <v>759</v>
      </c>
      <c r="C16" s="1026" t="s">
        <v>760</v>
      </c>
      <c r="D16" s="1027" t="s">
        <v>3</v>
      </c>
      <c r="E16" s="1028">
        <v>0</v>
      </c>
      <c r="F16" s="1020">
        <f t="shared" si="0"/>
        <v>0</v>
      </c>
      <c r="G16" s="1029">
        <v>0</v>
      </c>
      <c r="H16" s="1029">
        <v>0</v>
      </c>
      <c r="I16" s="1029">
        <v>0</v>
      </c>
      <c r="J16" s="1029">
        <v>0</v>
      </c>
      <c r="K16" s="1028">
        <v>0</v>
      </c>
      <c r="L16" s="1029">
        <v>0</v>
      </c>
      <c r="M16" s="1029">
        <v>0</v>
      </c>
      <c r="N16" s="1029">
        <v>0</v>
      </c>
      <c r="O16" s="1029">
        <v>0</v>
      </c>
      <c r="P16" s="1029">
        <v>0</v>
      </c>
      <c r="Q16" s="1029">
        <v>0</v>
      </c>
      <c r="R16" s="1030">
        <v>0</v>
      </c>
      <c r="S16" s="1031">
        <v>0</v>
      </c>
    </row>
    <row r="17" spans="1:19">
      <c r="A17" s="1024"/>
      <c r="B17" s="1025"/>
      <c r="C17" s="1026"/>
      <c r="D17" s="1019" t="s">
        <v>401</v>
      </c>
      <c r="E17" s="1028">
        <v>0</v>
      </c>
      <c r="F17" s="1020">
        <f t="shared" si="0"/>
        <v>9000</v>
      </c>
      <c r="G17" s="1029">
        <v>1446</v>
      </c>
      <c r="H17" s="1029">
        <v>619</v>
      </c>
      <c r="I17" s="1029">
        <v>4775</v>
      </c>
      <c r="J17" s="1029">
        <v>0</v>
      </c>
      <c r="K17" s="1028">
        <v>0</v>
      </c>
      <c r="L17" s="1029">
        <v>0</v>
      </c>
      <c r="M17" s="1029">
        <v>0</v>
      </c>
      <c r="N17" s="1029">
        <v>2160</v>
      </c>
      <c r="O17" s="1029">
        <v>0</v>
      </c>
      <c r="P17" s="1029">
        <v>0</v>
      </c>
      <c r="Q17" s="1029">
        <v>0</v>
      </c>
      <c r="R17" s="1030">
        <v>0</v>
      </c>
      <c r="S17" s="1031">
        <v>0</v>
      </c>
    </row>
    <row r="18" spans="1:19">
      <c r="A18" s="1024" t="s">
        <v>621</v>
      </c>
      <c r="B18" s="1025" t="s">
        <v>761</v>
      </c>
      <c r="C18" s="1026" t="s">
        <v>762</v>
      </c>
      <c r="D18" s="1027" t="s">
        <v>3</v>
      </c>
      <c r="E18" s="1028">
        <v>0</v>
      </c>
      <c r="F18" s="1020">
        <f t="shared" si="0"/>
        <v>2885</v>
      </c>
      <c r="G18" s="1032">
        <v>2050</v>
      </c>
      <c r="H18" s="1032">
        <v>835</v>
      </c>
      <c r="I18" s="1032">
        <v>0</v>
      </c>
      <c r="J18" s="1032">
        <v>0</v>
      </c>
      <c r="K18" s="1028">
        <v>0</v>
      </c>
      <c r="L18" s="1032">
        <v>0</v>
      </c>
      <c r="M18" s="1032">
        <v>0</v>
      </c>
      <c r="N18" s="1032">
        <v>0</v>
      </c>
      <c r="O18" s="1032">
        <v>0</v>
      </c>
      <c r="P18" s="1032">
        <v>0</v>
      </c>
      <c r="Q18" s="1032">
        <v>0</v>
      </c>
      <c r="R18" s="1030">
        <v>0</v>
      </c>
      <c r="S18" s="1031">
        <v>0</v>
      </c>
    </row>
    <row r="19" spans="1:19">
      <c r="A19" s="1024"/>
      <c r="B19" s="1025"/>
      <c r="C19" s="1026"/>
      <c r="D19" s="1019" t="s">
        <v>401</v>
      </c>
      <c r="E19" s="1028">
        <v>0</v>
      </c>
      <c r="F19" s="1020">
        <f t="shared" si="0"/>
        <v>2885</v>
      </c>
      <c r="G19" s="1032">
        <v>2050</v>
      </c>
      <c r="H19" s="1032">
        <v>835</v>
      </c>
      <c r="I19" s="1032">
        <v>0</v>
      </c>
      <c r="J19" s="1032">
        <v>0</v>
      </c>
      <c r="K19" s="1028">
        <v>0</v>
      </c>
      <c r="L19" s="1032">
        <v>0</v>
      </c>
      <c r="M19" s="1032">
        <v>0</v>
      </c>
      <c r="N19" s="1032">
        <v>0</v>
      </c>
      <c r="O19" s="1032">
        <v>0</v>
      </c>
      <c r="P19" s="1032">
        <v>0</v>
      </c>
      <c r="Q19" s="1032">
        <v>0</v>
      </c>
      <c r="R19" s="1030">
        <v>0</v>
      </c>
      <c r="S19" s="1031">
        <v>0</v>
      </c>
    </row>
    <row r="20" spans="1:19">
      <c r="A20" s="1024" t="s">
        <v>621</v>
      </c>
      <c r="B20" s="1025" t="s">
        <v>761</v>
      </c>
      <c r="C20" s="1026" t="s">
        <v>763</v>
      </c>
      <c r="D20" s="1027" t="s">
        <v>3</v>
      </c>
      <c r="E20" s="1028">
        <v>1778</v>
      </c>
      <c r="F20" s="1020">
        <f t="shared" si="0"/>
        <v>2101</v>
      </c>
      <c r="G20" s="1032">
        <v>996</v>
      </c>
      <c r="H20" s="1032">
        <v>405</v>
      </c>
      <c r="I20" s="1032">
        <v>700</v>
      </c>
      <c r="J20" s="1032">
        <v>0</v>
      </c>
      <c r="K20" s="1028">
        <v>0</v>
      </c>
      <c r="L20" s="1032">
        <v>0</v>
      </c>
      <c r="M20" s="1032">
        <v>0</v>
      </c>
      <c r="N20" s="1032">
        <v>0</v>
      </c>
      <c r="O20" s="1032">
        <v>0</v>
      </c>
      <c r="P20" s="1032">
        <v>0</v>
      </c>
      <c r="Q20" s="1032">
        <v>0</v>
      </c>
      <c r="R20" s="1030">
        <v>0</v>
      </c>
      <c r="S20" s="1031">
        <v>0</v>
      </c>
    </row>
    <row r="21" spans="1:19">
      <c r="A21" s="1024"/>
      <c r="B21" s="1025"/>
      <c r="C21" s="1026"/>
      <c r="D21" s="1019" t="s">
        <v>401</v>
      </c>
      <c r="E21" s="1028">
        <v>1778</v>
      </c>
      <c r="F21" s="1020">
        <v>2101</v>
      </c>
      <c r="G21" s="1032">
        <v>996</v>
      </c>
      <c r="H21" s="1032">
        <v>405</v>
      </c>
      <c r="I21" s="1032">
        <v>700</v>
      </c>
      <c r="J21" s="1032">
        <v>0</v>
      </c>
      <c r="K21" s="1028">
        <v>0</v>
      </c>
      <c r="L21" s="1032">
        <v>0</v>
      </c>
      <c r="M21" s="1032">
        <v>0</v>
      </c>
      <c r="N21" s="1032">
        <v>0</v>
      </c>
      <c r="O21" s="1032">
        <v>0</v>
      </c>
      <c r="P21" s="1032">
        <v>0</v>
      </c>
      <c r="Q21" s="1032">
        <v>0</v>
      </c>
      <c r="R21" s="1030">
        <v>0</v>
      </c>
      <c r="S21" s="1031">
        <v>0</v>
      </c>
    </row>
    <row r="22" spans="1:19">
      <c r="A22" s="1024" t="s">
        <v>621</v>
      </c>
      <c r="B22" s="1025" t="s">
        <v>761</v>
      </c>
      <c r="C22" s="1026" t="s">
        <v>764</v>
      </c>
      <c r="D22" s="1027" t="s">
        <v>3</v>
      </c>
      <c r="E22" s="1028">
        <v>500</v>
      </c>
      <c r="F22" s="1020">
        <f t="shared" si="0"/>
        <v>3366</v>
      </c>
      <c r="G22" s="1032">
        <v>2250</v>
      </c>
      <c r="H22" s="1032">
        <v>916</v>
      </c>
      <c r="I22" s="1032">
        <v>200</v>
      </c>
      <c r="J22" s="1032">
        <v>0</v>
      </c>
      <c r="K22" s="1028">
        <v>0</v>
      </c>
      <c r="L22" s="1032">
        <v>0</v>
      </c>
      <c r="M22" s="1032">
        <v>0</v>
      </c>
      <c r="N22" s="1032">
        <v>0</v>
      </c>
      <c r="O22" s="1032">
        <v>0</v>
      </c>
      <c r="P22" s="1032">
        <v>0</v>
      </c>
      <c r="Q22" s="1032">
        <v>0</v>
      </c>
      <c r="R22" s="1030">
        <v>0</v>
      </c>
      <c r="S22" s="1031">
        <v>0</v>
      </c>
    </row>
    <row r="23" spans="1:19">
      <c r="A23" s="1024"/>
      <c r="B23" s="1025"/>
      <c r="C23" s="1026"/>
      <c r="D23" s="1019" t="s">
        <v>401</v>
      </c>
      <c r="E23" s="1028">
        <v>500</v>
      </c>
      <c r="F23" s="1020">
        <f t="shared" si="0"/>
        <v>3829</v>
      </c>
      <c r="G23" s="1032">
        <v>2000</v>
      </c>
      <c r="H23" s="1032">
        <v>916</v>
      </c>
      <c r="I23" s="1032">
        <v>913</v>
      </c>
      <c r="J23" s="1032">
        <v>0</v>
      </c>
      <c r="K23" s="1028">
        <v>0</v>
      </c>
      <c r="L23" s="1032">
        <v>0</v>
      </c>
      <c r="M23" s="1032">
        <v>0</v>
      </c>
      <c r="N23" s="1032">
        <v>0</v>
      </c>
      <c r="O23" s="1032">
        <v>0</v>
      </c>
      <c r="P23" s="1032">
        <v>0</v>
      </c>
      <c r="Q23" s="1032">
        <v>0</v>
      </c>
      <c r="R23" s="1030">
        <v>0</v>
      </c>
      <c r="S23" s="1031">
        <v>0</v>
      </c>
    </row>
    <row r="24" spans="1:19">
      <c r="A24" s="1024" t="s">
        <v>621</v>
      </c>
      <c r="B24" s="1025" t="s">
        <v>761</v>
      </c>
      <c r="C24" s="1026" t="s">
        <v>765</v>
      </c>
      <c r="D24" s="1027" t="s">
        <v>3</v>
      </c>
      <c r="E24" s="1028">
        <v>0</v>
      </c>
      <c r="F24" s="1020">
        <f t="shared" si="0"/>
        <v>8658</v>
      </c>
      <c r="G24" s="1032">
        <v>6650</v>
      </c>
      <c r="H24" s="1032">
        <v>2008</v>
      </c>
      <c r="I24" s="1032">
        <v>0</v>
      </c>
      <c r="J24" s="1032">
        <v>0</v>
      </c>
      <c r="K24" s="1028">
        <v>0</v>
      </c>
      <c r="L24" s="1032">
        <v>0</v>
      </c>
      <c r="M24" s="1032">
        <v>0</v>
      </c>
      <c r="N24" s="1032">
        <v>0</v>
      </c>
      <c r="O24" s="1032">
        <v>0</v>
      </c>
      <c r="P24" s="1032">
        <v>0</v>
      </c>
      <c r="Q24" s="1032">
        <v>0</v>
      </c>
      <c r="R24" s="1030">
        <v>0</v>
      </c>
      <c r="S24" s="1031">
        <v>0</v>
      </c>
    </row>
    <row r="25" spans="1:19">
      <c r="A25" s="1024"/>
      <c r="B25" s="1025"/>
      <c r="C25" s="1026"/>
      <c r="D25" s="1019" t="s">
        <v>401</v>
      </c>
      <c r="E25" s="1028">
        <v>0</v>
      </c>
      <c r="F25" s="1020">
        <f t="shared" si="0"/>
        <v>8658</v>
      </c>
      <c r="G25" s="1032">
        <v>6650</v>
      </c>
      <c r="H25" s="1032">
        <v>2008</v>
      </c>
      <c r="I25" s="1032">
        <v>0</v>
      </c>
      <c r="J25" s="1032">
        <v>0</v>
      </c>
      <c r="K25" s="1028">
        <v>0</v>
      </c>
      <c r="L25" s="1032">
        <v>0</v>
      </c>
      <c r="M25" s="1032">
        <v>0</v>
      </c>
      <c r="N25" s="1032">
        <v>0</v>
      </c>
      <c r="O25" s="1032">
        <v>0</v>
      </c>
      <c r="P25" s="1032">
        <v>0</v>
      </c>
      <c r="Q25" s="1032">
        <v>0</v>
      </c>
      <c r="R25" s="1030">
        <v>0</v>
      </c>
      <c r="S25" s="1031">
        <v>0</v>
      </c>
    </row>
    <row r="26" spans="1:19">
      <c r="A26" s="1024" t="s">
        <v>612</v>
      </c>
      <c r="B26" s="1025" t="s">
        <v>766</v>
      </c>
      <c r="C26" s="1026" t="s">
        <v>767</v>
      </c>
      <c r="D26" s="1027" t="s">
        <v>3</v>
      </c>
      <c r="E26" s="1028">
        <v>1178193</v>
      </c>
      <c r="F26" s="1020">
        <f t="shared" si="0"/>
        <v>35000</v>
      </c>
      <c r="G26" s="1029">
        <v>0</v>
      </c>
      <c r="H26" s="1029">
        <v>0</v>
      </c>
      <c r="I26" s="1029">
        <v>0</v>
      </c>
      <c r="J26" s="1029">
        <v>0</v>
      </c>
      <c r="K26" s="1028">
        <v>0</v>
      </c>
      <c r="L26" s="1029">
        <v>0</v>
      </c>
      <c r="M26" s="1029">
        <v>0</v>
      </c>
      <c r="N26" s="1029">
        <v>0</v>
      </c>
      <c r="O26" s="1029">
        <v>0</v>
      </c>
      <c r="P26" s="1029">
        <v>0</v>
      </c>
      <c r="Q26" s="1029">
        <v>35000</v>
      </c>
      <c r="R26" s="1030">
        <v>0</v>
      </c>
      <c r="S26" s="1031">
        <v>0</v>
      </c>
    </row>
    <row r="27" spans="1:19">
      <c r="A27" s="1024"/>
      <c r="B27" s="1025"/>
      <c r="C27" s="1026"/>
      <c r="D27" s="1019" t="s">
        <v>401</v>
      </c>
      <c r="E27" s="1028">
        <v>1234686</v>
      </c>
      <c r="F27" s="1020">
        <f t="shared" si="0"/>
        <v>35000</v>
      </c>
      <c r="G27" s="1029">
        <v>0</v>
      </c>
      <c r="H27" s="1029">
        <v>0</v>
      </c>
      <c r="I27" s="1029">
        <v>0</v>
      </c>
      <c r="J27" s="1029">
        <v>0</v>
      </c>
      <c r="K27" s="1028">
        <v>0</v>
      </c>
      <c r="L27" s="1029">
        <v>0</v>
      </c>
      <c r="M27" s="1029">
        <v>0</v>
      </c>
      <c r="N27" s="1029">
        <v>0</v>
      </c>
      <c r="O27" s="1029">
        <v>0</v>
      </c>
      <c r="P27" s="1029">
        <v>0</v>
      </c>
      <c r="Q27" s="1029">
        <v>35000</v>
      </c>
      <c r="R27" s="1030">
        <v>0</v>
      </c>
      <c r="S27" s="1031">
        <v>0</v>
      </c>
    </row>
    <row r="28" spans="1:19">
      <c r="A28" s="1024" t="s">
        <v>612</v>
      </c>
      <c r="B28" s="1025" t="s">
        <v>768</v>
      </c>
      <c r="C28" s="1026" t="s">
        <v>769</v>
      </c>
      <c r="D28" s="1027" t="s">
        <v>3</v>
      </c>
      <c r="E28" s="1028">
        <v>0</v>
      </c>
      <c r="F28" s="1020">
        <f t="shared" si="0"/>
        <v>18000</v>
      </c>
      <c r="G28" s="1032">
        <v>0</v>
      </c>
      <c r="H28" s="1032">
        <v>0</v>
      </c>
      <c r="I28" s="1032">
        <v>0</v>
      </c>
      <c r="J28" s="1032">
        <v>18000</v>
      </c>
      <c r="K28" s="1028">
        <v>0</v>
      </c>
      <c r="L28" s="1032">
        <v>0</v>
      </c>
      <c r="M28" s="1032">
        <v>0</v>
      </c>
      <c r="N28" s="1032">
        <v>0</v>
      </c>
      <c r="O28" s="1032">
        <v>0</v>
      </c>
      <c r="P28" s="1032">
        <v>0</v>
      </c>
      <c r="Q28" s="1032">
        <v>0</v>
      </c>
      <c r="R28" s="1030">
        <v>0</v>
      </c>
      <c r="S28" s="1031">
        <v>0</v>
      </c>
    </row>
    <row r="29" spans="1:19">
      <c r="A29" s="1024"/>
      <c r="B29" s="1025"/>
      <c r="C29" s="1026"/>
      <c r="D29" s="1019" t="s">
        <v>401</v>
      </c>
      <c r="E29" s="1028">
        <v>0</v>
      </c>
      <c r="F29" s="1020">
        <f t="shared" si="0"/>
        <v>18000</v>
      </c>
      <c r="G29" s="1032">
        <v>0</v>
      </c>
      <c r="H29" s="1032">
        <v>0</v>
      </c>
      <c r="I29" s="1032">
        <v>0</v>
      </c>
      <c r="J29" s="1032">
        <v>18000</v>
      </c>
      <c r="K29" s="1028">
        <v>0</v>
      </c>
      <c r="L29" s="1032">
        <v>0</v>
      </c>
      <c r="M29" s="1032">
        <v>0</v>
      </c>
      <c r="N29" s="1032">
        <v>0</v>
      </c>
      <c r="O29" s="1032">
        <v>0</v>
      </c>
      <c r="P29" s="1032">
        <v>0</v>
      </c>
      <c r="Q29" s="1032">
        <v>0</v>
      </c>
      <c r="R29" s="1030">
        <v>0</v>
      </c>
      <c r="S29" s="1031">
        <v>0</v>
      </c>
    </row>
    <row r="30" spans="1:19">
      <c r="A30" s="1024" t="s">
        <v>612</v>
      </c>
      <c r="B30" s="1025" t="s">
        <v>770</v>
      </c>
      <c r="C30" s="1026" t="s">
        <v>620</v>
      </c>
      <c r="D30" s="1027" t="s">
        <v>3</v>
      </c>
      <c r="E30" s="1028">
        <v>0</v>
      </c>
      <c r="F30" s="1020">
        <f t="shared" si="0"/>
        <v>2292755</v>
      </c>
      <c r="G30" s="1032">
        <v>0</v>
      </c>
      <c r="H30" s="1032">
        <v>0</v>
      </c>
      <c r="I30" s="1032">
        <v>0</v>
      </c>
      <c r="J30" s="1032">
        <v>348780</v>
      </c>
      <c r="K30" s="1028">
        <v>0</v>
      </c>
      <c r="L30" s="1032">
        <v>0</v>
      </c>
      <c r="M30" s="1032">
        <v>0</v>
      </c>
      <c r="N30" s="1032">
        <v>0</v>
      </c>
      <c r="O30" s="1032">
        <v>0</v>
      </c>
      <c r="P30" s="1032">
        <v>0</v>
      </c>
      <c r="Q30" s="1032">
        <v>0</v>
      </c>
      <c r="R30" s="1029">
        <v>1943975</v>
      </c>
      <c r="S30" s="1031">
        <v>0</v>
      </c>
    </row>
    <row r="31" spans="1:19">
      <c r="A31" s="1024"/>
      <c r="B31" s="1025"/>
      <c r="C31" s="1026"/>
      <c r="D31" s="1019" t="s">
        <v>401</v>
      </c>
      <c r="E31" s="1028">
        <v>3609</v>
      </c>
      <c r="F31" s="1020">
        <f t="shared" si="0"/>
        <v>2338399</v>
      </c>
      <c r="G31" s="1032">
        <v>0</v>
      </c>
      <c r="H31" s="1032">
        <v>0</v>
      </c>
      <c r="I31" s="1032">
        <v>0</v>
      </c>
      <c r="J31" s="1032">
        <v>384053</v>
      </c>
      <c r="K31" s="1028">
        <v>0</v>
      </c>
      <c r="L31" s="1032">
        <v>0</v>
      </c>
      <c r="M31" s="1032">
        <v>0</v>
      </c>
      <c r="N31" s="1032">
        <v>0</v>
      </c>
      <c r="O31" s="1032">
        <v>0</v>
      </c>
      <c r="P31" s="1032">
        <v>0</v>
      </c>
      <c r="Q31" s="1032">
        <v>0</v>
      </c>
      <c r="R31" s="1029">
        <v>1954346</v>
      </c>
      <c r="S31" s="1031">
        <v>0</v>
      </c>
    </row>
    <row r="32" spans="1:19">
      <c r="A32" s="1024" t="s">
        <v>627</v>
      </c>
      <c r="B32" s="1025" t="s">
        <v>771</v>
      </c>
      <c r="C32" s="1026" t="s">
        <v>772</v>
      </c>
      <c r="D32" s="1027" t="s">
        <v>3</v>
      </c>
      <c r="E32" s="1028">
        <v>0</v>
      </c>
      <c r="F32" s="1020">
        <f t="shared" si="0"/>
        <v>2000</v>
      </c>
      <c r="G32" s="1032">
        <v>0</v>
      </c>
      <c r="H32" s="1032">
        <v>0</v>
      </c>
      <c r="I32" s="1032">
        <v>0</v>
      </c>
      <c r="J32" s="1032">
        <v>2000</v>
      </c>
      <c r="K32" s="1028">
        <v>0</v>
      </c>
      <c r="L32" s="1032">
        <v>0</v>
      </c>
      <c r="M32" s="1032">
        <v>0</v>
      </c>
      <c r="N32" s="1032">
        <v>0</v>
      </c>
      <c r="O32" s="1032">
        <v>0</v>
      </c>
      <c r="P32" s="1032">
        <v>0</v>
      </c>
      <c r="Q32" s="1032">
        <v>0</v>
      </c>
      <c r="R32" s="1030">
        <v>0</v>
      </c>
      <c r="S32" s="1031">
        <v>0</v>
      </c>
    </row>
    <row r="33" spans="1:19">
      <c r="A33" s="1024"/>
      <c r="B33" s="1025"/>
      <c r="C33" s="1026"/>
      <c r="D33" s="1019" t="s">
        <v>401</v>
      </c>
      <c r="E33" s="1028">
        <v>0</v>
      </c>
      <c r="F33" s="1020">
        <f t="shared" si="0"/>
        <v>2000</v>
      </c>
      <c r="G33" s="1032">
        <v>0</v>
      </c>
      <c r="H33" s="1032">
        <v>0</v>
      </c>
      <c r="I33" s="1032">
        <v>0</v>
      </c>
      <c r="J33" s="1032">
        <v>2000</v>
      </c>
      <c r="K33" s="1028">
        <v>0</v>
      </c>
      <c r="L33" s="1032">
        <v>0</v>
      </c>
      <c r="M33" s="1032">
        <v>0</v>
      </c>
      <c r="N33" s="1032">
        <v>0</v>
      </c>
      <c r="O33" s="1032">
        <v>0</v>
      </c>
      <c r="P33" s="1032">
        <v>0</v>
      </c>
      <c r="Q33" s="1032">
        <v>0</v>
      </c>
      <c r="R33" s="1030">
        <v>0</v>
      </c>
      <c r="S33" s="1031">
        <v>0</v>
      </c>
    </row>
    <row r="34" spans="1:19">
      <c r="A34" s="1024" t="s">
        <v>627</v>
      </c>
      <c r="B34" s="1025" t="s">
        <v>773</v>
      </c>
      <c r="C34" s="1026" t="s">
        <v>774</v>
      </c>
      <c r="D34" s="1027" t="s">
        <v>3</v>
      </c>
      <c r="E34" s="1028">
        <v>0</v>
      </c>
      <c r="F34" s="1020">
        <f t="shared" si="0"/>
        <v>2050</v>
      </c>
      <c r="G34" s="1032">
        <v>0</v>
      </c>
      <c r="H34" s="1032">
        <v>0</v>
      </c>
      <c r="I34" s="1032">
        <v>2050</v>
      </c>
      <c r="J34" s="1032">
        <v>0</v>
      </c>
      <c r="K34" s="1028">
        <v>0</v>
      </c>
      <c r="L34" s="1032">
        <v>0</v>
      </c>
      <c r="M34" s="1032">
        <v>0</v>
      </c>
      <c r="N34" s="1032">
        <v>0</v>
      </c>
      <c r="O34" s="1032">
        <v>0</v>
      </c>
      <c r="P34" s="1032">
        <v>0</v>
      </c>
      <c r="Q34" s="1032">
        <v>0</v>
      </c>
      <c r="R34" s="1030">
        <v>0</v>
      </c>
      <c r="S34" s="1031">
        <v>0</v>
      </c>
    </row>
    <row r="35" spans="1:19">
      <c r="A35" s="1024"/>
      <c r="B35" s="1025"/>
      <c r="C35" s="1026"/>
      <c r="D35" s="1019" t="s">
        <v>401</v>
      </c>
      <c r="E35" s="1028">
        <v>0</v>
      </c>
      <c r="F35" s="1020">
        <f t="shared" si="0"/>
        <v>2050</v>
      </c>
      <c r="G35" s="1032">
        <v>0</v>
      </c>
      <c r="H35" s="1032">
        <v>0</v>
      </c>
      <c r="I35" s="1032">
        <v>2050</v>
      </c>
      <c r="J35" s="1032">
        <v>0</v>
      </c>
      <c r="K35" s="1028">
        <v>0</v>
      </c>
      <c r="L35" s="1032">
        <v>0</v>
      </c>
      <c r="M35" s="1032">
        <v>0</v>
      </c>
      <c r="N35" s="1032">
        <v>0</v>
      </c>
      <c r="O35" s="1032">
        <v>0</v>
      </c>
      <c r="P35" s="1032">
        <v>0</v>
      </c>
      <c r="Q35" s="1032">
        <v>0</v>
      </c>
      <c r="R35" s="1030">
        <v>0</v>
      </c>
      <c r="S35" s="1031">
        <v>0</v>
      </c>
    </row>
    <row r="36" spans="1:19">
      <c r="A36" s="1024" t="s">
        <v>627</v>
      </c>
      <c r="B36" s="1025" t="s">
        <v>775</v>
      </c>
      <c r="C36" s="1026" t="s">
        <v>776</v>
      </c>
      <c r="D36" s="1027" t="s">
        <v>3</v>
      </c>
      <c r="E36" s="1028">
        <v>104500</v>
      </c>
      <c r="F36" s="1020">
        <f t="shared" si="0"/>
        <v>109874</v>
      </c>
      <c r="G36" s="1029">
        <v>90500</v>
      </c>
      <c r="H36" s="1029">
        <v>8824</v>
      </c>
      <c r="I36" s="1029">
        <v>10550</v>
      </c>
      <c r="J36" s="1029">
        <v>0</v>
      </c>
      <c r="K36" s="1028">
        <v>0</v>
      </c>
      <c r="L36" s="1029">
        <v>0</v>
      </c>
      <c r="M36" s="1029">
        <v>0</v>
      </c>
      <c r="N36" s="1029">
        <v>0</v>
      </c>
      <c r="O36" s="1029">
        <v>0</v>
      </c>
      <c r="P36" s="1029">
        <v>0</v>
      </c>
      <c r="Q36" s="1029">
        <v>0</v>
      </c>
      <c r="R36" s="1030">
        <v>0</v>
      </c>
      <c r="S36" s="1031">
        <v>0</v>
      </c>
    </row>
    <row r="37" spans="1:19">
      <c r="A37" s="1024"/>
      <c r="B37" s="1025"/>
      <c r="C37" s="1026"/>
      <c r="D37" s="1019" t="s">
        <v>401</v>
      </c>
      <c r="E37" s="1028">
        <v>104500</v>
      </c>
      <c r="F37" s="1020">
        <f t="shared" si="0"/>
        <v>109874</v>
      </c>
      <c r="G37" s="1029">
        <v>90500</v>
      </c>
      <c r="H37" s="1029">
        <v>8824</v>
      </c>
      <c r="I37" s="1029">
        <v>10550</v>
      </c>
      <c r="J37" s="1029">
        <v>0</v>
      </c>
      <c r="K37" s="1028">
        <v>0</v>
      </c>
      <c r="L37" s="1029">
        <v>0</v>
      </c>
      <c r="M37" s="1029">
        <v>0</v>
      </c>
      <c r="N37" s="1029">
        <v>0</v>
      </c>
      <c r="O37" s="1029">
        <v>0</v>
      </c>
      <c r="P37" s="1029">
        <v>0</v>
      </c>
      <c r="Q37" s="1029">
        <v>0</v>
      </c>
      <c r="R37" s="1030">
        <v>0</v>
      </c>
      <c r="S37" s="1031">
        <v>0</v>
      </c>
    </row>
    <row r="38" spans="1:19">
      <c r="A38" s="1024" t="s">
        <v>627</v>
      </c>
      <c r="B38" s="1025" t="s">
        <v>777</v>
      </c>
      <c r="C38" s="1026" t="s">
        <v>778</v>
      </c>
      <c r="D38" s="1027" t="s">
        <v>3</v>
      </c>
      <c r="E38" s="1028">
        <v>0</v>
      </c>
      <c r="F38" s="1020">
        <f t="shared" si="0"/>
        <v>8048</v>
      </c>
      <c r="G38" s="1029">
        <v>0</v>
      </c>
      <c r="H38" s="1029">
        <v>0</v>
      </c>
      <c r="I38" s="1029">
        <v>8048</v>
      </c>
      <c r="J38" s="1029">
        <v>0</v>
      </c>
      <c r="K38" s="1028">
        <v>0</v>
      </c>
      <c r="L38" s="1029">
        <v>0</v>
      </c>
      <c r="M38" s="1029">
        <v>0</v>
      </c>
      <c r="N38" s="1029">
        <v>0</v>
      </c>
      <c r="O38" s="1029">
        <v>0</v>
      </c>
      <c r="P38" s="1029">
        <v>0</v>
      </c>
      <c r="Q38" s="1029">
        <v>0</v>
      </c>
      <c r="R38" s="1030">
        <v>0</v>
      </c>
      <c r="S38" s="1031">
        <v>0</v>
      </c>
    </row>
    <row r="39" spans="1:19">
      <c r="A39" s="1024"/>
      <c r="B39" s="1025"/>
      <c r="C39" s="1026"/>
      <c r="D39" s="1019" t="s">
        <v>401</v>
      </c>
      <c r="E39" s="1028">
        <v>0</v>
      </c>
      <c r="F39" s="1020">
        <f t="shared" si="0"/>
        <v>8048</v>
      </c>
      <c r="G39" s="1029">
        <v>0</v>
      </c>
      <c r="H39" s="1029">
        <v>0</v>
      </c>
      <c r="I39" s="1029">
        <v>8048</v>
      </c>
      <c r="J39" s="1029">
        <v>0</v>
      </c>
      <c r="K39" s="1028">
        <v>0</v>
      </c>
      <c r="L39" s="1029">
        <v>0</v>
      </c>
      <c r="M39" s="1029">
        <v>0</v>
      </c>
      <c r="N39" s="1029">
        <v>0</v>
      </c>
      <c r="O39" s="1029">
        <v>0</v>
      </c>
      <c r="P39" s="1029">
        <v>0</v>
      </c>
      <c r="Q39" s="1029">
        <v>0</v>
      </c>
      <c r="R39" s="1030">
        <v>0</v>
      </c>
      <c r="S39" s="1031">
        <v>0</v>
      </c>
    </row>
    <row r="40" spans="1:19">
      <c r="A40" s="1024" t="s">
        <v>627</v>
      </c>
      <c r="B40" s="1025" t="s">
        <v>779</v>
      </c>
      <c r="C40" s="1026" t="s">
        <v>780</v>
      </c>
      <c r="D40" s="1027" t="s">
        <v>3</v>
      </c>
      <c r="E40" s="1028">
        <v>0</v>
      </c>
      <c r="F40" s="1020">
        <f t="shared" si="0"/>
        <v>121500</v>
      </c>
      <c r="G40" s="1029">
        <v>0</v>
      </c>
      <c r="H40" s="1029">
        <v>0</v>
      </c>
      <c r="I40" s="1029">
        <v>20000</v>
      </c>
      <c r="J40" s="1029">
        <v>0</v>
      </c>
      <c r="K40" s="1028">
        <v>0</v>
      </c>
      <c r="L40" s="1029">
        <v>0</v>
      </c>
      <c r="M40" s="1029">
        <v>57000</v>
      </c>
      <c r="N40" s="1029">
        <v>44500</v>
      </c>
      <c r="O40" s="1029">
        <v>0</v>
      </c>
      <c r="P40" s="1029">
        <v>0</v>
      </c>
      <c r="Q40" s="1029">
        <v>0</v>
      </c>
      <c r="R40" s="1030">
        <v>0</v>
      </c>
      <c r="S40" s="1031">
        <v>0</v>
      </c>
    </row>
    <row r="41" spans="1:19">
      <c r="A41" s="1024"/>
      <c r="B41" s="1025"/>
      <c r="C41" s="1026"/>
      <c r="D41" s="1019" t="s">
        <v>401</v>
      </c>
      <c r="E41" s="1028">
        <v>250000</v>
      </c>
      <c r="F41" s="1020">
        <f t="shared" si="0"/>
        <v>417500</v>
      </c>
      <c r="G41" s="1029">
        <v>2720</v>
      </c>
      <c r="H41" s="1029">
        <v>530</v>
      </c>
      <c r="I41" s="1029">
        <v>40724</v>
      </c>
      <c r="J41" s="1029">
        <v>0</v>
      </c>
      <c r="K41" s="1028">
        <v>0</v>
      </c>
      <c r="L41" s="1029">
        <v>0</v>
      </c>
      <c r="M41" s="1029">
        <v>57000</v>
      </c>
      <c r="N41" s="1029">
        <v>316526</v>
      </c>
      <c r="O41" s="1029">
        <v>0</v>
      </c>
      <c r="P41" s="1029">
        <v>0</v>
      </c>
      <c r="Q41" s="1029">
        <v>0</v>
      </c>
      <c r="R41" s="1030">
        <v>0</v>
      </c>
      <c r="S41" s="1031">
        <v>0</v>
      </c>
    </row>
    <row r="42" spans="1:19">
      <c r="A42" s="1024" t="s">
        <v>627</v>
      </c>
      <c r="B42" s="1025" t="s">
        <v>781</v>
      </c>
      <c r="C42" s="1026" t="s">
        <v>782</v>
      </c>
      <c r="D42" s="1027" t="s">
        <v>3</v>
      </c>
      <c r="E42" s="1028">
        <v>0</v>
      </c>
      <c r="F42" s="1020">
        <f t="shared" si="0"/>
        <v>62000</v>
      </c>
      <c r="G42" s="1029">
        <v>0</v>
      </c>
      <c r="H42" s="1029">
        <v>0</v>
      </c>
      <c r="I42" s="1029">
        <v>62000</v>
      </c>
      <c r="J42" s="1029">
        <v>0</v>
      </c>
      <c r="K42" s="1028">
        <v>0</v>
      </c>
      <c r="L42" s="1029">
        <v>0</v>
      </c>
      <c r="M42" s="1029">
        <v>0</v>
      </c>
      <c r="N42" s="1029">
        <v>0</v>
      </c>
      <c r="O42" s="1029">
        <v>0</v>
      </c>
      <c r="P42" s="1029">
        <v>0</v>
      </c>
      <c r="Q42" s="1029">
        <v>0</v>
      </c>
      <c r="R42" s="1030">
        <v>0</v>
      </c>
      <c r="S42" s="1031">
        <v>0</v>
      </c>
    </row>
    <row r="43" spans="1:19">
      <c r="A43" s="1024"/>
      <c r="B43" s="1025"/>
      <c r="C43" s="1026"/>
      <c r="D43" s="1019" t="s">
        <v>401</v>
      </c>
      <c r="E43" s="1028">
        <v>0</v>
      </c>
      <c r="F43" s="1020">
        <f t="shared" si="0"/>
        <v>62000</v>
      </c>
      <c r="G43" s="1029">
        <v>0</v>
      </c>
      <c r="H43" s="1029">
        <v>0</v>
      </c>
      <c r="I43" s="1029">
        <v>62000</v>
      </c>
      <c r="J43" s="1029">
        <v>0</v>
      </c>
      <c r="K43" s="1028">
        <v>0</v>
      </c>
      <c r="L43" s="1029">
        <v>0</v>
      </c>
      <c r="M43" s="1029">
        <v>0</v>
      </c>
      <c r="N43" s="1029">
        <v>0</v>
      </c>
      <c r="O43" s="1029">
        <v>0</v>
      </c>
      <c r="P43" s="1029">
        <v>0</v>
      </c>
      <c r="Q43" s="1029">
        <v>0</v>
      </c>
      <c r="R43" s="1030">
        <v>0</v>
      </c>
      <c r="S43" s="1031">
        <v>0</v>
      </c>
    </row>
    <row r="44" spans="1:19">
      <c r="A44" s="1024" t="s">
        <v>621</v>
      </c>
      <c r="B44" s="1025" t="s">
        <v>783</v>
      </c>
      <c r="C44" s="1026" t="s">
        <v>784</v>
      </c>
      <c r="D44" s="1027" t="s">
        <v>3</v>
      </c>
      <c r="E44" s="1028">
        <v>0</v>
      </c>
      <c r="F44" s="1020">
        <f t="shared" si="0"/>
        <v>15775</v>
      </c>
      <c r="G44" s="1029">
        <v>0</v>
      </c>
      <c r="H44" s="1029">
        <v>0</v>
      </c>
      <c r="I44" s="1029">
        <v>0</v>
      </c>
      <c r="J44" s="1029">
        <v>15775</v>
      </c>
      <c r="K44" s="1028">
        <v>0</v>
      </c>
      <c r="L44" s="1029">
        <v>0</v>
      </c>
      <c r="M44" s="1029">
        <v>0</v>
      </c>
      <c r="N44" s="1029">
        <v>0</v>
      </c>
      <c r="O44" s="1029">
        <v>0</v>
      </c>
      <c r="P44" s="1029">
        <v>0</v>
      </c>
      <c r="Q44" s="1029">
        <v>0</v>
      </c>
      <c r="R44" s="1030">
        <v>0</v>
      </c>
      <c r="S44" s="1031">
        <v>0</v>
      </c>
    </row>
    <row r="45" spans="1:19">
      <c r="A45" s="1024"/>
      <c r="B45" s="1025"/>
      <c r="C45" s="1026"/>
      <c r="D45" s="1019" t="s">
        <v>401</v>
      </c>
      <c r="E45" s="1028">
        <v>0</v>
      </c>
      <c r="F45" s="1020">
        <f t="shared" si="0"/>
        <v>15775</v>
      </c>
      <c r="G45" s="1029">
        <v>0</v>
      </c>
      <c r="H45" s="1029">
        <v>0</v>
      </c>
      <c r="I45" s="1029">
        <v>0</v>
      </c>
      <c r="J45" s="1029">
        <v>15775</v>
      </c>
      <c r="K45" s="1028">
        <v>0</v>
      </c>
      <c r="L45" s="1029">
        <v>0</v>
      </c>
      <c r="M45" s="1029">
        <v>0</v>
      </c>
      <c r="N45" s="1029">
        <v>0</v>
      </c>
      <c r="O45" s="1029">
        <v>0</v>
      </c>
      <c r="P45" s="1029">
        <v>0</v>
      </c>
      <c r="Q45" s="1029">
        <v>0</v>
      </c>
      <c r="R45" s="1030">
        <v>0</v>
      </c>
      <c r="S45" s="1031">
        <v>0</v>
      </c>
    </row>
    <row r="46" spans="1:19">
      <c r="A46" s="1024" t="s">
        <v>627</v>
      </c>
      <c r="B46" s="1025" t="s">
        <v>785</v>
      </c>
      <c r="C46" s="1033" t="s">
        <v>786</v>
      </c>
      <c r="D46" s="1027" t="s">
        <v>3</v>
      </c>
      <c r="E46" s="1028">
        <v>0</v>
      </c>
      <c r="F46" s="1020">
        <f t="shared" si="0"/>
        <v>44650</v>
      </c>
      <c r="G46" s="1029"/>
      <c r="H46" s="1029"/>
      <c r="I46" s="1029">
        <v>44650</v>
      </c>
      <c r="J46" s="1029">
        <v>0</v>
      </c>
      <c r="K46" s="1029">
        <v>0</v>
      </c>
      <c r="L46" s="1029">
        <v>0</v>
      </c>
      <c r="M46" s="1029">
        <v>0</v>
      </c>
      <c r="N46" s="1029">
        <v>0</v>
      </c>
      <c r="O46" s="1029">
        <v>0</v>
      </c>
      <c r="P46" s="1029">
        <v>0</v>
      </c>
      <c r="Q46" s="1029">
        <v>0</v>
      </c>
      <c r="R46" s="1029">
        <v>0</v>
      </c>
      <c r="S46" s="1034">
        <v>0</v>
      </c>
    </row>
    <row r="47" spans="1:19">
      <c r="A47" s="1024"/>
      <c r="B47" s="1025"/>
      <c r="C47" s="1033"/>
      <c r="D47" s="1019" t="s">
        <v>401</v>
      </c>
      <c r="E47" s="1028">
        <v>0</v>
      </c>
      <c r="F47" s="1020">
        <f t="shared" si="0"/>
        <v>44650</v>
      </c>
      <c r="G47" s="1029"/>
      <c r="H47" s="1029"/>
      <c r="I47" s="1029">
        <v>44650</v>
      </c>
      <c r="J47" s="1029">
        <v>0</v>
      </c>
      <c r="K47" s="1029">
        <v>0</v>
      </c>
      <c r="L47" s="1029">
        <v>0</v>
      </c>
      <c r="M47" s="1029">
        <v>0</v>
      </c>
      <c r="N47" s="1029">
        <v>0</v>
      </c>
      <c r="O47" s="1029">
        <v>0</v>
      </c>
      <c r="P47" s="1029">
        <v>0</v>
      </c>
      <c r="Q47" s="1029">
        <v>0</v>
      </c>
      <c r="R47" s="1029">
        <v>0</v>
      </c>
      <c r="S47" s="1034">
        <v>0</v>
      </c>
    </row>
    <row r="48" spans="1:19">
      <c r="A48" s="1024" t="s">
        <v>627</v>
      </c>
      <c r="B48" s="1025" t="s">
        <v>787</v>
      </c>
      <c r="C48" s="1026" t="s">
        <v>788</v>
      </c>
      <c r="D48" s="1027" t="s">
        <v>3</v>
      </c>
      <c r="E48" s="1028">
        <v>0</v>
      </c>
      <c r="F48" s="1020">
        <f t="shared" si="0"/>
        <v>19161</v>
      </c>
      <c r="G48" s="1029">
        <v>0</v>
      </c>
      <c r="H48" s="1029">
        <v>0</v>
      </c>
      <c r="I48" s="1029">
        <v>9000</v>
      </c>
      <c r="J48" s="1029">
        <v>0</v>
      </c>
      <c r="K48" s="1028">
        <v>0</v>
      </c>
      <c r="L48" s="1029">
        <v>0</v>
      </c>
      <c r="M48" s="1029">
        <v>10161</v>
      </c>
      <c r="N48" s="1029">
        <v>0</v>
      </c>
      <c r="O48" s="1029">
        <v>0</v>
      </c>
      <c r="P48" s="1029">
        <v>0</v>
      </c>
      <c r="Q48" s="1029">
        <v>0</v>
      </c>
      <c r="R48" s="1030">
        <v>0</v>
      </c>
      <c r="S48" s="1031">
        <v>0</v>
      </c>
    </row>
    <row r="49" spans="1:19">
      <c r="A49" s="1024"/>
      <c r="B49" s="1025"/>
      <c r="C49" s="1026"/>
      <c r="D49" s="1019" t="s">
        <v>401</v>
      </c>
      <c r="E49" s="1028">
        <v>0</v>
      </c>
      <c r="F49" s="1020">
        <f t="shared" si="0"/>
        <v>19161</v>
      </c>
      <c r="G49" s="1029">
        <v>0</v>
      </c>
      <c r="H49" s="1029">
        <v>0</v>
      </c>
      <c r="I49" s="1029">
        <v>9000</v>
      </c>
      <c r="J49" s="1029">
        <v>0</v>
      </c>
      <c r="K49" s="1028">
        <v>0</v>
      </c>
      <c r="L49" s="1029">
        <v>0</v>
      </c>
      <c r="M49" s="1029">
        <v>10161</v>
      </c>
      <c r="N49" s="1029">
        <v>0</v>
      </c>
      <c r="O49" s="1029">
        <v>0</v>
      </c>
      <c r="P49" s="1029">
        <v>0</v>
      </c>
      <c r="Q49" s="1029">
        <v>0</v>
      </c>
      <c r="R49" s="1030">
        <v>0</v>
      </c>
      <c r="S49" s="1031">
        <v>0</v>
      </c>
    </row>
    <row r="50" spans="1:19">
      <c r="A50" s="1024" t="s">
        <v>627</v>
      </c>
      <c r="B50" s="1025" t="s">
        <v>789</v>
      </c>
      <c r="C50" s="1026" t="s">
        <v>790</v>
      </c>
      <c r="D50" s="1027" t="s">
        <v>3</v>
      </c>
      <c r="E50" s="1028">
        <v>2200</v>
      </c>
      <c r="F50" s="1020">
        <f t="shared" si="0"/>
        <v>126977</v>
      </c>
      <c r="G50" s="1032">
        <v>0</v>
      </c>
      <c r="H50" s="1032">
        <v>0</v>
      </c>
      <c r="I50" s="1032">
        <v>79952</v>
      </c>
      <c r="J50" s="1032">
        <v>4000</v>
      </c>
      <c r="K50" s="1028">
        <v>0</v>
      </c>
      <c r="L50" s="1032">
        <v>0</v>
      </c>
      <c r="M50" s="1032">
        <v>0</v>
      </c>
      <c r="N50" s="1032">
        <v>43025</v>
      </c>
      <c r="O50" s="1032">
        <v>0</v>
      </c>
      <c r="P50" s="1032">
        <v>0</v>
      </c>
      <c r="Q50" s="1032">
        <v>0</v>
      </c>
      <c r="R50" s="1030">
        <v>0</v>
      </c>
      <c r="S50" s="1031">
        <v>0</v>
      </c>
    </row>
    <row r="51" spans="1:19">
      <c r="A51" s="1024"/>
      <c r="B51" s="1025"/>
      <c r="C51" s="1026"/>
      <c r="D51" s="1019" t="s">
        <v>401</v>
      </c>
      <c r="E51" s="1028">
        <v>48900</v>
      </c>
      <c r="F51" s="1020">
        <f t="shared" si="0"/>
        <v>128389</v>
      </c>
      <c r="G51" s="1032">
        <v>0</v>
      </c>
      <c r="H51" s="1032">
        <v>0</v>
      </c>
      <c r="I51" s="1032">
        <v>79952</v>
      </c>
      <c r="J51" s="1032">
        <v>4000</v>
      </c>
      <c r="K51" s="1028">
        <v>0</v>
      </c>
      <c r="L51" s="1032">
        <v>0</v>
      </c>
      <c r="M51" s="1032">
        <v>0</v>
      </c>
      <c r="N51" s="1032">
        <v>44437</v>
      </c>
      <c r="O51" s="1032">
        <v>0</v>
      </c>
      <c r="P51" s="1032">
        <v>0</v>
      </c>
      <c r="Q51" s="1032">
        <v>0</v>
      </c>
      <c r="R51" s="1030">
        <v>0</v>
      </c>
      <c r="S51" s="1031">
        <v>0</v>
      </c>
    </row>
    <row r="52" spans="1:19">
      <c r="A52" s="1024" t="s">
        <v>621</v>
      </c>
      <c r="B52" s="1025" t="s">
        <v>791</v>
      </c>
      <c r="C52" s="1026" t="s">
        <v>792</v>
      </c>
      <c r="D52" s="1027" t="s">
        <v>3</v>
      </c>
      <c r="E52" s="1028">
        <v>680</v>
      </c>
      <c r="F52" s="1020">
        <f t="shared" si="0"/>
        <v>0</v>
      </c>
      <c r="G52" s="1032">
        <v>0</v>
      </c>
      <c r="H52" s="1032">
        <v>0</v>
      </c>
      <c r="I52" s="1032">
        <v>0</v>
      </c>
      <c r="J52" s="1032">
        <v>0</v>
      </c>
      <c r="K52" s="1032">
        <v>0</v>
      </c>
      <c r="L52" s="1032">
        <v>0</v>
      </c>
      <c r="M52" s="1032">
        <v>0</v>
      </c>
      <c r="N52" s="1032">
        <v>0</v>
      </c>
      <c r="O52" s="1032">
        <v>0</v>
      </c>
      <c r="P52" s="1032">
        <v>0</v>
      </c>
      <c r="Q52" s="1032">
        <v>0</v>
      </c>
      <c r="R52" s="1032">
        <v>0</v>
      </c>
      <c r="S52" s="1035">
        <v>0</v>
      </c>
    </row>
    <row r="53" spans="1:19">
      <c r="A53" s="1024"/>
      <c r="B53" s="1025"/>
      <c r="C53" s="1026"/>
      <c r="D53" s="1019" t="s">
        <v>401</v>
      </c>
      <c r="E53" s="1028">
        <v>680</v>
      </c>
      <c r="F53" s="1020">
        <f t="shared" si="0"/>
        <v>0</v>
      </c>
      <c r="G53" s="1032">
        <v>0</v>
      </c>
      <c r="H53" s="1032">
        <v>0</v>
      </c>
      <c r="I53" s="1032">
        <v>0</v>
      </c>
      <c r="J53" s="1032">
        <v>0</v>
      </c>
      <c r="K53" s="1032">
        <v>0</v>
      </c>
      <c r="L53" s="1032">
        <v>0</v>
      </c>
      <c r="M53" s="1032">
        <v>0</v>
      </c>
      <c r="N53" s="1032">
        <v>0</v>
      </c>
      <c r="O53" s="1032">
        <v>0</v>
      </c>
      <c r="P53" s="1032">
        <v>0</v>
      </c>
      <c r="Q53" s="1032">
        <v>0</v>
      </c>
      <c r="R53" s="1032">
        <v>0</v>
      </c>
      <c r="S53" s="1035">
        <v>0</v>
      </c>
    </row>
    <row r="54" spans="1:19">
      <c r="A54" s="1024" t="s">
        <v>627</v>
      </c>
      <c r="B54" s="1025" t="s">
        <v>793</v>
      </c>
      <c r="C54" s="1027" t="s">
        <v>794</v>
      </c>
      <c r="D54" s="1027" t="s">
        <v>3</v>
      </c>
      <c r="E54" s="1028">
        <v>0</v>
      </c>
      <c r="F54" s="1020">
        <f t="shared" si="0"/>
        <v>317800</v>
      </c>
      <c r="G54" s="1029">
        <v>0</v>
      </c>
      <c r="H54" s="1029">
        <v>0</v>
      </c>
      <c r="I54" s="1029">
        <v>1100</v>
      </c>
      <c r="J54" s="1029">
        <v>0</v>
      </c>
      <c r="K54" s="1028">
        <v>0</v>
      </c>
      <c r="L54" s="1029">
        <v>0</v>
      </c>
      <c r="M54" s="1029">
        <v>250000</v>
      </c>
      <c r="N54" s="1029">
        <v>66700</v>
      </c>
      <c r="O54" s="1029">
        <v>0</v>
      </c>
      <c r="P54" s="1029">
        <v>0</v>
      </c>
      <c r="Q54" s="1029">
        <v>0</v>
      </c>
      <c r="R54" s="1030">
        <v>0</v>
      </c>
      <c r="S54" s="1031">
        <v>0</v>
      </c>
    </row>
    <row r="55" spans="1:19">
      <c r="A55" s="1024"/>
      <c r="B55" s="1025"/>
      <c r="C55" s="1027"/>
      <c r="D55" s="1019" t="s">
        <v>401</v>
      </c>
      <c r="E55" s="1028">
        <v>281000</v>
      </c>
      <c r="F55" s="1020">
        <f t="shared" si="0"/>
        <v>327800</v>
      </c>
      <c r="G55" s="1029">
        <v>0</v>
      </c>
      <c r="H55" s="1029">
        <v>0</v>
      </c>
      <c r="I55" s="1029">
        <v>1100</v>
      </c>
      <c r="J55" s="1029">
        <v>0</v>
      </c>
      <c r="K55" s="1028"/>
      <c r="L55" s="1029">
        <v>0</v>
      </c>
      <c r="M55" s="1029">
        <v>250000</v>
      </c>
      <c r="N55" s="1029">
        <v>76700</v>
      </c>
      <c r="O55" s="1029">
        <v>0</v>
      </c>
      <c r="P55" s="1029">
        <v>0</v>
      </c>
      <c r="Q55" s="1029">
        <v>0</v>
      </c>
      <c r="R55" s="1030">
        <v>0</v>
      </c>
      <c r="S55" s="1031">
        <v>0</v>
      </c>
    </row>
    <row r="56" spans="1:19">
      <c r="A56" s="1024" t="s">
        <v>627</v>
      </c>
      <c r="B56" s="1025" t="s">
        <v>795</v>
      </c>
      <c r="C56" s="1026" t="s">
        <v>796</v>
      </c>
      <c r="D56" s="1027" t="s">
        <v>3</v>
      </c>
      <c r="E56" s="1028">
        <v>0</v>
      </c>
      <c r="F56" s="1020">
        <f t="shared" si="0"/>
        <v>69579</v>
      </c>
      <c r="G56" s="1032">
        <v>0</v>
      </c>
      <c r="H56" s="1032">
        <v>0</v>
      </c>
      <c r="I56" s="1032">
        <v>47290</v>
      </c>
      <c r="J56" s="1032">
        <v>0</v>
      </c>
      <c r="K56" s="1028">
        <v>0</v>
      </c>
      <c r="L56" s="1032">
        <v>0</v>
      </c>
      <c r="M56" s="1032">
        <v>9154</v>
      </c>
      <c r="N56" s="1032">
        <v>13135</v>
      </c>
      <c r="O56" s="1036">
        <v>0</v>
      </c>
      <c r="P56" s="1032">
        <v>0</v>
      </c>
      <c r="Q56" s="1032">
        <v>0</v>
      </c>
      <c r="R56" s="1030">
        <v>0</v>
      </c>
      <c r="S56" s="1031">
        <v>0</v>
      </c>
    </row>
    <row r="57" spans="1:19">
      <c r="A57" s="1024"/>
      <c r="B57" s="1025"/>
      <c r="C57" s="1026"/>
      <c r="D57" s="1019" t="s">
        <v>401</v>
      </c>
      <c r="E57" s="1028">
        <v>0</v>
      </c>
      <c r="F57" s="1020">
        <f t="shared" si="0"/>
        <v>69579</v>
      </c>
      <c r="G57" s="1032">
        <v>0</v>
      </c>
      <c r="H57" s="1032">
        <v>0</v>
      </c>
      <c r="I57" s="1032">
        <v>47290</v>
      </c>
      <c r="J57" s="1032">
        <v>0</v>
      </c>
      <c r="K57" s="1028">
        <v>0</v>
      </c>
      <c r="L57" s="1032">
        <v>0</v>
      </c>
      <c r="M57" s="1032">
        <v>9154</v>
      </c>
      <c r="N57" s="1032">
        <v>13135</v>
      </c>
      <c r="O57" s="1036">
        <v>0</v>
      </c>
      <c r="P57" s="1032">
        <v>0</v>
      </c>
      <c r="Q57" s="1032">
        <v>0</v>
      </c>
      <c r="R57" s="1030">
        <v>0</v>
      </c>
      <c r="S57" s="1031">
        <v>0</v>
      </c>
    </row>
    <row r="58" spans="1:19">
      <c r="A58" s="1024" t="s">
        <v>627</v>
      </c>
      <c r="B58" s="1025" t="s">
        <v>797</v>
      </c>
      <c r="C58" s="1026" t="s">
        <v>798</v>
      </c>
      <c r="D58" s="1027" t="s">
        <v>3</v>
      </c>
      <c r="E58" s="1028">
        <v>0</v>
      </c>
      <c r="F58" s="1020">
        <f t="shared" si="0"/>
        <v>81850</v>
      </c>
      <c r="G58" s="1029">
        <v>0</v>
      </c>
      <c r="H58" s="1029">
        <v>0</v>
      </c>
      <c r="I58" s="1029">
        <v>79215</v>
      </c>
      <c r="J58" s="1029">
        <v>0</v>
      </c>
      <c r="K58" s="1028">
        <v>0</v>
      </c>
      <c r="L58" s="1029">
        <v>0</v>
      </c>
      <c r="M58" s="1029">
        <v>0</v>
      </c>
      <c r="N58" s="1029">
        <v>2635</v>
      </c>
      <c r="O58" s="1029">
        <v>0</v>
      </c>
      <c r="P58" s="1029">
        <v>0</v>
      </c>
      <c r="Q58" s="1029">
        <v>0</v>
      </c>
      <c r="R58" s="1030">
        <v>0</v>
      </c>
      <c r="S58" s="1031">
        <v>0</v>
      </c>
    </row>
    <row r="59" spans="1:19">
      <c r="A59" s="1024"/>
      <c r="B59" s="1025"/>
      <c r="C59" s="1026"/>
      <c r="D59" s="1019" t="s">
        <v>401</v>
      </c>
      <c r="E59" s="1028">
        <v>0</v>
      </c>
      <c r="F59" s="1020">
        <f t="shared" si="0"/>
        <v>81850</v>
      </c>
      <c r="G59" s="1029">
        <v>0</v>
      </c>
      <c r="H59" s="1029">
        <v>0</v>
      </c>
      <c r="I59" s="1029">
        <v>79215</v>
      </c>
      <c r="J59" s="1029">
        <v>0</v>
      </c>
      <c r="K59" s="1028">
        <v>0</v>
      </c>
      <c r="L59" s="1029">
        <v>0</v>
      </c>
      <c r="M59" s="1029">
        <v>0</v>
      </c>
      <c r="N59" s="1029">
        <v>2635</v>
      </c>
      <c r="O59" s="1029">
        <v>0</v>
      </c>
      <c r="P59" s="1029">
        <v>0</v>
      </c>
      <c r="Q59" s="1029">
        <v>0</v>
      </c>
      <c r="R59" s="1030">
        <v>0</v>
      </c>
      <c r="S59" s="1031">
        <v>0</v>
      </c>
    </row>
    <row r="60" spans="1:19">
      <c r="A60" s="1024" t="s">
        <v>627</v>
      </c>
      <c r="B60" s="1025" t="s">
        <v>797</v>
      </c>
      <c r="C60" s="1026" t="s">
        <v>799</v>
      </c>
      <c r="D60" s="1027" t="s">
        <v>3</v>
      </c>
      <c r="E60" s="1028">
        <v>0</v>
      </c>
      <c r="F60" s="1020">
        <f t="shared" si="0"/>
        <v>10300</v>
      </c>
      <c r="G60" s="1032">
        <v>0</v>
      </c>
      <c r="H60" s="1032">
        <v>0</v>
      </c>
      <c r="I60" s="1032">
        <v>5300</v>
      </c>
      <c r="J60" s="1032">
        <v>0</v>
      </c>
      <c r="K60" s="1028">
        <v>0</v>
      </c>
      <c r="L60" s="1032">
        <v>0</v>
      </c>
      <c r="M60" s="1032">
        <v>5000</v>
      </c>
      <c r="N60" s="1032">
        <v>0</v>
      </c>
      <c r="O60" s="1032">
        <v>0</v>
      </c>
      <c r="P60" s="1032">
        <v>0</v>
      </c>
      <c r="Q60" s="1032">
        <v>0</v>
      </c>
      <c r="R60" s="1030">
        <v>0</v>
      </c>
      <c r="S60" s="1031">
        <v>0</v>
      </c>
    </row>
    <row r="61" spans="1:19">
      <c r="A61" s="1024"/>
      <c r="B61" s="1025"/>
      <c r="C61" s="1026"/>
      <c r="D61" s="1019" t="s">
        <v>401</v>
      </c>
      <c r="E61" s="1028">
        <v>0</v>
      </c>
      <c r="F61" s="1020">
        <f t="shared" si="0"/>
        <v>10300</v>
      </c>
      <c r="G61" s="1032">
        <v>0</v>
      </c>
      <c r="H61" s="1032">
        <v>0</v>
      </c>
      <c r="I61" s="1032">
        <v>5300</v>
      </c>
      <c r="J61" s="1032">
        <v>0</v>
      </c>
      <c r="K61" s="1028">
        <v>0</v>
      </c>
      <c r="L61" s="1032">
        <v>0</v>
      </c>
      <c r="M61" s="1032">
        <v>5000</v>
      </c>
      <c r="N61" s="1032">
        <v>0</v>
      </c>
      <c r="O61" s="1032">
        <v>0</v>
      </c>
      <c r="P61" s="1032">
        <v>0</v>
      </c>
      <c r="Q61" s="1032">
        <v>0</v>
      </c>
      <c r="R61" s="1030">
        <v>0</v>
      </c>
      <c r="S61" s="1031">
        <v>0</v>
      </c>
    </row>
    <row r="62" spans="1:19">
      <c r="A62" s="1024" t="s">
        <v>627</v>
      </c>
      <c r="B62" s="1025" t="s">
        <v>800</v>
      </c>
      <c r="C62" s="1026" t="s">
        <v>801</v>
      </c>
      <c r="D62" s="1027" t="s">
        <v>3</v>
      </c>
      <c r="E62" s="1028">
        <v>0</v>
      </c>
      <c r="F62" s="1020">
        <f t="shared" si="0"/>
        <v>4020</v>
      </c>
      <c r="G62" s="1032">
        <v>0</v>
      </c>
      <c r="H62" s="1032">
        <v>0</v>
      </c>
      <c r="I62" s="1032">
        <v>4020</v>
      </c>
      <c r="J62" s="1032">
        <v>0</v>
      </c>
      <c r="K62" s="1028">
        <v>0</v>
      </c>
      <c r="L62" s="1032">
        <v>0</v>
      </c>
      <c r="M62" s="1032">
        <v>0</v>
      </c>
      <c r="N62" s="1032">
        <v>0</v>
      </c>
      <c r="O62" s="1032">
        <v>0</v>
      </c>
      <c r="P62" s="1032">
        <v>0</v>
      </c>
      <c r="Q62" s="1032">
        <v>0</v>
      </c>
      <c r="R62" s="1030">
        <v>0</v>
      </c>
      <c r="S62" s="1031">
        <v>0</v>
      </c>
    </row>
    <row r="63" spans="1:19">
      <c r="A63" s="1024"/>
      <c r="B63" s="1025"/>
      <c r="C63" s="1026"/>
      <c r="D63" s="1019" t="s">
        <v>401</v>
      </c>
      <c r="E63" s="1028">
        <v>0</v>
      </c>
      <c r="F63" s="1020">
        <f t="shared" si="0"/>
        <v>4020</v>
      </c>
      <c r="G63" s="1032">
        <v>0</v>
      </c>
      <c r="H63" s="1032">
        <v>0</v>
      </c>
      <c r="I63" s="1032">
        <v>4020</v>
      </c>
      <c r="J63" s="1032">
        <v>0</v>
      </c>
      <c r="K63" s="1028">
        <v>0</v>
      </c>
      <c r="L63" s="1032">
        <v>0</v>
      </c>
      <c r="M63" s="1032">
        <v>0</v>
      </c>
      <c r="N63" s="1032">
        <v>0</v>
      </c>
      <c r="O63" s="1032">
        <v>0</v>
      </c>
      <c r="P63" s="1032">
        <v>0</v>
      </c>
      <c r="Q63" s="1032">
        <v>0</v>
      </c>
      <c r="R63" s="1030">
        <v>0</v>
      </c>
      <c r="S63" s="1031">
        <v>0</v>
      </c>
    </row>
    <row r="64" spans="1:19">
      <c r="A64" s="1024" t="s">
        <v>627</v>
      </c>
      <c r="B64" s="1025" t="s">
        <v>800</v>
      </c>
      <c r="C64" s="1026" t="s">
        <v>802</v>
      </c>
      <c r="D64" s="1027" t="s">
        <v>3</v>
      </c>
      <c r="E64" s="1028">
        <v>56</v>
      </c>
      <c r="F64" s="1020">
        <f t="shared" si="0"/>
        <v>22364</v>
      </c>
      <c r="G64" s="1029">
        <v>1000</v>
      </c>
      <c r="H64" s="1029">
        <v>196</v>
      </c>
      <c r="I64" s="1029">
        <v>15000</v>
      </c>
      <c r="J64" s="1029">
        <v>0</v>
      </c>
      <c r="K64" s="1028">
        <v>0</v>
      </c>
      <c r="L64" s="1029">
        <v>0</v>
      </c>
      <c r="M64" s="1029">
        <v>0</v>
      </c>
      <c r="N64" s="1029">
        <v>168</v>
      </c>
      <c r="O64" s="1029">
        <v>6000</v>
      </c>
      <c r="P64" s="1029">
        <v>0</v>
      </c>
      <c r="Q64" s="1029">
        <v>0</v>
      </c>
      <c r="R64" s="1030">
        <v>0</v>
      </c>
      <c r="S64" s="1031">
        <v>0</v>
      </c>
    </row>
    <row r="65" spans="1:19">
      <c r="A65" s="1024"/>
      <c r="B65" s="1025"/>
      <c r="C65" s="1026"/>
      <c r="D65" s="1019" t="s">
        <v>401</v>
      </c>
      <c r="E65" s="1028">
        <v>56</v>
      </c>
      <c r="F65" s="1020">
        <f t="shared" si="0"/>
        <v>22364</v>
      </c>
      <c r="G65" s="1029">
        <v>1000</v>
      </c>
      <c r="H65" s="1029">
        <v>196</v>
      </c>
      <c r="I65" s="1029">
        <v>15000</v>
      </c>
      <c r="J65" s="1029">
        <v>0</v>
      </c>
      <c r="K65" s="1028">
        <v>0</v>
      </c>
      <c r="L65" s="1029">
        <v>0</v>
      </c>
      <c r="M65" s="1029">
        <v>0</v>
      </c>
      <c r="N65" s="1029">
        <v>168</v>
      </c>
      <c r="O65" s="1029">
        <v>6000</v>
      </c>
      <c r="P65" s="1029">
        <v>0</v>
      </c>
      <c r="Q65" s="1029">
        <v>0</v>
      </c>
      <c r="R65" s="1030">
        <v>0</v>
      </c>
      <c r="S65" s="1031">
        <v>0</v>
      </c>
    </row>
    <row r="66" spans="1:19">
      <c r="A66" s="1024" t="s">
        <v>627</v>
      </c>
      <c r="B66" s="1025" t="s">
        <v>800</v>
      </c>
      <c r="C66" s="1026" t="s">
        <v>803</v>
      </c>
      <c r="D66" s="1027" t="s">
        <v>3</v>
      </c>
      <c r="E66" s="1028">
        <v>97707</v>
      </c>
      <c r="F66" s="1020">
        <f t="shared" si="0"/>
        <v>1852066</v>
      </c>
      <c r="G66" s="1032">
        <v>25815</v>
      </c>
      <c r="H66" s="1032">
        <v>7056</v>
      </c>
      <c r="I66" s="1032">
        <v>86500</v>
      </c>
      <c r="J66" s="1032">
        <v>233133</v>
      </c>
      <c r="K66" s="1028">
        <v>0</v>
      </c>
      <c r="L66" s="1032">
        <v>0</v>
      </c>
      <c r="M66" s="1032">
        <v>136399</v>
      </c>
      <c r="N66" s="1032">
        <v>1363163</v>
      </c>
      <c r="O66" s="1036">
        <v>0</v>
      </c>
      <c r="P66" s="1032">
        <v>0</v>
      </c>
      <c r="Q66" s="1032">
        <v>0</v>
      </c>
      <c r="R66" s="1030">
        <v>0</v>
      </c>
      <c r="S66" s="1031">
        <v>0</v>
      </c>
    </row>
    <row r="67" spans="1:19">
      <c r="A67" s="1024"/>
      <c r="B67" s="1025"/>
      <c r="C67" s="1026"/>
      <c r="D67" s="1019" t="s">
        <v>401</v>
      </c>
      <c r="E67" s="1028">
        <v>890747</v>
      </c>
      <c r="F67" s="1020">
        <f t="shared" si="0"/>
        <v>2651916</v>
      </c>
      <c r="G67" s="1032">
        <v>176208</v>
      </c>
      <c r="H67" s="1032">
        <v>42015</v>
      </c>
      <c r="I67" s="1032">
        <v>536048</v>
      </c>
      <c r="J67" s="1032">
        <v>233133</v>
      </c>
      <c r="K67" s="1028">
        <v>0</v>
      </c>
      <c r="L67" s="1032">
        <v>0</v>
      </c>
      <c r="M67" s="1032">
        <v>301349</v>
      </c>
      <c r="N67" s="1032">
        <v>1363163</v>
      </c>
      <c r="O67" s="1036">
        <v>0</v>
      </c>
      <c r="P67" s="1032">
        <v>0</v>
      </c>
      <c r="Q67" s="1032">
        <v>0</v>
      </c>
      <c r="R67" s="1030">
        <v>0</v>
      </c>
      <c r="S67" s="1031">
        <v>0</v>
      </c>
    </row>
    <row r="68" spans="1:19">
      <c r="A68" s="1024" t="s">
        <v>627</v>
      </c>
      <c r="B68" s="1025" t="s">
        <v>800</v>
      </c>
      <c r="C68" s="1026" t="s">
        <v>804</v>
      </c>
      <c r="D68" s="1027" t="s">
        <v>3</v>
      </c>
      <c r="E68" s="1028">
        <v>7620</v>
      </c>
      <c r="F68" s="1020">
        <f t="shared" si="0"/>
        <v>14790</v>
      </c>
      <c r="G68" s="1032">
        <v>1200</v>
      </c>
      <c r="H68" s="1032">
        <v>228</v>
      </c>
      <c r="I68" s="1032">
        <v>12367</v>
      </c>
      <c r="J68" s="1032">
        <v>0</v>
      </c>
      <c r="K68" s="1028">
        <v>0</v>
      </c>
      <c r="L68" s="1032">
        <v>0</v>
      </c>
      <c r="M68" s="1032">
        <v>381</v>
      </c>
      <c r="N68" s="1032">
        <v>614</v>
      </c>
      <c r="O68" s="1036">
        <v>0</v>
      </c>
      <c r="P68" s="1032">
        <v>0</v>
      </c>
      <c r="Q68" s="1032">
        <v>0</v>
      </c>
      <c r="R68" s="1030">
        <v>0</v>
      </c>
      <c r="S68" s="1031">
        <v>0</v>
      </c>
    </row>
    <row r="69" spans="1:19">
      <c r="A69" s="1024"/>
      <c r="B69" s="1025"/>
      <c r="C69" s="1026"/>
      <c r="D69" s="1019" t="s">
        <v>401</v>
      </c>
      <c r="E69" s="1028">
        <v>7620</v>
      </c>
      <c r="F69" s="1020">
        <f t="shared" si="0"/>
        <v>14790</v>
      </c>
      <c r="G69" s="1032">
        <v>1200</v>
      </c>
      <c r="H69" s="1032">
        <v>228</v>
      </c>
      <c r="I69" s="1032">
        <v>12367</v>
      </c>
      <c r="J69" s="1032">
        <v>0</v>
      </c>
      <c r="K69" s="1028">
        <v>0</v>
      </c>
      <c r="L69" s="1032">
        <v>0</v>
      </c>
      <c r="M69" s="1032">
        <v>381</v>
      </c>
      <c r="N69" s="1032">
        <v>614</v>
      </c>
      <c r="O69" s="1036">
        <v>0</v>
      </c>
      <c r="P69" s="1032">
        <v>0</v>
      </c>
      <c r="Q69" s="1032">
        <v>0</v>
      </c>
      <c r="R69" s="1030">
        <v>0</v>
      </c>
      <c r="S69" s="1031">
        <v>0</v>
      </c>
    </row>
    <row r="70" spans="1:19">
      <c r="A70" s="1024" t="s">
        <v>627</v>
      </c>
      <c r="B70" s="1025" t="s">
        <v>805</v>
      </c>
      <c r="C70" s="1026" t="s">
        <v>806</v>
      </c>
      <c r="D70" s="1019" t="s">
        <v>3</v>
      </c>
      <c r="E70" s="1028">
        <v>0</v>
      </c>
      <c r="F70" s="1020">
        <f t="shared" si="0"/>
        <v>0</v>
      </c>
      <c r="G70" s="1032">
        <v>0</v>
      </c>
      <c r="H70" s="1032">
        <v>0</v>
      </c>
      <c r="I70" s="1032">
        <v>0</v>
      </c>
      <c r="J70" s="1032">
        <v>0</v>
      </c>
      <c r="K70" s="1028">
        <v>0</v>
      </c>
      <c r="L70" s="1032">
        <v>0</v>
      </c>
      <c r="M70" s="1032">
        <v>0</v>
      </c>
      <c r="N70" s="1032">
        <v>0</v>
      </c>
      <c r="O70" s="1036">
        <v>0</v>
      </c>
      <c r="P70" s="1032">
        <v>0</v>
      </c>
      <c r="Q70" s="1032">
        <v>0</v>
      </c>
      <c r="R70" s="1030">
        <v>0</v>
      </c>
      <c r="S70" s="1031">
        <v>0</v>
      </c>
    </row>
    <row r="71" spans="1:19">
      <c r="A71" s="1024"/>
      <c r="B71" s="1025"/>
      <c r="C71" s="1026"/>
      <c r="D71" s="1019" t="s">
        <v>401</v>
      </c>
      <c r="E71" s="1028">
        <v>0</v>
      </c>
      <c r="F71" s="1020">
        <f t="shared" si="0"/>
        <v>9000</v>
      </c>
      <c r="G71" s="1032">
        <v>0</v>
      </c>
      <c r="H71" s="1032">
        <v>0</v>
      </c>
      <c r="I71" s="1032">
        <v>9000</v>
      </c>
      <c r="J71" s="1032">
        <v>0</v>
      </c>
      <c r="K71" s="1028">
        <v>0</v>
      </c>
      <c r="L71" s="1032">
        <v>0</v>
      </c>
      <c r="M71" s="1032">
        <v>0</v>
      </c>
      <c r="N71" s="1032">
        <v>0</v>
      </c>
      <c r="O71" s="1036">
        <v>0</v>
      </c>
      <c r="P71" s="1032">
        <v>0</v>
      </c>
      <c r="Q71" s="1032">
        <v>0</v>
      </c>
      <c r="R71" s="1030">
        <v>0</v>
      </c>
      <c r="S71" s="1031">
        <v>0</v>
      </c>
    </row>
    <row r="72" spans="1:19">
      <c r="A72" s="1024" t="s">
        <v>621</v>
      </c>
      <c r="B72" s="1025" t="s">
        <v>807</v>
      </c>
      <c r="C72" s="1026" t="s">
        <v>808</v>
      </c>
      <c r="D72" s="1027" t="s">
        <v>3</v>
      </c>
      <c r="E72" s="1028">
        <v>0</v>
      </c>
      <c r="F72" s="1020">
        <f t="shared" si="0"/>
        <v>1000</v>
      </c>
      <c r="G72" s="1032">
        <v>0</v>
      </c>
      <c r="H72" s="1032">
        <v>0</v>
      </c>
      <c r="I72" s="1032">
        <v>1000</v>
      </c>
      <c r="J72" s="1032">
        <v>0</v>
      </c>
      <c r="K72" s="1028">
        <v>0</v>
      </c>
      <c r="L72" s="1032">
        <v>0</v>
      </c>
      <c r="M72" s="1032">
        <v>0</v>
      </c>
      <c r="N72" s="1032">
        <v>0</v>
      </c>
      <c r="O72" s="1036">
        <v>0</v>
      </c>
      <c r="P72" s="1032">
        <v>0</v>
      </c>
      <c r="Q72" s="1032">
        <v>0</v>
      </c>
      <c r="R72" s="1030">
        <v>0</v>
      </c>
      <c r="S72" s="1031">
        <v>0</v>
      </c>
    </row>
    <row r="73" spans="1:19">
      <c r="A73" s="1024"/>
      <c r="B73" s="1025"/>
      <c r="C73" s="1026"/>
      <c r="D73" s="1019" t="s">
        <v>401</v>
      </c>
      <c r="E73" s="1028">
        <v>0</v>
      </c>
      <c r="F73" s="1020">
        <f t="shared" si="0"/>
        <v>1000</v>
      </c>
      <c r="G73" s="1032">
        <v>0</v>
      </c>
      <c r="H73" s="1032">
        <v>0</v>
      </c>
      <c r="I73" s="1032">
        <v>1000</v>
      </c>
      <c r="J73" s="1032">
        <v>0</v>
      </c>
      <c r="K73" s="1028">
        <v>0</v>
      </c>
      <c r="L73" s="1032">
        <v>0</v>
      </c>
      <c r="M73" s="1032">
        <v>0</v>
      </c>
      <c r="N73" s="1032">
        <v>0</v>
      </c>
      <c r="O73" s="1036">
        <v>0</v>
      </c>
      <c r="P73" s="1032">
        <v>0</v>
      </c>
      <c r="Q73" s="1032">
        <v>0</v>
      </c>
      <c r="R73" s="1030">
        <v>0</v>
      </c>
      <c r="S73" s="1031">
        <v>0</v>
      </c>
    </row>
    <row r="74" spans="1:19">
      <c r="A74" s="1024" t="s">
        <v>621</v>
      </c>
      <c r="B74" s="1025" t="s">
        <v>809</v>
      </c>
      <c r="C74" s="1026" t="s">
        <v>810</v>
      </c>
      <c r="D74" s="1027" t="s">
        <v>3</v>
      </c>
      <c r="E74" s="1028">
        <v>0</v>
      </c>
      <c r="F74" s="1020">
        <f t="shared" si="0"/>
        <v>5818</v>
      </c>
      <c r="G74" s="1032">
        <v>2500</v>
      </c>
      <c r="H74" s="1032">
        <v>1018</v>
      </c>
      <c r="I74" s="1032">
        <v>2300</v>
      </c>
      <c r="J74" s="1032">
        <v>0</v>
      </c>
      <c r="K74" s="1028">
        <v>0</v>
      </c>
      <c r="L74" s="1032">
        <v>0</v>
      </c>
      <c r="M74" s="1032">
        <v>0</v>
      </c>
      <c r="N74" s="1032">
        <v>0</v>
      </c>
      <c r="O74" s="1032">
        <v>0</v>
      </c>
      <c r="P74" s="1032">
        <v>0</v>
      </c>
      <c r="Q74" s="1032">
        <v>0</v>
      </c>
      <c r="R74" s="1030">
        <v>0</v>
      </c>
      <c r="S74" s="1031">
        <v>0</v>
      </c>
    </row>
    <row r="75" spans="1:19">
      <c r="A75" s="1024"/>
      <c r="B75" s="1025"/>
      <c r="C75" s="1026"/>
      <c r="D75" s="1019" t="s">
        <v>401</v>
      </c>
      <c r="E75" s="1028">
        <v>0</v>
      </c>
      <c r="F75" s="1020">
        <f t="shared" ref="F75:F103" si="1">SUM(G75:S75)</f>
        <v>5968</v>
      </c>
      <c r="G75" s="1032">
        <v>2500</v>
      </c>
      <c r="H75" s="1032">
        <v>1018</v>
      </c>
      <c r="I75" s="1032">
        <v>2400</v>
      </c>
      <c r="J75" s="1032">
        <v>50</v>
      </c>
      <c r="K75" s="1028">
        <v>0</v>
      </c>
      <c r="L75" s="1032">
        <v>0</v>
      </c>
      <c r="M75" s="1032">
        <v>0</v>
      </c>
      <c r="N75" s="1032">
        <v>0</v>
      </c>
      <c r="O75" s="1032">
        <v>0</v>
      </c>
      <c r="P75" s="1032">
        <v>0</v>
      </c>
      <c r="Q75" s="1032">
        <v>0</v>
      </c>
      <c r="R75" s="1030">
        <v>0</v>
      </c>
      <c r="S75" s="1031">
        <v>0</v>
      </c>
    </row>
    <row r="76" spans="1:19">
      <c r="A76" s="1024" t="s">
        <v>621</v>
      </c>
      <c r="B76" s="1025" t="s">
        <v>811</v>
      </c>
      <c r="C76" s="1026" t="s">
        <v>812</v>
      </c>
      <c r="D76" s="1027" t="s">
        <v>3</v>
      </c>
      <c r="E76" s="1028">
        <v>0</v>
      </c>
      <c r="F76" s="1020">
        <f t="shared" si="1"/>
        <v>1500</v>
      </c>
      <c r="G76" s="1032">
        <v>0</v>
      </c>
      <c r="H76" s="1032">
        <v>0</v>
      </c>
      <c r="I76" s="1032">
        <v>1500</v>
      </c>
      <c r="J76" s="1032">
        <v>0</v>
      </c>
      <c r="K76" s="1028">
        <v>0</v>
      </c>
      <c r="L76" s="1032">
        <v>0</v>
      </c>
      <c r="M76" s="1032">
        <v>0</v>
      </c>
      <c r="N76" s="1032">
        <v>0</v>
      </c>
      <c r="O76" s="1036">
        <v>0</v>
      </c>
      <c r="P76" s="1032">
        <v>0</v>
      </c>
      <c r="Q76" s="1032">
        <v>0</v>
      </c>
      <c r="R76" s="1030">
        <v>0</v>
      </c>
      <c r="S76" s="1031">
        <v>0</v>
      </c>
    </row>
    <row r="77" spans="1:19">
      <c r="A77" s="1024"/>
      <c r="B77" s="1025"/>
      <c r="C77" s="1026"/>
      <c r="D77" s="1019" t="s">
        <v>401</v>
      </c>
      <c r="E77" s="1028">
        <v>0</v>
      </c>
      <c r="F77" s="1020">
        <f t="shared" si="1"/>
        <v>1500</v>
      </c>
      <c r="G77" s="1032">
        <v>0</v>
      </c>
      <c r="H77" s="1032">
        <v>0</v>
      </c>
      <c r="I77" s="1032">
        <v>1500</v>
      </c>
      <c r="J77" s="1032">
        <v>0</v>
      </c>
      <c r="K77" s="1028">
        <v>0</v>
      </c>
      <c r="L77" s="1032">
        <v>0</v>
      </c>
      <c r="M77" s="1032">
        <v>0</v>
      </c>
      <c r="N77" s="1032">
        <v>0</v>
      </c>
      <c r="O77" s="1036">
        <v>0</v>
      </c>
      <c r="P77" s="1032">
        <v>0</v>
      </c>
      <c r="Q77" s="1032">
        <v>0</v>
      </c>
      <c r="R77" s="1030">
        <v>0</v>
      </c>
      <c r="S77" s="1031">
        <v>0</v>
      </c>
    </row>
    <row r="78" spans="1:19">
      <c r="A78" s="1024" t="s">
        <v>627</v>
      </c>
      <c r="B78" s="1025" t="s">
        <v>813</v>
      </c>
      <c r="C78" s="1026" t="s">
        <v>814</v>
      </c>
      <c r="D78" s="1027" t="s">
        <v>3</v>
      </c>
      <c r="E78" s="1028">
        <v>0</v>
      </c>
      <c r="F78" s="1020">
        <f t="shared" si="1"/>
        <v>158795</v>
      </c>
      <c r="G78" s="1032">
        <v>0</v>
      </c>
      <c r="H78" s="1032">
        <v>0</v>
      </c>
      <c r="I78" s="1032">
        <v>0</v>
      </c>
      <c r="J78" s="1032">
        <v>158795</v>
      </c>
      <c r="K78" s="1028">
        <v>0</v>
      </c>
      <c r="L78" s="1032">
        <v>0</v>
      </c>
      <c r="M78" s="1032">
        <v>0</v>
      </c>
      <c r="N78" s="1032">
        <v>0</v>
      </c>
      <c r="O78" s="1032">
        <v>0</v>
      </c>
      <c r="P78" s="1032">
        <v>0</v>
      </c>
      <c r="Q78" s="1032">
        <v>0</v>
      </c>
      <c r="R78" s="1030">
        <v>0</v>
      </c>
      <c r="S78" s="1031">
        <v>0</v>
      </c>
    </row>
    <row r="79" spans="1:19">
      <c r="A79" s="1024"/>
      <c r="B79" s="1025"/>
      <c r="C79" s="1026"/>
      <c r="D79" s="1019" t="s">
        <v>401</v>
      </c>
      <c r="E79" s="1028">
        <v>0</v>
      </c>
      <c r="F79" s="1020">
        <f t="shared" si="1"/>
        <v>158795</v>
      </c>
      <c r="G79" s="1032">
        <v>0</v>
      </c>
      <c r="H79" s="1032">
        <v>0</v>
      </c>
      <c r="I79" s="1032">
        <v>0</v>
      </c>
      <c r="J79" s="1032">
        <v>158795</v>
      </c>
      <c r="K79" s="1028">
        <v>0</v>
      </c>
      <c r="L79" s="1032">
        <v>0</v>
      </c>
      <c r="M79" s="1032">
        <v>0</v>
      </c>
      <c r="N79" s="1032">
        <v>0</v>
      </c>
      <c r="O79" s="1032">
        <v>0</v>
      </c>
      <c r="P79" s="1032">
        <v>0</v>
      </c>
      <c r="Q79" s="1032">
        <v>0</v>
      </c>
      <c r="R79" s="1030">
        <v>0</v>
      </c>
      <c r="S79" s="1031">
        <v>0</v>
      </c>
    </row>
    <row r="80" spans="1:19">
      <c r="A80" s="1024" t="s">
        <v>621</v>
      </c>
      <c r="B80" s="1037" t="s">
        <v>815</v>
      </c>
      <c r="C80" s="1038" t="s">
        <v>816</v>
      </c>
      <c r="D80" s="1027" t="s">
        <v>3</v>
      </c>
      <c r="E80" s="1028">
        <v>0</v>
      </c>
      <c r="F80" s="1020">
        <f t="shared" si="1"/>
        <v>8196</v>
      </c>
      <c r="G80" s="1032">
        <v>900</v>
      </c>
      <c r="H80" s="1032">
        <v>176</v>
      </c>
      <c r="I80" s="1032">
        <v>7120</v>
      </c>
      <c r="J80" s="1032">
        <v>0</v>
      </c>
      <c r="K80" s="1028">
        <v>0</v>
      </c>
      <c r="L80" s="1032">
        <v>0</v>
      </c>
      <c r="M80" s="1032">
        <v>0</v>
      </c>
      <c r="N80" s="1032">
        <v>0</v>
      </c>
      <c r="O80" s="1032">
        <v>0</v>
      </c>
      <c r="P80" s="1032">
        <v>0</v>
      </c>
      <c r="Q80" s="1032">
        <v>0</v>
      </c>
      <c r="R80" s="1030">
        <v>0</v>
      </c>
      <c r="S80" s="1031">
        <v>0</v>
      </c>
    </row>
    <row r="81" spans="1:19">
      <c r="A81" s="1024"/>
      <c r="B81" s="1037"/>
      <c r="C81" s="1038"/>
      <c r="D81" s="1019" t="s">
        <v>401</v>
      </c>
      <c r="E81" s="1028">
        <v>0</v>
      </c>
      <c r="F81" s="1020">
        <f t="shared" si="1"/>
        <v>8521</v>
      </c>
      <c r="G81" s="1032">
        <v>900</v>
      </c>
      <c r="H81" s="1032">
        <v>176</v>
      </c>
      <c r="I81" s="1032">
        <v>7435</v>
      </c>
      <c r="J81" s="1032">
        <v>0</v>
      </c>
      <c r="K81" s="1028">
        <v>0</v>
      </c>
      <c r="L81" s="1032">
        <v>0</v>
      </c>
      <c r="M81" s="1032">
        <v>0</v>
      </c>
      <c r="N81" s="1032">
        <v>10</v>
      </c>
      <c r="O81" s="1032">
        <v>0</v>
      </c>
      <c r="P81" s="1032">
        <v>0</v>
      </c>
      <c r="Q81" s="1032">
        <v>0</v>
      </c>
      <c r="R81" s="1030">
        <v>0</v>
      </c>
      <c r="S81" s="1031">
        <v>0</v>
      </c>
    </row>
    <row r="82" spans="1:19">
      <c r="A82" s="1024" t="s">
        <v>621</v>
      </c>
      <c r="B82" s="1025" t="s">
        <v>817</v>
      </c>
      <c r="C82" s="1026" t="s">
        <v>818</v>
      </c>
      <c r="D82" s="1027" t="s">
        <v>3</v>
      </c>
      <c r="E82" s="1028">
        <v>0</v>
      </c>
      <c r="F82" s="1020">
        <f t="shared" si="1"/>
        <v>153669</v>
      </c>
      <c r="G82" s="1029">
        <v>0</v>
      </c>
      <c r="H82" s="1029">
        <v>0</v>
      </c>
      <c r="I82" s="1029">
        <v>0</v>
      </c>
      <c r="J82" s="1029">
        <v>153669</v>
      </c>
      <c r="K82" s="1028">
        <v>0</v>
      </c>
      <c r="L82" s="1029">
        <v>0</v>
      </c>
      <c r="M82" s="1029">
        <v>0</v>
      </c>
      <c r="N82" s="1029">
        <v>0</v>
      </c>
      <c r="O82" s="1029">
        <v>0</v>
      </c>
      <c r="P82" s="1029">
        <v>0</v>
      </c>
      <c r="Q82" s="1029">
        <v>0</v>
      </c>
      <c r="R82" s="1030">
        <v>0</v>
      </c>
      <c r="S82" s="1031">
        <v>0</v>
      </c>
    </row>
    <row r="83" spans="1:19">
      <c r="A83" s="1024"/>
      <c r="B83" s="1025"/>
      <c r="C83" s="1026"/>
      <c r="D83" s="1019" t="s">
        <v>401</v>
      </c>
      <c r="E83" s="1028">
        <v>15000</v>
      </c>
      <c r="F83" s="1020">
        <f t="shared" si="1"/>
        <v>169839</v>
      </c>
      <c r="G83" s="1029">
        <v>0</v>
      </c>
      <c r="H83" s="1029">
        <v>0</v>
      </c>
      <c r="I83" s="1029">
        <v>0</v>
      </c>
      <c r="J83" s="1029">
        <v>169639</v>
      </c>
      <c r="K83" s="1028">
        <v>0</v>
      </c>
      <c r="L83" s="1029">
        <v>0</v>
      </c>
      <c r="M83" s="1029">
        <v>0</v>
      </c>
      <c r="N83" s="1029">
        <v>0</v>
      </c>
      <c r="O83" s="1029">
        <v>200</v>
      </c>
      <c r="P83" s="1029">
        <v>0</v>
      </c>
      <c r="Q83" s="1029">
        <v>0</v>
      </c>
      <c r="R83" s="1030">
        <v>0</v>
      </c>
      <c r="S83" s="1031">
        <v>0</v>
      </c>
    </row>
    <row r="84" spans="1:19">
      <c r="A84" s="1024" t="s">
        <v>621</v>
      </c>
      <c r="B84" s="1025" t="s">
        <v>819</v>
      </c>
      <c r="C84" s="1033" t="s">
        <v>820</v>
      </c>
      <c r="D84" s="1027" t="s">
        <v>3</v>
      </c>
      <c r="E84" s="1028">
        <v>0</v>
      </c>
      <c r="F84" s="1020">
        <f t="shared" si="1"/>
        <v>359</v>
      </c>
      <c r="G84" s="1032">
        <v>300</v>
      </c>
      <c r="H84" s="1032">
        <v>59</v>
      </c>
      <c r="I84" s="1032">
        <v>0</v>
      </c>
      <c r="J84" s="1032">
        <v>0</v>
      </c>
      <c r="K84" s="1028">
        <v>0</v>
      </c>
      <c r="L84" s="1032">
        <v>0</v>
      </c>
      <c r="M84" s="1032">
        <v>0</v>
      </c>
      <c r="N84" s="1032">
        <v>0</v>
      </c>
      <c r="O84" s="1032">
        <v>0</v>
      </c>
      <c r="P84" s="1032">
        <v>0</v>
      </c>
      <c r="Q84" s="1032">
        <v>0</v>
      </c>
      <c r="R84" s="1030">
        <v>0</v>
      </c>
      <c r="S84" s="1031">
        <v>0</v>
      </c>
    </row>
    <row r="85" spans="1:19">
      <c r="A85" s="1024"/>
      <c r="B85" s="1025"/>
      <c r="C85" s="1033"/>
      <c r="D85" s="1019" t="s">
        <v>401</v>
      </c>
      <c r="E85" s="1028">
        <v>0</v>
      </c>
      <c r="F85" s="1020">
        <f t="shared" si="1"/>
        <v>359</v>
      </c>
      <c r="G85" s="1032">
        <v>300</v>
      </c>
      <c r="H85" s="1032">
        <v>59</v>
      </c>
      <c r="I85" s="1032">
        <v>0</v>
      </c>
      <c r="J85" s="1032">
        <v>0</v>
      </c>
      <c r="K85" s="1028">
        <v>0</v>
      </c>
      <c r="L85" s="1032">
        <v>0</v>
      </c>
      <c r="M85" s="1032">
        <v>0</v>
      </c>
      <c r="N85" s="1032">
        <v>0</v>
      </c>
      <c r="O85" s="1032">
        <v>0</v>
      </c>
      <c r="P85" s="1032">
        <v>0</v>
      </c>
      <c r="Q85" s="1032">
        <v>0</v>
      </c>
      <c r="R85" s="1030">
        <v>0</v>
      </c>
      <c r="S85" s="1031">
        <v>0</v>
      </c>
    </row>
    <row r="86" spans="1:19">
      <c r="A86" s="1024" t="s">
        <v>621</v>
      </c>
      <c r="B86" s="1025" t="s">
        <v>821</v>
      </c>
      <c r="C86" s="1026" t="s">
        <v>822</v>
      </c>
      <c r="D86" s="1027" t="s">
        <v>3</v>
      </c>
      <c r="E86" s="1028">
        <v>0</v>
      </c>
      <c r="F86" s="1020">
        <f t="shared" si="1"/>
        <v>18000</v>
      </c>
      <c r="G86" s="1032">
        <v>4500</v>
      </c>
      <c r="H86" s="1032">
        <v>1832</v>
      </c>
      <c r="I86" s="1032">
        <v>11668</v>
      </c>
      <c r="J86" s="1032">
        <v>0</v>
      </c>
      <c r="K86" s="1028">
        <v>0</v>
      </c>
      <c r="L86" s="1032">
        <v>0</v>
      </c>
      <c r="M86" s="1032">
        <v>0</v>
      </c>
      <c r="N86" s="1032">
        <v>0</v>
      </c>
      <c r="O86" s="1032">
        <v>0</v>
      </c>
      <c r="P86" s="1032">
        <v>0</v>
      </c>
      <c r="Q86" s="1032">
        <v>0</v>
      </c>
      <c r="R86" s="1030">
        <v>0</v>
      </c>
      <c r="S86" s="1031">
        <v>0</v>
      </c>
    </row>
    <row r="87" spans="1:19">
      <c r="A87" s="1024"/>
      <c r="B87" s="1025"/>
      <c r="C87" s="1026"/>
      <c r="D87" s="1019" t="s">
        <v>401</v>
      </c>
      <c r="E87" s="1028">
        <v>0</v>
      </c>
      <c r="F87" s="1020">
        <f t="shared" si="1"/>
        <v>18000</v>
      </c>
      <c r="G87" s="1032">
        <v>4500</v>
      </c>
      <c r="H87" s="1032">
        <v>1832</v>
      </c>
      <c r="I87" s="1032">
        <v>11668</v>
      </c>
      <c r="J87" s="1032">
        <v>0</v>
      </c>
      <c r="K87" s="1028">
        <v>0</v>
      </c>
      <c r="L87" s="1032">
        <v>0</v>
      </c>
      <c r="M87" s="1032">
        <v>0</v>
      </c>
      <c r="N87" s="1032">
        <v>0</v>
      </c>
      <c r="O87" s="1032">
        <v>0</v>
      </c>
      <c r="P87" s="1032">
        <v>0</v>
      </c>
      <c r="Q87" s="1032">
        <v>0</v>
      </c>
      <c r="R87" s="1030">
        <v>0</v>
      </c>
      <c r="S87" s="1031">
        <v>0</v>
      </c>
    </row>
    <row r="88" spans="1:19">
      <c r="A88" s="1024" t="s">
        <v>621</v>
      </c>
      <c r="B88" s="1025" t="s">
        <v>823</v>
      </c>
      <c r="C88" s="1026" t="s">
        <v>824</v>
      </c>
      <c r="D88" s="1027" t="s">
        <v>3</v>
      </c>
      <c r="E88" s="1028">
        <v>0</v>
      </c>
      <c r="F88" s="1020">
        <f t="shared" si="1"/>
        <v>4000</v>
      </c>
      <c r="G88" s="1032">
        <v>0</v>
      </c>
      <c r="H88" s="1032">
        <v>0</v>
      </c>
      <c r="I88" s="1032">
        <v>4000</v>
      </c>
      <c r="J88" s="1032">
        <v>0</v>
      </c>
      <c r="K88" s="1028">
        <v>0</v>
      </c>
      <c r="L88" s="1032">
        <v>0</v>
      </c>
      <c r="M88" s="1032">
        <v>0</v>
      </c>
      <c r="N88" s="1032">
        <v>0</v>
      </c>
      <c r="O88" s="1036">
        <v>0</v>
      </c>
      <c r="P88" s="1032">
        <v>0</v>
      </c>
      <c r="Q88" s="1032">
        <v>0</v>
      </c>
      <c r="R88" s="1030">
        <v>0</v>
      </c>
      <c r="S88" s="1031">
        <v>0</v>
      </c>
    </row>
    <row r="89" spans="1:19">
      <c r="A89" s="1024"/>
      <c r="B89" s="1025"/>
      <c r="C89" s="1026"/>
      <c r="D89" s="1019" t="s">
        <v>401</v>
      </c>
      <c r="E89" s="1028">
        <v>0</v>
      </c>
      <c r="F89" s="1020">
        <f t="shared" si="1"/>
        <v>3950</v>
      </c>
      <c r="G89" s="1032">
        <v>0</v>
      </c>
      <c r="H89" s="1032">
        <v>0</v>
      </c>
      <c r="I89" s="1032">
        <v>3950</v>
      </c>
      <c r="J89" s="1032">
        <v>0</v>
      </c>
      <c r="K89" s="1028">
        <v>0</v>
      </c>
      <c r="L89" s="1032">
        <v>0</v>
      </c>
      <c r="M89" s="1032">
        <v>0</v>
      </c>
      <c r="N89" s="1032">
        <v>0</v>
      </c>
      <c r="O89" s="1036">
        <v>0</v>
      </c>
      <c r="P89" s="1032">
        <v>0</v>
      </c>
      <c r="Q89" s="1032">
        <v>0</v>
      </c>
      <c r="R89" s="1030">
        <v>0</v>
      </c>
      <c r="S89" s="1031">
        <v>0</v>
      </c>
    </row>
    <row r="90" spans="1:19">
      <c r="A90" s="1024" t="s">
        <v>621</v>
      </c>
      <c r="B90" s="1025" t="s">
        <v>825</v>
      </c>
      <c r="C90" s="1026" t="s">
        <v>826</v>
      </c>
      <c r="D90" s="1027" t="s">
        <v>3</v>
      </c>
      <c r="E90" s="1028">
        <v>0</v>
      </c>
      <c r="F90" s="1020">
        <f t="shared" si="1"/>
        <v>5900</v>
      </c>
      <c r="G90" s="1032">
        <v>0</v>
      </c>
      <c r="H90" s="1032">
        <v>0</v>
      </c>
      <c r="I90" s="1032">
        <v>0</v>
      </c>
      <c r="J90" s="1032">
        <v>0</v>
      </c>
      <c r="K90" s="1032">
        <v>5900</v>
      </c>
      <c r="L90" s="1032">
        <v>0</v>
      </c>
      <c r="M90" s="1032">
        <v>0</v>
      </c>
      <c r="N90" s="1032">
        <v>0</v>
      </c>
      <c r="O90" s="1032">
        <v>0</v>
      </c>
      <c r="P90" s="1032">
        <v>0</v>
      </c>
      <c r="Q90" s="1032">
        <v>0</v>
      </c>
      <c r="R90" s="1030">
        <v>0</v>
      </c>
      <c r="S90" s="1031">
        <v>0</v>
      </c>
    </row>
    <row r="91" spans="1:19">
      <c r="A91" s="1024"/>
      <c r="B91" s="1025"/>
      <c r="C91" s="1026"/>
      <c r="D91" s="1019" t="s">
        <v>401</v>
      </c>
      <c r="E91" s="1028">
        <v>0</v>
      </c>
      <c r="F91" s="1020">
        <f t="shared" si="1"/>
        <v>0</v>
      </c>
      <c r="G91" s="1032">
        <v>0</v>
      </c>
      <c r="H91" s="1032">
        <v>0</v>
      </c>
      <c r="I91" s="1032">
        <v>0</v>
      </c>
      <c r="J91" s="1032">
        <v>0</v>
      </c>
      <c r="K91" s="1032">
        <v>0</v>
      </c>
      <c r="L91" s="1032">
        <v>0</v>
      </c>
      <c r="M91" s="1032">
        <v>0</v>
      </c>
      <c r="N91" s="1032">
        <v>0</v>
      </c>
      <c r="O91" s="1032">
        <v>0</v>
      </c>
      <c r="P91" s="1032">
        <v>0</v>
      </c>
      <c r="Q91" s="1032">
        <v>0</v>
      </c>
      <c r="R91" s="1030">
        <v>0</v>
      </c>
      <c r="S91" s="1031">
        <v>0</v>
      </c>
    </row>
    <row r="92" spans="1:19">
      <c r="A92" s="1024" t="s">
        <v>627</v>
      </c>
      <c r="B92" s="1025" t="s">
        <v>827</v>
      </c>
      <c r="C92" s="1026" t="s">
        <v>828</v>
      </c>
      <c r="D92" s="1027" t="s">
        <v>3</v>
      </c>
      <c r="E92" s="1028">
        <v>42000</v>
      </c>
      <c r="F92" s="1020">
        <f t="shared" si="1"/>
        <v>63000</v>
      </c>
      <c r="G92" s="1029">
        <v>0</v>
      </c>
      <c r="H92" s="1029">
        <v>0</v>
      </c>
      <c r="I92" s="1029">
        <v>53000</v>
      </c>
      <c r="J92" s="1029">
        <v>0</v>
      </c>
      <c r="K92" s="1028">
        <v>0</v>
      </c>
      <c r="L92" s="1029">
        <v>0</v>
      </c>
      <c r="M92" s="1029">
        <v>10000</v>
      </c>
      <c r="N92" s="1029">
        <v>0</v>
      </c>
      <c r="O92" s="1029">
        <v>0</v>
      </c>
      <c r="P92" s="1029">
        <v>0</v>
      </c>
      <c r="Q92" s="1029">
        <v>0</v>
      </c>
      <c r="R92" s="1030">
        <v>0</v>
      </c>
      <c r="S92" s="1031">
        <v>0</v>
      </c>
    </row>
    <row r="93" spans="1:19">
      <c r="A93" s="1024"/>
      <c r="B93" s="1025"/>
      <c r="C93" s="1026"/>
      <c r="D93" s="1019" t="s">
        <v>401</v>
      </c>
      <c r="E93" s="1028">
        <v>42000</v>
      </c>
      <c r="F93" s="1020">
        <f t="shared" si="1"/>
        <v>63000</v>
      </c>
      <c r="G93" s="1029">
        <v>0</v>
      </c>
      <c r="H93" s="1029">
        <v>0</v>
      </c>
      <c r="I93" s="1029">
        <v>53000</v>
      </c>
      <c r="J93" s="1029">
        <v>0</v>
      </c>
      <c r="K93" s="1028">
        <v>0</v>
      </c>
      <c r="L93" s="1029">
        <v>0</v>
      </c>
      <c r="M93" s="1029">
        <v>10000</v>
      </c>
      <c r="N93" s="1029">
        <v>0</v>
      </c>
      <c r="O93" s="1029">
        <v>0</v>
      </c>
      <c r="P93" s="1029">
        <v>0</v>
      </c>
      <c r="Q93" s="1029">
        <v>0</v>
      </c>
      <c r="R93" s="1030">
        <v>0</v>
      </c>
      <c r="S93" s="1031">
        <v>0</v>
      </c>
    </row>
    <row r="94" spans="1:19">
      <c r="A94" s="1024" t="s">
        <v>627</v>
      </c>
      <c r="B94" s="1025" t="s">
        <v>829</v>
      </c>
      <c r="C94" s="1026" t="s">
        <v>830</v>
      </c>
      <c r="D94" s="1027" t="s">
        <v>3</v>
      </c>
      <c r="E94" s="1028">
        <v>0</v>
      </c>
      <c r="F94" s="1020">
        <f t="shared" si="1"/>
        <v>10000</v>
      </c>
      <c r="G94" s="1032">
        <v>0</v>
      </c>
      <c r="H94" s="1032">
        <v>0</v>
      </c>
      <c r="I94" s="1032">
        <v>0</v>
      </c>
      <c r="J94" s="1032">
        <v>0</v>
      </c>
      <c r="K94" s="1032">
        <v>10000</v>
      </c>
      <c r="L94" s="1032">
        <v>0</v>
      </c>
      <c r="M94" s="1032">
        <v>0</v>
      </c>
      <c r="N94" s="1032">
        <v>0</v>
      </c>
      <c r="O94" s="1032">
        <v>0</v>
      </c>
      <c r="P94" s="1032">
        <v>0</v>
      </c>
      <c r="Q94" s="1032">
        <v>0</v>
      </c>
      <c r="R94" s="1030">
        <v>0</v>
      </c>
      <c r="S94" s="1031">
        <v>0</v>
      </c>
    </row>
    <row r="95" spans="1:19">
      <c r="A95" s="1024"/>
      <c r="B95" s="1025"/>
      <c r="C95" s="1026"/>
      <c r="D95" s="1019" t="s">
        <v>401</v>
      </c>
      <c r="E95" s="1028">
        <v>0</v>
      </c>
      <c r="F95" s="1020">
        <f t="shared" si="1"/>
        <v>0</v>
      </c>
      <c r="G95" s="1032">
        <v>0</v>
      </c>
      <c r="H95" s="1032">
        <v>0</v>
      </c>
      <c r="I95" s="1032">
        <v>0</v>
      </c>
      <c r="J95" s="1032">
        <v>0</v>
      </c>
      <c r="K95" s="1032">
        <v>0</v>
      </c>
      <c r="L95" s="1032">
        <v>0</v>
      </c>
      <c r="M95" s="1032">
        <v>0</v>
      </c>
      <c r="N95" s="1032">
        <v>0</v>
      </c>
      <c r="O95" s="1032">
        <v>0</v>
      </c>
      <c r="P95" s="1032">
        <v>0</v>
      </c>
      <c r="Q95" s="1032">
        <v>0</v>
      </c>
      <c r="R95" s="1030">
        <v>0</v>
      </c>
      <c r="S95" s="1031">
        <v>0</v>
      </c>
    </row>
    <row r="96" spans="1:19">
      <c r="A96" s="1024" t="s">
        <v>627</v>
      </c>
      <c r="B96" s="1025" t="s">
        <v>831</v>
      </c>
      <c r="C96" s="1026" t="s">
        <v>832</v>
      </c>
      <c r="D96" s="1027" t="s">
        <v>3</v>
      </c>
      <c r="E96" s="1028">
        <v>0</v>
      </c>
      <c r="F96" s="1020">
        <f t="shared" si="1"/>
        <v>52844</v>
      </c>
      <c r="G96" s="1032">
        <v>600</v>
      </c>
      <c r="H96" s="1032">
        <v>244</v>
      </c>
      <c r="I96" s="1032">
        <v>0</v>
      </c>
      <c r="J96" s="1032">
        <v>0</v>
      </c>
      <c r="K96" s="1032">
        <v>52000</v>
      </c>
      <c r="L96" s="1032">
        <v>0</v>
      </c>
      <c r="M96" s="1032">
        <v>0</v>
      </c>
      <c r="N96" s="1032">
        <v>0</v>
      </c>
      <c r="O96" s="1032">
        <v>0</v>
      </c>
      <c r="P96" s="1032">
        <v>0</v>
      </c>
      <c r="Q96" s="1032">
        <v>0</v>
      </c>
      <c r="R96" s="1030">
        <v>0</v>
      </c>
      <c r="S96" s="1031">
        <v>0</v>
      </c>
    </row>
    <row r="97" spans="1:19">
      <c r="A97" s="1024"/>
      <c r="B97" s="1025"/>
      <c r="C97" s="1026"/>
      <c r="D97" s="1019" t="s">
        <v>401</v>
      </c>
      <c r="E97" s="1028">
        <v>0</v>
      </c>
      <c r="F97" s="1020">
        <f t="shared" si="1"/>
        <v>68744</v>
      </c>
      <c r="G97" s="1032">
        <v>600</v>
      </c>
      <c r="H97" s="1032">
        <v>244</v>
      </c>
      <c r="I97" s="1032">
        <v>6900</v>
      </c>
      <c r="J97" s="1032">
        <v>0</v>
      </c>
      <c r="K97" s="1032">
        <v>61000</v>
      </c>
      <c r="L97" s="1032">
        <v>0</v>
      </c>
      <c r="M97" s="1032">
        <v>0</v>
      </c>
      <c r="N97" s="1032">
        <v>0</v>
      </c>
      <c r="O97" s="1032">
        <v>0</v>
      </c>
      <c r="P97" s="1032">
        <v>0</v>
      </c>
      <c r="Q97" s="1032">
        <v>0</v>
      </c>
      <c r="R97" s="1030">
        <v>0</v>
      </c>
      <c r="S97" s="1031">
        <v>0</v>
      </c>
    </row>
    <row r="98" spans="1:19">
      <c r="A98" s="1024" t="s">
        <v>612</v>
      </c>
      <c r="B98" s="1025" t="s">
        <v>833</v>
      </c>
      <c r="C98" s="1026" t="s">
        <v>834</v>
      </c>
      <c r="D98" s="1027" t="s">
        <v>3</v>
      </c>
      <c r="E98" s="1028">
        <v>0</v>
      </c>
      <c r="F98" s="1020">
        <f t="shared" si="1"/>
        <v>158112</v>
      </c>
      <c r="G98" s="1032">
        <v>0</v>
      </c>
      <c r="H98" s="1032">
        <v>0</v>
      </c>
      <c r="I98" s="1032">
        <v>7045</v>
      </c>
      <c r="J98" s="1032">
        <v>0</v>
      </c>
      <c r="K98" s="1032">
        <v>0</v>
      </c>
      <c r="L98" s="1032">
        <v>0</v>
      </c>
      <c r="M98" s="1032">
        <v>0</v>
      </c>
      <c r="N98" s="1032">
        <v>0</v>
      </c>
      <c r="O98" s="1032">
        <v>0</v>
      </c>
      <c r="P98" s="1032">
        <v>0</v>
      </c>
      <c r="Q98" s="1032">
        <v>151067</v>
      </c>
      <c r="R98" s="1030">
        <v>0</v>
      </c>
      <c r="S98" s="1031">
        <v>0</v>
      </c>
    </row>
    <row r="99" spans="1:19">
      <c r="A99" s="1024"/>
      <c r="B99" s="1025"/>
      <c r="C99" s="1026"/>
      <c r="D99" s="1019" t="s">
        <v>401</v>
      </c>
      <c r="E99" s="1028">
        <v>1500000</v>
      </c>
      <c r="F99" s="1020">
        <f t="shared" si="1"/>
        <v>1658112</v>
      </c>
      <c r="G99" s="1032">
        <v>0</v>
      </c>
      <c r="H99" s="1032">
        <v>0</v>
      </c>
      <c r="I99" s="1032">
        <v>7045</v>
      </c>
      <c r="J99" s="1032">
        <v>0</v>
      </c>
      <c r="K99" s="1032">
        <v>0</v>
      </c>
      <c r="L99" s="1032">
        <v>0</v>
      </c>
      <c r="M99" s="1032">
        <v>0</v>
      </c>
      <c r="N99" s="1032">
        <v>0</v>
      </c>
      <c r="O99" s="1032">
        <v>0</v>
      </c>
      <c r="P99" s="1032">
        <v>0</v>
      </c>
      <c r="Q99" s="1032">
        <v>1651067</v>
      </c>
      <c r="R99" s="1030"/>
      <c r="S99" s="1031"/>
    </row>
    <row r="100" spans="1:19">
      <c r="A100" s="1024" t="s">
        <v>612</v>
      </c>
      <c r="B100" s="1025" t="s">
        <v>835</v>
      </c>
      <c r="C100" s="1026" t="s">
        <v>836</v>
      </c>
      <c r="D100" s="1027" t="s">
        <v>3</v>
      </c>
      <c r="E100" s="1028">
        <v>0</v>
      </c>
      <c r="F100" s="1020">
        <f t="shared" si="1"/>
        <v>165000</v>
      </c>
      <c r="G100" s="1032">
        <v>0</v>
      </c>
      <c r="H100" s="1032">
        <v>0</v>
      </c>
      <c r="I100" s="1032">
        <v>0</v>
      </c>
      <c r="J100" s="1032">
        <v>0</v>
      </c>
      <c r="K100" s="1032">
        <v>0</v>
      </c>
      <c r="L100" s="1032">
        <v>115000</v>
      </c>
      <c r="M100" s="1032">
        <v>0</v>
      </c>
      <c r="N100" s="1032">
        <v>0</v>
      </c>
      <c r="O100" s="1032">
        <v>0</v>
      </c>
      <c r="P100" s="1032">
        <v>50000</v>
      </c>
      <c r="Q100" s="1032">
        <v>0</v>
      </c>
      <c r="R100" s="1030">
        <v>0</v>
      </c>
      <c r="S100" s="1031">
        <v>0</v>
      </c>
    </row>
    <row r="101" spans="1:19">
      <c r="A101" s="1024"/>
      <c r="B101" s="1025"/>
      <c r="C101" s="1026"/>
      <c r="D101" s="1019" t="s">
        <v>401</v>
      </c>
      <c r="E101" s="1028"/>
      <c r="F101" s="1020">
        <f t="shared" si="1"/>
        <v>136368</v>
      </c>
      <c r="G101" s="1032">
        <v>0</v>
      </c>
      <c r="H101" s="1032"/>
      <c r="I101" s="1032">
        <v>0</v>
      </c>
      <c r="J101" s="1032">
        <v>0</v>
      </c>
      <c r="K101" s="1032">
        <v>0</v>
      </c>
      <c r="L101" s="1032">
        <v>101368</v>
      </c>
      <c r="M101" s="1032">
        <v>0</v>
      </c>
      <c r="N101" s="1032">
        <v>0</v>
      </c>
      <c r="O101" s="1032">
        <v>0</v>
      </c>
      <c r="P101" s="1032">
        <v>35000</v>
      </c>
      <c r="Q101" s="1032">
        <v>0</v>
      </c>
      <c r="R101" s="1030">
        <v>0</v>
      </c>
      <c r="S101" s="1031">
        <v>0</v>
      </c>
    </row>
    <row r="102" spans="1:19">
      <c r="A102" s="1024" t="s">
        <v>627</v>
      </c>
      <c r="B102" s="1025" t="s">
        <v>837</v>
      </c>
      <c r="C102" s="1026" t="s">
        <v>838</v>
      </c>
      <c r="D102" s="1027" t="s">
        <v>3</v>
      </c>
      <c r="E102" s="1028">
        <v>2045000</v>
      </c>
      <c r="F102" s="1020">
        <f t="shared" si="1"/>
        <v>0</v>
      </c>
      <c r="G102" s="1032">
        <v>0</v>
      </c>
      <c r="H102" s="1032">
        <v>0</v>
      </c>
      <c r="I102" s="1032">
        <v>0</v>
      </c>
      <c r="J102" s="1032">
        <v>0</v>
      </c>
      <c r="K102" s="1032">
        <v>0</v>
      </c>
      <c r="L102" s="1032">
        <v>0</v>
      </c>
      <c r="M102" s="1032">
        <v>0</v>
      </c>
      <c r="N102" s="1032">
        <v>0</v>
      </c>
      <c r="O102" s="1032">
        <v>0</v>
      </c>
      <c r="P102" s="1032">
        <v>0</v>
      </c>
      <c r="Q102" s="1032">
        <v>0</v>
      </c>
      <c r="R102" s="1030">
        <v>0</v>
      </c>
      <c r="S102" s="1031">
        <v>0</v>
      </c>
    </row>
    <row r="103" spans="1:19">
      <c r="A103" s="1024"/>
      <c r="B103" s="1039"/>
      <c r="C103" s="1040"/>
      <c r="D103" s="1019" t="s">
        <v>401</v>
      </c>
      <c r="E103" s="1028">
        <v>2045000</v>
      </c>
      <c r="F103" s="1020">
        <f t="shared" si="1"/>
        <v>0</v>
      </c>
      <c r="G103" s="1032">
        <v>0</v>
      </c>
      <c r="H103" s="1032">
        <v>0</v>
      </c>
      <c r="I103" s="1032">
        <v>0</v>
      </c>
      <c r="J103" s="1032">
        <v>0</v>
      </c>
      <c r="K103" s="1032">
        <v>0</v>
      </c>
      <c r="L103" s="1032">
        <v>0</v>
      </c>
      <c r="M103" s="1032">
        <v>0</v>
      </c>
      <c r="N103" s="1032">
        <v>0</v>
      </c>
      <c r="O103" s="1032">
        <v>0</v>
      </c>
      <c r="P103" s="1032">
        <v>0</v>
      </c>
      <c r="Q103" s="1032">
        <v>0</v>
      </c>
      <c r="R103" s="1030">
        <v>0</v>
      </c>
      <c r="S103" s="1031">
        <v>0</v>
      </c>
    </row>
    <row r="104" spans="1:19">
      <c r="A104" s="1041"/>
      <c r="B104" s="1178" t="s">
        <v>61</v>
      </c>
      <c r="C104" s="1179"/>
      <c r="D104" s="1042" t="s">
        <v>3</v>
      </c>
      <c r="E104" s="1043">
        <f>SUM(E6+E8+E10+E12+E14+E18+E20+E22+E24+E26+E28+E30+E32+E34+E36+E38+E40+E42+E44+E46+E48+E50+E52+E54+E56+E58+E60+E62+E64+E66+E68+E72+E74+E76+E78+E80+E82+E84+E86+E88+E90+E92+E94+E96+E98+E100+E102)</f>
        <v>7277890</v>
      </c>
      <c r="F104" s="1043">
        <f t="shared" ref="F104:S104" si="2">SUM(F6+F8+F10+F12+F14+F18+F20+F22+F24+F26+F28+F30+F32+F34+F36+F38+F40+F42+F44+F46+F48+F50+F52+F54+F56+F58+F60+F62+F64+F66+F68+F72+F74+F76+F78+F80+F82+F84+F86+F88+F90+F92+F94+F96+F98+F100+F102)</f>
        <v>7277890</v>
      </c>
      <c r="G104" s="1043">
        <f t="shared" si="2"/>
        <v>215364</v>
      </c>
      <c r="H104" s="1043">
        <f t="shared" si="2"/>
        <v>41189</v>
      </c>
      <c r="I104" s="1043">
        <f t="shared" si="2"/>
        <v>1344936</v>
      </c>
      <c r="J104" s="1043">
        <f t="shared" si="2"/>
        <v>974152</v>
      </c>
      <c r="K104" s="1043">
        <f t="shared" si="2"/>
        <v>67900</v>
      </c>
      <c r="L104" s="1043">
        <f t="shared" si="2"/>
        <v>115000</v>
      </c>
      <c r="M104" s="1043">
        <f t="shared" si="2"/>
        <v>500095</v>
      </c>
      <c r="N104" s="1043">
        <f t="shared" si="2"/>
        <v>1833212</v>
      </c>
      <c r="O104" s="1043">
        <f t="shared" si="2"/>
        <v>6000</v>
      </c>
      <c r="P104" s="1043">
        <f t="shared" si="2"/>
        <v>50000</v>
      </c>
      <c r="Q104" s="1043">
        <f t="shared" si="2"/>
        <v>186067</v>
      </c>
      <c r="R104" s="1043">
        <f t="shared" si="2"/>
        <v>1943975</v>
      </c>
      <c r="S104" s="1044">
        <f t="shared" si="2"/>
        <v>0</v>
      </c>
    </row>
    <row r="105" spans="1:19">
      <c r="A105" s="1041"/>
      <c r="B105" s="1045"/>
      <c r="C105" s="1046"/>
      <c r="D105" s="1047" t="s">
        <v>401</v>
      </c>
      <c r="E105" s="1043">
        <f>SUM(E7+E9+E11+E13+E15+E19+E21+E23+E25+E27+E29+E31+E33+E35+E37+E39+E41+E43+E45+E47+E49+E51+E53+E55+E57+E59+E61+E63+E65+E67+E69+E73+E75+E77+E79+E81+E83+E85+E87+E89+E91+E93+E95+E97+E99+E101+E103)</f>
        <v>10236177</v>
      </c>
      <c r="F105" s="1043">
        <f>SUM(F7+F9+F11+F13+F15+F19+F21+F23+F25+F27+F29+F31+F33+F35+F37+F39+F41+F43+F45+F47+F49+F51+F53+F55+F57+F59+F61+F63+F65+F67+F69+F73+F75+F77+F79+F81+F83+F85+F87+F89+F91+F93+F95+F97+F99+F101+F103+F71+F17)</f>
        <v>10236177</v>
      </c>
      <c r="G105" s="1043">
        <f t="shared" ref="G105:S105" si="3">SUM(G7+G9+G11+G13+G15+G19+G21+G23+G25+G27+G29+G31+G33+G35+G37+G39+G41+G43+G45+G47+G49+G51+G53+G55+G57+G59+G61+G63+G65+G67+G69+G73+G75+G77+G79+G81+G83+G85+G87+G89+G91+G93+G95+G97+G99+G101+G103)</f>
        <v>370114</v>
      </c>
      <c r="H105" s="1043">
        <f t="shared" si="3"/>
        <v>76726</v>
      </c>
      <c r="I105" s="1043">
        <f t="shared" si="3"/>
        <v>1760615</v>
      </c>
      <c r="J105" s="1043">
        <f t="shared" si="3"/>
        <v>1025445</v>
      </c>
      <c r="K105" s="1043">
        <f t="shared" si="3"/>
        <v>61000</v>
      </c>
      <c r="L105" s="1043">
        <f t="shared" si="3"/>
        <v>101368</v>
      </c>
      <c r="M105" s="1043">
        <f t="shared" si="3"/>
        <v>665045</v>
      </c>
      <c r="N105" s="1043">
        <f t="shared" si="3"/>
        <v>2476251</v>
      </c>
      <c r="O105" s="1043">
        <f t="shared" si="3"/>
        <v>6200</v>
      </c>
      <c r="P105" s="1043">
        <f t="shared" si="3"/>
        <v>35000</v>
      </c>
      <c r="Q105" s="1043">
        <f t="shared" si="3"/>
        <v>1686067</v>
      </c>
      <c r="R105" s="1043">
        <f t="shared" si="3"/>
        <v>1954346</v>
      </c>
      <c r="S105" s="1044">
        <f t="shared" si="3"/>
        <v>0</v>
      </c>
    </row>
    <row r="106" spans="1:19">
      <c r="A106" s="1024"/>
      <c r="B106" s="1176" t="s">
        <v>638</v>
      </c>
      <c r="C106" s="1177"/>
      <c r="D106" s="1048" t="s">
        <v>3</v>
      </c>
      <c r="E106" s="1049">
        <f>SUM(E12,E14,E32,E34,E36,E38,E40,E42,E46,E48,E50,E54,E56,E58,E60,E62,E64,E66,E78,E92,E94,E96,E102)+E68+E70+E16</f>
        <v>4425843</v>
      </c>
      <c r="F106" s="1049">
        <f>SUM(F12,F14,F32,F34,F36,F38,F40,F42,F46,F48,F50,F54,F56,F58,F60,F62,F64,F66,F78,F92,F94,F96,F102)+F68+F70+F16</f>
        <v>3559428</v>
      </c>
      <c r="G106" s="1049">
        <f t="shared" ref="G106:S107" si="4">SUM(G12,G14,G32,G34,G36,G38,G40,G42,G46,G48,G50,G54,G56,G58,G60,G62,G64,G66,G78,G92,G94,G96,G102)+G68</f>
        <v>121831</v>
      </c>
      <c r="H106" s="1049">
        <f t="shared" si="4"/>
        <v>17552</v>
      </c>
      <c r="I106" s="1049">
        <f t="shared" si="4"/>
        <v>658470</v>
      </c>
      <c r="J106" s="1049">
        <f t="shared" si="4"/>
        <v>437928</v>
      </c>
      <c r="K106" s="1049">
        <f t="shared" si="4"/>
        <v>62000</v>
      </c>
      <c r="L106" s="1049">
        <f t="shared" si="4"/>
        <v>0</v>
      </c>
      <c r="M106" s="1049">
        <f t="shared" si="4"/>
        <v>495095</v>
      </c>
      <c r="N106" s="1049">
        <f t="shared" si="4"/>
        <v>1760552</v>
      </c>
      <c r="O106" s="1049">
        <f t="shared" si="4"/>
        <v>6000</v>
      </c>
      <c r="P106" s="1049">
        <f t="shared" si="4"/>
        <v>0</v>
      </c>
      <c r="Q106" s="1049">
        <f t="shared" si="4"/>
        <v>0</v>
      </c>
      <c r="R106" s="1049">
        <f t="shared" si="4"/>
        <v>0</v>
      </c>
      <c r="S106" s="1050">
        <f t="shared" si="4"/>
        <v>0</v>
      </c>
    </row>
    <row r="107" spans="1:19">
      <c r="A107" s="1024"/>
      <c r="B107" s="1051"/>
      <c r="C107" s="1052"/>
      <c r="D107" s="1019" t="s">
        <v>401</v>
      </c>
      <c r="E107" s="1049">
        <f>SUM(E13,E15,E33,E35,E37,E39,E41,E43,E47,E49,E51,E55,E57,E59,E61,E63,E65,E67,E79,E93,E95,E97,E103)+E69+E71+E17</f>
        <v>6136583</v>
      </c>
      <c r="F107" s="1049">
        <f>SUM(F13,F15,F33,F35,F37,F39,F41,F43,F47,F49,F51,F55,F57,F59,F61,F63,F65,F67,F79,F93,F95,F97,F103)+F69+F71+F17</f>
        <v>5144167</v>
      </c>
      <c r="G107" s="1049">
        <f t="shared" si="4"/>
        <v>278277</v>
      </c>
      <c r="H107" s="1049">
        <f t="shared" si="4"/>
        <v>53708</v>
      </c>
      <c r="I107" s="1049">
        <f t="shared" si="4"/>
        <v>1155319</v>
      </c>
      <c r="J107" s="1049">
        <f t="shared" si="4"/>
        <v>437928</v>
      </c>
      <c r="K107" s="1049">
        <f t="shared" si="4"/>
        <v>61000</v>
      </c>
      <c r="L107" s="1049">
        <f t="shared" si="4"/>
        <v>0</v>
      </c>
      <c r="M107" s="1049">
        <f t="shared" si="4"/>
        <v>660045</v>
      </c>
      <c r="N107" s="1049">
        <f t="shared" si="4"/>
        <v>2473890</v>
      </c>
      <c r="O107" s="1049">
        <f t="shared" si="4"/>
        <v>6000</v>
      </c>
      <c r="P107" s="1049">
        <f t="shared" si="4"/>
        <v>0</v>
      </c>
      <c r="Q107" s="1049">
        <f t="shared" si="4"/>
        <v>0</v>
      </c>
      <c r="R107" s="1049">
        <f t="shared" si="4"/>
        <v>0</v>
      </c>
      <c r="S107" s="1050">
        <f t="shared" si="4"/>
        <v>0</v>
      </c>
    </row>
    <row r="108" spans="1:19">
      <c r="A108" s="1024"/>
      <c r="B108" s="1176" t="s">
        <v>639</v>
      </c>
      <c r="C108" s="1177"/>
      <c r="D108" s="1048" t="s">
        <v>3</v>
      </c>
      <c r="E108" s="1049">
        <f t="shared" ref="E108:S109" si="5">SUM(E10,E18,E20,E22,E24,E44,E52,E72,E74,E76,E80,E82,E84,E86,E88,E90,)</f>
        <v>2958</v>
      </c>
      <c r="F108" s="1049">
        <f t="shared" si="5"/>
        <v>234977</v>
      </c>
      <c r="G108" s="1049">
        <f t="shared" si="5"/>
        <v>20146</v>
      </c>
      <c r="H108" s="1049">
        <f t="shared" si="5"/>
        <v>7249</v>
      </c>
      <c r="I108" s="1049">
        <f t="shared" si="5"/>
        <v>32238</v>
      </c>
      <c r="J108" s="1049">
        <f t="shared" si="5"/>
        <v>169444</v>
      </c>
      <c r="K108" s="1049">
        <f t="shared" si="5"/>
        <v>5900</v>
      </c>
      <c r="L108" s="1049">
        <f t="shared" si="5"/>
        <v>0</v>
      </c>
      <c r="M108" s="1049">
        <f t="shared" si="5"/>
        <v>0</v>
      </c>
      <c r="N108" s="1049">
        <f t="shared" si="5"/>
        <v>0</v>
      </c>
      <c r="O108" s="1049">
        <f t="shared" si="5"/>
        <v>0</v>
      </c>
      <c r="P108" s="1049">
        <f t="shared" si="5"/>
        <v>0</v>
      </c>
      <c r="Q108" s="1049">
        <f t="shared" si="5"/>
        <v>0</v>
      </c>
      <c r="R108" s="1049">
        <f t="shared" si="5"/>
        <v>0</v>
      </c>
      <c r="S108" s="1050">
        <f t="shared" si="5"/>
        <v>0</v>
      </c>
    </row>
    <row r="109" spans="1:19">
      <c r="A109" s="1024"/>
      <c r="B109" s="1051"/>
      <c r="C109" s="1052"/>
      <c r="D109" s="1019" t="s">
        <v>401</v>
      </c>
      <c r="E109" s="1049">
        <f t="shared" si="5"/>
        <v>17958</v>
      </c>
      <c r="F109" s="1049">
        <f t="shared" si="5"/>
        <v>246135</v>
      </c>
      <c r="G109" s="1049">
        <f t="shared" si="5"/>
        <v>19896</v>
      </c>
      <c r="H109" s="1049">
        <f t="shared" si="5"/>
        <v>7249</v>
      </c>
      <c r="I109" s="1049">
        <f t="shared" si="5"/>
        <v>33316</v>
      </c>
      <c r="J109" s="1049">
        <f t="shared" si="5"/>
        <v>185464</v>
      </c>
      <c r="K109" s="1049">
        <f t="shared" si="5"/>
        <v>0</v>
      </c>
      <c r="L109" s="1049">
        <f t="shared" si="5"/>
        <v>0</v>
      </c>
      <c r="M109" s="1049">
        <f t="shared" si="5"/>
        <v>0</v>
      </c>
      <c r="N109" s="1049">
        <f t="shared" si="5"/>
        <v>10</v>
      </c>
      <c r="O109" s="1049">
        <f t="shared" si="5"/>
        <v>200</v>
      </c>
      <c r="P109" s="1049">
        <f t="shared" si="5"/>
        <v>0</v>
      </c>
      <c r="Q109" s="1049">
        <f t="shared" si="5"/>
        <v>0</v>
      </c>
      <c r="R109" s="1049">
        <f t="shared" si="5"/>
        <v>0</v>
      </c>
      <c r="S109" s="1050">
        <f t="shared" si="5"/>
        <v>0</v>
      </c>
    </row>
    <row r="110" spans="1:19">
      <c r="A110" s="1024"/>
      <c r="B110" s="1176" t="s">
        <v>640</v>
      </c>
      <c r="C110" s="1177"/>
      <c r="D110" s="1048" t="s">
        <v>3</v>
      </c>
      <c r="E110" s="1049">
        <f t="shared" ref="E110:S111" si="6">SUM(E6,E8,E26,E28,E30,E98,E100)</f>
        <v>2849089</v>
      </c>
      <c r="F110" s="1049">
        <f t="shared" si="6"/>
        <v>3483485</v>
      </c>
      <c r="G110" s="1049">
        <f t="shared" si="6"/>
        <v>73387</v>
      </c>
      <c r="H110" s="1049">
        <f t="shared" si="6"/>
        <v>16388</v>
      </c>
      <c r="I110" s="1049">
        <f t="shared" si="6"/>
        <v>654228</v>
      </c>
      <c r="J110" s="1049">
        <f t="shared" si="6"/>
        <v>366780</v>
      </c>
      <c r="K110" s="1049">
        <f t="shared" si="6"/>
        <v>0</v>
      </c>
      <c r="L110" s="1049">
        <f t="shared" si="6"/>
        <v>115000</v>
      </c>
      <c r="M110" s="1049">
        <f t="shared" si="6"/>
        <v>5000</v>
      </c>
      <c r="N110" s="1049">
        <f t="shared" si="6"/>
        <v>72660</v>
      </c>
      <c r="O110" s="1049">
        <f t="shared" si="6"/>
        <v>0</v>
      </c>
      <c r="P110" s="1049">
        <f t="shared" si="6"/>
        <v>50000</v>
      </c>
      <c r="Q110" s="1049">
        <f t="shared" si="6"/>
        <v>186067</v>
      </c>
      <c r="R110" s="1049">
        <f t="shared" si="6"/>
        <v>1943975</v>
      </c>
      <c r="S110" s="1050">
        <f t="shared" si="6"/>
        <v>0</v>
      </c>
    </row>
    <row r="111" spans="1:19" ht="13.5" thickBot="1">
      <c r="A111" s="1053"/>
      <c r="B111" s="1054"/>
      <c r="C111" s="1055"/>
      <c r="D111" s="1056" t="s">
        <v>401</v>
      </c>
      <c r="E111" s="1057">
        <f t="shared" si="6"/>
        <v>4081636</v>
      </c>
      <c r="F111" s="1057">
        <f t="shared" si="6"/>
        <v>4845875</v>
      </c>
      <c r="G111" s="1057">
        <f t="shared" si="6"/>
        <v>71941</v>
      </c>
      <c r="H111" s="1057">
        <f t="shared" si="6"/>
        <v>15769</v>
      </c>
      <c r="I111" s="1057">
        <f t="shared" si="6"/>
        <v>571980</v>
      </c>
      <c r="J111" s="1057">
        <f t="shared" si="6"/>
        <v>402053</v>
      </c>
      <c r="K111" s="1057">
        <f t="shared" si="6"/>
        <v>0</v>
      </c>
      <c r="L111" s="1057">
        <f t="shared" si="6"/>
        <v>101368</v>
      </c>
      <c r="M111" s="1057">
        <f t="shared" si="6"/>
        <v>5000</v>
      </c>
      <c r="N111" s="1057">
        <f t="shared" si="6"/>
        <v>2351</v>
      </c>
      <c r="O111" s="1057">
        <f t="shared" si="6"/>
        <v>0</v>
      </c>
      <c r="P111" s="1057">
        <f t="shared" si="6"/>
        <v>35000</v>
      </c>
      <c r="Q111" s="1057">
        <f t="shared" si="6"/>
        <v>1686067</v>
      </c>
      <c r="R111" s="1057">
        <f t="shared" si="6"/>
        <v>1954346</v>
      </c>
      <c r="S111" s="1058">
        <f t="shared" si="6"/>
        <v>0</v>
      </c>
    </row>
  </sheetData>
  <mergeCells count="25">
    <mergeCell ref="B106:C106"/>
    <mergeCell ref="B108:C108"/>
    <mergeCell ref="B110:C110"/>
    <mergeCell ref="N4:N5"/>
    <mergeCell ref="O4:O5"/>
    <mergeCell ref="B104:C104"/>
    <mergeCell ref="H4:H5"/>
    <mergeCell ref="I4:I5"/>
    <mergeCell ref="J4:J5"/>
    <mergeCell ref="K4:K5"/>
    <mergeCell ref="B1:S1"/>
    <mergeCell ref="A2:S2"/>
    <mergeCell ref="A3:D5"/>
    <mergeCell ref="E3:E5"/>
    <mergeCell ref="F3:F5"/>
    <mergeCell ref="G3:L3"/>
    <mergeCell ref="M3:P3"/>
    <mergeCell ref="Q3:R3"/>
    <mergeCell ref="S3:S5"/>
    <mergeCell ref="G4:G5"/>
    <mergeCell ref="P4:P5"/>
    <mergeCell ref="Q4:Q5"/>
    <mergeCell ref="R4:R5"/>
    <mergeCell ref="L4:L5"/>
    <mergeCell ref="M4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&amp;L 5. melléklet a 8/2018.(IV.25.) önkormányzati rendelethez
 5 melléklet a 27/2017. (XII.21.)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view="pageLayout" zoomScale="50" zoomScaleNormal="50" zoomScaleSheetLayoutView="50" zoomScalePageLayoutView="50" workbookViewId="0">
      <selection activeCell="B1" sqref="B1:C1"/>
    </sheetView>
  </sheetViews>
  <sheetFormatPr defaultRowHeight="12.75"/>
  <cols>
    <col min="1" max="1" width="23" bestFit="1" customWidth="1"/>
    <col min="2" max="2" width="13.85546875" bestFit="1" customWidth="1"/>
    <col min="3" max="3" width="128.7109375" customWidth="1"/>
    <col min="4" max="4" width="21.85546875" bestFit="1" customWidth="1"/>
    <col min="5" max="6" width="14.140625" bestFit="1" customWidth="1"/>
    <col min="7" max="7" width="23.5703125" customWidth="1"/>
    <col min="8" max="8" width="17.28515625" customWidth="1"/>
    <col min="9" max="9" width="13" bestFit="1" customWidth="1"/>
    <col min="14" max="14" width="18.140625" bestFit="1" customWidth="1"/>
    <col min="15" max="15" width="17.28515625" bestFit="1" customWidth="1"/>
    <col min="16" max="16" width="18.140625" bestFit="1" customWidth="1"/>
    <col min="17" max="17" width="17.5703125" customWidth="1"/>
    <col min="18" max="18" width="21.28515625" customWidth="1"/>
  </cols>
  <sheetData>
    <row r="1" spans="1:18" ht="23.25">
      <c r="A1" s="727"/>
      <c r="B1" s="1180">
        <v>2</v>
      </c>
      <c r="C1" s="1180"/>
      <c r="D1" s="728"/>
      <c r="E1" s="729"/>
      <c r="F1" s="727"/>
      <c r="G1" s="727"/>
      <c r="H1" s="727"/>
      <c r="I1" s="727"/>
      <c r="J1" s="727"/>
      <c r="K1" s="727"/>
      <c r="L1" s="727"/>
      <c r="M1" s="727"/>
      <c r="N1" s="727"/>
      <c r="O1" s="730"/>
      <c r="P1" s="727"/>
      <c r="Q1" s="727"/>
      <c r="R1" s="727"/>
    </row>
    <row r="2" spans="1:18" ht="23.25">
      <c r="A2" s="727"/>
      <c r="B2" s="731"/>
      <c r="C2" s="727"/>
      <c r="D2" s="728"/>
      <c r="E2" s="729"/>
      <c r="F2" s="727"/>
      <c r="G2" s="727"/>
      <c r="H2" s="727"/>
      <c r="I2" s="727"/>
      <c r="J2" s="727"/>
      <c r="K2" s="727"/>
      <c r="L2" s="727"/>
      <c r="M2" s="727"/>
      <c r="N2" s="727"/>
      <c r="O2" s="730"/>
      <c r="P2" s="727"/>
      <c r="Q2" s="727"/>
      <c r="R2" s="727"/>
    </row>
    <row r="3" spans="1:18" ht="25.5" customHeight="1">
      <c r="A3" s="727"/>
      <c r="B3" s="1181" t="s">
        <v>603</v>
      </c>
      <c r="C3" s="1181"/>
      <c r="D3" s="1181"/>
      <c r="E3" s="1181"/>
      <c r="F3" s="1181"/>
      <c r="G3" s="1181"/>
      <c r="H3" s="1181"/>
      <c r="I3" s="1181"/>
      <c r="J3" s="1181"/>
      <c r="K3" s="1181"/>
      <c r="L3" s="1181"/>
      <c r="M3" s="1181"/>
      <c r="N3" s="1181"/>
      <c r="O3" s="1181"/>
      <c r="P3" s="1181"/>
      <c r="Q3" s="1181"/>
      <c r="R3" s="1181"/>
    </row>
    <row r="4" spans="1:18" ht="25.5">
      <c r="A4" s="727"/>
      <c r="B4" s="732"/>
      <c r="C4" s="733"/>
      <c r="D4" s="733"/>
      <c r="E4" s="734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</row>
    <row r="5" spans="1:18" ht="23.25">
      <c r="A5" s="727"/>
      <c r="B5" s="731"/>
      <c r="C5" s="727"/>
      <c r="D5" s="728"/>
      <c r="E5" s="729"/>
      <c r="F5" s="727"/>
      <c r="G5" s="727"/>
      <c r="H5" s="727"/>
      <c r="I5" s="727"/>
      <c r="J5" s="727"/>
      <c r="K5" s="727"/>
      <c r="L5" s="727"/>
      <c r="M5" s="727"/>
      <c r="N5" s="728"/>
      <c r="O5" s="735"/>
      <c r="P5" s="735"/>
      <c r="Q5" s="735"/>
      <c r="R5" s="735"/>
    </row>
    <row r="6" spans="1:18" ht="22.5">
      <c r="A6" s="1182" t="s">
        <v>2</v>
      </c>
      <c r="B6" s="1182"/>
      <c r="C6" s="1182"/>
      <c r="D6" s="1182"/>
      <c r="E6" s="1183" t="s">
        <v>96</v>
      </c>
      <c r="F6" s="1182" t="s">
        <v>604</v>
      </c>
      <c r="G6" s="1184" t="s">
        <v>605</v>
      </c>
      <c r="H6" s="1184"/>
      <c r="I6" s="1184"/>
      <c r="J6" s="1184"/>
      <c r="K6" s="1184"/>
      <c r="L6" s="1184"/>
      <c r="M6" s="1184" t="s">
        <v>606</v>
      </c>
      <c r="N6" s="1184"/>
      <c r="O6" s="1184"/>
      <c r="P6" s="1184"/>
      <c r="Q6" s="1184" t="s">
        <v>60</v>
      </c>
      <c r="R6" s="1184"/>
    </row>
    <row r="7" spans="1:18" ht="12.75" customHeight="1">
      <c r="A7" s="1182"/>
      <c r="B7" s="1182"/>
      <c r="C7" s="1182"/>
      <c r="D7" s="1182"/>
      <c r="E7" s="1183"/>
      <c r="F7" s="1182"/>
      <c r="G7" s="1185" t="s">
        <v>6</v>
      </c>
      <c r="H7" s="1185" t="s">
        <v>607</v>
      </c>
      <c r="I7" s="1185" t="s">
        <v>608</v>
      </c>
      <c r="J7" s="1185" t="s">
        <v>51</v>
      </c>
      <c r="K7" s="1185" t="s">
        <v>609</v>
      </c>
      <c r="L7" s="1185" t="s">
        <v>21</v>
      </c>
      <c r="M7" s="1182" t="s">
        <v>63</v>
      </c>
      <c r="N7" s="1182" t="s">
        <v>62</v>
      </c>
      <c r="O7" s="1185" t="s">
        <v>33</v>
      </c>
      <c r="P7" s="1187" t="s">
        <v>36</v>
      </c>
      <c r="Q7" s="1187" t="s">
        <v>610</v>
      </c>
      <c r="R7" s="1185" t="s">
        <v>611</v>
      </c>
    </row>
    <row r="8" spans="1:18" ht="26.25" customHeight="1">
      <c r="A8" s="1182"/>
      <c r="B8" s="1182"/>
      <c r="C8" s="1182"/>
      <c r="D8" s="1182"/>
      <c r="E8" s="1183"/>
      <c r="F8" s="1182"/>
      <c r="G8" s="1185"/>
      <c r="H8" s="1185"/>
      <c r="I8" s="1185"/>
      <c r="J8" s="1185"/>
      <c r="K8" s="1185"/>
      <c r="L8" s="1185"/>
      <c r="M8" s="1182"/>
      <c r="N8" s="1182"/>
      <c r="O8" s="1185"/>
      <c r="P8" s="1187"/>
      <c r="Q8" s="1187"/>
      <c r="R8" s="1185"/>
    </row>
    <row r="9" spans="1:18" ht="23.25" customHeight="1">
      <c r="A9" s="1186" t="s">
        <v>97</v>
      </c>
      <c r="B9" s="1186"/>
      <c r="C9" s="1186"/>
      <c r="D9" s="736"/>
      <c r="E9" s="737"/>
      <c r="F9" s="737"/>
      <c r="G9" s="738"/>
      <c r="H9" s="738"/>
      <c r="I9" s="738"/>
      <c r="J9" s="738"/>
      <c r="K9" s="738"/>
      <c r="L9" s="738"/>
      <c r="M9" s="738"/>
      <c r="N9" s="738"/>
      <c r="O9" s="738"/>
      <c r="P9" s="738"/>
      <c r="Q9" s="738"/>
      <c r="R9" s="739"/>
    </row>
    <row r="10" spans="1:18" ht="29.25" customHeight="1">
      <c r="A10" s="739" t="s">
        <v>612</v>
      </c>
      <c r="B10" s="740" t="s">
        <v>98</v>
      </c>
      <c r="C10" s="741" t="s">
        <v>613</v>
      </c>
      <c r="D10" s="736" t="s">
        <v>3</v>
      </c>
      <c r="E10" s="742">
        <v>0</v>
      </c>
      <c r="F10" s="737">
        <v>500376</v>
      </c>
      <c r="G10" s="743">
        <v>272837</v>
      </c>
      <c r="H10" s="743">
        <v>63240</v>
      </c>
      <c r="I10" s="743">
        <v>154484</v>
      </c>
      <c r="J10" s="743">
        <v>0</v>
      </c>
      <c r="K10" s="743">
        <v>0</v>
      </c>
      <c r="L10" s="743">
        <v>0</v>
      </c>
      <c r="M10" s="743">
        <v>0</v>
      </c>
      <c r="N10" s="743">
        <v>9815</v>
      </c>
      <c r="O10" s="743">
        <v>0</v>
      </c>
      <c r="P10" s="743">
        <v>0</v>
      </c>
      <c r="Q10" s="743">
        <v>0</v>
      </c>
      <c r="R10" s="739">
        <v>0</v>
      </c>
    </row>
    <row r="11" spans="1:18" ht="23.25">
      <c r="A11" s="739"/>
      <c r="B11" s="740"/>
      <c r="C11" s="741"/>
      <c r="D11" s="744" t="s">
        <v>401</v>
      </c>
      <c r="E11" s="742">
        <v>0</v>
      </c>
      <c r="F11" s="742">
        <f>F10+92</f>
        <v>500468</v>
      </c>
      <c r="G11" s="745">
        <f>G10+76</f>
        <v>272913</v>
      </c>
      <c r="H11" s="745">
        <f>H10+16</f>
        <v>63256</v>
      </c>
      <c r="I11" s="743">
        <v>154484</v>
      </c>
      <c r="J11" s="743"/>
      <c r="K11" s="743"/>
      <c r="L11" s="743"/>
      <c r="M11" s="743"/>
      <c r="N11" s="743">
        <v>9815</v>
      </c>
      <c r="O11" s="743"/>
      <c r="P11" s="743"/>
      <c r="Q11" s="743"/>
      <c r="R11" s="739"/>
    </row>
    <row r="12" spans="1:18" ht="23.25">
      <c r="A12" s="739" t="s">
        <v>612</v>
      </c>
      <c r="B12" s="740" t="s">
        <v>614</v>
      </c>
      <c r="C12" s="741" t="s">
        <v>615</v>
      </c>
      <c r="D12" s="736" t="s">
        <v>3</v>
      </c>
      <c r="E12" s="742">
        <v>0</v>
      </c>
      <c r="F12" s="737">
        <v>68175</v>
      </c>
      <c r="G12" s="743">
        <v>54652</v>
      </c>
      <c r="H12" s="743">
        <v>12230</v>
      </c>
      <c r="I12" s="743">
        <v>1293</v>
      </c>
      <c r="J12" s="743">
        <v>0</v>
      </c>
      <c r="K12" s="743">
        <v>0</v>
      </c>
      <c r="L12" s="743">
        <v>0</v>
      </c>
      <c r="M12" s="743">
        <v>0</v>
      </c>
      <c r="N12" s="743">
        <v>0</v>
      </c>
      <c r="O12" s="743">
        <v>0</v>
      </c>
      <c r="P12" s="743">
        <v>0</v>
      </c>
      <c r="Q12" s="743">
        <v>0</v>
      </c>
      <c r="R12" s="739">
        <v>0</v>
      </c>
    </row>
    <row r="13" spans="1:18" ht="23.25">
      <c r="A13" s="739"/>
      <c r="B13" s="740"/>
      <c r="C13" s="741"/>
      <c r="D13" s="744" t="s">
        <v>401</v>
      </c>
      <c r="E13" s="742">
        <v>0</v>
      </c>
      <c r="F13" s="737">
        <f>F12+40</f>
        <v>68215</v>
      </c>
      <c r="G13" s="738">
        <f>G12+33</f>
        <v>54685</v>
      </c>
      <c r="H13" s="738">
        <f>H12+7</f>
        <v>12237</v>
      </c>
      <c r="I13" s="738">
        <f>SUM(I12:I12)</f>
        <v>1293</v>
      </c>
      <c r="J13" s="743"/>
      <c r="K13" s="743"/>
      <c r="L13" s="743"/>
      <c r="M13" s="743"/>
      <c r="N13" s="743"/>
      <c r="O13" s="743"/>
      <c r="P13" s="743"/>
      <c r="Q13" s="743"/>
      <c r="R13" s="739"/>
    </row>
    <row r="14" spans="1:18" ht="23.25">
      <c r="A14" s="739" t="s">
        <v>612</v>
      </c>
      <c r="B14" s="740" t="s">
        <v>616</v>
      </c>
      <c r="C14" s="741" t="s">
        <v>617</v>
      </c>
      <c r="D14" s="744" t="s">
        <v>3</v>
      </c>
      <c r="E14" s="742">
        <v>0</v>
      </c>
      <c r="F14" s="737">
        <v>0</v>
      </c>
      <c r="G14" s="738"/>
      <c r="H14" s="738"/>
      <c r="I14" s="737"/>
      <c r="J14" s="743"/>
      <c r="K14" s="743"/>
      <c r="L14" s="743"/>
      <c r="M14" s="743"/>
      <c r="N14" s="743"/>
      <c r="O14" s="743"/>
      <c r="P14" s="743"/>
      <c r="Q14" s="743"/>
      <c r="R14" s="739"/>
    </row>
    <row r="15" spans="1:18" ht="23.25">
      <c r="A15" s="739"/>
      <c r="B15" s="740"/>
      <c r="C15" s="741"/>
      <c r="D15" s="744" t="s">
        <v>401</v>
      </c>
      <c r="E15" s="742">
        <v>5724</v>
      </c>
      <c r="F15" s="737">
        <v>5724</v>
      </c>
      <c r="G15" s="738">
        <v>4161</v>
      </c>
      <c r="H15" s="738">
        <v>860</v>
      </c>
      <c r="I15" s="738">
        <v>703</v>
      </c>
      <c r="J15" s="743"/>
      <c r="K15" s="743"/>
      <c r="L15" s="743"/>
      <c r="M15" s="743"/>
      <c r="N15" s="743"/>
      <c r="O15" s="743"/>
      <c r="P15" s="743"/>
      <c r="Q15" s="743"/>
      <c r="R15" s="739"/>
    </row>
    <row r="16" spans="1:18" ht="23.25">
      <c r="A16" s="739" t="s">
        <v>612</v>
      </c>
      <c r="B16" s="740" t="s">
        <v>618</v>
      </c>
      <c r="C16" s="741" t="s">
        <v>619</v>
      </c>
      <c r="D16" s="736" t="s">
        <v>3</v>
      </c>
      <c r="E16" s="742">
        <v>5000</v>
      </c>
      <c r="F16" s="737">
        <v>6542</v>
      </c>
      <c r="G16" s="743">
        <v>4959</v>
      </c>
      <c r="H16" s="743">
        <v>1185</v>
      </c>
      <c r="I16" s="743">
        <v>398</v>
      </c>
      <c r="J16" s="743">
        <v>0</v>
      </c>
      <c r="K16" s="743">
        <v>0</v>
      </c>
      <c r="L16" s="743">
        <v>0</v>
      </c>
      <c r="M16" s="743">
        <v>0</v>
      </c>
      <c r="N16" s="743">
        <v>0</v>
      </c>
      <c r="O16" s="743">
        <v>0</v>
      </c>
      <c r="P16" s="743">
        <v>0</v>
      </c>
      <c r="Q16" s="743">
        <v>0</v>
      </c>
      <c r="R16" s="739">
        <v>0</v>
      </c>
    </row>
    <row r="17" spans="1:18" ht="23.25">
      <c r="A17" s="739"/>
      <c r="B17" s="740"/>
      <c r="C17" s="741"/>
      <c r="D17" s="744" t="s">
        <v>401</v>
      </c>
      <c r="E17" s="742">
        <v>5000</v>
      </c>
      <c r="F17" s="737">
        <v>6542</v>
      </c>
      <c r="G17" s="743">
        <v>4959</v>
      </c>
      <c r="H17" s="743">
        <v>1185</v>
      </c>
      <c r="I17" s="743">
        <v>398</v>
      </c>
      <c r="J17" s="743"/>
      <c r="K17" s="743"/>
      <c r="L17" s="743"/>
      <c r="M17" s="743"/>
      <c r="N17" s="743"/>
      <c r="O17" s="743"/>
      <c r="P17" s="743"/>
      <c r="Q17" s="743"/>
      <c r="R17" s="739"/>
    </row>
    <row r="18" spans="1:18" ht="23.25">
      <c r="A18" s="739" t="s">
        <v>612</v>
      </c>
      <c r="B18" s="740" t="s">
        <v>99</v>
      </c>
      <c r="C18" s="741" t="s">
        <v>620</v>
      </c>
      <c r="D18" s="736" t="s">
        <v>3</v>
      </c>
      <c r="E18" s="742">
        <v>735228</v>
      </c>
      <c r="F18" s="737">
        <v>0</v>
      </c>
      <c r="G18" s="743"/>
      <c r="H18" s="743"/>
      <c r="I18" s="743"/>
      <c r="J18" s="743"/>
      <c r="K18" s="743"/>
      <c r="L18" s="743"/>
      <c r="M18" s="743"/>
      <c r="N18" s="743"/>
      <c r="O18" s="743"/>
      <c r="P18" s="743"/>
      <c r="Q18" s="743"/>
      <c r="R18" s="738"/>
    </row>
    <row r="19" spans="1:18" ht="23.25">
      <c r="A19" s="739"/>
      <c r="B19" s="740"/>
      <c r="C19" s="741"/>
      <c r="D19" s="744" t="s">
        <v>401</v>
      </c>
      <c r="E19" s="742">
        <f>E18+157</f>
        <v>735385</v>
      </c>
      <c r="F19" s="737">
        <v>0</v>
      </c>
      <c r="G19" s="743"/>
      <c r="H19" s="743"/>
      <c r="I19" s="743"/>
      <c r="J19" s="743"/>
      <c r="K19" s="743"/>
      <c r="L19" s="743"/>
      <c r="M19" s="743"/>
      <c r="N19" s="743"/>
      <c r="O19" s="743"/>
      <c r="P19" s="743"/>
      <c r="Q19" s="743"/>
      <c r="R19" s="738"/>
    </row>
    <row r="20" spans="1:18" ht="23.25">
      <c r="A20" s="739" t="s">
        <v>621</v>
      </c>
      <c r="B20" s="740" t="s">
        <v>100</v>
      </c>
      <c r="C20" s="741" t="s">
        <v>622</v>
      </c>
      <c r="D20" s="736" t="s">
        <v>3</v>
      </c>
      <c r="E20" s="742">
        <v>0</v>
      </c>
      <c r="F20" s="737">
        <v>26451</v>
      </c>
      <c r="G20" s="743">
        <v>19206</v>
      </c>
      <c r="H20" s="743">
        <v>4320</v>
      </c>
      <c r="I20" s="743">
        <v>2825</v>
      </c>
      <c r="J20" s="743">
        <v>0</v>
      </c>
      <c r="K20" s="743">
        <v>0</v>
      </c>
      <c r="L20" s="743">
        <v>0</v>
      </c>
      <c r="M20" s="743">
        <v>0</v>
      </c>
      <c r="N20" s="743">
        <v>100</v>
      </c>
      <c r="O20" s="743">
        <v>0</v>
      </c>
      <c r="P20" s="743">
        <v>0</v>
      </c>
      <c r="Q20" s="743">
        <v>0</v>
      </c>
      <c r="R20" s="739">
        <v>0</v>
      </c>
    </row>
    <row r="21" spans="1:18" ht="23.25">
      <c r="A21" s="739"/>
      <c r="B21" s="740"/>
      <c r="C21" s="741"/>
      <c r="D21" s="744" t="s">
        <v>401</v>
      </c>
      <c r="E21" s="742">
        <v>0</v>
      </c>
      <c r="F21" s="737">
        <v>26451</v>
      </c>
      <c r="G21" s="743">
        <v>19206</v>
      </c>
      <c r="H21" s="743">
        <v>4320</v>
      </c>
      <c r="I21" s="743">
        <v>2825</v>
      </c>
      <c r="J21" s="743"/>
      <c r="K21" s="743"/>
      <c r="L21" s="743"/>
      <c r="M21" s="743"/>
      <c r="N21" s="743">
        <v>100</v>
      </c>
      <c r="O21" s="743"/>
      <c r="P21" s="743"/>
      <c r="Q21" s="743"/>
      <c r="R21" s="739"/>
    </row>
    <row r="22" spans="1:18" ht="23.25">
      <c r="A22" s="739" t="s">
        <v>612</v>
      </c>
      <c r="B22" s="740" t="s">
        <v>623</v>
      </c>
      <c r="C22" s="741" t="s">
        <v>624</v>
      </c>
      <c r="D22" s="736" t="s">
        <v>3</v>
      </c>
      <c r="E22" s="742">
        <v>0</v>
      </c>
      <c r="F22" s="737">
        <v>42142</v>
      </c>
      <c r="G22" s="743">
        <v>33741</v>
      </c>
      <c r="H22" s="743">
        <v>7847</v>
      </c>
      <c r="I22" s="743">
        <v>554</v>
      </c>
      <c r="J22" s="743">
        <v>0</v>
      </c>
      <c r="K22" s="743">
        <v>0</v>
      </c>
      <c r="L22" s="743">
        <v>0</v>
      </c>
      <c r="M22" s="743">
        <v>0</v>
      </c>
      <c r="N22" s="743">
        <v>0</v>
      </c>
      <c r="O22" s="743">
        <v>0</v>
      </c>
      <c r="P22" s="743">
        <v>0</v>
      </c>
      <c r="Q22" s="743">
        <v>0</v>
      </c>
      <c r="R22" s="739">
        <v>0</v>
      </c>
    </row>
    <row r="23" spans="1:18" ht="23.25">
      <c r="A23" s="739"/>
      <c r="B23" s="740"/>
      <c r="C23" s="741"/>
      <c r="D23" s="744" t="s">
        <v>401</v>
      </c>
      <c r="E23" s="742">
        <v>0</v>
      </c>
      <c r="F23" s="737">
        <f>F22+4</f>
        <v>42146</v>
      </c>
      <c r="G23" s="738">
        <f>G22+3</f>
        <v>33744</v>
      </c>
      <c r="H23" s="738">
        <f>H22+1</f>
        <v>7848</v>
      </c>
      <c r="I23" s="743"/>
      <c r="J23" s="743"/>
      <c r="K23" s="743"/>
      <c r="L23" s="743"/>
      <c r="M23" s="743"/>
      <c r="N23" s="743"/>
      <c r="O23" s="743"/>
      <c r="P23" s="743"/>
      <c r="Q23" s="743"/>
      <c r="R23" s="739"/>
    </row>
    <row r="24" spans="1:18" ht="23.25">
      <c r="A24" s="739" t="s">
        <v>621</v>
      </c>
      <c r="B24" s="740" t="s">
        <v>101</v>
      </c>
      <c r="C24" s="741" t="s">
        <v>625</v>
      </c>
      <c r="D24" s="736" t="s">
        <v>3</v>
      </c>
      <c r="E24" s="742">
        <v>600</v>
      </c>
      <c r="F24" s="737">
        <v>1200</v>
      </c>
      <c r="G24" s="738"/>
      <c r="H24" s="738"/>
      <c r="I24" s="738">
        <v>0</v>
      </c>
      <c r="J24" s="738">
        <v>0</v>
      </c>
      <c r="K24" s="738">
        <v>0</v>
      </c>
      <c r="L24" s="738">
        <v>0</v>
      </c>
      <c r="M24" s="738">
        <v>0</v>
      </c>
      <c r="N24" s="738">
        <v>0</v>
      </c>
      <c r="O24" s="738">
        <v>1200</v>
      </c>
      <c r="P24" s="738">
        <v>0</v>
      </c>
      <c r="Q24" s="738">
        <v>0</v>
      </c>
      <c r="R24" s="739">
        <v>0</v>
      </c>
    </row>
    <row r="25" spans="1:18" ht="23.25">
      <c r="A25" s="739"/>
      <c r="B25" s="740"/>
      <c r="C25" s="741"/>
      <c r="D25" s="744" t="s">
        <v>401</v>
      </c>
      <c r="E25" s="742">
        <v>600</v>
      </c>
      <c r="F25" s="737">
        <v>1200</v>
      </c>
      <c r="G25" s="738"/>
      <c r="H25" s="738"/>
      <c r="I25" s="738"/>
      <c r="J25" s="738"/>
      <c r="K25" s="738"/>
      <c r="L25" s="738"/>
      <c r="M25" s="738"/>
      <c r="N25" s="738"/>
      <c r="O25" s="738">
        <v>1200</v>
      </c>
      <c r="P25" s="738"/>
      <c r="Q25" s="738"/>
      <c r="R25" s="739"/>
    </row>
    <row r="26" spans="1:18" ht="23.25">
      <c r="A26" s="739" t="s">
        <v>612</v>
      </c>
      <c r="B26" s="740" t="s">
        <v>102</v>
      </c>
      <c r="C26" s="741" t="s">
        <v>626</v>
      </c>
      <c r="D26" s="736" t="s">
        <v>3</v>
      </c>
      <c r="E26" s="742">
        <v>2460</v>
      </c>
      <c r="F26" s="737">
        <v>88397</v>
      </c>
      <c r="G26" s="738">
        <v>68355</v>
      </c>
      <c r="H26" s="738">
        <v>15675</v>
      </c>
      <c r="I26" s="738">
        <v>3567</v>
      </c>
      <c r="J26" s="738">
        <v>0</v>
      </c>
      <c r="K26" s="738">
        <v>0</v>
      </c>
      <c r="L26" s="738">
        <v>0</v>
      </c>
      <c r="M26" s="738">
        <v>0</v>
      </c>
      <c r="N26" s="738">
        <v>800</v>
      </c>
      <c r="O26" s="738">
        <v>0</v>
      </c>
      <c r="P26" s="738">
        <v>0</v>
      </c>
      <c r="Q26" s="738">
        <v>0</v>
      </c>
      <c r="R26" s="739">
        <v>0</v>
      </c>
    </row>
    <row r="27" spans="1:18" ht="23.25">
      <c r="A27" s="739"/>
      <c r="B27" s="740"/>
      <c r="C27" s="741"/>
      <c r="D27" s="744" t="s">
        <v>401</v>
      </c>
      <c r="E27" s="742">
        <v>2460</v>
      </c>
      <c r="F27" s="737">
        <f>F26+21</f>
        <v>88418</v>
      </c>
      <c r="G27" s="738">
        <f>G26+18</f>
        <v>68373</v>
      </c>
      <c r="H27" s="738">
        <f>H26+3</f>
        <v>15678</v>
      </c>
      <c r="I27" s="738"/>
      <c r="J27" s="738"/>
      <c r="K27" s="738"/>
      <c r="L27" s="738"/>
      <c r="M27" s="738"/>
      <c r="N27" s="738">
        <v>800</v>
      </c>
      <c r="O27" s="738"/>
      <c r="P27" s="738"/>
      <c r="Q27" s="738"/>
      <c r="R27" s="739"/>
    </row>
    <row r="28" spans="1:18" ht="23.25">
      <c r="A28" s="739" t="s">
        <v>627</v>
      </c>
      <c r="B28" s="740" t="s">
        <v>628</v>
      </c>
      <c r="C28" s="741" t="s">
        <v>629</v>
      </c>
      <c r="D28" s="736" t="s">
        <v>3</v>
      </c>
      <c r="E28" s="742">
        <v>0</v>
      </c>
      <c r="F28" s="737">
        <v>10005</v>
      </c>
      <c r="G28" s="743">
        <v>8077</v>
      </c>
      <c r="H28" s="743">
        <v>1872</v>
      </c>
      <c r="I28" s="743">
        <v>56</v>
      </c>
      <c r="J28" s="743">
        <v>0</v>
      </c>
      <c r="K28" s="743">
        <v>0</v>
      </c>
      <c r="L28" s="743">
        <v>0</v>
      </c>
      <c r="M28" s="743">
        <v>0</v>
      </c>
      <c r="N28" s="743">
        <v>0</v>
      </c>
      <c r="O28" s="743">
        <v>0</v>
      </c>
      <c r="P28" s="743">
        <v>0</v>
      </c>
      <c r="Q28" s="743">
        <v>0</v>
      </c>
      <c r="R28" s="739">
        <v>0</v>
      </c>
    </row>
    <row r="29" spans="1:18" ht="23.25">
      <c r="A29" s="739"/>
      <c r="B29" s="740"/>
      <c r="C29" s="741"/>
      <c r="D29" s="744" t="s">
        <v>401</v>
      </c>
      <c r="E29" s="742">
        <v>0</v>
      </c>
      <c r="F29" s="737">
        <v>10005</v>
      </c>
      <c r="G29" s="743">
        <v>8077</v>
      </c>
      <c r="H29" s="743">
        <v>1872</v>
      </c>
      <c r="I29" s="743">
        <v>56</v>
      </c>
      <c r="J29" s="743"/>
      <c r="K29" s="743"/>
      <c r="L29" s="743"/>
      <c r="M29" s="743"/>
      <c r="N29" s="743"/>
      <c r="O29" s="743"/>
      <c r="P29" s="743"/>
      <c r="Q29" s="743"/>
      <c r="R29" s="739"/>
    </row>
    <row r="30" spans="1:18" ht="23.25">
      <c r="A30" s="1186" t="s">
        <v>630</v>
      </c>
      <c r="B30" s="1186"/>
      <c r="C30" s="1186"/>
      <c r="D30" s="736" t="s">
        <v>3</v>
      </c>
      <c r="E30" s="746">
        <f>E16+E18+E24+E26</f>
        <v>743288</v>
      </c>
      <c r="F30" s="746">
        <f>F10+F12+F16+F20+F22+F24+F26+F28</f>
        <v>743288</v>
      </c>
      <c r="G30" s="746">
        <f>G10+G12+G16+G20+G22+G26+G28</f>
        <v>461827</v>
      </c>
      <c r="H30" s="746">
        <f>H10+H12+H16+H20+H22+H26+H28</f>
        <v>106369</v>
      </c>
      <c r="I30" s="746">
        <f>I10+I12+I16+I20+I22+I26+I28</f>
        <v>163177</v>
      </c>
      <c r="J30" s="746">
        <f>SUM(J10:J28)</f>
        <v>0</v>
      </c>
      <c r="K30" s="746">
        <f>SUM(K10:K28)</f>
        <v>0</v>
      </c>
      <c r="L30" s="746">
        <f>SUM(L10:L28)</f>
        <v>0</v>
      </c>
      <c r="M30" s="746">
        <f>SUM(M10:M28)</f>
        <v>0</v>
      </c>
      <c r="N30" s="746">
        <f>N10+N20+N26</f>
        <v>10715</v>
      </c>
      <c r="O30" s="746">
        <f>O24</f>
        <v>1200</v>
      </c>
      <c r="P30" s="746">
        <f>SUM(P10:P28)</f>
        <v>0</v>
      </c>
      <c r="Q30" s="746">
        <f>SUM(Q10:Q28)</f>
        <v>0</v>
      </c>
      <c r="R30" s="746">
        <f>SUM(R10:R28)</f>
        <v>0</v>
      </c>
    </row>
    <row r="31" spans="1:18" ht="23.25">
      <c r="A31" s="747"/>
      <c r="B31" s="747"/>
      <c r="C31" s="747"/>
      <c r="D31" s="736" t="s">
        <v>401</v>
      </c>
      <c r="E31" s="746">
        <f>E15+E16+E19+E24+E26</f>
        <v>749169</v>
      </c>
      <c r="F31" s="746">
        <f>F11+F13+F15+F16+F20+F23+F24+F27+F28</f>
        <v>749169</v>
      </c>
      <c r="G31" s="746">
        <f>G11+G13+G15+G16+G20+G23+G27+G28</f>
        <v>466118</v>
      </c>
      <c r="H31" s="746">
        <f>H11+H13+H15+H16+H20+H23+H27+H28</f>
        <v>107256</v>
      </c>
      <c r="I31" s="746">
        <f>I10+I12+I15+I16+I20+I22+I26+I28</f>
        <v>163880</v>
      </c>
      <c r="J31" s="746"/>
      <c r="K31" s="746"/>
      <c r="L31" s="746"/>
      <c r="M31" s="746"/>
      <c r="N31" s="746">
        <v>10715</v>
      </c>
      <c r="O31" s="746">
        <v>1200</v>
      </c>
      <c r="P31" s="746"/>
      <c r="Q31" s="746"/>
      <c r="R31" s="746"/>
    </row>
    <row r="32" spans="1:18" ht="23.25">
      <c r="A32" s="747"/>
      <c r="B32" s="747"/>
      <c r="C32" s="747"/>
      <c r="D32" s="736"/>
      <c r="E32" s="746"/>
      <c r="F32" s="746"/>
      <c r="G32" s="746"/>
      <c r="H32" s="746"/>
      <c r="I32" s="746"/>
      <c r="J32" s="746"/>
      <c r="K32" s="746"/>
      <c r="L32" s="746"/>
      <c r="M32" s="746"/>
      <c r="N32" s="746"/>
      <c r="O32" s="746"/>
      <c r="P32" s="746"/>
      <c r="Q32" s="746"/>
      <c r="R32" s="746"/>
    </row>
    <row r="33" spans="1:18" ht="23.25">
      <c r="A33" s="1186" t="s">
        <v>631</v>
      </c>
      <c r="B33" s="1186"/>
      <c r="C33" s="1186"/>
      <c r="D33" s="744"/>
      <c r="E33" s="748"/>
      <c r="F33" s="737"/>
      <c r="G33" s="743"/>
      <c r="H33" s="743"/>
      <c r="I33" s="743"/>
      <c r="J33" s="743"/>
      <c r="K33" s="743"/>
      <c r="L33" s="743"/>
      <c r="M33" s="743"/>
      <c r="N33" s="743"/>
      <c r="O33" s="743"/>
      <c r="P33" s="743"/>
      <c r="Q33" s="743"/>
      <c r="R33" s="739"/>
    </row>
    <row r="34" spans="1:18" ht="23.25">
      <c r="A34" s="739" t="s">
        <v>612</v>
      </c>
      <c r="B34" s="740" t="s">
        <v>98</v>
      </c>
      <c r="C34" s="741" t="s">
        <v>613</v>
      </c>
      <c r="D34" s="736" t="s">
        <v>3</v>
      </c>
      <c r="E34" s="742">
        <v>10798</v>
      </c>
      <c r="F34" s="737">
        <f>SUM(G34:R34)</f>
        <v>29798</v>
      </c>
      <c r="G34" s="749">
        <v>23370</v>
      </c>
      <c r="H34" s="749">
        <v>4501</v>
      </c>
      <c r="I34" s="738">
        <v>1927</v>
      </c>
      <c r="J34" s="738"/>
      <c r="K34" s="738"/>
      <c r="L34" s="738"/>
      <c r="M34" s="738"/>
      <c r="N34" s="738"/>
      <c r="O34" s="738"/>
      <c r="P34" s="738"/>
      <c r="Q34" s="738"/>
      <c r="R34" s="739"/>
    </row>
    <row r="35" spans="1:18" ht="23.25">
      <c r="A35" s="739"/>
      <c r="B35" s="740"/>
      <c r="C35" s="741"/>
      <c r="D35" s="744" t="s">
        <v>401</v>
      </c>
      <c r="E35" s="742">
        <v>10798</v>
      </c>
      <c r="F35" s="737">
        <f>F34+39</f>
        <v>29837</v>
      </c>
      <c r="G35" s="738">
        <f>G34+32</f>
        <v>23402</v>
      </c>
      <c r="H35" s="738">
        <f>H34+7</f>
        <v>4508</v>
      </c>
      <c r="I35" s="738">
        <f>SUM(I34:I34)</f>
        <v>1927</v>
      </c>
      <c r="J35" s="738">
        <f>SUM(J34:J34)</f>
        <v>0</v>
      </c>
      <c r="K35" s="738"/>
      <c r="L35" s="738"/>
      <c r="M35" s="738"/>
      <c r="N35" s="738"/>
      <c r="O35" s="738"/>
      <c r="P35" s="738"/>
      <c r="Q35" s="738"/>
      <c r="R35" s="739"/>
    </row>
    <row r="36" spans="1:18" ht="23.25">
      <c r="A36" s="739" t="s">
        <v>612</v>
      </c>
      <c r="B36" s="740" t="s">
        <v>99</v>
      </c>
      <c r="C36" s="741" t="s">
        <v>620</v>
      </c>
      <c r="D36" s="736" t="s">
        <v>3</v>
      </c>
      <c r="E36" s="742">
        <v>19000</v>
      </c>
      <c r="F36" s="737">
        <v>0</v>
      </c>
      <c r="G36" s="738"/>
      <c r="H36" s="738"/>
      <c r="I36" s="738"/>
      <c r="J36" s="738"/>
      <c r="K36" s="738"/>
      <c r="L36" s="738"/>
      <c r="M36" s="738"/>
      <c r="N36" s="738"/>
      <c r="O36" s="738"/>
      <c r="P36" s="738"/>
      <c r="Q36" s="738"/>
      <c r="R36" s="739"/>
    </row>
    <row r="37" spans="1:18" ht="23.25">
      <c r="A37" s="739"/>
      <c r="B37" s="740"/>
      <c r="C37" s="741"/>
      <c r="D37" s="744" t="s">
        <v>401</v>
      </c>
      <c r="E37" s="742">
        <f>E36+39</f>
        <v>19039</v>
      </c>
      <c r="F37" s="737">
        <v>0</v>
      </c>
      <c r="G37" s="738"/>
      <c r="H37" s="738"/>
      <c r="I37" s="738"/>
      <c r="J37" s="738"/>
      <c r="K37" s="738"/>
      <c r="L37" s="738"/>
      <c r="M37" s="738"/>
      <c r="N37" s="738"/>
      <c r="O37" s="738"/>
      <c r="P37" s="738"/>
      <c r="Q37" s="738"/>
      <c r="R37" s="739"/>
    </row>
    <row r="38" spans="1:18" ht="23.25">
      <c r="A38" s="739" t="s">
        <v>612</v>
      </c>
      <c r="B38" s="740" t="s">
        <v>632</v>
      </c>
      <c r="C38" s="741" t="s">
        <v>617</v>
      </c>
      <c r="D38" s="744" t="s">
        <v>3</v>
      </c>
      <c r="E38" s="742">
        <v>0</v>
      </c>
      <c r="F38" s="737">
        <v>0</v>
      </c>
      <c r="G38" s="738"/>
      <c r="H38" s="738"/>
      <c r="I38" s="738"/>
      <c r="J38" s="738"/>
      <c r="K38" s="738"/>
      <c r="L38" s="738"/>
      <c r="M38" s="738"/>
      <c r="N38" s="738"/>
      <c r="O38" s="738"/>
      <c r="P38" s="738"/>
      <c r="Q38" s="738"/>
      <c r="R38" s="739"/>
    </row>
    <row r="39" spans="1:18" ht="23.25">
      <c r="A39" s="739"/>
      <c r="B39" s="740"/>
      <c r="C39" s="741"/>
      <c r="D39" s="744" t="s">
        <v>401</v>
      </c>
      <c r="E39" s="742">
        <v>407</v>
      </c>
      <c r="F39" s="737">
        <v>407</v>
      </c>
      <c r="G39" s="738">
        <v>293</v>
      </c>
      <c r="H39" s="738">
        <v>61</v>
      </c>
      <c r="I39" s="738">
        <v>53</v>
      </c>
      <c r="J39" s="738"/>
      <c r="K39" s="738"/>
      <c r="L39" s="738"/>
      <c r="M39" s="738"/>
      <c r="N39" s="738"/>
      <c r="O39" s="738"/>
      <c r="P39" s="738"/>
      <c r="Q39" s="738"/>
      <c r="R39" s="739"/>
    </row>
    <row r="40" spans="1:18" ht="23.25">
      <c r="A40" s="1186" t="s">
        <v>633</v>
      </c>
      <c r="B40" s="1186"/>
      <c r="C40" s="1186"/>
      <c r="D40" s="750" t="s">
        <v>3</v>
      </c>
      <c r="E40" s="746">
        <f t="shared" ref="E40:R40" si="0">(E34+E36)</f>
        <v>29798</v>
      </c>
      <c r="F40" s="737">
        <f t="shared" si="0"/>
        <v>29798</v>
      </c>
      <c r="G40" s="738">
        <f t="shared" si="0"/>
        <v>23370</v>
      </c>
      <c r="H40" s="738">
        <f t="shared" si="0"/>
        <v>4501</v>
      </c>
      <c r="I40" s="738">
        <f t="shared" si="0"/>
        <v>1927</v>
      </c>
      <c r="J40" s="737">
        <f t="shared" si="0"/>
        <v>0</v>
      </c>
      <c r="K40" s="737">
        <f t="shared" si="0"/>
        <v>0</v>
      </c>
      <c r="L40" s="737">
        <f t="shared" si="0"/>
        <v>0</v>
      </c>
      <c r="M40" s="737">
        <f t="shared" si="0"/>
        <v>0</v>
      </c>
      <c r="N40" s="737">
        <f t="shared" si="0"/>
        <v>0</v>
      </c>
      <c r="O40" s="737">
        <f t="shared" si="0"/>
        <v>0</v>
      </c>
      <c r="P40" s="737">
        <f t="shared" si="0"/>
        <v>0</v>
      </c>
      <c r="Q40" s="737">
        <f t="shared" si="0"/>
        <v>0</v>
      </c>
      <c r="R40" s="737">
        <f t="shared" si="0"/>
        <v>0</v>
      </c>
    </row>
    <row r="41" spans="1:18" ht="23.25">
      <c r="A41" s="747"/>
      <c r="B41" s="747"/>
      <c r="C41" s="747"/>
      <c r="D41" s="750" t="s">
        <v>401</v>
      </c>
      <c r="E41" s="746">
        <f>E35+E37+E39</f>
        <v>30244</v>
      </c>
      <c r="F41" s="737">
        <f>F35+F39</f>
        <v>30244</v>
      </c>
      <c r="G41" s="738">
        <f>G35+G39</f>
        <v>23695</v>
      </c>
      <c r="H41" s="738">
        <f>H35+H39</f>
        <v>4569</v>
      </c>
      <c r="I41" s="738">
        <f>I35+I39</f>
        <v>1980</v>
      </c>
      <c r="J41" s="737">
        <f>J35+J39</f>
        <v>0</v>
      </c>
      <c r="K41" s="737"/>
      <c r="L41" s="737"/>
      <c r="M41" s="737"/>
      <c r="N41" s="737"/>
      <c r="O41" s="737"/>
      <c r="P41" s="737"/>
      <c r="Q41" s="737"/>
      <c r="R41" s="737"/>
    </row>
    <row r="42" spans="1:18" ht="23.25">
      <c r="A42" s="1186" t="s">
        <v>104</v>
      </c>
      <c r="B42" s="1186"/>
      <c r="C42" s="1186"/>
      <c r="D42" s="744"/>
      <c r="E42" s="737"/>
      <c r="F42" s="737"/>
      <c r="G42" s="738"/>
      <c r="H42" s="738"/>
      <c r="I42" s="738"/>
      <c r="J42" s="738"/>
      <c r="K42" s="737"/>
      <c r="L42" s="737"/>
      <c r="M42" s="737"/>
      <c r="N42" s="738"/>
      <c r="O42" s="738"/>
      <c r="P42" s="738"/>
      <c r="Q42" s="738"/>
      <c r="R42" s="739"/>
    </row>
    <row r="43" spans="1:18" ht="23.25">
      <c r="A43" s="739" t="s">
        <v>612</v>
      </c>
      <c r="B43" s="740" t="s">
        <v>98</v>
      </c>
      <c r="C43" s="741" t="s">
        <v>613</v>
      </c>
      <c r="D43" s="736" t="s">
        <v>3</v>
      </c>
      <c r="E43" s="746">
        <v>10718</v>
      </c>
      <c r="F43" s="737">
        <v>31718</v>
      </c>
      <c r="G43" s="749">
        <v>21873</v>
      </c>
      <c r="H43" s="749">
        <v>5703</v>
      </c>
      <c r="I43" s="738">
        <v>3542</v>
      </c>
      <c r="J43" s="738"/>
      <c r="K43" s="738"/>
      <c r="L43" s="738"/>
      <c r="M43" s="738"/>
      <c r="N43" s="738">
        <v>600</v>
      </c>
      <c r="O43" s="738"/>
      <c r="P43" s="738"/>
      <c r="Q43" s="738"/>
      <c r="R43" s="739"/>
    </row>
    <row r="44" spans="1:18" ht="23.25">
      <c r="A44" s="739"/>
      <c r="B44" s="740"/>
      <c r="C44" s="741"/>
      <c r="D44" s="744" t="s">
        <v>401</v>
      </c>
      <c r="E44" s="746">
        <v>10718</v>
      </c>
      <c r="F44" s="737">
        <f>F43+7</f>
        <v>31725</v>
      </c>
      <c r="G44" s="738">
        <f>G43+6</f>
        <v>21879</v>
      </c>
      <c r="H44" s="738">
        <f>H43+1</f>
        <v>5704</v>
      </c>
      <c r="I44" s="738">
        <f>SUM(I43:I43)</f>
        <v>3542</v>
      </c>
      <c r="J44" s="738"/>
      <c r="K44" s="738"/>
      <c r="L44" s="738"/>
      <c r="M44" s="738"/>
      <c r="N44" s="738">
        <v>600</v>
      </c>
      <c r="O44" s="738"/>
      <c r="P44" s="738"/>
      <c r="Q44" s="738"/>
      <c r="R44" s="739"/>
    </row>
    <row r="45" spans="1:18" ht="23.25">
      <c r="A45" s="739" t="s">
        <v>612</v>
      </c>
      <c r="B45" s="740" t="s">
        <v>99</v>
      </c>
      <c r="C45" s="741" t="s">
        <v>620</v>
      </c>
      <c r="D45" s="736" t="s">
        <v>3</v>
      </c>
      <c r="E45" s="746">
        <v>21000</v>
      </c>
      <c r="F45" s="737"/>
      <c r="G45" s="743"/>
      <c r="H45" s="743"/>
      <c r="I45" s="743"/>
      <c r="J45" s="743"/>
      <c r="K45" s="743"/>
      <c r="L45" s="743"/>
      <c r="M45" s="743"/>
      <c r="N45" s="743"/>
      <c r="O45" s="743"/>
      <c r="P45" s="743"/>
      <c r="Q45" s="743"/>
      <c r="R45" s="739"/>
    </row>
    <row r="46" spans="1:18" ht="23.25">
      <c r="A46" s="739"/>
      <c r="B46" s="740"/>
      <c r="C46" s="741"/>
      <c r="D46" s="744" t="s">
        <v>401</v>
      </c>
      <c r="E46" s="746">
        <f>E45+7</f>
        <v>21007</v>
      </c>
      <c r="F46" s="737"/>
      <c r="G46" s="743"/>
      <c r="H46" s="743"/>
      <c r="I46" s="743"/>
      <c r="J46" s="743"/>
      <c r="K46" s="743"/>
      <c r="L46" s="743"/>
      <c r="M46" s="743"/>
      <c r="N46" s="743"/>
      <c r="O46" s="743"/>
      <c r="P46" s="743"/>
      <c r="Q46" s="743"/>
      <c r="R46" s="739"/>
    </row>
    <row r="47" spans="1:18" ht="23.25">
      <c r="A47" s="739" t="s">
        <v>612</v>
      </c>
      <c r="B47" s="740" t="s">
        <v>632</v>
      </c>
      <c r="C47" s="741" t="s">
        <v>617</v>
      </c>
      <c r="D47" s="744" t="s">
        <v>3</v>
      </c>
      <c r="E47" s="746"/>
      <c r="F47" s="737"/>
      <c r="G47" s="743"/>
      <c r="H47" s="743"/>
      <c r="I47" s="743"/>
      <c r="J47" s="743"/>
      <c r="K47" s="743"/>
      <c r="L47" s="743"/>
      <c r="M47" s="743"/>
      <c r="N47" s="743"/>
      <c r="O47" s="743"/>
      <c r="P47" s="743"/>
      <c r="Q47" s="743"/>
      <c r="R47" s="739"/>
    </row>
    <row r="48" spans="1:18" ht="23.25">
      <c r="A48" s="739"/>
      <c r="B48" s="740"/>
      <c r="C48" s="741"/>
      <c r="D48" s="744" t="s">
        <v>401</v>
      </c>
      <c r="E48" s="746">
        <v>407</v>
      </c>
      <c r="F48" s="737">
        <v>407</v>
      </c>
      <c r="G48" s="743">
        <v>293</v>
      </c>
      <c r="H48" s="743">
        <v>61</v>
      </c>
      <c r="I48" s="743">
        <v>53</v>
      </c>
      <c r="J48" s="743"/>
      <c r="K48" s="743"/>
      <c r="L48" s="743"/>
      <c r="M48" s="743"/>
      <c r="N48" s="743"/>
      <c r="O48" s="743"/>
      <c r="P48" s="743"/>
      <c r="Q48" s="743"/>
      <c r="R48" s="739"/>
    </row>
    <row r="49" spans="1:18" ht="23.25">
      <c r="A49" s="739"/>
      <c r="B49" s="740"/>
      <c r="C49" s="741"/>
      <c r="D49" s="744"/>
      <c r="E49" s="746"/>
      <c r="F49" s="737"/>
      <c r="G49" s="743"/>
      <c r="H49" s="743"/>
      <c r="I49" s="743"/>
      <c r="J49" s="743"/>
      <c r="K49" s="743"/>
      <c r="L49" s="743"/>
      <c r="M49" s="743"/>
      <c r="N49" s="743"/>
      <c r="O49" s="743"/>
      <c r="P49" s="743"/>
      <c r="Q49" s="743"/>
      <c r="R49" s="739"/>
    </row>
    <row r="50" spans="1:18" ht="22.5">
      <c r="A50" s="1186" t="s">
        <v>634</v>
      </c>
      <c r="B50" s="1186"/>
      <c r="C50" s="1186"/>
      <c r="D50" s="750" t="s">
        <v>3</v>
      </c>
      <c r="E50" s="746">
        <f>E43+E45</f>
        <v>31718</v>
      </c>
      <c r="F50" s="737">
        <f>F43</f>
        <v>31718</v>
      </c>
      <c r="G50" s="737">
        <f t="shared" ref="G50:R50" si="1">(G43+G45)</f>
        <v>21873</v>
      </c>
      <c r="H50" s="737">
        <f t="shared" si="1"/>
        <v>5703</v>
      </c>
      <c r="I50" s="737">
        <f t="shared" si="1"/>
        <v>3542</v>
      </c>
      <c r="J50" s="737">
        <f t="shared" si="1"/>
        <v>0</v>
      </c>
      <c r="K50" s="737">
        <f t="shared" si="1"/>
        <v>0</v>
      </c>
      <c r="L50" s="737">
        <f t="shared" si="1"/>
        <v>0</v>
      </c>
      <c r="M50" s="737">
        <f t="shared" si="1"/>
        <v>0</v>
      </c>
      <c r="N50" s="737">
        <f t="shared" si="1"/>
        <v>600</v>
      </c>
      <c r="O50" s="737">
        <f t="shared" si="1"/>
        <v>0</v>
      </c>
      <c r="P50" s="737">
        <f t="shared" si="1"/>
        <v>0</v>
      </c>
      <c r="Q50" s="737">
        <f t="shared" si="1"/>
        <v>0</v>
      </c>
      <c r="R50" s="737">
        <f t="shared" si="1"/>
        <v>0</v>
      </c>
    </row>
    <row r="51" spans="1:18" ht="22.5">
      <c r="A51" s="747"/>
      <c r="B51" s="747"/>
      <c r="C51" s="747"/>
      <c r="D51" s="750" t="s">
        <v>401</v>
      </c>
      <c r="E51" s="746">
        <f>E46+E48+10718</f>
        <v>32132</v>
      </c>
      <c r="F51" s="737">
        <f>F44+F48</f>
        <v>32132</v>
      </c>
      <c r="G51" s="737">
        <f>G44+G48</f>
        <v>22172</v>
      </c>
      <c r="H51" s="737">
        <f>H44+H48</f>
        <v>5765</v>
      </c>
      <c r="I51" s="737">
        <f>I44+I48</f>
        <v>3595</v>
      </c>
      <c r="J51" s="737"/>
      <c r="K51" s="737"/>
      <c r="L51" s="737"/>
      <c r="M51" s="737"/>
      <c r="N51" s="737">
        <v>600</v>
      </c>
      <c r="O51" s="737"/>
      <c r="P51" s="737"/>
      <c r="Q51" s="737"/>
      <c r="R51" s="737"/>
    </row>
    <row r="52" spans="1:18" ht="22.5">
      <c r="A52" s="747"/>
      <c r="B52" s="747"/>
      <c r="C52" s="747"/>
      <c r="D52" s="750"/>
      <c r="E52" s="746"/>
      <c r="F52" s="737"/>
      <c r="G52" s="737"/>
      <c r="H52" s="737"/>
      <c r="I52" s="737"/>
      <c r="J52" s="737"/>
      <c r="K52" s="737"/>
      <c r="L52" s="737"/>
      <c r="M52" s="737"/>
      <c r="N52" s="737"/>
      <c r="O52" s="737"/>
      <c r="P52" s="737"/>
      <c r="Q52" s="737"/>
      <c r="R52" s="737"/>
    </row>
    <row r="53" spans="1:18" ht="23.25">
      <c r="A53" s="1186" t="s">
        <v>105</v>
      </c>
      <c r="B53" s="1186"/>
      <c r="C53" s="1186"/>
      <c r="D53" s="744"/>
      <c r="E53" s="737"/>
      <c r="F53" s="737"/>
      <c r="G53" s="738"/>
      <c r="H53" s="738"/>
      <c r="I53" s="738"/>
      <c r="J53" s="738"/>
      <c r="K53" s="738"/>
      <c r="L53" s="738"/>
      <c r="M53" s="738"/>
      <c r="N53" s="738"/>
      <c r="O53" s="738"/>
      <c r="P53" s="738"/>
      <c r="Q53" s="738"/>
      <c r="R53" s="739"/>
    </row>
    <row r="54" spans="1:18" ht="23.25">
      <c r="A54" s="739" t="s">
        <v>612</v>
      </c>
      <c r="B54" s="740" t="s">
        <v>98</v>
      </c>
      <c r="C54" s="741" t="s">
        <v>613</v>
      </c>
      <c r="D54" s="736" t="s">
        <v>3</v>
      </c>
      <c r="E54" s="737">
        <v>9521</v>
      </c>
      <c r="F54" s="737">
        <f>SUM(G54:R54)</f>
        <v>15521</v>
      </c>
      <c r="G54" s="751">
        <v>11301</v>
      </c>
      <c r="H54" s="751">
        <v>2541</v>
      </c>
      <c r="I54" s="743">
        <v>1529</v>
      </c>
      <c r="J54" s="743"/>
      <c r="K54" s="743"/>
      <c r="L54" s="743"/>
      <c r="M54" s="743"/>
      <c r="N54" s="743">
        <v>150</v>
      </c>
      <c r="O54" s="752"/>
      <c r="P54" s="743"/>
      <c r="Q54" s="743"/>
      <c r="R54" s="739"/>
    </row>
    <row r="55" spans="1:18" ht="23.25">
      <c r="A55" s="739"/>
      <c r="B55" s="740"/>
      <c r="C55" s="741"/>
      <c r="D55" s="744" t="s">
        <v>401</v>
      </c>
      <c r="E55" s="737">
        <v>9521</v>
      </c>
      <c r="F55" s="737">
        <f>F54+55</f>
        <v>15576</v>
      </c>
      <c r="G55" s="738">
        <f>G54+46</f>
        <v>11347</v>
      </c>
      <c r="H55" s="738">
        <f>H54+9</f>
        <v>2550</v>
      </c>
      <c r="I55" s="738">
        <f>SUM(I54:I54)</f>
        <v>1529</v>
      </c>
      <c r="J55" s="743"/>
      <c r="K55" s="743"/>
      <c r="L55" s="743"/>
      <c r="M55" s="743"/>
      <c r="N55" s="743">
        <v>150</v>
      </c>
      <c r="O55" s="752"/>
      <c r="P55" s="743"/>
      <c r="Q55" s="743"/>
      <c r="R55" s="739"/>
    </row>
    <row r="56" spans="1:18" ht="23.25">
      <c r="A56" s="739" t="s">
        <v>612</v>
      </c>
      <c r="B56" s="740" t="s">
        <v>99</v>
      </c>
      <c r="C56" s="741" t="s">
        <v>620</v>
      </c>
      <c r="D56" s="736" t="s">
        <v>3</v>
      </c>
      <c r="E56" s="737">
        <v>6000</v>
      </c>
      <c r="F56" s="737"/>
      <c r="G56" s="743"/>
      <c r="H56" s="743"/>
      <c r="I56" s="743"/>
      <c r="J56" s="743"/>
      <c r="K56" s="743"/>
      <c r="L56" s="743"/>
      <c r="M56" s="743"/>
      <c r="N56" s="743"/>
      <c r="O56" s="743"/>
      <c r="P56" s="743"/>
      <c r="Q56" s="743"/>
      <c r="R56" s="739"/>
    </row>
    <row r="57" spans="1:18" ht="23.25">
      <c r="A57" s="739"/>
      <c r="B57" s="740"/>
      <c r="C57" s="741"/>
      <c r="D57" s="744" t="s">
        <v>401</v>
      </c>
      <c r="E57" s="737">
        <f>E56+55</f>
        <v>6055</v>
      </c>
      <c r="F57" s="737"/>
      <c r="G57" s="743"/>
      <c r="H57" s="743"/>
      <c r="I57" s="743"/>
      <c r="J57" s="743"/>
      <c r="K57" s="743"/>
      <c r="L57" s="743"/>
      <c r="M57" s="743"/>
      <c r="N57" s="743"/>
      <c r="O57" s="743"/>
      <c r="P57" s="743"/>
      <c r="Q57" s="743"/>
      <c r="R57" s="739"/>
    </row>
    <row r="58" spans="1:18" ht="23.25">
      <c r="A58" s="739" t="s">
        <v>612</v>
      </c>
      <c r="B58" s="740" t="s">
        <v>632</v>
      </c>
      <c r="C58" s="741" t="s">
        <v>617</v>
      </c>
      <c r="D58" s="744" t="s">
        <v>3</v>
      </c>
      <c r="E58" s="737"/>
      <c r="F58" s="737"/>
      <c r="G58" s="743"/>
      <c r="H58" s="743"/>
      <c r="I58" s="743"/>
      <c r="J58" s="743"/>
      <c r="K58" s="743"/>
      <c r="L58" s="743"/>
      <c r="M58" s="743"/>
      <c r="N58" s="743"/>
      <c r="O58" s="743"/>
      <c r="P58" s="743"/>
      <c r="Q58" s="743"/>
      <c r="R58" s="739"/>
    </row>
    <row r="59" spans="1:18" ht="23.25">
      <c r="A59" s="739"/>
      <c r="B59" s="740"/>
      <c r="C59" s="741"/>
      <c r="D59" s="744" t="s">
        <v>401</v>
      </c>
      <c r="E59" s="737">
        <v>287</v>
      </c>
      <c r="F59" s="737">
        <v>287</v>
      </c>
      <c r="G59" s="743">
        <v>217</v>
      </c>
      <c r="H59" s="743">
        <v>44</v>
      </c>
      <c r="I59" s="743">
        <v>26</v>
      </c>
      <c r="J59" s="743"/>
      <c r="K59" s="743"/>
      <c r="L59" s="743"/>
      <c r="M59" s="743"/>
      <c r="N59" s="743"/>
      <c r="O59" s="743"/>
      <c r="P59" s="743"/>
      <c r="Q59" s="743"/>
      <c r="R59" s="739"/>
    </row>
    <row r="60" spans="1:18" ht="23.25">
      <c r="A60" s="739"/>
      <c r="B60" s="740"/>
      <c r="C60" s="741"/>
      <c r="D60" s="744"/>
      <c r="E60" s="737"/>
      <c r="F60" s="737"/>
      <c r="G60" s="743"/>
      <c r="H60" s="743"/>
      <c r="I60" s="743"/>
      <c r="J60" s="743"/>
      <c r="K60" s="743"/>
      <c r="L60" s="743"/>
      <c r="M60" s="743"/>
      <c r="N60" s="743"/>
      <c r="O60" s="743"/>
      <c r="P60" s="743"/>
      <c r="Q60" s="743"/>
      <c r="R60" s="739"/>
    </row>
    <row r="61" spans="1:18" ht="23.25">
      <c r="A61" s="1186" t="s">
        <v>635</v>
      </c>
      <c r="B61" s="1186"/>
      <c r="C61" s="1186"/>
      <c r="D61" s="736" t="s">
        <v>3</v>
      </c>
      <c r="E61" s="737">
        <f>E54+E56</f>
        <v>15521</v>
      </c>
      <c r="F61" s="737">
        <f t="shared" ref="F61:R61" si="2">(F54+F56)</f>
        <v>15521</v>
      </c>
      <c r="G61" s="738">
        <f t="shared" si="2"/>
        <v>11301</v>
      </c>
      <c r="H61" s="738">
        <f t="shared" si="2"/>
        <v>2541</v>
      </c>
      <c r="I61" s="738">
        <f t="shared" si="2"/>
        <v>1529</v>
      </c>
      <c r="J61" s="738">
        <f t="shared" si="2"/>
        <v>0</v>
      </c>
      <c r="K61" s="738">
        <f t="shared" si="2"/>
        <v>0</v>
      </c>
      <c r="L61" s="738">
        <f t="shared" si="2"/>
        <v>0</v>
      </c>
      <c r="M61" s="738">
        <f t="shared" si="2"/>
        <v>0</v>
      </c>
      <c r="N61" s="738">
        <f t="shared" si="2"/>
        <v>150</v>
      </c>
      <c r="O61" s="737">
        <f t="shared" si="2"/>
        <v>0</v>
      </c>
      <c r="P61" s="737">
        <f t="shared" si="2"/>
        <v>0</v>
      </c>
      <c r="Q61" s="737">
        <f t="shared" si="2"/>
        <v>0</v>
      </c>
      <c r="R61" s="737">
        <f t="shared" si="2"/>
        <v>0</v>
      </c>
    </row>
    <row r="62" spans="1:18" ht="23.25">
      <c r="A62" s="747"/>
      <c r="B62" s="747"/>
      <c r="C62" s="747"/>
      <c r="D62" s="744" t="s">
        <v>401</v>
      </c>
      <c r="E62" s="737">
        <f>E55+E57+E59</f>
        <v>15863</v>
      </c>
      <c r="F62" s="737">
        <f t="shared" ref="F62:K62" si="3">F55+F59</f>
        <v>15863</v>
      </c>
      <c r="G62" s="738">
        <f t="shared" si="3"/>
        <v>11564</v>
      </c>
      <c r="H62" s="738">
        <f t="shared" si="3"/>
        <v>2594</v>
      </c>
      <c r="I62" s="738">
        <f t="shared" si="3"/>
        <v>1555</v>
      </c>
      <c r="J62" s="738">
        <f t="shared" si="3"/>
        <v>0</v>
      </c>
      <c r="K62" s="738">
        <f t="shared" si="3"/>
        <v>0</v>
      </c>
      <c r="L62" s="737"/>
      <c r="M62" s="737"/>
      <c r="N62" s="737">
        <v>150</v>
      </c>
      <c r="O62" s="737"/>
      <c r="P62" s="737"/>
      <c r="Q62" s="737"/>
      <c r="R62" s="737"/>
    </row>
    <row r="63" spans="1:18" ht="22.5">
      <c r="A63" s="747"/>
      <c r="B63" s="747"/>
      <c r="C63" s="747"/>
      <c r="D63" s="744"/>
      <c r="E63" s="737"/>
      <c r="F63" s="737"/>
      <c r="G63" s="737"/>
      <c r="H63" s="737"/>
      <c r="I63" s="737"/>
      <c r="J63" s="737"/>
      <c r="K63" s="737"/>
      <c r="L63" s="737"/>
      <c r="M63" s="737"/>
      <c r="N63" s="737"/>
      <c r="O63" s="737"/>
      <c r="P63" s="737"/>
      <c r="Q63" s="737"/>
      <c r="R63" s="737"/>
    </row>
    <row r="64" spans="1:18" ht="22.5">
      <c r="A64" s="1186" t="s">
        <v>636</v>
      </c>
      <c r="B64" s="1186"/>
      <c r="C64" s="1186"/>
      <c r="D64" s="750" t="s">
        <v>3</v>
      </c>
      <c r="E64" s="737">
        <f t="shared" ref="E64:M64" si="4">SUM(E40+E50+E61)</f>
        <v>77037</v>
      </c>
      <c r="F64" s="737">
        <f t="shared" si="4"/>
        <v>77037</v>
      </c>
      <c r="G64" s="737">
        <f t="shared" si="4"/>
        <v>56544</v>
      </c>
      <c r="H64" s="737">
        <f t="shared" si="4"/>
        <v>12745</v>
      </c>
      <c r="I64" s="737">
        <f t="shared" si="4"/>
        <v>6998</v>
      </c>
      <c r="J64" s="737">
        <f t="shared" si="4"/>
        <v>0</v>
      </c>
      <c r="K64" s="737">
        <f t="shared" si="4"/>
        <v>0</v>
      </c>
      <c r="L64" s="737">
        <f t="shared" si="4"/>
        <v>0</v>
      </c>
      <c r="M64" s="737">
        <f t="shared" si="4"/>
        <v>0</v>
      </c>
      <c r="N64" s="737">
        <f>N50+N61</f>
        <v>750</v>
      </c>
      <c r="O64" s="737">
        <f>SUM(O40+O50+O61)</f>
        <v>0</v>
      </c>
      <c r="P64" s="737">
        <f>SUM(P40+P50+P61)</f>
        <v>0</v>
      </c>
      <c r="Q64" s="737">
        <f>SUM(Q40+Q50+Q61)</f>
        <v>0</v>
      </c>
      <c r="R64" s="737">
        <f>SUM(R40+R50+R61)</f>
        <v>0</v>
      </c>
    </row>
    <row r="65" spans="1:18" ht="22.5">
      <c r="A65" s="747"/>
      <c r="B65" s="747"/>
      <c r="C65" s="747"/>
      <c r="D65" s="744" t="s">
        <v>401</v>
      </c>
      <c r="E65" s="737">
        <f t="shared" ref="E65:M65" si="5">E41+E51+E62</f>
        <v>78239</v>
      </c>
      <c r="F65" s="737">
        <f t="shared" si="5"/>
        <v>78239</v>
      </c>
      <c r="G65" s="737">
        <f t="shared" si="5"/>
        <v>57431</v>
      </c>
      <c r="H65" s="737">
        <f t="shared" si="5"/>
        <v>12928</v>
      </c>
      <c r="I65" s="737">
        <f t="shared" si="5"/>
        <v>7130</v>
      </c>
      <c r="J65" s="737">
        <f t="shared" si="5"/>
        <v>0</v>
      </c>
      <c r="K65" s="737">
        <f t="shared" si="5"/>
        <v>0</v>
      </c>
      <c r="L65" s="737">
        <f t="shared" si="5"/>
        <v>0</v>
      </c>
      <c r="M65" s="737">
        <f t="shared" si="5"/>
        <v>0</v>
      </c>
      <c r="N65" s="737">
        <f>N51+N62</f>
        <v>750</v>
      </c>
      <c r="O65" s="737"/>
      <c r="P65" s="737"/>
      <c r="Q65" s="737"/>
      <c r="R65" s="737"/>
    </row>
    <row r="66" spans="1:18" ht="22.5">
      <c r="A66" s="1188" t="s">
        <v>637</v>
      </c>
      <c r="B66" s="1188"/>
      <c r="C66" s="1188"/>
      <c r="D66" s="753" t="s">
        <v>3</v>
      </c>
      <c r="E66" s="754">
        <f t="shared" ref="E66:R66" si="6">SUM(E30+E64)</f>
        <v>820325</v>
      </c>
      <c r="F66" s="754">
        <f t="shared" si="6"/>
        <v>820325</v>
      </c>
      <c r="G66" s="754">
        <f t="shared" si="6"/>
        <v>518371</v>
      </c>
      <c r="H66" s="754">
        <f t="shared" si="6"/>
        <v>119114</v>
      </c>
      <c r="I66" s="754">
        <f t="shared" si="6"/>
        <v>170175</v>
      </c>
      <c r="J66" s="754">
        <f t="shared" si="6"/>
        <v>0</v>
      </c>
      <c r="K66" s="754">
        <f t="shared" si="6"/>
        <v>0</v>
      </c>
      <c r="L66" s="754">
        <f t="shared" si="6"/>
        <v>0</v>
      </c>
      <c r="M66" s="754">
        <f t="shared" si="6"/>
        <v>0</v>
      </c>
      <c r="N66" s="754">
        <f t="shared" si="6"/>
        <v>11465</v>
      </c>
      <c r="O66" s="754">
        <f t="shared" si="6"/>
        <v>1200</v>
      </c>
      <c r="P66" s="754">
        <f t="shared" si="6"/>
        <v>0</v>
      </c>
      <c r="Q66" s="754">
        <f t="shared" si="6"/>
        <v>0</v>
      </c>
      <c r="R66" s="754">
        <f t="shared" si="6"/>
        <v>0</v>
      </c>
    </row>
    <row r="67" spans="1:18" ht="22.5">
      <c r="A67" s="755"/>
      <c r="B67" s="755"/>
      <c r="C67" s="755"/>
      <c r="D67" s="744" t="s">
        <v>401</v>
      </c>
      <c r="E67" s="754">
        <f t="shared" ref="E67:O67" si="7">E31+E65</f>
        <v>827408</v>
      </c>
      <c r="F67" s="754">
        <f t="shared" si="7"/>
        <v>827408</v>
      </c>
      <c r="G67" s="754">
        <f t="shared" si="7"/>
        <v>523549</v>
      </c>
      <c r="H67" s="754">
        <f t="shared" si="7"/>
        <v>120184</v>
      </c>
      <c r="I67" s="754">
        <f t="shared" si="7"/>
        <v>171010</v>
      </c>
      <c r="J67" s="754">
        <f t="shared" si="7"/>
        <v>0</v>
      </c>
      <c r="K67" s="754">
        <f t="shared" si="7"/>
        <v>0</v>
      </c>
      <c r="L67" s="754">
        <f t="shared" si="7"/>
        <v>0</v>
      </c>
      <c r="M67" s="754">
        <f t="shared" si="7"/>
        <v>0</v>
      </c>
      <c r="N67" s="754">
        <f t="shared" si="7"/>
        <v>11465</v>
      </c>
      <c r="O67" s="754">
        <f t="shared" si="7"/>
        <v>1200</v>
      </c>
      <c r="P67" s="754"/>
      <c r="Q67" s="754"/>
      <c r="R67" s="756"/>
    </row>
    <row r="68" spans="1:18" ht="22.5">
      <c r="A68" s="1186" t="s">
        <v>638</v>
      </c>
      <c r="B68" s="1186"/>
      <c r="C68" s="1186"/>
      <c r="D68" s="750" t="s">
        <v>3</v>
      </c>
      <c r="E68" s="757">
        <f t="shared" ref="E68:R68" si="8">E28</f>
        <v>0</v>
      </c>
      <c r="F68" s="757">
        <f t="shared" si="8"/>
        <v>10005</v>
      </c>
      <c r="G68" s="757">
        <f t="shared" si="8"/>
        <v>8077</v>
      </c>
      <c r="H68" s="757">
        <f t="shared" si="8"/>
        <v>1872</v>
      </c>
      <c r="I68" s="757">
        <f t="shared" si="8"/>
        <v>56</v>
      </c>
      <c r="J68" s="757">
        <f t="shared" si="8"/>
        <v>0</v>
      </c>
      <c r="K68" s="757">
        <f t="shared" si="8"/>
        <v>0</v>
      </c>
      <c r="L68" s="757">
        <f t="shared" si="8"/>
        <v>0</v>
      </c>
      <c r="M68" s="757">
        <f t="shared" si="8"/>
        <v>0</v>
      </c>
      <c r="N68" s="757">
        <f t="shared" si="8"/>
        <v>0</v>
      </c>
      <c r="O68" s="757">
        <f t="shared" si="8"/>
        <v>0</v>
      </c>
      <c r="P68" s="757">
        <f t="shared" si="8"/>
        <v>0</v>
      </c>
      <c r="Q68" s="757">
        <f t="shared" si="8"/>
        <v>0</v>
      </c>
      <c r="R68" s="757">
        <f t="shared" si="8"/>
        <v>0</v>
      </c>
    </row>
    <row r="69" spans="1:18" ht="22.5">
      <c r="A69" s="747"/>
      <c r="B69" s="747"/>
      <c r="C69" s="747"/>
      <c r="D69" s="744" t="s">
        <v>401</v>
      </c>
      <c r="E69" s="757"/>
      <c r="F69" s="757">
        <v>10005</v>
      </c>
      <c r="G69" s="757">
        <v>8077</v>
      </c>
      <c r="H69" s="757">
        <v>1872</v>
      </c>
      <c r="I69" s="757">
        <v>56</v>
      </c>
      <c r="J69" s="757"/>
      <c r="K69" s="757"/>
      <c r="L69" s="757"/>
      <c r="M69" s="757"/>
      <c r="N69" s="757"/>
      <c r="O69" s="757"/>
      <c r="P69" s="757"/>
      <c r="Q69" s="757"/>
      <c r="R69" s="757"/>
    </row>
    <row r="70" spans="1:18" ht="22.5">
      <c r="A70" s="1186" t="s">
        <v>639</v>
      </c>
      <c r="B70" s="1186"/>
      <c r="C70" s="1186"/>
      <c r="D70" s="750" t="s">
        <v>3</v>
      </c>
      <c r="E70" s="757">
        <f t="shared" ref="E70:R70" si="9">E24+E20</f>
        <v>600</v>
      </c>
      <c r="F70" s="757">
        <f t="shared" si="9"/>
        <v>27651</v>
      </c>
      <c r="G70" s="757">
        <f t="shared" si="9"/>
        <v>19206</v>
      </c>
      <c r="H70" s="757">
        <f t="shared" si="9"/>
        <v>4320</v>
      </c>
      <c r="I70" s="757">
        <f t="shared" si="9"/>
        <v>2825</v>
      </c>
      <c r="J70" s="757">
        <f t="shared" si="9"/>
        <v>0</v>
      </c>
      <c r="K70" s="757">
        <f t="shared" si="9"/>
        <v>0</v>
      </c>
      <c r="L70" s="757">
        <f t="shared" si="9"/>
        <v>0</v>
      </c>
      <c r="M70" s="757">
        <f t="shared" si="9"/>
        <v>0</v>
      </c>
      <c r="N70" s="757">
        <f t="shared" si="9"/>
        <v>100</v>
      </c>
      <c r="O70" s="757">
        <f t="shared" si="9"/>
        <v>1200</v>
      </c>
      <c r="P70" s="757">
        <f t="shared" si="9"/>
        <v>0</v>
      </c>
      <c r="Q70" s="757">
        <f t="shared" si="9"/>
        <v>0</v>
      </c>
      <c r="R70" s="757">
        <f t="shared" si="9"/>
        <v>0</v>
      </c>
    </row>
    <row r="71" spans="1:18" ht="22.5">
      <c r="A71" s="758"/>
      <c r="B71" s="759"/>
      <c r="C71" s="747"/>
      <c r="D71" s="744" t="s">
        <v>401</v>
      </c>
      <c r="E71" s="757">
        <v>600</v>
      </c>
      <c r="F71" s="757">
        <v>27651</v>
      </c>
      <c r="G71" s="757">
        <v>19206</v>
      </c>
      <c r="H71" s="757">
        <v>4320</v>
      </c>
      <c r="I71" s="757">
        <v>2825</v>
      </c>
      <c r="J71" s="757"/>
      <c r="K71" s="757"/>
      <c r="L71" s="757"/>
      <c r="M71" s="757"/>
      <c r="N71" s="757">
        <v>100</v>
      </c>
      <c r="O71" s="757">
        <v>1200</v>
      </c>
      <c r="P71" s="757"/>
      <c r="Q71" s="757"/>
      <c r="R71" s="757"/>
    </row>
    <row r="72" spans="1:18" ht="22.5">
      <c r="A72" s="1189" t="s">
        <v>640</v>
      </c>
      <c r="B72" s="1189"/>
      <c r="C72" s="750"/>
      <c r="D72" s="750" t="s">
        <v>3</v>
      </c>
      <c r="E72" s="757">
        <v>819725</v>
      </c>
      <c r="F72" s="757">
        <v>782669</v>
      </c>
      <c r="G72" s="757">
        <v>491088</v>
      </c>
      <c r="H72" s="757">
        <v>112922</v>
      </c>
      <c r="I72" s="757">
        <v>167294</v>
      </c>
      <c r="J72" s="757">
        <v>0</v>
      </c>
      <c r="K72" s="757">
        <v>0</v>
      </c>
      <c r="L72" s="757">
        <v>0</v>
      </c>
      <c r="M72" s="757">
        <v>0</v>
      </c>
      <c r="N72" s="757">
        <v>11365</v>
      </c>
      <c r="O72" s="757">
        <v>1200</v>
      </c>
      <c r="P72" s="757">
        <v>0</v>
      </c>
      <c r="Q72" s="757">
        <v>0</v>
      </c>
      <c r="R72" s="757">
        <v>0</v>
      </c>
    </row>
    <row r="73" spans="1:18" ht="22.5">
      <c r="A73" s="760"/>
      <c r="B73" s="760"/>
      <c r="C73" s="760"/>
      <c r="D73" s="761" t="s">
        <v>401</v>
      </c>
      <c r="E73" s="762">
        <v>826808</v>
      </c>
      <c r="F73" s="762">
        <v>789752</v>
      </c>
      <c r="G73" s="762">
        <v>496266</v>
      </c>
      <c r="H73" s="762">
        <v>113992</v>
      </c>
      <c r="I73" s="762">
        <v>168129</v>
      </c>
      <c r="J73" s="763"/>
      <c r="K73" s="763"/>
      <c r="L73" s="763"/>
      <c r="M73" s="763"/>
      <c r="N73" s="762">
        <v>11365</v>
      </c>
      <c r="O73" s="762"/>
      <c r="P73" s="763"/>
      <c r="Q73" s="763"/>
      <c r="R73" s="760"/>
    </row>
  </sheetData>
  <mergeCells count="33">
    <mergeCell ref="A64:C64"/>
    <mergeCell ref="A66:C66"/>
    <mergeCell ref="A68:C68"/>
    <mergeCell ref="A70:C70"/>
    <mergeCell ref="A72:B72"/>
    <mergeCell ref="A53:C53"/>
    <mergeCell ref="A61:C61"/>
    <mergeCell ref="O7:O8"/>
    <mergeCell ref="P7:P8"/>
    <mergeCell ref="Q7:Q8"/>
    <mergeCell ref="A30:C30"/>
    <mergeCell ref="A33:C33"/>
    <mergeCell ref="A40:C40"/>
    <mergeCell ref="A42:C42"/>
    <mergeCell ref="A50:C50"/>
    <mergeCell ref="A9:C9"/>
    <mergeCell ref="I7:I8"/>
    <mergeCell ref="J7:J8"/>
    <mergeCell ref="K7:K8"/>
    <mergeCell ref="L7:L8"/>
    <mergeCell ref="B1:C1"/>
    <mergeCell ref="B3:R3"/>
    <mergeCell ref="A6:D8"/>
    <mergeCell ref="E6:E8"/>
    <mergeCell ref="F6:F8"/>
    <mergeCell ref="G6:L6"/>
    <mergeCell ref="M6:P6"/>
    <mergeCell ref="Q6:R6"/>
    <mergeCell ref="G7:G8"/>
    <mergeCell ref="H7:H8"/>
    <mergeCell ref="R7:R8"/>
    <mergeCell ref="M7:M8"/>
    <mergeCell ref="N7:N8"/>
  </mergeCells>
  <printOptions horizontalCentered="1"/>
  <pageMargins left="0.19685039370078741" right="0.19685039370078741" top="0.74803149606299213" bottom="0.19685039370078741" header="0.31496062992125984" footer="0.31496062992125984"/>
  <pageSetup paperSize="9" scale="32" orientation="landscape" r:id="rId1"/>
  <headerFooter>
    <oddHeader>&amp;L 5. melléklet a 8/2018.(IV.25..) önkormányzati rendelethez
 5 melléklet a 27/2017. (XII.21.)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view="pageLayout" zoomScaleNormal="100" workbookViewId="0">
      <selection sqref="A1:X1"/>
    </sheetView>
  </sheetViews>
  <sheetFormatPr defaultRowHeight="12.75"/>
  <cols>
    <col min="1" max="1" width="16.85546875" customWidth="1"/>
    <col min="18" max="18" width="14.42578125" customWidth="1"/>
  </cols>
  <sheetData>
    <row r="1" spans="1:24">
      <c r="A1" s="1191" t="s">
        <v>641</v>
      </c>
      <c r="B1" s="1191"/>
      <c r="C1" s="1191"/>
      <c r="D1" s="1191"/>
      <c r="E1" s="1191"/>
      <c r="F1" s="1191"/>
      <c r="G1" s="1191"/>
      <c r="H1" s="1191"/>
      <c r="I1" s="1191"/>
      <c r="J1" s="1191"/>
      <c r="K1" s="1191"/>
      <c r="L1" s="1191"/>
      <c r="M1" s="1191"/>
      <c r="N1" s="1191"/>
      <c r="O1" s="1191"/>
      <c r="P1" s="1191"/>
      <c r="Q1" s="1191"/>
      <c r="R1" s="1191"/>
      <c r="S1" s="1191"/>
      <c r="T1" s="1191"/>
      <c r="U1" s="1191"/>
      <c r="V1" s="1191"/>
      <c r="W1" s="1191"/>
      <c r="X1" s="1191"/>
    </row>
    <row r="2" spans="1:24" ht="21">
      <c r="A2" s="1190" t="s">
        <v>642</v>
      </c>
      <c r="B2" s="1190" t="s">
        <v>643</v>
      </c>
      <c r="C2" s="563"/>
      <c r="D2" s="1190" t="s">
        <v>644</v>
      </c>
      <c r="E2" s="1190" t="s">
        <v>645</v>
      </c>
      <c r="F2" s="1190" t="s">
        <v>646</v>
      </c>
      <c r="G2" s="1190" t="s">
        <v>27</v>
      </c>
      <c r="H2" s="1190" t="s">
        <v>647</v>
      </c>
      <c r="I2" s="1190" t="s">
        <v>648</v>
      </c>
      <c r="J2" s="1190"/>
      <c r="K2" s="1190" t="s">
        <v>649</v>
      </c>
      <c r="L2" s="1190"/>
      <c r="M2" s="1190" t="s">
        <v>32</v>
      </c>
      <c r="N2" s="1190" t="s">
        <v>650</v>
      </c>
      <c r="O2" s="1190" t="s">
        <v>651</v>
      </c>
      <c r="P2" s="1190" t="s">
        <v>652</v>
      </c>
      <c r="Q2" s="1190" t="s">
        <v>653</v>
      </c>
      <c r="R2" s="1190" t="s">
        <v>642</v>
      </c>
      <c r="S2" s="564" t="s">
        <v>605</v>
      </c>
      <c r="T2" s="564"/>
      <c r="U2" s="564"/>
      <c r="V2" s="564" t="s">
        <v>606</v>
      </c>
      <c r="W2" s="564"/>
      <c r="X2" s="563" t="s">
        <v>654</v>
      </c>
    </row>
    <row r="3" spans="1:24" ht="21">
      <c r="A3" s="1190"/>
      <c r="B3" s="1190"/>
      <c r="C3" s="563"/>
      <c r="D3" s="1190"/>
      <c r="E3" s="1190"/>
      <c r="F3" s="1190"/>
      <c r="G3" s="1190"/>
      <c r="H3" s="1190"/>
      <c r="I3" s="563" t="s">
        <v>655</v>
      </c>
      <c r="J3" s="563" t="s">
        <v>656</v>
      </c>
      <c r="K3" s="563" t="s">
        <v>655</v>
      </c>
      <c r="L3" s="563" t="s">
        <v>656</v>
      </c>
      <c r="M3" s="1190"/>
      <c r="N3" s="1190"/>
      <c r="O3" s="1190"/>
      <c r="P3" s="1190"/>
      <c r="Q3" s="1190"/>
      <c r="R3" s="1190"/>
      <c r="S3" s="563" t="s">
        <v>657</v>
      </c>
      <c r="T3" s="563" t="s">
        <v>658</v>
      </c>
      <c r="U3" s="563" t="s">
        <v>608</v>
      </c>
      <c r="V3" s="563" t="s">
        <v>62</v>
      </c>
      <c r="W3" s="563" t="s">
        <v>63</v>
      </c>
      <c r="X3" s="563"/>
    </row>
    <row r="4" spans="1:24" ht="12.75" customHeight="1">
      <c r="A4" s="1192" t="s">
        <v>659</v>
      </c>
      <c r="B4" s="1192" t="s">
        <v>627</v>
      </c>
      <c r="C4" s="565" t="s">
        <v>3</v>
      </c>
      <c r="D4" s="565"/>
      <c r="E4" s="566">
        <v>521</v>
      </c>
      <c r="F4" s="566"/>
      <c r="G4" s="566">
        <v>1655</v>
      </c>
      <c r="H4" s="566">
        <v>588</v>
      </c>
      <c r="I4" s="566">
        <v>0</v>
      </c>
      <c r="J4" s="566">
        <v>0</v>
      </c>
      <c r="K4" s="566">
        <v>0</v>
      </c>
      <c r="L4" s="566">
        <v>0</v>
      </c>
      <c r="M4" s="566">
        <v>0</v>
      </c>
      <c r="N4" s="566">
        <v>0</v>
      </c>
      <c r="O4" s="566">
        <v>99474</v>
      </c>
      <c r="P4" s="566">
        <v>2764</v>
      </c>
      <c r="Q4" s="566">
        <v>102238</v>
      </c>
      <c r="R4" s="1192" t="s">
        <v>659</v>
      </c>
      <c r="S4" s="566">
        <v>72595</v>
      </c>
      <c r="T4" s="566">
        <v>14002</v>
      </c>
      <c r="U4" s="566">
        <v>14897</v>
      </c>
      <c r="V4" s="566">
        <v>494</v>
      </c>
      <c r="W4" s="566">
        <v>250</v>
      </c>
      <c r="X4" s="566">
        <v>102238</v>
      </c>
    </row>
    <row r="5" spans="1:24" ht="25.5">
      <c r="A5" s="1192"/>
      <c r="B5" s="1192"/>
      <c r="C5" s="565" t="s">
        <v>660</v>
      </c>
      <c r="D5" s="565"/>
      <c r="E5" s="566">
        <v>521</v>
      </c>
      <c r="F5" s="566"/>
      <c r="G5" s="566">
        <f>39+1655</f>
        <v>1694</v>
      </c>
      <c r="H5" s="566">
        <v>588</v>
      </c>
      <c r="I5" s="566">
        <v>0</v>
      </c>
      <c r="J5" s="566">
        <v>0</v>
      </c>
      <c r="K5" s="566">
        <v>0</v>
      </c>
      <c r="L5" s="566">
        <v>0</v>
      </c>
      <c r="M5" s="566">
        <v>0</v>
      </c>
      <c r="N5" s="566">
        <v>0</v>
      </c>
      <c r="O5" s="566">
        <f>X5-P5</f>
        <v>99530</v>
      </c>
      <c r="P5" s="566">
        <f>SUM(D5:N5)</f>
        <v>2803</v>
      </c>
      <c r="Q5" s="566">
        <f>O5+P5</f>
        <v>102333</v>
      </c>
      <c r="R5" s="1192"/>
      <c r="S5" s="566">
        <f>29+72595+17</f>
        <v>72641</v>
      </c>
      <c r="T5" s="566">
        <f>6+14002+4</f>
        <v>14012</v>
      </c>
      <c r="U5" s="566">
        <f>39+14897</f>
        <v>14936</v>
      </c>
      <c r="V5" s="566">
        <v>494</v>
      </c>
      <c r="W5" s="566">
        <v>250</v>
      </c>
      <c r="X5" s="566">
        <f>SUM(S5:W5)</f>
        <v>102333</v>
      </c>
    </row>
    <row r="6" spans="1:24" ht="12.75" customHeight="1">
      <c r="A6" s="1192" t="s">
        <v>661</v>
      </c>
      <c r="B6" s="1192" t="s">
        <v>627</v>
      </c>
      <c r="C6" s="565" t="s">
        <v>3</v>
      </c>
      <c r="D6" s="565"/>
      <c r="E6" s="566">
        <v>27</v>
      </c>
      <c r="F6" s="566"/>
      <c r="G6" s="566">
        <v>290</v>
      </c>
      <c r="H6" s="566">
        <v>85</v>
      </c>
      <c r="I6" s="566">
        <v>0</v>
      </c>
      <c r="J6" s="566">
        <v>0</v>
      </c>
      <c r="K6" s="566">
        <v>0</v>
      </c>
      <c r="L6" s="566">
        <v>0</v>
      </c>
      <c r="M6" s="566">
        <v>0</v>
      </c>
      <c r="N6" s="566">
        <v>0</v>
      </c>
      <c r="O6" s="566">
        <v>36102</v>
      </c>
      <c r="P6" s="566">
        <v>402</v>
      </c>
      <c r="Q6" s="566">
        <v>36504</v>
      </c>
      <c r="R6" s="1192" t="s">
        <v>661</v>
      </c>
      <c r="S6" s="566">
        <v>23892</v>
      </c>
      <c r="T6" s="566">
        <v>4632</v>
      </c>
      <c r="U6" s="566">
        <v>7810</v>
      </c>
      <c r="V6" s="566">
        <v>170</v>
      </c>
      <c r="W6" s="566">
        <v>0</v>
      </c>
      <c r="X6" s="566">
        <v>36504</v>
      </c>
    </row>
    <row r="7" spans="1:24" ht="25.5">
      <c r="A7" s="1192"/>
      <c r="B7" s="1192"/>
      <c r="C7" s="565" t="s">
        <v>660</v>
      </c>
      <c r="D7" s="565"/>
      <c r="E7" s="566">
        <v>27</v>
      </c>
      <c r="F7" s="566"/>
      <c r="G7" s="566">
        <f>6+290</f>
        <v>296</v>
      </c>
      <c r="H7" s="566">
        <v>85</v>
      </c>
      <c r="I7" s="566">
        <v>0</v>
      </c>
      <c r="J7" s="566">
        <v>0</v>
      </c>
      <c r="K7" s="566">
        <v>0</v>
      </c>
      <c r="L7" s="566">
        <v>0</v>
      </c>
      <c r="M7" s="566">
        <v>0</v>
      </c>
      <c r="N7" s="566">
        <v>0</v>
      </c>
      <c r="O7" s="566">
        <f>X7-P7</f>
        <v>36102</v>
      </c>
      <c r="P7" s="566">
        <f>SUM(D7:N7)</f>
        <v>408</v>
      </c>
      <c r="Q7" s="566">
        <f>O7+P7</f>
        <v>36510</v>
      </c>
      <c r="R7" s="1192"/>
      <c r="S7" s="566">
        <v>23892</v>
      </c>
      <c r="T7" s="566">
        <v>4632</v>
      </c>
      <c r="U7" s="566">
        <f>6+7810</f>
        <v>7816</v>
      </c>
      <c r="V7" s="566">
        <v>170</v>
      </c>
      <c r="W7" s="566">
        <v>0</v>
      </c>
      <c r="X7" s="566">
        <f>SUM(S7:W7)</f>
        <v>36510</v>
      </c>
    </row>
    <row r="8" spans="1:24" ht="12.75" customHeight="1">
      <c r="A8" s="1192" t="s">
        <v>662</v>
      </c>
      <c r="B8" s="1192" t="s">
        <v>627</v>
      </c>
      <c r="C8" s="565" t="s">
        <v>3</v>
      </c>
      <c r="D8" s="565"/>
      <c r="E8" s="566">
        <v>144</v>
      </c>
      <c r="F8" s="566"/>
      <c r="G8" s="566">
        <v>1795</v>
      </c>
      <c r="H8" s="566">
        <v>523</v>
      </c>
      <c r="I8" s="566">
        <v>0</v>
      </c>
      <c r="J8" s="566">
        <v>0</v>
      </c>
      <c r="K8" s="566">
        <v>0</v>
      </c>
      <c r="L8" s="566">
        <v>0</v>
      </c>
      <c r="M8" s="566">
        <v>0</v>
      </c>
      <c r="N8" s="566">
        <v>0</v>
      </c>
      <c r="O8" s="566">
        <v>84578</v>
      </c>
      <c r="P8" s="566">
        <v>2462</v>
      </c>
      <c r="Q8" s="566">
        <v>87040</v>
      </c>
      <c r="R8" s="1192" t="s">
        <v>662</v>
      </c>
      <c r="S8" s="566">
        <v>61050</v>
      </c>
      <c r="T8" s="566">
        <v>11823</v>
      </c>
      <c r="U8" s="566">
        <v>12957</v>
      </c>
      <c r="V8" s="566">
        <v>110</v>
      </c>
      <c r="W8" s="566">
        <v>1100</v>
      </c>
      <c r="X8" s="566">
        <v>87040</v>
      </c>
    </row>
    <row r="9" spans="1:24" ht="25.5">
      <c r="A9" s="1192"/>
      <c r="B9" s="1192"/>
      <c r="C9" s="565" t="s">
        <v>660</v>
      </c>
      <c r="D9" s="565"/>
      <c r="E9" s="566">
        <v>144</v>
      </c>
      <c r="F9" s="566"/>
      <c r="G9" s="566">
        <f>1795+39</f>
        <v>1834</v>
      </c>
      <c r="H9" s="567">
        <v>523</v>
      </c>
      <c r="I9" s="566">
        <v>0</v>
      </c>
      <c r="J9" s="566">
        <v>0</v>
      </c>
      <c r="K9" s="566">
        <v>0</v>
      </c>
      <c r="L9" s="566">
        <v>0</v>
      </c>
      <c r="M9" s="566">
        <v>0</v>
      </c>
      <c r="N9" s="566">
        <v>0</v>
      </c>
      <c r="O9" s="566">
        <f>X9-P9</f>
        <v>84783</v>
      </c>
      <c r="P9" s="566">
        <f>SUM(D9:N9)</f>
        <v>2501</v>
      </c>
      <c r="Q9" s="566">
        <f>O9+P9</f>
        <v>87284</v>
      </c>
      <c r="R9" s="1192"/>
      <c r="S9" s="566">
        <f>108+61050+62</f>
        <v>61220</v>
      </c>
      <c r="T9" s="566">
        <f>21+11823+14</f>
        <v>11858</v>
      </c>
      <c r="U9" s="566">
        <f>39+12957</f>
        <v>12996</v>
      </c>
      <c r="V9" s="566">
        <v>110</v>
      </c>
      <c r="W9" s="566">
        <v>1100</v>
      </c>
      <c r="X9" s="566">
        <f>SUM(S9:W9)</f>
        <v>87284</v>
      </c>
    </row>
    <row r="10" spans="1:24" ht="12.75" customHeight="1">
      <c r="A10" s="1192" t="s">
        <v>663</v>
      </c>
      <c r="B10" s="1192" t="s">
        <v>627</v>
      </c>
      <c r="C10" s="565" t="s">
        <v>3</v>
      </c>
      <c r="D10" s="565"/>
      <c r="E10" s="566">
        <v>2488</v>
      </c>
      <c r="F10" s="566"/>
      <c r="G10" s="566">
        <v>2039</v>
      </c>
      <c r="H10" s="566">
        <v>1222</v>
      </c>
      <c r="I10" s="566">
        <v>0</v>
      </c>
      <c r="J10" s="566">
        <v>0</v>
      </c>
      <c r="K10" s="566">
        <v>0</v>
      </c>
      <c r="L10" s="566">
        <v>0</v>
      </c>
      <c r="M10" s="566">
        <v>0</v>
      </c>
      <c r="N10" s="566">
        <v>0</v>
      </c>
      <c r="O10" s="566">
        <v>106893</v>
      </c>
      <c r="P10" s="566">
        <v>5749</v>
      </c>
      <c r="Q10" s="566">
        <v>112642</v>
      </c>
      <c r="R10" s="1192" t="s">
        <v>663</v>
      </c>
      <c r="S10" s="566">
        <v>74419</v>
      </c>
      <c r="T10" s="566">
        <v>14163</v>
      </c>
      <c r="U10" s="566">
        <v>23083</v>
      </c>
      <c r="V10" s="566">
        <v>300</v>
      </c>
      <c r="W10" s="566">
        <v>677</v>
      </c>
      <c r="X10" s="566">
        <v>112642</v>
      </c>
    </row>
    <row r="11" spans="1:24" ht="25.5">
      <c r="A11" s="1192"/>
      <c r="B11" s="1192"/>
      <c r="C11" s="565" t="s">
        <v>660</v>
      </c>
      <c r="D11" s="565"/>
      <c r="E11" s="566">
        <v>2488</v>
      </c>
      <c r="F11" s="566"/>
      <c r="G11" s="566">
        <f>2039+50</f>
        <v>2089</v>
      </c>
      <c r="H11" s="566">
        <v>1222</v>
      </c>
      <c r="I11" s="566">
        <v>0</v>
      </c>
      <c r="J11" s="566">
        <v>0</v>
      </c>
      <c r="K11" s="566">
        <v>0</v>
      </c>
      <c r="L11" s="566">
        <v>0</v>
      </c>
      <c r="M11" s="566">
        <v>0</v>
      </c>
      <c r="N11" s="566">
        <v>0</v>
      </c>
      <c r="O11" s="566">
        <f>X11-P11</f>
        <v>106899</v>
      </c>
      <c r="P11" s="566">
        <f>SUM(D11:N11)</f>
        <v>5799</v>
      </c>
      <c r="Q11" s="566">
        <f>O11+P11</f>
        <v>112698</v>
      </c>
      <c r="R11" s="1192"/>
      <c r="S11" s="566">
        <f>2+74419+3</f>
        <v>74424</v>
      </c>
      <c r="T11" s="566">
        <f>1+14163</f>
        <v>14164</v>
      </c>
      <c r="U11" s="566">
        <f>50+23083</f>
        <v>23133</v>
      </c>
      <c r="V11" s="566">
        <v>300</v>
      </c>
      <c r="W11" s="566">
        <v>677</v>
      </c>
      <c r="X11" s="566">
        <f>SUM(S11:W11)</f>
        <v>112698</v>
      </c>
    </row>
    <row r="12" spans="1:24" ht="12.75" customHeight="1">
      <c r="A12" s="1192" t="s">
        <v>664</v>
      </c>
      <c r="B12" s="1192" t="s">
        <v>627</v>
      </c>
      <c r="C12" s="565" t="s">
        <v>3</v>
      </c>
      <c r="D12" s="566"/>
      <c r="E12" s="566">
        <v>18</v>
      </c>
      <c r="F12" s="566"/>
      <c r="G12" s="566">
        <v>1399</v>
      </c>
      <c r="H12" s="566">
        <v>383</v>
      </c>
      <c r="I12" s="566">
        <v>0</v>
      </c>
      <c r="J12" s="566">
        <v>0</v>
      </c>
      <c r="K12" s="566">
        <v>0</v>
      </c>
      <c r="L12" s="566">
        <v>0</v>
      </c>
      <c r="M12" s="566">
        <v>0</v>
      </c>
      <c r="N12" s="566">
        <v>0</v>
      </c>
      <c r="O12" s="566">
        <v>63687</v>
      </c>
      <c r="P12" s="566">
        <v>1800</v>
      </c>
      <c r="Q12" s="566">
        <v>65487</v>
      </c>
      <c r="R12" s="1192" t="s">
        <v>664</v>
      </c>
      <c r="S12" s="566">
        <v>42404</v>
      </c>
      <c r="T12" s="566">
        <v>8214</v>
      </c>
      <c r="U12" s="566">
        <v>12077</v>
      </c>
      <c r="V12" s="566">
        <v>992</v>
      </c>
      <c r="W12" s="566">
        <v>1800</v>
      </c>
      <c r="X12" s="566">
        <v>65487</v>
      </c>
    </row>
    <row r="13" spans="1:24" ht="25.5">
      <c r="A13" s="1192"/>
      <c r="B13" s="1192"/>
      <c r="C13" s="565" t="s">
        <v>660</v>
      </c>
      <c r="D13" s="566"/>
      <c r="E13" s="566">
        <v>18</v>
      </c>
      <c r="F13" s="566"/>
      <c r="G13" s="566">
        <f>1399+34</f>
        <v>1433</v>
      </c>
      <c r="H13" s="566">
        <v>383</v>
      </c>
      <c r="I13" s="566">
        <v>0</v>
      </c>
      <c r="J13" s="566">
        <v>0</v>
      </c>
      <c r="K13" s="566">
        <v>0</v>
      </c>
      <c r="L13" s="566">
        <v>0</v>
      </c>
      <c r="M13" s="566">
        <v>0</v>
      </c>
      <c r="N13" s="566">
        <v>0</v>
      </c>
      <c r="O13" s="566">
        <f>X13-P13</f>
        <v>63765</v>
      </c>
      <c r="P13" s="566">
        <f>SUM(D13:N13)</f>
        <v>1834</v>
      </c>
      <c r="Q13" s="566">
        <f>O13+P13</f>
        <v>65599</v>
      </c>
      <c r="R13" s="1192"/>
      <c r="S13" s="566">
        <f>45+42404+20</f>
        <v>42469</v>
      </c>
      <c r="T13" s="566">
        <f>9+8214+4</f>
        <v>8227</v>
      </c>
      <c r="U13" s="566">
        <f>34+12077</f>
        <v>12111</v>
      </c>
      <c r="V13" s="566">
        <v>992</v>
      </c>
      <c r="W13" s="566">
        <v>1800</v>
      </c>
      <c r="X13" s="566">
        <f>SUM(S13:W13)</f>
        <v>65599</v>
      </c>
    </row>
    <row r="14" spans="1:24" ht="12.75" customHeight="1">
      <c r="A14" s="1192" t="s">
        <v>665</v>
      </c>
      <c r="B14" s="1192" t="s">
        <v>627</v>
      </c>
      <c r="C14" s="565" t="s">
        <v>3</v>
      </c>
      <c r="D14" s="565"/>
      <c r="E14" s="566">
        <v>80</v>
      </c>
      <c r="F14" s="566"/>
      <c r="G14" s="566">
        <v>2963</v>
      </c>
      <c r="H14" s="566">
        <v>1122</v>
      </c>
      <c r="I14" s="566">
        <v>0</v>
      </c>
      <c r="J14" s="566">
        <v>0</v>
      </c>
      <c r="K14" s="566">
        <v>0</v>
      </c>
      <c r="L14" s="566">
        <v>0</v>
      </c>
      <c r="M14" s="566">
        <v>0</v>
      </c>
      <c r="N14" s="566">
        <v>0</v>
      </c>
      <c r="O14" s="566">
        <v>95851</v>
      </c>
      <c r="P14" s="566">
        <v>4165</v>
      </c>
      <c r="Q14" s="566">
        <v>100016</v>
      </c>
      <c r="R14" s="1192" t="s">
        <v>665</v>
      </c>
      <c r="S14" s="566">
        <v>66761</v>
      </c>
      <c r="T14" s="566">
        <v>12957</v>
      </c>
      <c r="U14" s="566">
        <v>13304</v>
      </c>
      <c r="V14" s="566">
        <v>150</v>
      </c>
      <c r="W14" s="566">
        <v>6844</v>
      </c>
      <c r="X14" s="566">
        <v>100016</v>
      </c>
    </row>
    <row r="15" spans="1:24" ht="25.5">
      <c r="A15" s="1192"/>
      <c r="B15" s="1192"/>
      <c r="C15" s="565" t="s">
        <v>660</v>
      </c>
      <c r="D15" s="565"/>
      <c r="E15" s="566">
        <v>80</v>
      </c>
      <c r="F15" s="566"/>
      <c r="G15" s="566">
        <f>45+2963</f>
        <v>3008</v>
      </c>
      <c r="H15" s="566">
        <v>1122</v>
      </c>
      <c r="I15" s="566">
        <v>0</v>
      </c>
      <c r="J15" s="566">
        <v>0</v>
      </c>
      <c r="K15" s="566">
        <v>0</v>
      </c>
      <c r="L15" s="566">
        <v>0</v>
      </c>
      <c r="M15" s="566">
        <v>0</v>
      </c>
      <c r="N15" s="566">
        <v>0</v>
      </c>
      <c r="O15" s="566">
        <f>X15-P15</f>
        <v>95929</v>
      </c>
      <c r="P15" s="566">
        <f>SUM(D15:N15)</f>
        <v>4210</v>
      </c>
      <c r="Q15" s="566">
        <f>O15+P15</f>
        <v>100139</v>
      </c>
      <c r="R15" s="1192"/>
      <c r="S15" s="566">
        <f>37+66761+28</f>
        <v>66826</v>
      </c>
      <c r="T15" s="566">
        <f>7+12957+6</f>
        <v>12970</v>
      </c>
      <c r="U15" s="566">
        <f>45+13304</f>
        <v>13349</v>
      </c>
      <c r="V15" s="566">
        <v>150</v>
      </c>
      <c r="W15" s="566">
        <v>6844</v>
      </c>
      <c r="X15" s="566">
        <f>SUM(S15:W15)</f>
        <v>100139</v>
      </c>
    </row>
    <row r="16" spans="1:24" ht="12.75" customHeight="1">
      <c r="A16" s="1192" t="s">
        <v>666</v>
      </c>
      <c r="B16" s="1192" t="s">
        <v>627</v>
      </c>
      <c r="C16" s="565" t="s">
        <v>3</v>
      </c>
      <c r="D16" s="565"/>
      <c r="E16" s="566">
        <v>0</v>
      </c>
      <c r="F16" s="566"/>
      <c r="G16" s="566">
        <v>369</v>
      </c>
      <c r="H16" s="566">
        <v>100</v>
      </c>
      <c r="I16" s="566">
        <v>0</v>
      </c>
      <c r="J16" s="566">
        <v>0</v>
      </c>
      <c r="K16" s="566">
        <v>0</v>
      </c>
      <c r="L16" s="566">
        <v>0</v>
      </c>
      <c r="M16" s="566">
        <v>0</v>
      </c>
      <c r="N16" s="566">
        <v>0</v>
      </c>
      <c r="O16" s="566">
        <v>20091</v>
      </c>
      <c r="P16" s="566">
        <v>469</v>
      </c>
      <c r="Q16" s="566">
        <v>20560</v>
      </c>
      <c r="R16" s="1192" t="s">
        <v>666</v>
      </c>
      <c r="S16" s="566">
        <v>12017</v>
      </c>
      <c r="T16" s="566">
        <v>2343</v>
      </c>
      <c r="U16" s="566">
        <v>5570</v>
      </c>
      <c r="V16" s="566">
        <v>230</v>
      </c>
      <c r="W16" s="566">
        <v>400</v>
      </c>
      <c r="X16" s="566">
        <v>20560</v>
      </c>
    </row>
    <row r="17" spans="1:24" ht="25.5">
      <c r="A17" s="1192"/>
      <c r="B17" s="1192"/>
      <c r="C17" s="565" t="s">
        <v>660</v>
      </c>
      <c r="D17" s="565"/>
      <c r="E17" s="566">
        <v>0</v>
      </c>
      <c r="F17" s="566"/>
      <c r="G17" s="566">
        <f>9+369</f>
        <v>378</v>
      </c>
      <c r="H17" s="566">
        <v>100</v>
      </c>
      <c r="I17" s="566">
        <v>0</v>
      </c>
      <c r="J17" s="566">
        <v>0</v>
      </c>
      <c r="K17" s="566">
        <v>0</v>
      </c>
      <c r="L17" s="566">
        <v>0</v>
      </c>
      <c r="M17" s="566">
        <v>0</v>
      </c>
      <c r="N17" s="566">
        <v>0</v>
      </c>
      <c r="O17" s="566">
        <f>X17-P17</f>
        <v>20091</v>
      </c>
      <c r="P17" s="566">
        <f>SUM(D17:N17)</f>
        <v>478</v>
      </c>
      <c r="Q17" s="566">
        <f>O17+P17</f>
        <v>20569</v>
      </c>
      <c r="R17" s="1192"/>
      <c r="S17" s="566">
        <v>12017</v>
      </c>
      <c r="T17" s="566">
        <v>2343</v>
      </c>
      <c r="U17" s="566">
        <f>9+5570</f>
        <v>5579</v>
      </c>
      <c r="V17" s="566">
        <v>230</v>
      </c>
      <c r="W17" s="566">
        <v>400</v>
      </c>
      <c r="X17" s="566">
        <f>SUM(S17:W17)</f>
        <v>20569</v>
      </c>
    </row>
    <row r="18" spans="1:24" ht="12.75" customHeight="1">
      <c r="A18" s="1192" t="s">
        <v>667</v>
      </c>
      <c r="B18" s="1192" t="s">
        <v>627</v>
      </c>
      <c r="C18" s="565" t="s">
        <v>3</v>
      </c>
      <c r="D18" s="565"/>
      <c r="E18" s="566">
        <v>15047</v>
      </c>
      <c r="F18" s="566"/>
      <c r="G18" s="566">
        <v>6141</v>
      </c>
      <c r="H18" s="566">
        <v>4571</v>
      </c>
      <c r="I18" s="566">
        <v>0</v>
      </c>
      <c r="J18" s="566">
        <v>0</v>
      </c>
      <c r="K18" s="566">
        <v>0</v>
      </c>
      <c r="L18" s="566">
        <v>0</v>
      </c>
      <c r="M18" s="566">
        <v>0</v>
      </c>
      <c r="N18" s="566">
        <v>0</v>
      </c>
      <c r="O18" s="566">
        <v>144408</v>
      </c>
      <c r="P18" s="566">
        <v>25759</v>
      </c>
      <c r="Q18" s="566">
        <v>170167</v>
      </c>
      <c r="R18" s="1192" t="s">
        <v>667</v>
      </c>
      <c r="S18" s="566">
        <v>100672</v>
      </c>
      <c r="T18" s="566">
        <v>21473</v>
      </c>
      <c r="U18" s="566">
        <v>42922</v>
      </c>
      <c r="V18" s="566">
        <v>900</v>
      </c>
      <c r="W18" s="566">
        <v>4200</v>
      </c>
      <c r="X18" s="566">
        <v>170167</v>
      </c>
    </row>
    <row r="19" spans="1:24" ht="25.5">
      <c r="A19" s="1192"/>
      <c r="B19" s="1192"/>
      <c r="C19" s="565" t="s">
        <v>660</v>
      </c>
      <c r="D19" s="565"/>
      <c r="E19" s="566">
        <v>15047</v>
      </c>
      <c r="F19" s="566"/>
      <c r="G19" s="566">
        <f>21+6141</f>
        <v>6162</v>
      </c>
      <c r="H19" s="566">
        <v>4571</v>
      </c>
      <c r="I19" s="566">
        <v>0</v>
      </c>
      <c r="J19" s="566">
        <v>0</v>
      </c>
      <c r="K19" s="566">
        <v>0</v>
      </c>
      <c r="L19" s="566">
        <v>0</v>
      </c>
      <c r="M19" s="566">
        <v>0</v>
      </c>
      <c r="N19" s="566">
        <v>0</v>
      </c>
      <c r="O19" s="566">
        <f>X19-P19</f>
        <v>159391</v>
      </c>
      <c r="P19" s="566">
        <f>SUM(D19:N19)</f>
        <v>25780</v>
      </c>
      <c r="Q19" s="566">
        <f>O19+P19</f>
        <v>185171</v>
      </c>
      <c r="R19" s="1192"/>
      <c r="S19" s="566">
        <f>250+100672-251+11081+1087+118</f>
        <v>112957</v>
      </c>
      <c r="T19" s="566">
        <f>49+21473-49+2161+212+25</f>
        <v>23871</v>
      </c>
      <c r="U19" s="566">
        <f>21+42922+300</f>
        <v>43243</v>
      </c>
      <c r="V19" s="566">
        <v>900</v>
      </c>
      <c r="W19" s="566">
        <v>4200</v>
      </c>
      <c r="X19" s="566">
        <f>SUM(S19:W19)</f>
        <v>185171</v>
      </c>
    </row>
    <row r="20" spans="1:24" ht="12.75" customHeight="1">
      <c r="A20" s="1192" t="s">
        <v>668</v>
      </c>
      <c r="B20" s="1192" t="s">
        <v>627</v>
      </c>
      <c r="C20" s="565" t="s">
        <v>3</v>
      </c>
      <c r="D20" s="565"/>
      <c r="E20" s="566">
        <v>0</v>
      </c>
      <c r="F20" s="566"/>
      <c r="G20" s="566">
        <v>17777</v>
      </c>
      <c r="H20" s="566">
        <v>4800</v>
      </c>
      <c r="I20" s="566">
        <v>0</v>
      </c>
      <c r="J20" s="566">
        <v>0</v>
      </c>
      <c r="K20" s="566">
        <v>0</v>
      </c>
      <c r="L20" s="566">
        <v>0</v>
      </c>
      <c r="M20" s="566">
        <v>0</v>
      </c>
      <c r="N20" s="566">
        <v>0</v>
      </c>
      <c r="O20" s="566">
        <v>52976</v>
      </c>
      <c r="P20" s="566">
        <v>22577</v>
      </c>
      <c r="Q20" s="566">
        <v>75553</v>
      </c>
      <c r="R20" s="1192" t="s">
        <v>668</v>
      </c>
      <c r="S20" s="566">
        <v>0</v>
      </c>
      <c r="T20" s="566">
        <v>0</v>
      </c>
      <c r="U20" s="566">
        <v>75553</v>
      </c>
      <c r="V20" s="566">
        <v>0</v>
      </c>
      <c r="W20" s="566">
        <v>0</v>
      </c>
      <c r="X20" s="566">
        <v>75553</v>
      </c>
    </row>
    <row r="21" spans="1:24" ht="25.5">
      <c r="A21" s="1192"/>
      <c r="B21" s="1192"/>
      <c r="C21" s="565" t="s">
        <v>660</v>
      </c>
      <c r="D21" s="565"/>
      <c r="E21" s="566">
        <v>0</v>
      </c>
      <c r="F21" s="566"/>
      <c r="G21" s="566">
        <f>17777+538</f>
        <v>18315</v>
      </c>
      <c r="H21" s="566">
        <v>4800</v>
      </c>
      <c r="I21" s="566">
        <v>0</v>
      </c>
      <c r="J21" s="566">
        <v>0</v>
      </c>
      <c r="K21" s="566">
        <v>0</v>
      </c>
      <c r="L21" s="566">
        <v>0</v>
      </c>
      <c r="M21" s="566">
        <v>0</v>
      </c>
      <c r="N21" s="566">
        <v>0</v>
      </c>
      <c r="O21" s="566">
        <f>X21-P21</f>
        <v>54348</v>
      </c>
      <c r="P21" s="566">
        <f>SUM(D21:N21)</f>
        <v>23115</v>
      </c>
      <c r="Q21" s="566">
        <f>O21+P21</f>
        <v>77463</v>
      </c>
      <c r="R21" s="1192"/>
      <c r="S21" s="566">
        <v>0</v>
      </c>
      <c r="T21" s="566">
        <v>0</v>
      </c>
      <c r="U21" s="566">
        <f>538+75553+1372</f>
        <v>77463</v>
      </c>
      <c r="V21" s="566">
        <v>0</v>
      </c>
      <c r="W21" s="566">
        <v>0</v>
      </c>
      <c r="X21" s="566">
        <f>SUM(S21:W21)</f>
        <v>77463</v>
      </c>
    </row>
    <row r="22" spans="1:24" ht="12.75" customHeight="1">
      <c r="A22" s="1192" t="s">
        <v>669</v>
      </c>
      <c r="B22" s="1192" t="s">
        <v>627</v>
      </c>
      <c r="C22" s="565" t="s">
        <v>3</v>
      </c>
      <c r="D22" s="565"/>
      <c r="E22" s="566">
        <v>0</v>
      </c>
      <c r="F22" s="566"/>
      <c r="G22" s="566">
        <v>11937</v>
      </c>
      <c r="H22" s="566">
        <v>3223</v>
      </c>
      <c r="I22" s="566">
        <v>0</v>
      </c>
      <c r="J22" s="566">
        <v>0</v>
      </c>
      <c r="K22" s="566">
        <v>0</v>
      </c>
      <c r="L22" s="566">
        <v>0</v>
      </c>
      <c r="M22" s="566">
        <v>0</v>
      </c>
      <c r="N22" s="566">
        <v>0</v>
      </c>
      <c r="O22" s="566">
        <v>23994</v>
      </c>
      <c r="P22" s="566">
        <v>15160</v>
      </c>
      <c r="Q22" s="566">
        <v>39154</v>
      </c>
      <c r="R22" s="1192" t="s">
        <v>669</v>
      </c>
      <c r="S22" s="566">
        <v>0</v>
      </c>
      <c r="T22" s="566">
        <v>0</v>
      </c>
      <c r="U22" s="566">
        <v>39154</v>
      </c>
      <c r="V22" s="566">
        <v>0</v>
      </c>
      <c r="W22" s="566">
        <v>0</v>
      </c>
      <c r="X22" s="566">
        <v>39154</v>
      </c>
    </row>
    <row r="23" spans="1:24" ht="25.5">
      <c r="A23" s="1192"/>
      <c r="B23" s="1192"/>
      <c r="C23" s="565" t="s">
        <v>660</v>
      </c>
      <c r="D23" s="565"/>
      <c r="E23" s="566">
        <v>0</v>
      </c>
      <c r="F23" s="566"/>
      <c r="G23" s="566">
        <f>11937+380</f>
        <v>12317</v>
      </c>
      <c r="H23" s="566">
        <v>3223</v>
      </c>
      <c r="I23" s="566">
        <v>0</v>
      </c>
      <c r="J23" s="566">
        <v>0</v>
      </c>
      <c r="K23" s="566">
        <v>0</v>
      </c>
      <c r="L23" s="566">
        <v>0</v>
      </c>
      <c r="M23" s="566">
        <v>0</v>
      </c>
      <c r="N23" s="566">
        <v>0</v>
      </c>
      <c r="O23" s="566">
        <f>X23-P23</f>
        <v>24729</v>
      </c>
      <c r="P23" s="566">
        <f>SUM(D23:N23)</f>
        <v>15540</v>
      </c>
      <c r="Q23" s="566">
        <f>O23+P23</f>
        <v>40269</v>
      </c>
      <c r="R23" s="1192"/>
      <c r="S23" s="566">
        <v>0</v>
      </c>
      <c r="T23" s="566">
        <v>0</v>
      </c>
      <c r="U23" s="566">
        <f>380+39154+735</f>
        <v>40269</v>
      </c>
      <c r="V23" s="566">
        <v>0</v>
      </c>
      <c r="W23" s="566">
        <v>0</v>
      </c>
      <c r="X23" s="566">
        <f>SUM(S23:W23)</f>
        <v>40269</v>
      </c>
    </row>
    <row r="24" spans="1:24" ht="12.75" customHeight="1">
      <c r="A24" s="1193" t="s">
        <v>670</v>
      </c>
      <c r="B24" s="1192" t="s">
        <v>627</v>
      </c>
      <c r="C24" s="568" t="s">
        <v>3</v>
      </c>
      <c r="D24" s="568"/>
      <c r="E24" s="569">
        <v>0</v>
      </c>
      <c r="F24" s="569"/>
      <c r="G24" s="569">
        <v>29714</v>
      </c>
      <c r="H24" s="569">
        <v>8023</v>
      </c>
      <c r="I24" s="569">
        <v>0</v>
      </c>
      <c r="J24" s="569">
        <v>0</v>
      </c>
      <c r="K24" s="569">
        <v>0</v>
      </c>
      <c r="L24" s="569">
        <v>0</v>
      </c>
      <c r="M24" s="569">
        <v>0</v>
      </c>
      <c r="N24" s="569">
        <v>0</v>
      </c>
      <c r="O24" s="569">
        <v>76970</v>
      </c>
      <c r="P24" s="569">
        <v>37737</v>
      </c>
      <c r="Q24" s="569">
        <v>114707</v>
      </c>
      <c r="R24" s="1192" t="s">
        <v>670</v>
      </c>
      <c r="S24" s="569">
        <v>0</v>
      </c>
      <c r="T24" s="569">
        <v>0</v>
      </c>
      <c r="U24" s="569">
        <v>114707</v>
      </c>
      <c r="V24" s="569">
        <v>0</v>
      </c>
      <c r="W24" s="569">
        <v>0</v>
      </c>
      <c r="X24" s="569">
        <v>114707</v>
      </c>
    </row>
    <row r="25" spans="1:24" ht="25.5">
      <c r="A25" s="1193"/>
      <c r="B25" s="1192"/>
      <c r="C25" s="568" t="s">
        <v>660</v>
      </c>
      <c r="D25" s="568"/>
      <c r="E25" s="569">
        <f t="shared" ref="E25:Q25" si="0">E21+E23</f>
        <v>0</v>
      </c>
      <c r="F25" s="569">
        <f t="shared" si="0"/>
        <v>0</v>
      </c>
      <c r="G25" s="569">
        <f t="shared" si="0"/>
        <v>30632</v>
      </c>
      <c r="H25" s="569">
        <f t="shared" si="0"/>
        <v>8023</v>
      </c>
      <c r="I25" s="569">
        <f t="shared" si="0"/>
        <v>0</v>
      </c>
      <c r="J25" s="569">
        <f t="shared" si="0"/>
        <v>0</v>
      </c>
      <c r="K25" s="569">
        <f t="shared" si="0"/>
        <v>0</v>
      </c>
      <c r="L25" s="569">
        <f t="shared" si="0"/>
        <v>0</v>
      </c>
      <c r="M25" s="569">
        <f t="shared" si="0"/>
        <v>0</v>
      </c>
      <c r="N25" s="569">
        <f t="shared" si="0"/>
        <v>0</v>
      </c>
      <c r="O25" s="569">
        <f t="shared" si="0"/>
        <v>79077</v>
      </c>
      <c r="P25" s="569">
        <f t="shared" si="0"/>
        <v>38655</v>
      </c>
      <c r="Q25" s="569">
        <f t="shared" si="0"/>
        <v>117732</v>
      </c>
      <c r="R25" s="1192"/>
      <c r="S25" s="569">
        <f t="shared" ref="S25:X25" si="1">S21+S23</f>
        <v>0</v>
      </c>
      <c r="T25" s="569">
        <f t="shared" si="1"/>
        <v>0</v>
      </c>
      <c r="U25" s="569">
        <f t="shared" si="1"/>
        <v>117732</v>
      </c>
      <c r="V25" s="569">
        <f t="shared" si="1"/>
        <v>0</v>
      </c>
      <c r="W25" s="569">
        <f t="shared" si="1"/>
        <v>0</v>
      </c>
      <c r="X25" s="569">
        <f t="shared" si="1"/>
        <v>117732</v>
      </c>
    </row>
    <row r="26" spans="1:24" ht="12.75" customHeight="1">
      <c r="A26" s="1192" t="s">
        <v>671</v>
      </c>
      <c r="B26" s="1192" t="s">
        <v>627</v>
      </c>
      <c r="C26" s="565" t="s">
        <v>3</v>
      </c>
      <c r="D26" s="565"/>
      <c r="E26" s="566">
        <v>13500</v>
      </c>
      <c r="F26" s="566"/>
      <c r="G26" s="566">
        <v>19764</v>
      </c>
      <c r="H26" s="566">
        <v>5336</v>
      </c>
      <c r="I26" s="566">
        <v>0</v>
      </c>
      <c r="J26" s="566">
        <v>0</v>
      </c>
      <c r="K26" s="566">
        <v>0</v>
      </c>
      <c r="L26" s="566">
        <v>0</v>
      </c>
      <c r="M26" s="566">
        <v>0</v>
      </c>
      <c r="N26" s="566">
        <v>0</v>
      </c>
      <c r="O26" s="566">
        <v>72478</v>
      </c>
      <c r="P26" s="566">
        <v>38600</v>
      </c>
      <c r="Q26" s="566">
        <v>111078</v>
      </c>
      <c r="R26" s="1192" t="s">
        <v>671</v>
      </c>
      <c r="S26" s="566">
        <v>0</v>
      </c>
      <c r="T26" s="566">
        <v>0</v>
      </c>
      <c r="U26" s="566">
        <v>111078</v>
      </c>
      <c r="V26" s="566">
        <v>0</v>
      </c>
      <c r="W26" s="566">
        <v>0</v>
      </c>
      <c r="X26" s="566">
        <v>111078</v>
      </c>
    </row>
    <row r="27" spans="1:24" ht="25.5">
      <c r="A27" s="1192"/>
      <c r="B27" s="1192"/>
      <c r="C27" s="565" t="s">
        <v>660</v>
      </c>
      <c r="D27" s="565"/>
      <c r="E27" s="566">
        <v>13500</v>
      </c>
      <c r="F27" s="566"/>
      <c r="G27" s="566">
        <f>19764+588</f>
        <v>20352</v>
      </c>
      <c r="H27" s="566">
        <v>5336</v>
      </c>
      <c r="I27" s="566">
        <v>0</v>
      </c>
      <c r="J27" s="566">
        <v>0</v>
      </c>
      <c r="K27" s="566">
        <v>0</v>
      </c>
      <c r="L27" s="566">
        <v>0</v>
      </c>
      <c r="M27" s="566">
        <v>0</v>
      </c>
      <c r="N27" s="566">
        <v>0</v>
      </c>
      <c r="O27" s="566">
        <f>X27-P27</f>
        <v>73899</v>
      </c>
      <c r="P27" s="566">
        <f>SUM(D27:N27)</f>
        <v>39188</v>
      </c>
      <c r="Q27" s="566">
        <f>O27+P27</f>
        <v>113087</v>
      </c>
      <c r="R27" s="1192"/>
      <c r="S27" s="566">
        <v>0</v>
      </c>
      <c r="T27" s="566">
        <v>0</v>
      </c>
      <c r="U27" s="566">
        <f>588+111078+1421</f>
        <v>113087</v>
      </c>
      <c r="V27" s="566">
        <v>0</v>
      </c>
      <c r="W27" s="566">
        <v>0</v>
      </c>
      <c r="X27" s="566">
        <f>SUM(S27:W27)</f>
        <v>113087</v>
      </c>
    </row>
    <row r="28" spans="1:24" ht="12.75" customHeight="1">
      <c r="A28" s="1192" t="s">
        <v>672</v>
      </c>
      <c r="B28" s="1192" t="s">
        <v>627</v>
      </c>
      <c r="C28" s="565" t="s">
        <v>3</v>
      </c>
      <c r="D28" s="565"/>
      <c r="E28" s="566">
        <v>0</v>
      </c>
      <c r="F28" s="566"/>
      <c r="G28" s="566">
        <v>8708</v>
      </c>
      <c r="H28" s="566">
        <v>1786</v>
      </c>
      <c r="I28" s="566">
        <v>0</v>
      </c>
      <c r="J28" s="566">
        <v>0</v>
      </c>
      <c r="K28" s="566">
        <v>0</v>
      </c>
      <c r="L28" s="566">
        <v>0</v>
      </c>
      <c r="M28" s="566">
        <v>0</v>
      </c>
      <c r="N28" s="566">
        <v>0</v>
      </c>
      <c r="O28" s="566">
        <v>21543</v>
      </c>
      <c r="P28" s="566">
        <v>10494</v>
      </c>
      <c r="Q28" s="566">
        <v>32037</v>
      </c>
      <c r="R28" s="1192" t="s">
        <v>672</v>
      </c>
      <c r="S28" s="566">
        <v>0</v>
      </c>
      <c r="T28" s="566">
        <v>0</v>
      </c>
      <c r="U28" s="566">
        <v>32037</v>
      </c>
      <c r="V28" s="566">
        <v>0</v>
      </c>
      <c r="W28" s="566">
        <v>0</v>
      </c>
      <c r="X28" s="566">
        <v>32037</v>
      </c>
    </row>
    <row r="29" spans="1:24" ht="25.5">
      <c r="A29" s="1192"/>
      <c r="B29" s="1192"/>
      <c r="C29" s="565" t="s">
        <v>660</v>
      </c>
      <c r="D29" s="565"/>
      <c r="E29" s="566">
        <v>0</v>
      </c>
      <c r="F29" s="566"/>
      <c r="G29" s="566">
        <f>8708+235</f>
        <v>8943</v>
      </c>
      <c r="H29" s="566">
        <v>1786</v>
      </c>
      <c r="I29" s="566">
        <v>0</v>
      </c>
      <c r="J29" s="566">
        <v>0</v>
      </c>
      <c r="K29" s="566">
        <v>0</v>
      </c>
      <c r="L29" s="566">
        <v>0</v>
      </c>
      <c r="M29" s="566">
        <v>0</v>
      </c>
      <c r="N29" s="566">
        <v>0</v>
      </c>
      <c r="O29" s="566">
        <f>X29-P29</f>
        <v>22418</v>
      </c>
      <c r="P29" s="566">
        <f>SUM(D29:N29)</f>
        <v>10729</v>
      </c>
      <c r="Q29" s="566">
        <f>O29+P29</f>
        <v>33147</v>
      </c>
      <c r="R29" s="1192"/>
      <c r="S29" s="566">
        <v>0</v>
      </c>
      <c r="T29" s="566">
        <v>0</v>
      </c>
      <c r="U29" s="566">
        <f>235+32037+588+287</f>
        <v>33147</v>
      </c>
      <c r="V29" s="566">
        <v>0</v>
      </c>
      <c r="W29" s="566">
        <v>0</v>
      </c>
      <c r="X29" s="566">
        <f>SUM(S29:W29)</f>
        <v>33147</v>
      </c>
    </row>
    <row r="30" spans="1:24" ht="12.75" customHeight="1">
      <c r="A30" s="1193" t="s">
        <v>673</v>
      </c>
      <c r="B30" s="1193" t="s">
        <v>627</v>
      </c>
      <c r="C30" s="568" t="s">
        <v>3</v>
      </c>
      <c r="D30" s="568"/>
      <c r="E30" s="569">
        <v>13500</v>
      </c>
      <c r="F30" s="569"/>
      <c r="G30" s="569">
        <v>28472</v>
      </c>
      <c r="H30" s="569">
        <v>7122</v>
      </c>
      <c r="I30" s="569">
        <v>0</v>
      </c>
      <c r="J30" s="569">
        <v>0</v>
      </c>
      <c r="K30" s="569">
        <v>0</v>
      </c>
      <c r="L30" s="569">
        <v>0</v>
      </c>
      <c r="M30" s="569">
        <v>0</v>
      </c>
      <c r="N30" s="569">
        <v>0</v>
      </c>
      <c r="O30" s="569">
        <v>94021</v>
      </c>
      <c r="P30" s="569">
        <v>49094</v>
      </c>
      <c r="Q30" s="569">
        <v>143115</v>
      </c>
      <c r="R30" s="1192" t="s">
        <v>673</v>
      </c>
      <c r="S30" s="569">
        <v>0</v>
      </c>
      <c r="T30" s="569">
        <v>0</v>
      </c>
      <c r="U30" s="569">
        <v>143115</v>
      </c>
      <c r="V30" s="569">
        <v>0</v>
      </c>
      <c r="W30" s="569">
        <v>0</v>
      </c>
      <c r="X30" s="569">
        <v>143115</v>
      </c>
    </row>
    <row r="31" spans="1:24" ht="25.5">
      <c r="A31" s="1193"/>
      <c r="B31" s="1193"/>
      <c r="C31" s="568" t="s">
        <v>660</v>
      </c>
      <c r="D31" s="568"/>
      <c r="E31" s="569">
        <f t="shared" ref="E31:Q31" si="2">E27+E29</f>
        <v>13500</v>
      </c>
      <c r="F31" s="569">
        <f t="shared" si="2"/>
        <v>0</v>
      </c>
      <c r="G31" s="569">
        <f t="shared" si="2"/>
        <v>29295</v>
      </c>
      <c r="H31" s="569">
        <f t="shared" si="2"/>
        <v>7122</v>
      </c>
      <c r="I31" s="569">
        <f t="shared" si="2"/>
        <v>0</v>
      </c>
      <c r="J31" s="569">
        <f t="shared" si="2"/>
        <v>0</v>
      </c>
      <c r="K31" s="569">
        <f t="shared" si="2"/>
        <v>0</v>
      </c>
      <c r="L31" s="569">
        <f t="shared" si="2"/>
        <v>0</v>
      </c>
      <c r="M31" s="569">
        <f t="shared" si="2"/>
        <v>0</v>
      </c>
      <c r="N31" s="569">
        <f t="shared" si="2"/>
        <v>0</v>
      </c>
      <c r="O31" s="569">
        <f t="shared" si="2"/>
        <v>96317</v>
      </c>
      <c r="P31" s="569">
        <f t="shared" si="2"/>
        <v>49917</v>
      </c>
      <c r="Q31" s="569">
        <f t="shared" si="2"/>
        <v>146234</v>
      </c>
      <c r="R31" s="1192"/>
      <c r="S31" s="569">
        <f t="shared" ref="S31:X31" si="3">S27+S29</f>
        <v>0</v>
      </c>
      <c r="T31" s="569">
        <f t="shared" si="3"/>
        <v>0</v>
      </c>
      <c r="U31" s="569">
        <f t="shared" si="3"/>
        <v>146234</v>
      </c>
      <c r="V31" s="569">
        <f t="shared" si="3"/>
        <v>0</v>
      </c>
      <c r="W31" s="569">
        <f t="shared" si="3"/>
        <v>0</v>
      </c>
      <c r="X31" s="569">
        <f t="shared" si="3"/>
        <v>146234</v>
      </c>
    </row>
    <row r="32" spans="1:24" ht="12.75" customHeight="1">
      <c r="A32" s="1192" t="s">
        <v>674</v>
      </c>
      <c r="B32" s="1192" t="s">
        <v>627</v>
      </c>
      <c r="C32" s="565" t="s">
        <v>3</v>
      </c>
      <c r="D32" s="565"/>
      <c r="E32" s="566">
        <v>0</v>
      </c>
      <c r="F32" s="566"/>
      <c r="G32" s="566">
        <v>3872</v>
      </c>
      <c r="H32" s="566">
        <v>1045</v>
      </c>
      <c r="I32" s="566">
        <v>0</v>
      </c>
      <c r="J32" s="566">
        <v>0</v>
      </c>
      <c r="K32" s="566">
        <v>0</v>
      </c>
      <c r="L32" s="566">
        <v>0</v>
      </c>
      <c r="M32" s="566">
        <v>0</v>
      </c>
      <c r="N32" s="566">
        <v>0</v>
      </c>
      <c r="O32" s="566">
        <v>25689</v>
      </c>
      <c r="P32" s="566">
        <v>4917</v>
      </c>
      <c r="Q32" s="566">
        <v>30606</v>
      </c>
      <c r="R32" s="1192" t="s">
        <v>674</v>
      </c>
      <c r="S32" s="566">
        <v>0</v>
      </c>
      <c r="T32" s="566">
        <v>0</v>
      </c>
      <c r="U32" s="566">
        <v>30606</v>
      </c>
      <c r="V32" s="566">
        <v>0</v>
      </c>
      <c r="W32" s="566">
        <v>0</v>
      </c>
      <c r="X32" s="566">
        <v>30606</v>
      </c>
    </row>
    <row r="33" spans="1:24" ht="25.5">
      <c r="A33" s="1192"/>
      <c r="B33" s="1192"/>
      <c r="C33" s="565" t="s">
        <v>660</v>
      </c>
      <c r="D33" s="565"/>
      <c r="E33" s="566">
        <v>0</v>
      </c>
      <c r="F33" s="566"/>
      <c r="G33" s="566">
        <f>3872+118</f>
        <v>3990</v>
      </c>
      <c r="H33" s="566">
        <v>1045</v>
      </c>
      <c r="I33" s="566">
        <v>0</v>
      </c>
      <c r="J33" s="566">
        <v>0</v>
      </c>
      <c r="K33" s="566">
        <v>0</v>
      </c>
      <c r="L33" s="566">
        <v>0</v>
      </c>
      <c r="M33" s="566">
        <v>0</v>
      </c>
      <c r="N33" s="566">
        <v>0</v>
      </c>
      <c r="O33" s="566">
        <f>X33-P33</f>
        <v>26277</v>
      </c>
      <c r="P33" s="566">
        <f>SUM(D33:N33)</f>
        <v>5035</v>
      </c>
      <c r="Q33" s="566">
        <f>O33+P33</f>
        <v>31312</v>
      </c>
      <c r="R33" s="1192"/>
      <c r="S33" s="566">
        <v>0</v>
      </c>
      <c r="T33" s="566">
        <v>0</v>
      </c>
      <c r="U33" s="566">
        <f>118+30606+588</f>
        <v>31312</v>
      </c>
      <c r="V33" s="566">
        <v>0</v>
      </c>
      <c r="W33" s="566">
        <v>0</v>
      </c>
      <c r="X33" s="566">
        <f>SUM(S33:W33)</f>
        <v>31312</v>
      </c>
    </row>
    <row r="34" spans="1:24" ht="12.75" customHeight="1">
      <c r="A34" s="1192" t="s">
        <v>675</v>
      </c>
      <c r="B34" s="1192" t="s">
        <v>627</v>
      </c>
      <c r="C34" s="565" t="s">
        <v>3</v>
      </c>
      <c r="D34" s="565"/>
      <c r="E34" s="566">
        <v>0</v>
      </c>
      <c r="F34" s="566"/>
      <c r="G34" s="566">
        <v>2979</v>
      </c>
      <c r="H34" s="566">
        <v>804</v>
      </c>
      <c r="I34" s="566">
        <v>0</v>
      </c>
      <c r="J34" s="566">
        <v>0</v>
      </c>
      <c r="K34" s="566">
        <v>0</v>
      </c>
      <c r="L34" s="566">
        <v>0</v>
      </c>
      <c r="M34" s="566">
        <v>0</v>
      </c>
      <c r="N34" s="566">
        <v>0</v>
      </c>
      <c r="O34" s="566">
        <v>6477</v>
      </c>
      <c r="P34" s="566">
        <v>3783</v>
      </c>
      <c r="Q34" s="566">
        <v>10260</v>
      </c>
      <c r="R34" s="1192" t="s">
        <v>675</v>
      </c>
      <c r="S34" s="566">
        <v>0</v>
      </c>
      <c r="T34" s="566">
        <v>0</v>
      </c>
      <c r="U34" s="566">
        <v>10260</v>
      </c>
      <c r="V34" s="566">
        <v>0</v>
      </c>
      <c r="W34" s="566">
        <v>0</v>
      </c>
      <c r="X34" s="566">
        <v>10260</v>
      </c>
    </row>
    <row r="35" spans="1:24" ht="25.5">
      <c r="A35" s="1192"/>
      <c r="B35" s="1192"/>
      <c r="C35" s="565" t="s">
        <v>660</v>
      </c>
      <c r="D35" s="565"/>
      <c r="E35" s="566">
        <v>0</v>
      </c>
      <c r="F35" s="566"/>
      <c r="G35" s="566">
        <f>2979+67</f>
        <v>3046</v>
      </c>
      <c r="H35" s="566">
        <v>804</v>
      </c>
      <c r="I35" s="566">
        <v>0</v>
      </c>
      <c r="J35" s="566">
        <v>0</v>
      </c>
      <c r="K35" s="566">
        <v>0</v>
      </c>
      <c r="L35" s="566">
        <v>0</v>
      </c>
      <c r="M35" s="566">
        <v>0</v>
      </c>
      <c r="N35" s="566">
        <v>0</v>
      </c>
      <c r="O35" s="566">
        <f>X35-P35</f>
        <v>6673</v>
      </c>
      <c r="P35" s="566">
        <f>SUM(D35:N35)</f>
        <v>3850</v>
      </c>
      <c r="Q35" s="566">
        <f>O35+P35</f>
        <v>10523</v>
      </c>
      <c r="R35" s="1192"/>
      <c r="S35" s="566">
        <v>0</v>
      </c>
      <c r="T35" s="566">
        <v>0</v>
      </c>
      <c r="U35" s="566">
        <f>67+10260+196</f>
        <v>10523</v>
      </c>
      <c r="V35" s="566">
        <v>0</v>
      </c>
      <c r="W35" s="566">
        <v>0</v>
      </c>
      <c r="X35" s="566">
        <f>SUM(S35:W35)</f>
        <v>10523</v>
      </c>
    </row>
    <row r="36" spans="1:24" ht="12.75" customHeight="1">
      <c r="A36" s="1192" t="s">
        <v>676</v>
      </c>
      <c r="B36" s="1192" t="s">
        <v>677</v>
      </c>
      <c r="C36" s="565" t="s">
        <v>3</v>
      </c>
      <c r="D36" s="565"/>
      <c r="E36" s="566">
        <v>366</v>
      </c>
      <c r="F36" s="566"/>
      <c r="G36" s="566">
        <v>0</v>
      </c>
      <c r="H36" s="566">
        <v>18585</v>
      </c>
      <c r="I36" s="566">
        <v>0</v>
      </c>
      <c r="J36" s="566">
        <v>0</v>
      </c>
      <c r="K36" s="566">
        <v>0</v>
      </c>
      <c r="L36" s="566">
        <v>0</v>
      </c>
      <c r="M36" s="566">
        <v>0</v>
      </c>
      <c r="N36" s="566">
        <v>0</v>
      </c>
      <c r="O36" s="566">
        <v>64309</v>
      </c>
      <c r="P36" s="566">
        <v>18951</v>
      </c>
      <c r="Q36" s="566">
        <v>83260</v>
      </c>
      <c r="R36" s="1192" t="s">
        <v>676</v>
      </c>
      <c r="S36" s="566">
        <v>41114</v>
      </c>
      <c r="T36" s="566">
        <v>7824</v>
      </c>
      <c r="U36" s="566">
        <v>33087</v>
      </c>
      <c r="V36" s="566">
        <v>1235</v>
      </c>
      <c r="W36" s="566">
        <v>0</v>
      </c>
      <c r="X36" s="566">
        <v>83260</v>
      </c>
    </row>
    <row r="37" spans="1:24" ht="25.5">
      <c r="A37" s="1192"/>
      <c r="B37" s="1192"/>
      <c r="C37" s="565" t="s">
        <v>660</v>
      </c>
      <c r="D37" s="565"/>
      <c r="E37" s="566">
        <v>366</v>
      </c>
      <c r="F37" s="566"/>
      <c r="G37" s="566">
        <v>0</v>
      </c>
      <c r="H37" s="566">
        <v>18585</v>
      </c>
      <c r="I37" s="566">
        <v>0</v>
      </c>
      <c r="J37" s="566">
        <v>0</v>
      </c>
      <c r="K37" s="566">
        <v>0</v>
      </c>
      <c r="L37" s="566">
        <v>0</v>
      </c>
      <c r="M37" s="566">
        <v>0</v>
      </c>
      <c r="N37" s="566">
        <v>0</v>
      </c>
      <c r="O37" s="566">
        <f>X37-P37</f>
        <v>50780</v>
      </c>
      <c r="P37" s="566">
        <f>SUM(D37:N37)</f>
        <v>18951</v>
      </c>
      <c r="Q37" s="566">
        <f>O37+P37</f>
        <v>69731</v>
      </c>
      <c r="R37" s="1192"/>
      <c r="S37" s="566">
        <v>41114</v>
      </c>
      <c r="T37" s="566">
        <v>7824</v>
      </c>
      <c r="U37" s="566">
        <f>33087-287-13242</f>
        <v>19558</v>
      </c>
      <c r="V37" s="566">
        <v>1235</v>
      </c>
      <c r="W37" s="566">
        <v>0</v>
      </c>
      <c r="X37" s="566">
        <f>SUM(S37:W37)</f>
        <v>69731</v>
      </c>
    </row>
    <row r="38" spans="1:24" ht="12.75" customHeight="1">
      <c r="A38" s="1193" t="s">
        <v>678</v>
      </c>
      <c r="B38" s="570"/>
      <c r="C38" s="568" t="s">
        <v>3</v>
      </c>
      <c r="D38" s="569">
        <v>0</v>
      </c>
      <c r="E38" s="569">
        <v>13866</v>
      </c>
      <c r="F38" s="569"/>
      <c r="G38" s="569">
        <v>65037</v>
      </c>
      <c r="H38" s="569">
        <v>35579</v>
      </c>
      <c r="I38" s="569">
        <v>0</v>
      </c>
      <c r="J38" s="569">
        <v>0</v>
      </c>
      <c r="K38" s="569">
        <v>0</v>
      </c>
      <c r="L38" s="569">
        <v>0</v>
      </c>
      <c r="M38" s="569">
        <v>0</v>
      </c>
      <c r="N38" s="569">
        <v>0</v>
      </c>
      <c r="O38" s="569">
        <v>267466</v>
      </c>
      <c r="P38" s="569">
        <v>114482</v>
      </c>
      <c r="Q38" s="569">
        <v>381948</v>
      </c>
      <c r="R38" s="1192" t="s">
        <v>678</v>
      </c>
      <c r="S38" s="569">
        <v>41114</v>
      </c>
      <c r="T38" s="569">
        <v>7824</v>
      </c>
      <c r="U38" s="569">
        <v>331775</v>
      </c>
      <c r="V38" s="569">
        <v>1235</v>
      </c>
      <c r="W38" s="569">
        <v>0</v>
      </c>
      <c r="X38" s="569">
        <v>381948</v>
      </c>
    </row>
    <row r="39" spans="1:24" ht="25.5">
      <c r="A39" s="1193"/>
      <c r="B39" s="570"/>
      <c r="C39" s="568" t="s">
        <v>660</v>
      </c>
      <c r="D39" s="569"/>
      <c r="E39" s="569">
        <f t="shared" ref="E39:Q39" si="4">E25+E31+E33+E35+E37</f>
        <v>13866</v>
      </c>
      <c r="F39" s="569">
        <f t="shared" si="4"/>
        <v>0</v>
      </c>
      <c r="G39" s="569">
        <f t="shared" si="4"/>
        <v>66963</v>
      </c>
      <c r="H39" s="569">
        <f t="shared" si="4"/>
        <v>35579</v>
      </c>
      <c r="I39" s="569">
        <f t="shared" si="4"/>
        <v>0</v>
      </c>
      <c r="J39" s="569">
        <f t="shared" si="4"/>
        <v>0</v>
      </c>
      <c r="K39" s="569">
        <f t="shared" si="4"/>
        <v>0</v>
      </c>
      <c r="L39" s="569">
        <f t="shared" si="4"/>
        <v>0</v>
      </c>
      <c r="M39" s="569">
        <f t="shared" si="4"/>
        <v>0</v>
      </c>
      <c r="N39" s="569">
        <f t="shared" si="4"/>
        <v>0</v>
      </c>
      <c r="O39" s="569">
        <f t="shared" si="4"/>
        <v>259124</v>
      </c>
      <c r="P39" s="569">
        <f t="shared" si="4"/>
        <v>116408</v>
      </c>
      <c r="Q39" s="569">
        <f t="shared" si="4"/>
        <v>375532</v>
      </c>
      <c r="R39" s="1192"/>
      <c r="S39" s="569">
        <f t="shared" ref="S39:X39" si="5">S25+S31+S33+S35+S37</f>
        <v>41114</v>
      </c>
      <c r="T39" s="569">
        <f t="shared" si="5"/>
        <v>7824</v>
      </c>
      <c r="U39" s="569">
        <f t="shared" si="5"/>
        <v>325359</v>
      </c>
      <c r="V39" s="569">
        <f t="shared" si="5"/>
        <v>1235</v>
      </c>
      <c r="W39" s="569">
        <f t="shared" si="5"/>
        <v>0</v>
      </c>
      <c r="X39" s="569">
        <f t="shared" si="5"/>
        <v>375532</v>
      </c>
    </row>
    <row r="40" spans="1:24" ht="12.75" customHeight="1">
      <c r="A40" s="1192" t="s">
        <v>679</v>
      </c>
      <c r="B40" s="1192" t="s">
        <v>627</v>
      </c>
      <c r="C40" s="565" t="s">
        <v>3</v>
      </c>
      <c r="D40" s="566">
        <v>2000</v>
      </c>
      <c r="E40" s="566">
        <v>17295</v>
      </c>
      <c r="F40" s="566">
        <v>725</v>
      </c>
      <c r="G40" s="566">
        <v>0</v>
      </c>
      <c r="H40" s="566">
        <v>4980</v>
      </c>
      <c r="I40" s="566">
        <v>0</v>
      </c>
      <c r="J40" s="566">
        <v>0</v>
      </c>
      <c r="K40" s="566">
        <v>1250</v>
      </c>
      <c r="L40" s="566">
        <v>0</v>
      </c>
      <c r="M40" s="566">
        <v>0</v>
      </c>
      <c r="N40" s="566">
        <v>3187</v>
      </c>
      <c r="O40" s="566">
        <v>189315</v>
      </c>
      <c r="P40" s="566">
        <v>29437</v>
      </c>
      <c r="Q40" s="566">
        <v>218752</v>
      </c>
      <c r="R40" s="1192" t="s">
        <v>679</v>
      </c>
      <c r="S40" s="566">
        <v>121604</v>
      </c>
      <c r="T40" s="566">
        <v>25263</v>
      </c>
      <c r="U40" s="566">
        <v>49298</v>
      </c>
      <c r="V40" s="566">
        <v>11287</v>
      </c>
      <c r="W40" s="566">
        <v>11300</v>
      </c>
      <c r="X40" s="566">
        <v>218752</v>
      </c>
    </row>
    <row r="41" spans="1:24" ht="25.5">
      <c r="A41" s="1192"/>
      <c r="B41" s="1192"/>
      <c r="C41" s="565" t="s">
        <v>660</v>
      </c>
      <c r="D41" s="566">
        <v>2000</v>
      </c>
      <c r="E41" s="566">
        <v>17295</v>
      </c>
      <c r="F41" s="566">
        <v>725</v>
      </c>
      <c r="G41" s="566">
        <v>0</v>
      </c>
      <c r="H41" s="566">
        <v>4980</v>
      </c>
      <c r="I41" s="566">
        <f>10</f>
        <v>10</v>
      </c>
      <c r="J41" s="566">
        <v>245</v>
      </c>
      <c r="K41" s="566">
        <v>1250</v>
      </c>
      <c r="L41" s="566">
        <v>0</v>
      </c>
      <c r="M41" s="566">
        <v>0</v>
      </c>
      <c r="N41" s="566">
        <v>3187</v>
      </c>
      <c r="O41" s="566">
        <f>X41-P41</f>
        <v>191473</v>
      </c>
      <c r="P41" s="566">
        <f>SUM(D41:N41)</f>
        <v>29692</v>
      </c>
      <c r="Q41" s="566">
        <f>O41+P41</f>
        <v>221165</v>
      </c>
      <c r="R41" s="1192"/>
      <c r="S41" s="566">
        <f>18+121604+1739+36</f>
        <v>123397</v>
      </c>
      <c r="T41" s="566">
        <f>3+25263+354+8</f>
        <v>25628</v>
      </c>
      <c r="U41" s="566">
        <f>10+49298</f>
        <v>49308</v>
      </c>
      <c r="V41" s="566">
        <f>11287+245</f>
        <v>11532</v>
      </c>
      <c r="W41" s="566">
        <v>11300</v>
      </c>
      <c r="X41" s="566">
        <f>SUM(S41:W41)</f>
        <v>221165</v>
      </c>
    </row>
    <row r="42" spans="1:24" ht="12.75" customHeight="1">
      <c r="A42" s="1192" t="s">
        <v>680</v>
      </c>
      <c r="B42" s="1192" t="s">
        <v>627</v>
      </c>
      <c r="C42" s="565" t="s">
        <v>3</v>
      </c>
      <c r="D42" s="565"/>
      <c r="E42" s="566">
        <v>1230</v>
      </c>
      <c r="F42" s="566"/>
      <c r="G42" s="566">
        <v>0</v>
      </c>
      <c r="H42" s="566">
        <v>332</v>
      </c>
      <c r="I42" s="566">
        <v>0</v>
      </c>
      <c r="J42" s="566">
        <v>0</v>
      </c>
      <c r="K42" s="566">
        <v>0</v>
      </c>
      <c r="L42" s="566">
        <v>0</v>
      </c>
      <c r="M42" s="566">
        <v>0</v>
      </c>
      <c r="N42" s="566">
        <v>0</v>
      </c>
      <c r="O42" s="566">
        <v>46048</v>
      </c>
      <c r="P42" s="566">
        <v>1562</v>
      </c>
      <c r="Q42" s="566">
        <v>47610</v>
      </c>
      <c r="R42" s="1192" t="s">
        <v>680</v>
      </c>
      <c r="S42" s="566">
        <v>26515</v>
      </c>
      <c r="T42" s="566">
        <v>4860</v>
      </c>
      <c r="U42" s="566">
        <v>12185</v>
      </c>
      <c r="V42" s="566">
        <f>245+1550</f>
        <v>1795</v>
      </c>
      <c r="W42" s="566">
        <v>2500</v>
      </c>
      <c r="X42" s="566">
        <v>47610</v>
      </c>
    </row>
    <row r="43" spans="1:24" ht="25.5">
      <c r="A43" s="1192"/>
      <c r="B43" s="1192"/>
      <c r="C43" s="565" t="s">
        <v>660</v>
      </c>
      <c r="D43" s="565"/>
      <c r="E43" s="566">
        <v>1230</v>
      </c>
      <c r="F43" s="566"/>
      <c r="G43" s="566">
        <v>0</v>
      </c>
      <c r="H43" s="566">
        <v>332</v>
      </c>
      <c r="I43" s="566">
        <v>0</v>
      </c>
      <c r="J43" s="566">
        <v>0</v>
      </c>
      <c r="K43" s="566">
        <v>0</v>
      </c>
      <c r="L43" s="566">
        <v>0</v>
      </c>
      <c r="M43" s="566">
        <v>0</v>
      </c>
      <c r="N43" s="566">
        <v>0</v>
      </c>
      <c r="O43" s="566">
        <f>X43-P43</f>
        <v>46837</v>
      </c>
      <c r="P43" s="566">
        <f>SUM(D43:N43)</f>
        <v>1562</v>
      </c>
      <c r="Q43" s="566">
        <f>O43+P43</f>
        <v>48399</v>
      </c>
      <c r="R43" s="1192"/>
      <c r="S43" s="566">
        <f>35+26515+598+26</f>
        <v>27174</v>
      </c>
      <c r="T43" s="566">
        <f>7+4860+117+6</f>
        <v>4990</v>
      </c>
      <c r="U43" s="566">
        <v>12185</v>
      </c>
      <c r="V43" s="566">
        <v>1550</v>
      </c>
      <c r="W43" s="566">
        <v>2500</v>
      </c>
      <c r="X43" s="566">
        <f>SUM(S43:W43)</f>
        <v>48399</v>
      </c>
    </row>
    <row r="44" spans="1:24" ht="12.75" customHeight="1">
      <c r="A44" s="1193" t="s">
        <v>681</v>
      </c>
      <c r="B44" s="1192" t="s">
        <v>627</v>
      </c>
      <c r="C44" s="568" t="s">
        <v>3</v>
      </c>
      <c r="D44" s="568"/>
      <c r="E44" s="566">
        <v>0</v>
      </c>
      <c r="F44" s="566">
        <v>1251</v>
      </c>
      <c r="G44" s="566">
        <v>0</v>
      </c>
      <c r="H44" s="566">
        <v>0</v>
      </c>
      <c r="I44" s="566">
        <v>0</v>
      </c>
      <c r="J44" s="566">
        <v>0</v>
      </c>
      <c r="K44" s="566">
        <v>71002</v>
      </c>
      <c r="L44" s="566">
        <v>0</v>
      </c>
      <c r="M44" s="566">
        <v>0</v>
      </c>
      <c r="N44" s="566">
        <v>0</v>
      </c>
      <c r="O44" s="566">
        <v>8834</v>
      </c>
      <c r="P44" s="566">
        <v>72253</v>
      </c>
      <c r="Q44" s="566">
        <v>81087</v>
      </c>
      <c r="R44" s="1192" t="s">
        <v>681</v>
      </c>
      <c r="S44" s="566">
        <v>51079</v>
      </c>
      <c r="T44" s="566">
        <v>9636</v>
      </c>
      <c r="U44" s="566">
        <v>18738</v>
      </c>
      <c r="V44" s="566">
        <v>1634</v>
      </c>
      <c r="W44" s="566">
        <v>0</v>
      </c>
      <c r="X44" s="566">
        <v>81087</v>
      </c>
    </row>
    <row r="45" spans="1:24" ht="25.5">
      <c r="A45" s="1193"/>
      <c r="B45" s="1192"/>
      <c r="C45" s="568" t="s">
        <v>660</v>
      </c>
      <c r="D45" s="568"/>
      <c r="E45" s="566">
        <v>0</v>
      </c>
      <c r="F45" s="566">
        <v>1251</v>
      </c>
      <c r="G45" s="566">
        <v>0</v>
      </c>
      <c r="H45" s="566">
        <v>0</v>
      </c>
      <c r="I45" s="566">
        <v>0</v>
      </c>
      <c r="J45" s="566">
        <v>0</v>
      </c>
      <c r="K45" s="566">
        <f>4461+71002</f>
        <v>75463</v>
      </c>
      <c r="L45" s="566">
        <v>0</v>
      </c>
      <c r="M45" s="566">
        <v>0</v>
      </c>
      <c r="N45" s="566">
        <v>0</v>
      </c>
      <c r="O45" s="566">
        <f>X45-P45</f>
        <v>8936</v>
      </c>
      <c r="P45" s="566">
        <f>SUM(D45:N45)</f>
        <v>76714</v>
      </c>
      <c r="Q45" s="566">
        <f>O45+P45</f>
        <v>85650</v>
      </c>
      <c r="R45" s="1192"/>
      <c r="S45" s="566">
        <f>3733+51079+57-2658+28</f>
        <v>52239</v>
      </c>
      <c r="T45" s="566">
        <f>728+9636+11-518+6</f>
        <v>9863</v>
      </c>
      <c r="U45" s="566">
        <f>3176+18738</f>
        <v>21914</v>
      </c>
      <c r="V45" s="566">
        <v>1634</v>
      </c>
      <c r="W45" s="566">
        <v>0</v>
      </c>
      <c r="X45" s="566">
        <f>SUM(S45:W45)</f>
        <v>85650</v>
      </c>
    </row>
    <row r="46" spans="1:24" ht="12.75" customHeight="1">
      <c r="A46" s="1193" t="s">
        <v>682</v>
      </c>
      <c r="B46" s="1193" t="s">
        <v>106</v>
      </c>
      <c r="C46" s="568" t="s">
        <v>3</v>
      </c>
      <c r="D46" s="569">
        <v>2000</v>
      </c>
      <c r="E46" s="569">
        <v>50716</v>
      </c>
      <c r="F46" s="569">
        <v>1976</v>
      </c>
      <c r="G46" s="569">
        <v>81688</v>
      </c>
      <c r="H46" s="569">
        <v>49485</v>
      </c>
      <c r="I46" s="569">
        <v>0</v>
      </c>
      <c r="J46" s="569">
        <v>0</v>
      </c>
      <c r="K46" s="569">
        <v>72252</v>
      </c>
      <c r="L46" s="569">
        <v>0</v>
      </c>
      <c r="M46" s="569">
        <v>0</v>
      </c>
      <c r="N46" s="569">
        <v>3187</v>
      </c>
      <c r="O46" s="569">
        <v>1162747</v>
      </c>
      <c r="P46" s="569">
        <v>261304</v>
      </c>
      <c r="Q46" s="569">
        <v>1424051</v>
      </c>
      <c r="R46" s="1192" t="s">
        <v>682</v>
      </c>
      <c r="S46" s="569">
        <v>694122</v>
      </c>
      <c r="T46" s="569">
        <v>137190</v>
      </c>
      <c r="U46" s="569">
        <v>544616</v>
      </c>
      <c r="V46" s="569">
        <v>19052</v>
      </c>
      <c r="W46" s="569">
        <v>29071</v>
      </c>
      <c r="X46" s="569">
        <v>1424051</v>
      </c>
    </row>
    <row r="47" spans="1:24" ht="25.5">
      <c r="A47" s="1193"/>
      <c r="B47" s="1193"/>
      <c r="C47" s="568" t="s">
        <v>660</v>
      </c>
      <c r="D47" s="569">
        <f t="shared" ref="D47:Q47" si="6">D5+D7+D9+D11+D13+D15+D17+D19+D25+D31+D33+D35+D37+D41+D43+D45</f>
        <v>2000</v>
      </c>
      <c r="E47" s="569">
        <f t="shared" si="6"/>
        <v>50716</v>
      </c>
      <c r="F47" s="569">
        <f t="shared" si="6"/>
        <v>1976</v>
      </c>
      <c r="G47" s="569">
        <f t="shared" si="6"/>
        <v>83857</v>
      </c>
      <c r="H47" s="569">
        <f t="shared" si="6"/>
        <v>49485</v>
      </c>
      <c r="I47" s="569">
        <f t="shared" si="6"/>
        <v>10</v>
      </c>
      <c r="J47" s="569">
        <f t="shared" si="6"/>
        <v>245</v>
      </c>
      <c r="K47" s="569">
        <f t="shared" si="6"/>
        <v>76713</v>
      </c>
      <c r="L47" s="569">
        <f t="shared" si="6"/>
        <v>0</v>
      </c>
      <c r="M47" s="569">
        <f t="shared" si="6"/>
        <v>0</v>
      </c>
      <c r="N47" s="569">
        <f t="shared" si="6"/>
        <v>3187</v>
      </c>
      <c r="O47" s="569">
        <f t="shared" si="6"/>
        <v>1172860</v>
      </c>
      <c r="P47" s="569">
        <f t="shared" si="6"/>
        <v>268189</v>
      </c>
      <c r="Q47" s="569">
        <f t="shared" si="6"/>
        <v>1441049</v>
      </c>
      <c r="R47" s="1192"/>
      <c r="S47" s="569">
        <f t="shared" ref="S47:X47" si="7">S5+S7+S9+S11+S13+S15+S17+S19+S25+S31+S33+S35+S37+S41+S43+S45</f>
        <v>710370</v>
      </c>
      <c r="T47" s="569">
        <f t="shared" si="7"/>
        <v>140382</v>
      </c>
      <c r="U47" s="569">
        <f t="shared" si="7"/>
        <v>541929</v>
      </c>
      <c r="V47" s="569">
        <f t="shared" si="7"/>
        <v>19297</v>
      </c>
      <c r="W47" s="569">
        <f t="shared" si="7"/>
        <v>29071</v>
      </c>
      <c r="X47" s="569">
        <f t="shared" si="7"/>
        <v>1441049</v>
      </c>
    </row>
    <row r="48" spans="1:24" ht="12.75" customHeight="1">
      <c r="A48" s="1194" t="s">
        <v>683</v>
      </c>
      <c r="B48" s="1194" t="s">
        <v>684</v>
      </c>
      <c r="C48" s="568" t="s">
        <v>3</v>
      </c>
      <c r="D48" s="571">
        <v>2000</v>
      </c>
      <c r="E48" s="571">
        <v>50350</v>
      </c>
      <c r="F48" s="571">
        <v>1976</v>
      </c>
      <c r="G48" s="571">
        <v>81688</v>
      </c>
      <c r="H48" s="572">
        <v>30900</v>
      </c>
      <c r="I48" s="571">
        <v>0</v>
      </c>
      <c r="J48" s="571">
        <v>0</v>
      </c>
      <c r="K48" s="571">
        <v>72252</v>
      </c>
      <c r="L48" s="571">
        <v>0</v>
      </c>
      <c r="M48" s="571">
        <v>0</v>
      </c>
      <c r="N48" s="571">
        <v>3187</v>
      </c>
      <c r="O48" s="566">
        <v>1098438</v>
      </c>
      <c r="P48" s="566">
        <v>242353</v>
      </c>
      <c r="Q48" s="566">
        <v>1340791</v>
      </c>
      <c r="R48" s="1192" t="s">
        <v>683</v>
      </c>
      <c r="S48" s="571">
        <v>653008</v>
      </c>
      <c r="T48" s="571">
        <v>129366</v>
      </c>
      <c r="U48" s="571">
        <v>511529</v>
      </c>
      <c r="V48" s="571">
        <v>17817</v>
      </c>
      <c r="W48" s="571">
        <v>29071</v>
      </c>
      <c r="X48" s="571">
        <v>1340791</v>
      </c>
    </row>
    <row r="49" spans="1:24" ht="25.5">
      <c r="A49" s="1194"/>
      <c r="B49" s="1194"/>
      <c r="C49" s="568" t="s">
        <v>660</v>
      </c>
      <c r="D49" s="571">
        <f t="shared" ref="D49:Q49" si="8">D47-D51</f>
        <v>2000</v>
      </c>
      <c r="E49" s="571">
        <f t="shared" si="8"/>
        <v>50350</v>
      </c>
      <c r="F49" s="571">
        <f t="shared" si="8"/>
        <v>1976</v>
      </c>
      <c r="G49" s="571">
        <f t="shared" si="8"/>
        <v>83857</v>
      </c>
      <c r="H49" s="572">
        <f t="shared" si="8"/>
        <v>30900</v>
      </c>
      <c r="I49" s="571">
        <f t="shared" si="8"/>
        <v>10</v>
      </c>
      <c r="J49" s="571">
        <f t="shared" si="8"/>
        <v>245</v>
      </c>
      <c r="K49" s="571">
        <f t="shared" si="8"/>
        <v>76713</v>
      </c>
      <c r="L49" s="571">
        <f t="shared" si="8"/>
        <v>0</v>
      </c>
      <c r="M49" s="571">
        <f t="shared" si="8"/>
        <v>0</v>
      </c>
      <c r="N49" s="571">
        <f t="shared" si="8"/>
        <v>3187</v>
      </c>
      <c r="O49" s="573">
        <f t="shared" si="8"/>
        <v>1122080</v>
      </c>
      <c r="P49" s="573">
        <f t="shared" si="8"/>
        <v>249238</v>
      </c>
      <c r="Q49" s="573">
        <f t="shared" si="8"/>
        <v>1371318</v>
      </c>
      <c r="R49" s="1192"/>
      <c r="S49" s="571">
        <f t="shared" ref="S49:X49" si="9">S47-S51</f>
        <v>669256</v>
      </c>
      <c r="T49" s="571">
        <f t="shared" si="9"/>
        <v>132558</v>
      </c>
      <c r="U49" s="571">
        <f t="shared" si="9"/>
        <v>522371</v>
      </c>
      <c r="V49" s="571">
        <f t="shared" si="9"/>
        <v>18062</v>
      </c>
      <c r="W49" s="571">
        <f t="shared" si="9"/>
        <v>29071</v>
      </c>
      <c r="X49" s="571">
        <f t="shared" si="9"/>
        <v>1371318</v>
      </c>
    </row>
    <row r="50" spans="1:24" ht="12.75" customHeight="1">
      <c r="A50" s="1194" t="s">
        <v>685</v>
      </c>
      <c r="B50" s="1192" t="s">
        <v>677</v>
      </c>
      <c r="C50" s="565" t="s">
        <v>3</v>
      </c>
      <c r="D50" s="571">
        <v>0</v>
      </c>
      <c r="E50" s="571">
        <v>366</v>
      </c>
      <c r="F50" s="571">
        <v>0</v>
      </c>
      <c r="G50" s="571">
        <v>0</v>
      </c>
      <c r="H50" s="571">
        <v>18585</v>
      </c>
      <c r="I50" s="571">
        <v>0</v>
      </c>
      <c r="J50" s="571">
        <v>0</v>
      </c>
      <c r="K50" s="571">
        <v>0</v>
      </c>
      <c r="L50" s="571">
        <v>0</v>
      </c>
      <c r="M50" s="571">
        <v>0</v>
      </c>
      <c r="N50" s="571">
        <v>0</v>
      </c>
      <c r="O50" s="566">
        <v>64309</v>
      </c>
      <c r="P50" s="566">
        <v>18951</v>
      </c>
      <c r="Q50" s="566">
        <v>83260</v>
      </c>
      <c r="R50" s="1192" t="s">
        <v>685</v>
      </c>
      <c r="S50" s="571">
        <v>41114</v>
      </c>
      <c r="T50" s="571">
        <v>7824</v>
      </c>
      <c r="U50" s="571">
        <v>33087</v>
      </c>
      <c r="V50" s="571">
        <v>1235</v>
      </c>
      <c r="W50" s="571">
        <v>0</v>
      </c>
      <c r="X50" s="571">
        <v>83260</v>
      </c>
    </row>
    <row r="51" spans="1:24" ht="25.5">
      <c r="A51" s="1194"/>
      <c r="B51" s="1192"/>
      <c r="C51" s="565" t="s">
        <v>660</v>
      </c>
      <c r="D51" s="571">
        <f t="shared" ref="D51:Q51" si="10">D37</f>
        <v>0</v>
      </c>
      <c r="E51" s="571">
        <f t="shared" si="10"/>
        <v>366</v>
      </c>
      <c r="F51" s="571">
        <f t="shared" si="10"/>
        <v>0</v>
      </c>
      <c r="G51" s="571">
        <f t="shared" si="10"/>
        <v>0</v>
      </c>
      <c r="H51" s="571">
        <f t="shared" si="10"/>
        <v>18585</v>
      </c>
      <c r="I51" s="571">
        <f t="shared" si="10"/>
        <v>0</v>
      </c>
      <c r="J51" s="571">
        <f t="shared" si="10"/>
        <v>0</v>
      </c>
      <c r="K51" s="571">
        <f t="shared" si="10"/>
        <v>0</v>
      </c>
      <c r="L51" s="571">
        <f t="shared" si="10"/>
        <v>0</v>
      </c>
      <c r="M51" s="571">
        <f t="shared" si="10"/>
        <v>0</v>
      </c>
      <c r="N51" s="571">
        <f t="shared" si="10"/>
        <v>0</v>
      </c>
      <c r="O51" s="571">
        <f t="shared" si="10"/>
        <v>50780</v>
      </c>
      <c r="P51" s="571">
        <f t="shared" si="10"/>
        <v>18951</v>
      </c>
      <c r="Q51" s="571">
        <f t="shared" si="10"/>
        <v>69731</v>
      </c>
      <c r="R51" s="1192"/>
      <c r="S51" s="571">
        <f t="shared" ref="S51:X51" si="11">S37</f>
        <v>41114</v>
      </c>
      <c r="T51" s="571">
        <f t="shared" si="11"/>
        <v>7824</v>
      </c>
      <c r="U51" s="571">
        <f t="shared" si="11"/>
        <v>19558</v>
      </c>
      <c r="V51" s="571">
        <f t="shared" si="11"/>
        <v>1235</v>
      </c>
      <c r="W51" s="571">
        <f t="shared" si="11"/>
        <v>0</v>
      </c>
      <c r="X51" s="571">
        <f t="shared" si="11"/>
        <v>69731</v>
      </c>
    </row>
  </sheetData>
  <mergeCells count="87">
    <mergeCell ref="A50:A51"/>
    <mergeCell ref="B50:B51"/>
    <mergeCell ref="R50:R51"/>
    <mergeCell ref="A46:A47"/>
    <mergeCell ref="B46:B47"/>
    <mergeCell ref="R46:R47"/>
    <mergeCell ref="A48:A49"/>
    <mergeCell ref="B48:B49"/>
    <mergeCell ref="R48:R49"/>
    <mergeCell ref="A42:A43"/>
    <mergeCell ref="B42:B43"/>
    <mergeCell ref="R42:R43"/>
    <mergeCell ref="A44:A45"/>
    <mergeCell ref="B44:B45"/>
    <mergeCell ref="R44:R45"/>
    <mergeCell ref="A40:A41"/>
    <mergeCell ref="B40:B41"/>
    <mergeCell ref="R40:R41"/>
    <mergeCell ref="A32:A33"/>
    <mergeCell ref="B32:B33"/>
    <mergeCell ref="R32:R33"/>
    <mergeCell ref="A34:A35"/>
    <mergeCell ref="B34:B35"/>
    <mergeCell ref="R34:R35"/>
    <mergeCell ref="A36:A37"/>
    <mergeCell ref="B36:B37"/>
    <mergeCell ref="R36:R37"/>
    <mergeCell ref="A38:A39"/>
    <mergeCell ref="R38:R39"/>
    <mergeCell ref="A28:A29"/>
    <mergeCell ref="B28:B29"/>
    <mergeCell ref="R28:R29"/>
    <mergeCell ref="A30:A31"/>
    <mergeCell ref="B30:B31"/>
    <mergeCell ref="R30:R31"/>
    <mergeCell ref="A24:A25"/>
    <mergeCell ref="B24:B25"/>
    <mergeCell ref="R24:R25"/>
    <mergeCell ref="A26:A27"/>
    <mergeCell ref="B26:B27"/>
    <mergeCell ref="R26:R27"/>
    <mergeCell ref="A20:A21"/>
    <mergeCell ref="B20:B21"/>
    <mergeCell ref="R20:R21"/>
    <mergeCell ref="A22:A23"/>
    <mergeCell ref="B22:B23"/>
    <mergeCell ref="R22:R23"/>
    <mergeCell ref="A16:A17"/>
    <mergeCell ref="B16:B17"/>
    <mergeCell ref="R16:R17"/>
    <mergeCell ref="A18:A19"/>
    <mergeCell ref="B18:B19"/>
    <mergeCell ref="R18:R19"/>
    <mergeCell ref="A12:A13"/>
    <mergeCell ref="B12:B13"/>
    <mergeCell ref="R12:R13"/>
    <mergeCell ref="A14:A15"/>
    <mergeCell ref="B14:B15"/>
    <mergeCell ref="R14:R15"/>
    <mergeCell ref="A8:A9"/>
    <mergeCell ref="B8:B9"/>
    <mergeCell ref="R8:R9"/>
    <mergeCell ref="A10:A11"/>
    <mergeCell ref="B10:B11"/>
    <mergeCell ref="R10:R11"/>
    <mergeCell ref="A4:A5"/>
    <mergeCell ref="B4:B5"/>
    <mergeCell ref="R4:R5"/>
    <mergeCell ref="A6:A7"/>
    <mergeCell ref="B6:B7"/>
    <mergeCell ref="R6:R7"/>
    <mergeCell ref="R2:R3"/>
    <mergeCell ref="A1:X1"/>
    <mergeCell ref="A2:A3"/>
    <mergeCell ref="B2:B3"/>
    <mergeCell ref="D2:D3"/>
    <mergeCell ref="E2:E3"/>
    <mergeCell ref="F2:F3"/>
    <mergeCell ref="G2:G3"/>
    <mergeCell ref="H2:H3"/>
    <mergeCell ref="I2:J2"/>
    <mergeCell ref="K2:L2"/>
    <mergeCell ref="M2:M3"/>
    <mergeCell ref="N2:N3"/>
    <mergeCell ref="O2:O3"/>
    <mergeCell ref="P2:P3"/>
    <mergeCell ref="Q2:Q3"/>
  </mergeCell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55" orientation="landscape" r:id="rId1"/>
  <headerFooter>
    <oddHeader>&amp;L 6. melléklet a 8/2018.(IV.25.) önkormányzati rendelethez
 6. melléklet a 27/2017. (XII.21.)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view="pageLayout" topLeftCell="B1" zoomScaleNormal="100" zoomScaleSheetLayoutView="100" workbookViewId="0">
      <selection activeCell="B2" sqref="B2"/>
    </sheetView>
  </sheetViews>
  <sheetFormatPr defaultRowHeight="15"/>
  <cols>
    <col min="1" max="1" width="10.42578125" style="184" hidden="1" customWidth="1"/>
    <col min="2" max="2" width="89.42578125" style="186" customWidth="1"/>
    <col min="3" max="3" width="12.140625" style="186" customWidth="1"/>
    <col min="4" max="4" width="13.85546875" style="186" bestFit="1" customWidth="1"/>
    <col min="5" max="5" width="12.140625" style="186" customWidth="1"/>
    <col min="6" max="16384" width="9.140625" style="185"/>
  </cols>
  <sheetData>
    <row r="1" spans="1:5">
      <c r="B1" s="1195" t="s">
        <v>231</v>
      </c>
      <c r="C1" s="1195"/>
      <c r="D1" s="574"/>
      <c r="E1" s="185"/>
    </row>
    <row r="2" spans="1:5" ht="15.75" thickBot="1">
      <c r="B2" s="575"/>
      <c r="C2" s="14"/>
      <c r="D2" s="14"/>
      <c r="E2" s="185"/>
    </row>
    <row r="3" spans="1:5" ht="15" customHeight="1" thickBot="1">
      <c r="B3" s="576" t="s">
        <v>2</v>
      </c>
      <c r="C3" s="577" t="s">
        <v>3</v>
      </c>
      <c r="D3" s="578" t="s">
        <v>400</v>
      </c>
      <c r="E3" s="185"/>
    </row>
    <row r="4" spans="1:5" ht="15.75" thickBot="1">
      <c r="B4" s="576" t="s">
        <v>69</v>
      </c>
      <c r="C4" s="579">
        <f>SUM(C6,C26)</f>
        <v>1833212</v>
      </c>
      <c r="D4" s="580">
        <f>SUM(D6,D26)</f>
        <v>2478411</v>
      </c>
      <c r="E4" s="185"/>
    </row>
    <row r="5" spans="1:5">
      <c r="B5" s="581"/>
      <c r="C5" s="582"/>
      <c r="D5" s="583"/>
      <c r="E5" s="185"/>
    </row>
    <row r="6" spans="1:5">
      <c r="B6" s="584" t="s">
        <v>107</v>
      </c>
      <c r="C6" s="585">
        <f>SUM(C7:C21)</f>
        <v>1474692</v>
      </c>
      <c r="D6" s="586">
        <f>SUM(D7:D24)</f>
        <v>2032479</v>
      </c>
      <c r="E6" s="185"/>
    </row>
    <row r="7" spans="1:5" s="188" customFormat="1" ht="30">
      <c r="A7" s="187" t="s">
        <v>98</v>
      </c>
      <c r="B7" s="587" t="s">
        <v>232</v>
      </c>
      <c r="C7" s="588">
        <v>2160</v>
      </c>
      <c r="D7" s="589">
        <v>2160</v>
      </c>
    </row>
    <row r="8" spans="1:5" s="188" customFormat="1" ht="30">
      <c r="A8" s="187" t="s">
        <v>102</v>
      </c>
      <c r="B8" s="590" t="s">
        <v>233</v>
      </c>
      <c r="C8" s="588">
        <v>256912</v>
      </c>
      <c r="D8" s="589">
        <v>256912</v>
      </c>
    </row>
    <row r="9" spans="1:5" s="188" customFormat="1" ht="30">
      <c r="A9" s="187" t="s">
        <v>102</v>
      </c>
      <c r="B9" s="591" t="s">
        <v>234</v>
      </c>
      <c r="C9" s="588">
        <v>184425</v>
      </c>
      <c r="D9" s="589">
        <v>184425</v>
      </c>
    </row>
    <row r="10" spans="1:5" s="188" customFormat="1" ht="30">
      <c r="A10" s="187" t="s">
        <v>235</v>
      </c>
      <c r="B10" s="591" t="s">
        <v>236</v>
      </c>
      <c r="C10" s="588">
        <v>17000</v>
      </c>
      <c r="D10" s="589">
        <v>346900</v>
      </c>
    </row>
    <row r="11" spans="1:5" s="188" customFormat="1">
      <c r="A11" s="187" t="s">
        <v>235</v>
      </c>
      <c r="B11" s="591" t="s">
        <v>237</v>
      </c>
      <c r="C11" s="588">
        <v>98270</v>
      </c>
      <c r="D11" s="592">
        <v>98270</v>
      </c>
    </row>
    <row r="12" spans="1:5" s="188" customFormat="1" ht="30.75" customHeight="1">
      <c r="A12" s="187" t="s">
        <v>102</v>
      </c>
      <c r="B12" s="593" t="s">
        <v>238</v>
      </c>
      <c r="C12" s="588">
        <v>341627</v>
      </c>
      <c r="D12" s="589">
        <v>341627</v>
      </c>
    </row>
    <row r="13" spans="1:5" s="188" customFormat="1">
      <c r="A13" s="187" t="s">
        <v>102</v>
      </c>
      <c r="B13" s="593" t="s">
        <v>239</v>
      </c>
      <c r="C13" s="588">
        <v>9700</v>
      </c>
      <c r="D13" s="592">
        <v>9700</v>
      </c>
    </row>
    <row r="14" spans="1:5">
      <c r="A14" s="184" t="s">
        <v>102</v>
      </c>
      <c r="B14" s="594" t="s">
        <v>240</v>
      </c>
      <c r="C14" s="582">
        <v>426522</v>
      </c>
      <c r="D14" s="592">
        <v>426522</v>
      </c>
      <c r="E14" s="185"/>
    </row>
    <row r="15" spans="1:5" s="188" customFormat="1" ht="30">
      <c r="A15" s="187" t="s">
        <v>102</v>
      </c>
      <c r="B15" s="587" t="s">
        <v>241</v>
      </c>
      <c r="C15" s="588">
        <v>87027</v>
      </c>
      <c r="D15" s="589">
        <v>87027</v>
      </c>
    </row>
    <row r="16" spans="1:5" s="188" customFormat="1">
      <c r="A16" s="187" t="s">
        <v>102</v>
      </c>
      <c r="B16" s="587" t="s">
        <v>242</v>
      </c>
      <c r="C16" s="588">
        <v>15000</v>
      </c>
      <c r="D16" s="592">
        <v>15000</v>
      </c>
    </row>
    <row r="17" spans="1:5" s="188" customFormat="1">
      <c r="A17" s="187" t="s">
        <v>243</v>
      </c>
      <c r="B17" s="587" t="s">
        <v>244</v>
      </c>
      <c r="C17" s="588">
        <v>700</v>
      </c>
      <c r="D17" s="592">
        <v>700</v>
      </c>
    </row>
    <row r="18" spans="1:5" s="188" customFormat="1">
      <c r="A18" s="187" t="s">
        <v>243</v>
      </c>
      <c r="B18" s="587" t="s">
        <v>245</v>
      </c>
      <c r="C18" s="588">
        <v>31000</v>
      </c>
      <c r="D18" s="592">
        <v>31000</v>
      </c>
    </row>
    <row r="19" spans="1:5" s="188" customFormat="1">
      <c r="A19" s="187" t="s">
        <v>246</v>
      </c>
      <c r="B19" s="587" t="s">
        <v>247</v>
      </c>
      <c r="C19" s="588">
        <v>3135</v>
      </c>
      <c r="D19" s="592">
        <v>3135</v>
      </c>
    </row>
    <row r="20" spans="1:5" s="188" customFormat="1">
      <c r="A20" s="187" t="s">
        <v>102</v>
      </c>
      <c r="B20" s="587" t="s">
        <v>248</v>
      </c>
      <c r="C20" s="588">
        <v>600</v>
      </c>
      <c r="D20" s="592">
        <v>600</v>
      </c>
    </row>
    <row r="21" spans="1:5" ht="30">
      <c r="A21" s="184" t="s">
        <v>102</v>
      </c>
      <c r="B21" s="595" t="s">
        <v>333</v>
      </c>
      <c r="C21" s="596">
        <v>614</v>
      </c>
      <c r="D21" s="589">
        <v>614</v>
      </c>
      <c r="E21" s="185"/>
    </row>
    <row r="22" spans="1:5">
      <c r="B22" s="595" t="s">
        <v>686</v>
      </c>
      <c r="C22" s="596">
        <v>0</v>
      </c>
      <c r="D22" s="597">
        <v>10</v>
      </c>
      <c r="E22" s="185"/>
    </row>
    <row r="23" spans="1:5">
      <c r="B23" s="595" t="s">
        <v>687</v>
      </c>
      <c r="C23" s="596">
        <v>0</v>
      </c>
      <c r="D23" s="597">
        <v>1851</v>
      </c>
      <c r="E23" s="185"/>
    </row>
    <row r="24" spans="1:5" s="188" customFormat="1">
      <c r="A24" s="187" t="s">
        <v>250</v>
      </c>
      <c r="B24" s="595" t="s">
        <v>688</v>
      </c>
      <c r="C24" s="596">
        <v>0</v>
      </c>
      <c r="D24" s="597">
        <v>226026</v>
      </c>
    </row>
    <row r="25" spans="1:5" s="188" customFormat="1" ht="12.75" customHeight="1">
      <c r="A25" s="189" t="s">
        <v>98</v>
      </c>
      <c r="B25" s="595"/>
      <c r="C25" s="596"/>
      <c r="D25" s="598"/>
    </row>
    <row r="26" spans="1:5" ht="13.5" customHeight="1">
      <c r="A26" s="189" t="s">
        <v>102</v>
      </c>
      <c r="B26" s="599" t="s">
        <v>249</v>
      </c>
      <c r="C26" s="585">
        <f>SUM(C27:C50)</f>
        <v>358520</v>
      </c>
      <c r="D26" s="586">
        <f>SUM(D27:D49)</f>
        <v>445932</v>
      </c>
      <c r="E26" s="185"/>
    </row>
    <row r="27" spans="1:5" ht="13.5" customHeight="1">
      <c r="A27" s="189" t="s">
        <v>243</v>
      </c>
      <c r="B27" s="593" t="s">
        <v>251</v>
      </c>
      <c r="C27" s="588">
        <v>7000</v>
      </c>
      <c r="D27" s="600">
        <v>7000</v>
      </c>
      <c r="E27" s="185"/>
    </row>
    <row r="28" spans="1:5" ht="30">
      <c r="A28" s="184" t="s">
        <v>108</v>
      </c>
      <c r="B28" s="593" t="s">
        <v>252</v>
      </c>
      <c r="C28" s="601">
        <v>500</v>
      </c>
      <c r="D28" s="609">
        <v>500</v>
      </c>
      <c r="E28" s="185"/>
    </row>
    <row r="29" spans="1:5">
      <c r="A29" s="184" t="s">
        <v>108</v>
      </c>
      <c r="B29" s="603" t="s">
        <v>253</v>
      </c>
      <c r="C29" s="604">
        <v>6350</v>
      </c>
      <c r="D29" s="602">
        <v>6350</v>
      </c>
      <c r="E29" s="185"/>
    </row>
    <row r="30" spans="1:5">
      <c r="A30" s="184" t="s">
        <v>108</v>
      </c>
      <c r="B30" s="603" t="s">
        <v>254</v>
      </c>
      <c r="C30" s="604">
        <v>35000</v>
      </c>
      <c r="D30" s="602">
        <v>35000</v>
      </c>
      <c r="E30" s="185"/>
    </row>
    <row r="31" spans="1:5">
      <c r="A31" s="184" t="s">
        <v>108</v>
      </c>
      <c r="B31" s="593" t="s">
        <v>255</v>
      </c>
      <c r="C31" s="604">
        <v>5080</v>
      </c>
      <c r="D31" s="602">
        <v>5080</v>
      </c>
      <c r="E31" s="185"/>
    </row>
    <row r="32" spans="1:5">
      <c r="A32" s="184" t="s">
        <v>108</v>
      </c>
      <c r="B32" s="593" t="s">
        <v>256</v>
      </c>
      <c r="C32" s="604">
        <v>1000</v>
      </c>
      <c r="D32" s="602">
        <v>1000</v>
      </c>
      <c r="E32" s="185"/>
    </row>
    <row r="33" spans="1:5">
      <c r="A33" s="184" t="s">
        <v>260</v>
      </c>
      <c r="B33" s="593" t="s">
        <v>257</v>
      </c>
      <c r="C33" s="604">
        <v>20700</v>
      </c>
      <c r="D33" s="602">
        <v>20700</v>
      </c>
      <c r="E33" s="185"/>
    </row>
    <row r="34" spans="1:5">
      <c r="A34" s="184" t="s">
        <v>235</v>
      </c>
      <c r="B34" s="593" t="s">
        <v>258</v>
      </c>
      <c r="C34" s="604">
        <v>1245</v>
      </c>
      <c r="D34" s="602">
        <v>1245</v>
      </c>
      <c r="E34" s="185"/>
    </row>
    <row r="35" spans="1:5">
      <c r="A35" s="184" t="s">
        <v>235</v>
      </c>
      <c r="B35" s="593" t="s">
        <v>259</v>
      </c>
      <c r="C35" s="604">
        <v>15000</v>
      </c>
      <c r="D35" s="602">
        <v>15000</v>
      </c>
      <c r="E35" s="185"/>
    </row>
    <row r="36" spans="1:5">
      <c r="A36" s="184" t="s">
        <v>235</v>
      </c>
      <c r="B36" s="593" t="s">
        <v>261</v>
      </c>
      <c r="C36" s="604">
        <v>2635</v>
      </c>
      <c r="D36" s="602">
        <v>2635</v>
      </c>
      <c r="E36" s="185"/>
    </row>
    <row r="37" spans="1:5">
      <c r="A37" s="184" t="s">
        <v>235</v>
      </c>
      <c r="B37" s="593" t="s">
        <v>262</v>
      </c>
      <c r="C37" s="604">
        <v>10000</v>
      </c>
      <c r="D37" s="602">
        <v>10000</v>
      </c>
      <c r="E37" s="185"/>
    </row>
    <row r="38" spans="1:5" ht="15.75" customHeight="1">
      <c r="A38" s="184" t="s">
        <v>102</v>
      </c>
      <c r="B38" s="605" t="s">
        <v>263</v>
      </c>
      <c r="C38" s="606">
        <v>2283</v>
      </c>
      <c r="D38" s="602">
        <v>2283</v>
      </c>
      <c r="E38" s="185"/>
    </row>
    <row r="39" spans="1:5" s="188" customFormat="1">
      <c r="A39" s="187" t="s">
        <v>102</v>
      </c>
      <c r="B39" s="605" t="s">
        <v>264</v>
      </c>
      <c r="C39" s="606">
        <v>10000</v>
      </c>
      <c r="D39" s="602">
        <v>10000</v>
      </c>
    </row>
    <row r="40" spans="1:5" s="188" customFormat="1">
      <c r="A40" s="187" t="s">
        <v>250</v>
      </c>
      <c r="B40" s="607" t="s">
        <v>324</v>
      </c>
      <c r="C40" s="608">
        <v>89059</v>
      </c>
      <c r="D40" s="602">
        <v>230059</v>
      </c>
    </row>
    <row r="41" spans="1:5" s="188" customFormat="1">
      <c r="A41" s="187" t="s">
        <v>250</v>
      </c>
      <c r="B41" s="593" t="s">
        <v>265</v>
      </c>
      <c r="C41" s="604">
        <v>168</v>
      </c>
      <c r="D41" s="602">
        <v>168</v>
      </c>
    </row>
    <row r="42" spans="1:5" s="188" customFormat="1" ht="30">
      <c r="A42" s="187" t="s">
        <v>250</v>
      </c>
      <c r="B42" s="593" t="s">
        <v>266</v>
      </c>
      <c r="C42" s="601">
        <v>35000</v>
      </c>
      <c r="D42" s="609">
        <v>35000</v>
      </c>
    </row>
    <row r="43" spans="1:5" s="188" customFormat="1">
      <c r="A43" s="187" t="s">
        <v>246</v>
      </c>
      <c r="B43" s="593" t="s">
        <v>267</v>
      </c>
      <c r="C43" s="601">
        <v>10000</v>
      </c>
      <c r="D43" s="602">
        <v>10000</v>
      </c>
    </row>
    <row r="44" spans="1:5" s="188" customFormat="1">
      <c r="A44" s="187" t="s">
        <v>98</v>
      </c>
      <c r="B44" s="593" t="s">
        <v>268</v>
      </c>
      <c r="C44" s="601">
        <v>7500</v>
      </c>
      <c r="D44" s="602">
        <v>7500</v>
      </c>
    </row>
    <row r="45" spans="1:5" s="188" customFormat="1">
      <c r="A45" s="187"/>
      <c r="B45" s="593" t="s">
        <v>269</v>
      </c>
      <c r="C45" s="601">
        <v>20000</v>
      </c>
      <c r="D45" s="602">
        <v>20000</v>
      </c>
    </row>
    <row r="46" spans="1:5" s="188" customFormat="1">
      <c r="A46" s="187"/>
      <c r="B46" s="593" t="s">
        <v>270</v>
      </c>
      <c r="C46" s="601">
        <v>10000</v>
      </c>
      <c r="D46" s="602">
        <v>10000</v>
      </c>
    </row>
    <row r="47" spans="1:5" ht="15.75" thickBot="1">
      <c r="B47" s="610" t="s">
        <v>325</v>
      </c>
      <c r="C47" s="611">
        <v>70000</v>
      </c>
      <c r="D47" s="612">
        <v>0</v>
      </c>
      <c r="E47" s="185"/>
    </row>
    <row r="48" spans="1:5">
      <c r="B48" s="613" t="s">
        <v>689</v>
      </c>
      <c r="C48" s="614">
        <v>0</v>
      </c>
      <c r="D48" s="615">
        <v>15000</v>
      </c>
      <c r="E48" s="185"/>
    </row>
    <row r="49" spans="1:5" ht="15.75" thickBot="1">
      <c r="B49" s="616" t="s">
        <v>690</v>
      </c>
      <c r="C49" s="617">
        <v>0</v>
      </c>
      <c r="D49" s="618">
        <v>1412</v>
      </c>
      <c r="E49" s="185"/>
    </row>
    <row r="50" spans="1:5" ht="15" customHeight="1" thickBot="1">
      <c r="A50" s="184" t="s">
        <v>98</v>
      </c>
      <c r="B50" s="619"/>
      <c r="C50" s="620"/>
      <c r="D50" s="621"/>
      <c r="E50" s="185"/>
    </row>
    <row r="51" spans="1:5" ht="15" customHeight="1" thickBot="1">
      <c r="A51" s="184" t="s">
        <v>102</v>
      </c>
      <c r="B51" s="622" t="s">
        <v>70</v>
      </c>
      <c r="C51" s="623">
        <f>SUM(C53,C63,C66)</f>
        <v>11465</v>
      </c>
      <c r="D51" s="624">
        <f>SUM(D53,D63,D66)</f>
        <v>11465</v>
      </c>
      <c r="E51" s="185"/>
    </row>
    <row r="52" spans="1:5" ht="17.25" customHeight="1">
      <c r="A52" s="184" t="s">
        <v>102</v>
      </c>
      <c r="B52" s="625"/>
      <c r="C52" s="240"/>
      <c r="D52" s="626"/>
      <c r="E52" s="185"/>
    </row>
    <row r="53" spans="1:5" ht="14.25" customHeight="1">
      <c r="A53" s="184" t="s">
        <v>102</v>
      </c>
      <c r="B53" s="627" t="s">
        <v>109</v>
      </c>
      <c r="C53" s="769">
        <f>SUM(C54:C61)</f>
        <v>10715</v>
      </c>
      <c r="D53" s="768">
        <f>SUM(D54:D61)</f>
        <v>10715</v>
      </c>
      <c r="E53" s="185"/>
    </row>
    <row r="54" spans="1:5">
      <c r="A54" s="184" t="s">
        <v>98</v>
      </c>
      <c r="B54" s="593" t="s">
        <v>180</v>
      </c>
      <c r="C54" s="604">
        <v>3000</v>
      </c>
      <c r="D54" s="630">
        <v>3000</v>
      </c>
      <c r="E54" s="185"/>
    </row>
    <row r="55" spans="1:5">
      <c r="A55" s="184" t="s">
        <v>98</v>
      </c>
      <c r="B55" s="594" t="s">
        <v>210</v>
      </c>
      <c r="C55" s="608">
        <v>500</v>
      </c>
      <c r="D55" s="629">
        <v>500</v>
      </c>
      <c r="E55" s="185"/>
    </row>
    <row r="56" spans="1:5" ht="30">
      <c r="A56" s="184" t="s">
        <v>100</v>
      </c>
      <c r="B56" s="594" t="s">
        <v>211</v>
      </c>
      <c r="C56" s="604">
        <v>150</v>
      </c>
      <c r="D56" s="631">
        <v>150</v>
      </c>
      <c r="E56" s="185"/>
    </row>
    <row r="57" spans="1:5">
      <c r="A57" s="184" t="s">
        <v>98</v>
      </c>
      <c r="B57" s="594" t="s">
        <v>213</v>
      </c>
      <c r="C57" s="604">
        <v>150</v>
      </c>
      <c r="D57" s="631">
        <v>150</v>
      </c>
      <c r="E57" s="185"/>
    </row>
    <row r="58" spans="1:5">
      <c r="B58" s="593" t="s">
        <v>212</v>
      </c>
      <c r="C58" s="604">
        <v>1270</v>
      </c>
      <c r="D58" s="631">
        <v>1270</v>
      </c>
      <c r="E58" s="185"/>
    </row>
    <row r="59" spans="1:5">
      <c r="B59" s="593" t="s">
        <v>271</v>
      </c>
      <c r="C59" s="604">
        <v>2045</v>
      </c>
      <c r="D59" s="631">
        <v>2045</v>
      </c>
      <c r="E59" s="185"/>
    </row>
    <row r="60" spans="1:5">
      <c r="A60" s="184" t="s">
        <v>98</v>
      </c>
      <c r="B60" s="593" t="s">
        <v>272</v>
      </c>
      <c r="C60" s="604">
        <v>100</v>
      </c>
      <c r="D60" s="631">
        <v>100</v>
      </c>
      <c r="E60" s="185"/>
    </row>
    <row r="61" spans="1:5">
      <c r="B61" s="594" t="s">
        <v>273</v>
      </c>
      <c r="C61" s="608">
        <v>3500</v>
      </c>
      <c r="D61" s="629">
        <v>3500</v>
      </c>
      <c r="E61" s="185"/>
    </row>
    <row r="62" spans="1:5">
      <c r="B62" s="594"/>
      <c r="C62" s="608"/>
      <c r="D62" s="632"/>
      <c r="E62" s="185"/>
    </row>
    <row r="63" spans="1:5">
      <c r="A63" s="184" t="s">
        <v>98</v>
      </c>
      <c r="B63" s="627" t="s">
        <v>105</v>
      </c>
      <c r="C63" s="628">
        <f t="shared" ref="C63:D63" si="0">SUM(C64)</f>
        <v>150</v>
      </c>
      <c r="D63" s="793">
        <f t="shared" si="0"/>
        <v>150</v>
      </c>
      <c r="E63" s="185"/>
    </row>
    <row r="64" spans="1:5">
      <c r="B64" s="594" t="s">
        <v>110</v>
      </c>
      <c r="C64" s="608">
        <v>150</v>
      </c>
      <c r="D64" s="633">
        <v>150</v>
      </c>
      <c r="E64" s="185"/>
    </row>
    <row r="65" spans="2:5">
      <c r="B65" s="594"/>
      <c r="C65" s="608"/>
      <c r="D65" s="632"/>
      <c r="E65" s="185"/>
    </row>
    <row r="66" spans="2:5">
      <c r="B66" s="627" t="s">
        <v>104</v>
      </c>
      <c r="C66" s="634">
        <f t="shared" ref="C66:D66" si="1">SUM(C67)</f>
        <v>600</v>
      </c>
      <c r="D66" s="792">
        <f t="shared" si="1"/>
        <v>600</v>
      </c>
      <c r="E66" s="185"/>
    </row>
    <row r="67" spans="2:5">
      <c r="B67" s="594" t="s">
        <v>110</v>
      </c>
      <c r="C67" s="582">
        <v>600</v>
      </c>
      <c r="D67" s="632">
        <v>600</v>
      </c>
      <c r="E67" s="185"/>
    </row>
    <row r="68" spans="2:5" ht="15.75" thickBot="1">
      <c r="B68" s="635"/>
      <c r="C68" s="636"/>
      <c r="D68" s="637"/>
      <c r="E68" s="185"/>
    </row>
    <row r="69" spans="2:5" ht="15.75" thickBot="1">
      <c r="B69" s="622" t="s">
        <v>111</v>
      </c>
      <c r="C69" s="579">
        <f>SUM(C70:C111)</f>
        <v>19052</v>
      </c>
      <c r="D69" s="638">
        <f>SUM(D70:D111)</f>
        <v>19297</v>
      </c>
      <c r="E69" s="185"/>
    </row>
    <row r="70" spans="2:5" ht="16.5" customHeight="1">
      <c r="B70" s="639" t="s">
        <v>343</v>
      </c>
      <c r="C70" s="640">
        <v>100</v>
      </c>
      <c r="D70" s="637">
        <v>100</v>
      </c>
      <c r="E70" s="185"/>
    </row>
    <row r="71" spans="2:5">
      <c r="B71" s="639" t="s">
        <v>344</v>
      </c>
      <c r="C71" s="640">
        <v>520</v>
      </c>
      <c r="D71" s="637">
        <v>520</v>
      </c>
      <c r="E71" s="185"/>
    </row>
    <row r="72" spans="2:5">
      <c r="B72" s="639" t="s">
        <v>345</v>
      </c>
      <c r="C72" s="640">
        <v>280</v>
      </c>
      <c r="D72" s="637">
        <v>280</v>
      </c>
      <c r="E72" s="185"/>
    </row>
    <row r="73" spans="2:5">
      <c r="B73" s="639" t="s">
        <v>393</v>
      </c>
      <c r="C73" s="640">
        <v>70</v>
      </c>
      <c r="D73" s="637">
        <v>70</v>
      </c>
      <c r="E73" s="185"/>
    </row>
    <row r="74" spans="2:5" ht="19.5" customHeight="1">
      <c r="B74" s="764" t="s">
        <v>346</v>
      </c>
      <c r="C74" s="765">
        <v>80</v>
      </c>
      <c r="D74" s="766">
        <v>80</v>
      </c>
      <c r="E74" s="185"/>
    </row>
    <row r="75" spans="2:5">
      <c r="B75" s="639" t="s">
        <v>394</v>
      </c>
      <c r="C75" s="640">
        <v>20</v>
      </c>
      <c r="D75" s="637">
        <v>20</v>
      </c>
      <c r="E75" s="185"/>
    </row>
    <row r="76" spans="2:5" ht="15.75" customHeight="1">
      <c r="B76" s="639" t="s">
        <v>395</v>
      </c>
      <c r="C76" s="640">
        <v>150</v>
      </c>
      <c r="D76" s="637">
        <v>150</v>
      </c>
      <c r="E76" s="185"/>
    </row>
    <row r="77" spans="2:5" ht="18" customHeight="1">
      <c r="B77" s="639" t="s">
        <v>337</v>
      </c>
      <c r="C77" s="640">
        <v>200</v>
      </c>
      <c r="D77" s="637">
        <v>200</v>
      </c>
      <c r="E77" s="185"/>
    </row>
    <row r="78" spans="2:5" ht="15.75" customHeight="1">
      <c r="B78" s="639" t="s">
        <v>338</v>
      </c>
      <c r="C78" s="640">
        <v>150</v>
      </c>
      <c r="D78" s="637">
        <v>150</v>
      </c>
      <c r="E78" s="185"/>
    </row>
    <row r="79" spans="2:5">
      <c r="B79" s="639" t="s">
        <v>347</v>
      </c>
      <c r="C79" s="640">
        <v>72</v>
      </c>
      <c r="D79" s="637">
        <v>72</v>
      </c>
      <c r="E79" s="185"/>
    </row>
    <row r="80" spans="2:5">
      <c r="B80" s="639" t="s">
        <v>339</v>
      </c>
      <c r="C80" s="582">
        <v>100</v>
      </c>
      <c r="D80" s="637">
        <v>100</v>
      </c>
      <c r="E80" s="185"/>
    </row>
    <row r="81" spans="2:5">
      <c r="B81" s="639" t="s">
        <v>340</v>
      </c>
      <c r="C81" s="582">
        <v>470</v>
      </c>
      <c r="D81" s="637">
        <v>470</v>
      </c>
      <c r="E81" s="185"/>
    </row>
    <row r="82" spans="2:5">
      <c r="B82" s="639" t="s">
        <v>372</v>
      </c>
      <c r="C82" s="582">
        <v>150</v>
      </c>
      <c r="D82" s="637">
        <v>150</v>
      </c>
      <c r="E82" s="185"/>
    </row>
    <row r="83" spans="2:5">
      <c r="B83" s="639" t="s">
        <v>373</v>
      </c>
      <c r="C83" s="582">
        <v>50</v>
      </c>
      <c r="D83" s="637">
        <v>50</v>
      </c>
      <c r="E83" s="185"/>
    </row>
    <row r="84" spans="2:5">
      <c r="B84" s="639" t="s">
        <v>374</v>
      </c>
      <c r="C84" s="582">
        <v>294</v>
      </c>
      <c r="D84" s="637">
        <v>294</v>
      </c>
      <c r="E84" s="185"/>
    </row>
    <row r="85" spans="2:5">
      <c r="B85" s="639" t="s">
        <v>341</v>
      </c>
      <c r="C85" s="582">
        <v>200</v>
      </c>
      <c r="D85" s="637">
        <v>200</v>
      </c>
      <c r="E85" s="185"/>
    </row>
    <row r="86" spans="2:5">
      <c r="B86" s="639" t="s">
        <v>342</v>
      </c>
      <c r="C86" s="582">
        <v>100</v>
      </c>
      <c r="D86" s="637">
        <v>100</v>
      </c>
      <c r="E86" s="185"/>
    </row>
    <row r="87" spans="2:5">
      <c r="B87" s="639" t="s">
        <v>348</v>
      </c>
      <c r="C87" s="582">
        <v>30</v>
      </c>
      <c r="D87" s="637">
        <v>30</v>
      </c>
      <c r="E87" s="185"/>
    </row>
    <row r="88" spans="2:5">
      <c r="B88" s="639" t="s">
        <v>349</v>
      </c>
      <c r="C88" s="582">
        <v>80</v>
      </c>
      <c r="D88" s="637">
        <v>80</v>
      </c>
      <c r="E88" s="185"/>
    </row>
    <row r="89" spans="2:5">
      <c r="B89" s="639" t="s">
        <v>350</v>
      </c>
      <c r="C89" s="582">
        <v>150</v>
      </c>
      <c r="D89" s="637">
        <v>150</v>
      </c>
      <c r="E89" s="185"/>
    </row>
    <row r="90" spans="2:5">
      <c r="B90" s="639" t="s">
        <v>351</v>
      </c>
      <c r="C90" s="582">
        <v>80</v>
      </c>
      <c r="D90" s="637">
        <v>80</v>
      </c>
      <c r="E90" s="185"/>
    </row>
    <row r="91" spans="2:5">
      <c r="B91" s="639" t="s">
        <v>352</v>
      </c>
      <c r="C91" s="582">
        <v>600</v>
      </c>
      <c r="D91" s="637">
        <v>600</v>
      </c>
      <c r="E91" s="185"/>
    </row>
    <row r="92" spans="2:5" ht="15.75" customHeight="1">
      <c r="B92" s="639" t="s">
        <v>353</v>
      </c>
      <c r="C92" s="582">
        <v>635</v>
      </c>
      <c r="D92" s="637">
        <v>635</v>
      </c>
      <c r="E92" s="185"/>
    </row>
    <row r="93" spans="2:5">
      <c r="B93" s="639" t="s">
        <v>357</v>
      </c>
      <c r="C93" s="582">
        <v>200</v>
      </c>
      <c r="D93" s="637">
        <v>200</v>
      </c>
      <c r="E93" s="185"/>
    </row>
    <row r="94" spans="2:5" ht="30">
      <c r="B94" s="639" t="s">
        <v>358</v>
      </c>
      <c r="C94" s="582">
        <v>134</v>
      </c>
      <c r="D94" s="637">
        <v>134</v>
      </c>
      <c r="E94" s="185"/>
    </row>
    <row r="95" spans="2:5">
      <c r="B95" s="639" t="s">
        <v>359</v>
      </c>
      <c r="C95" s="582">
        <v>240</v>
      </c>
      <c r="D95" s="637">
        <v>240</v>
      </c>
      <c r="E95" s="185"/>
    </row>
    <row r="96" spans="2:5" ht="15.75" customHeight="1">
      <c r="B96" s="764" t="s">
        <v>360</v>
      </c>
      <c r="C96" s="767">
        <v>50</v>
      </c>
      <c r="D96" s="766">
        <v>50</v>
      </c>
      <c r="E96" s="185"/>
    </row>
    <row r="97" spans="2:5" ht="30">
      <c r="B97" s="639" t="s">
        <v>361</v>
      </c>
      <c r="C97" s="582">
        <v>640</v>
      </c>
      <c r="D97" s="637">
        <v>640</v>
      </c>
      <c r="E97" s="185"/>
    </row>
    <row r="98" spans="2:5">
      <c r="B98" s="639" t="s">
        <v>354</v>
      </c>
      <c r="C98" s="582">
        <v>50</v>
      </c>
      <c r="D98" s="637">
        <v>50</v>
      </c>
      <c r="E98" s="185"/>
    </row>
    <row r="99" spans="2:5">
      <c r="B99" s="639" t="s">
        <v>355</v>
      </c>
      <c r="C99" s="582">
        <v>200</v>
      </c>
      <c r="D99" s="637">
        <v>200</v>
      </c>
      <c r="E99" s="185"/>
    </row>
    <row r="100" spans="2:5">
      <c r="B100" s="639" t="s">
        <v>356</v>
      </c>
      <c r="C100" s="582">
        <v>120</v>
      </c>
      <c r="D100" s="637">
        <v>120</v>
      </c>
      <c r="E100" s="185"/>
    </row>
    <row r="101" spans="2:5">
      <c r="B101" s="639" t="s">
        <v>362</v>
      </c>
      <c r="C101" s="582">
        <v>1000</v>
      </c>
      <c r="D101" s="637">
        <v>1000</v>
      </c>
      <c r="E101" s="185"/>
    </row>
    <row r="102" spans="2:5">
      <c r="B102" s="639" t="s">
        <v>363</v>
      </c>
      <c r="C102" s="582">
        <v>1500</v>
      </c>
      <c r="D102" s="637">
        <v>1745</v>
      </c>
      <c r="E102" s="185"/>
    </row>
    <row r="103" spans="2:5">
      <c r="B103" s="639" t="s">
        <v>364</v>
      </c>
      <c r="C103" s="582">
        <v>600</v>
      </c>
      <c r="D103" s="637">
        <v>600</v>
      </c>
      <c r="E103" s="185"/>
    </row>
    <row r="104" spans="2:5">
      <c r="B104" s="639" t="s">
        <v>365</v>
      </c>
      <c r="C104" s="582">
        <v>1500</v>
      </c>
      <c r="D104" s="637">
        <v>1500</v>
      </c>
      <c r="E104" s="185"/>
    </row>
    <row r="105" spans="2:5">
      <c r="B105" s="639" t="s">
        <v>396</v>
      </c>
      <c r="C105" s="582">
        <v>1500</v>
      </c>
      <c r="D105" s="637">
        <v>1500</v>
      </c>
      <c r="E105" s="185"/>
    </row>
    <row r="106" spans="2:5">
      <c r="B106" s="639" t="s">
        <v>366</v>
      </c>
      <c r="C106" s="582">
        <v>500</v>
      </c>
      <c r="D106" s="637">
        <v>500</v>
      </c>
      <c r="E106" s="185"/>
    </row>
    <row r="107" spans="2:5">
      <c r="B107" s="639" t="s">
        <v>367</v>
      </c>
      <c r="C107" s="582">
        <v>500</v>
      </c>
      <c r="D107" s="637">
        <v>500</v>
      </c>
      <c r="E107" s="185"/>
    </row>
    <row r="108" spans="2:5">
      <c r="B108" s="639" t="s">
        <v>368</v>
      </c>
      <c r="C108" s="582">
        <v>1000</v>
      </c>
      <c r="D108" s="637">
        <v>1000</v>
      </c>
      <c r="E108" s="185"/>
    </row>
    <row r="109" spans="2:5">
      <c r="B109" s="639" t="s">
        <v>369</v>
      </c>
      <c r="C109" s="582">
        <v>3187</v>
      </c>
      <c r="D109" s="637">
        <v>3187</v>
      </c>
      <c r="E109" s="185"/>
    </row>
    <row r="110" spans="2:5" ht="13.5" customHeight="1">
      <c r="B110" s="594" t="s">
        <v>370</v>
      </c>
      <c r="C110" s="582">
        <v>1000</v>
      </c>
      <c r="D110" s="637">
        <v>1000</v>
      </c>
    </row>
    <row r="111" spans="2:5" ht="13.5" customHeight="1">
      <c r="B111" s="594" t="s">
        <v>371</v>
      </c>
      <c r="C111" s="582">
        <v>550</v>
      </c>
      <c r="D111" s="637">
        <v>550</v>
      </c>
    </row>
    <row r="112" spans="2:5" ht="13.5" customHeight="1" thickBot="1">
      <c r="B112" s="641"/>
      <c r="C112" s="642"/>
      <c r="D112" s="637"/>
    </row>
    <row r="113" spans="2:4" ht="13.5" customHeight="1" thickBot="1">
      <c r="B113" s="643" t="s">
        <v>106</v>
      </c>
      <c r="C113" s="579">
        <f>SUM(C4,C69,C51)</f>
        <v>1863729</v>
      </c>
      <c r="D113" s="638">
        <f>SUM(D4,D69,D51)</f>
        <v>2509173</v>
      </c>
    </row>
    <row r="114" spans="2:4" ht="13.5" customHeight="1">
      <c r="B114" s="190"/>
    </row>
    <row r="115" spans="2:4" ht="13.5" customHeight="1">
      <c r="B115" s="190"/>
    </row>
    <row r="116" spans="2:4" ht="13.5" customHeight="1">
      <c r="B116" s="190"/>
    </row>
    <row r="117" spans="2:4" ht="13.5" customHeight="1">
      <c r="B117" s="190"/>
    </row>
    <row r="118" spans="2:4" ht="13.5" customHeight="1">
      <c r="B118" s="191"/>
    </row>
    <row r="119" spans="2:4" ht="13.5" customHeight="1">
      <c r="B119" s="192"/>
    </row>
    <row r="120" spans="2:4" ht="13.5" customHeight="1">
      <c r="B120" s="192"/>
    </row>
    <row r="121" spans="2:4" ht="13.5" customHeight="1">
      <c r="B121" s="192"/>
    </row>
    <row r="122" spans="2:4" ht="13.5" customHeight="1">
      <c r="B122" s="192"/>
    </row>
    <row r="123" spans="2:4" ht="13.5" customHeight="1">
      <c r="B123" s="192"/>
    </row>
    <row r="124" spans="2:4" ht="13.5" customHeight="1">
      <c r="B124" s="192"/>
    </row>
    <row r="125" spans="2:4" ht="13.5" customHeight="1">
      <c r="B125" s="192"/>
    </row>
    <row r="126" spans="2:4" ht="13.5" customHeight="1">
      <c r="B126" s="192"/>
    </row>
    <row r="127" spans="2:4" ht="13.5" customHeight="1">
      <c r="B127" s="192"/>
    </row>
    <row r="128" spans="2:4" ht="13.5" customHeight="1">
      <c r="B128" s="192"/>
    </row>
    <row r="129" spans="2:2" ht="13.5" customHeight="1">
      <c r="B129" s="192"/>
    </row>
    <row r="130" spans="2:2" ht="13.5" customHeight="1">
      <c r="B130" s="192"/>
    </row>
    <row r="131" spans="2:2" ht="13.5" customHeight="1">
      <c r="B131" s="193"/>
    </row>
    <row r="132" spans="2:2">
      <c r="B132" s="191"/>
    </row>
    <row r="133" spans="2:2">
      <c r="B133" s="191"/>
    </row>
    <row r="134" spans="2:2">
      <c r="B134" s="190"/>
    </row>
    <row r="135" spans="2:2">
      <c r="B135" s="190"/>
    </row>
    <row r="136" spans="2:2">
      <c r="B136" s="190"/>
    </row>
    <row r="137" spans="2:2">
      <c r="B137" s="194"/>
    </row>
    <row r="138" spans="2:2">
      <c r="B138" s="191"/>
    </row>
  </sheetData>
  <mergeCells count="1">
    <mergeCell ref="B1:C1"/>
  </mergeCells>
  <printOptions horizontalCentered="1"/>
  <pageMargins left="0.25" right="0.25" top="0.75" bottom="0.75" header="0.3" footer="0.3"/>
  <pageSetup paperSize="9" scale="86" fitToWidth="0" fitToHeight="0" orientation="portrait" r:id="rId1"/>
  <headerFooter>
    <oddHeader xml:space="preserve">&amp;L7. melléklet a 8/2018.(IV.25.) önkormányzati rendelethez
7. melléklet a 27/2017. (XII.21.) önkormányzati rendelethez
</oddHeader>
  </headerFooter>
  <rowBreaks count="1" manualBreakCount="1">
    <brk id="46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view="pageLayout" topLeftCell="B1" zoomScaleNormal="100" zoomScaleSheetLayoutView="98" workbookViewId="0">
      <selection activeCell="B2" sqref="B2:D2"/>
    </sheetView>
  </sheetViews>
  <sheetFormatPr defaultRowHeight="15"/>
  <cols>
    <col min="1" max="1" width="0" style="205" hidden="1" customWidth="1"/>
    <col min="2" max="2" width="102.42578125" style="206" customWidth="1"/>
    <col min="3" max="3" width="0.140625" style="206" customWidth="1"/>
    <col min="4" max="5" width="19.42578125" style="206" customWidth="1"/>
    <col min="6" max="16384" width="9.140625" style="206"/>
  </cols>
  <sheetData>
    <row r="1" spans="1:5">
      <c r="B1" s="1196" t="s">
        <v>223</v>
      </c>
      <c r="C1" s="1196"/>
      <c r="D1" s="1196"/>
      <c r="E1" s="644"/>
    </row>
    <row r="2" spans="1:5">
      <c r="B2" s="1197" t="s">
        <v>114</v>
      </c>
      <c r="C2" s="1197"/>
      <c r="D2" s="1197"/>
      <c r="E2" s="645"/>
    </row>
    <row r="3" spans="1:5" ht="17.25" customHeight="1" thickBot="1">
      <c r="B3" s="575"/>
      <c r="C3" s="646"/>
      <c r="D3" s="14"/>
      <c r="E3" s="14"/>
    </row>
    <row r="4" spans="1:5" ht="18" customHeight="1">
      <c r="B4" s="647" t="s">
        <v>2</v>
      </c>
      <c r="C4" s="648" t="s">
        <v>274</v>
      </c>
      <c r="D4" s="649" t="s">
        <v>3</v>
      </c>
      <c r="E4" s="650" t="s">
        <v>402</v>
      </c>
    </row>
    <row r="5" spans="1:5">
      <c r="B5" s="651" t="s">
        <v>69</v>
      </c>
      <c r="C5" s="652" t="e">
        <f>SUM(#REF!,#REF!)</f>
        <v>#REF!</v>
      </c>
      <c r="D5" s="652">
        <f>SUM(D8:D26)</f>
        <v>500095</v>
      </c>
      <c r="E5" s="653">
        <f>SUM(E8:E29)</f>
        <v>665045</v>
      </c>
    </row>
    <row r="6" spans="1:5">
      <c r="B6" s="651"/>
      <c r="C6" s="652"/>
      <c r="D6" s="652"/>
      <c r="E6" s="653"/>
    </row>
    <row r="7" spans="1:5" ht="14.25" customHeight="1">
      <c r="B7" s="651" t="s">
        <v>249</v>
      </c>
      <c r="C7" s="654"/>
      <c r="D7" s="655"/>
      <c r="E7" s="656"/>
    </row>
    <row r="8" spans="1:5">
      <c r="A8" s="205" t="s">
        <v>102</v>
      </c>
      <c r="B8" s="657" t="s">
        <v>275</v>
      </c>
      <c r="C8" s="654">
        <v>0</v>
      </c>
      <c r="D8" s="658">
        <v>134199</v>
      </c>
      <c r="E8" s="659">
        <v>134199</v>
      </c>
    </row>
    <row r="9" spans="1:5">
      <c r="A9" s="205" t="s">
        <v>250</v>
      </c>
      <c r="B9" s="657" t="s">
        <v>276</v>
      </c>
      <c r="C9" s="654"/>
      <c r="D9" s="654">
        <v>5000</v>
      </c>
      <c r="E9" s="660">
        <v>5000</v>
      </c>
    </row>
    <row r="10" spans="1:5">
      <c r="A10" s="205" t="s">
        <v>250</v>
      </c>
      <c r="B10" s="657" t="s">
        <v>277</v>
      </c>
      <c r="C10" s="654"/>
      <c r="D10" s="654">
        <v>5000</v>
      </c>
      <c r="E10" s="660">
        <v>5000</v>
      </c>
    </row>
    <row r="11" spans="1:5">
      <c r="A11" s="205" t="s">
        <v>250</v>
      </c>
      <c r="B11" s="657" t="s">
        <v>278</v>
      </c>
      <c r="C11" s="654"/>
      <c r="D11" s="654">
        <v>25000</v>
      </c>
      <c r="E11" s="660">
        <v>25000</v>
      </c>
    </row>
    <row r="12" spans="1:5">
      <c r="A12" s="205" t="s">
        <v>250</v>
      </c>
      <c r="B12" s="657" t="s">
        <v>279</v>
      </c>
      <c r="C12" s="654"/>
      <c r="D12" s="654">
        <v>8000</v>
      </c>
      <c r="E12" s="660">
        <v>8000</v>
      </c>
    </row>
    <row r="13" spans="1:5">
      <c r="A13" s="205" t="s">
        <v>246</v>
      </c>
      <c r="B13" s="657" t="s">
        <v>280</v>
      </c>
      <c r="C13" s="654"/>
      <c r="D13" s="654">
        <v>9154</v>
      </c>
      <c r="E13" s="660">
        <v>9154</v>
      </c>
    </row>
    <row r="14" spans="1:5" s="208" customFormat="1" ht="30">
      <c r="A14" s="207" t="s">
        <v>246</v>
      </c>
      <c r="B14" s="661" t="s">
        <v>281</v>
      </c>
      <c r="C14" s="662"/>
      <c r="D14" s="662">
        <v>5000</v>
      </c>
      <c r="E14" s="663">
        <v>5000</v>
      </c>
    </row>
    <row r="15" spans="1:5">
      <c r="A15" s="205" t="s">
        <v>102</v>
      </c>
      <c r="B15" s="657" t="s">
        <v>282</v>
      </c>
      <c r="C15" s="654"/>
      <c r="D15" s="654">
        <v>2200</v>
      </c>
      <c r="E15" s="660">
        <v>2200</v>
      </c>
    </row>
    <row r="16" spans="1:5">
      <c r="A16" s="205" t="s">
        <v>102</v>
      </c>
      <c r="B16" s="664" t="s">
        <v>283</v>
      </c>
      <c r="C16" s="654"/>
      <c r="D16" s="654">
        <v>381</v>
      </c>
      <c r="E16" s="660">
        <v>381</v>
      </c>
    </row>
    <row r="17" spans="1:5">
      <c r="A17" s="205" t="s">
        <v>98</v>
      </c>
      <c r="B17" s="664" t="s">
        <v>284</v>
      </c>
      <c r="C17" s="654"/>
      <c r="D17" s="654">
        <v>5000</v>
      </c>
      <c r="E17" s="660">
        <v>5000</v>
      </c>
    </row>
    <row r="18" spans="1:5">
      <c r="A18" s="205" t="s">
        <v>243</v>
      </c>
      <c r="B18" s="384" t="s">
        <v>330</v>
      </c>
      <c r="C18" s="665"/>
      <c r="D18" s="666">
        <v>60000</v>
      </c>
      <c r="E18" s="667">
        <v>60000</v>
      </c>
    </row>
    <row r="19" spans="1:5">
      <c r="A19" s="205" t="s">
        <v>285</v>
      </c>
      <c r="B19" s="668" t="s">
        <v>112</v>
      </c>
      <c r="C19" s="669">
        <v>10000</v>
      </c>
      <c r="D19" s="658">
        <v>10000</v>
      </c>
      <c r="E19" s="659">
        <v>10000</v>
      </c>
    </row>
    <row r="20" spans="1:5">
      <c r="A20" s="205" t="s">
        <v>235</v>
      </c>
      <c r="B20" s="380" t="s">
        <v>113</v>
      </c>
      <c r="C20" s="665">
        <v>10000</v>
      </c>
      <c r="D20" s="658">
        <v>10000</v>
      </c>
      <c r="E20" s="659">
        <v>10000</v>
      </c>
    </row>
    <row r="21" spans="1:5">
      <c r="A21" s="205" t="s">
        <v>235</v>
      </c>
      <c r="B21" s="384" t="s">
        <v>286</v>
      </c>
      <c r="C21" s="665">
        <v>6350</v>
      </c>
      <c r="D21" s="658">
        <v>7000</v>
      </c>
      <c r="E21" s="659">
        <v>7000</v>
      </c>
    </row>
    <row r="22" spans="1:5">
      <c r="A22" s="205" t="s">
        <v>250</v>
      </c>
      <c r="B22" s="384" t="s">
        <v>287</v>
      </c>
      <c r="C22" s="665">
        <v>1270</v>
      </c>
      <c r="D22" s="658">
        <v>14000</v>
      </c>
      <c r="E22" s="659">
        <v>14000</v>
      </c>
    </row>
    <row r="23" spans="1:5">
      <c r="A23" s="205" t="s">
        <v>288</v>
      </c>
      <c r="B23" s="668" t="s">
        <v>332</v>
      </c>
      <c r="C23" s="669">
        <v>15260</v>
      </c>
      <c r="D23" s="658">
        <v>8161</v>
      </c>
      <c r="E23" s="659">
        <v>8161</v>
      </c>
    </row>
    <row r="24" spans="1:5">
      <c r="A24" s="205" t="s">
        <v>288</v>
      </c>
      <c r="B24" s="668" t="s">
        <v>289</v>
      </c>
      <c r="C24" s="669"/>
      <c r="D24" s="658">
        <v>2000</v>
      </c>
      <c r="E24" s="659">
        <v>2000</v>
      </c>
    </row>
    <row r="25" spans="1:5">
      <c r="A25" s="205" t="s">
        <v>243</v>
      </c>
      <c r="B25" s="657" t="s">
        <v>691</v>
      </c>
      <c r="C25" s="670"/>
      <c r="D25" s="658">
        <v>40000</v>
      </c>
      <c r="E25" s="659">
        <v>40000</v>
      </c>
    </row>
    <row r="26" spans="1:5">
      <c r="A26" s="205" t="s">
        <v>243</v>
      </c>
      <c r="B26" s="657" t="s">
        <v>328</v>
      </c>
      <c r="C26" s="670"/>
      <c r="D26" s="658">
        <v>150000</v>
      </c>
      <c r="E26" s="659">
        <v>150000</v>
      </c>
    </row>
    <row r="27" spans="1:5">
      <c r="B27" s="657" t="s">
        <v>692</v>
      </c>
      <c r="C27" s="670"/>
      <c r="D27" s="658">
        <v>0</v>
      </c>
      <c r="E27" s="659">
        <v>37218</v>
      </c>
    </row>
    <row r="28" spans="1:5">
      <c r="B28" s="657" t="s">
        <v>693</v>
      </c>
      <c r="C28" s="670"/>
      <c r="D28" s="658">
        <v>0</v>
      </c>
      <c r="E28" s="659">
        <v>38545</v>
      </c>
    </row>
    <row r="29" spans="1:5">
      <c r="B29" s="657" t="s">
        <v>694</v>
      </c>
      <c r="C29" s="670"/>
      <c r="D29" s="658">
        <v>0</v>
      </c>
      <c r="E29" s="659">
        <v>89187</v>
      </c>
    </row>
    <row r="30" spans="1:5">
      <c r="B30" s="657"/>
      <c r="C30" s="670"/>
      <c r="D30" s="658"/>
      <c r="E30" s="659"/>
    </row>
    <row r="31" spans="1:5">
      <c r="B31" s="651" t="s">
        <v>111</v>
      </c>
      <c r="C31" s="652" t="e">
        <f>SUM(#REF!)</f>
        <v>#REF!</v>
      </c>
      <c r="D31" s="652">
        <f>SUM(D32:D49)</f>
        <v>29071</v>
      </c>
      <c r="E31" s="653">
        <f>SUM(E32:E49)</f>
        <v>29071</v>
      </c>
    </row>
    <row r="32" spans="1:5">
      <c r="B32" s="657" t="s">
        <v>375</v>
      </c>
      <c r="C32" s="652"/>
      <c r="D32" s="654">
        <v>250</v>
      </c>
      <c r="E32" s="660">
        <v>250</v>
      </c>
    </row>
    <row r="33" spans="2:5">
      <c r="B33" s="657" t="s">
        <v>376</v>
      </c>
      <c r="C33" s="652"/>
      <c r="D33" s="654">
        <v>6844</v>
      </c>
      <c r="E33" s="660">
        <v>6844</v>
      </c>
    </row>
    <row r="34" spans="2:5">
      <c r="B34" s="657" t="s">
        <v>377</v>
      </c>
      <c r="C34" s="652"/>
      <c r="D34" s="654">
        <v>300</v>
      </c>
      <c r="E34" s="660">
        <v>300</v>
      </c>
    </row>
    <row r="35" spans="2:5">
      <c r="B35" s="657" t="s">
        <v>378</v>
      </c>
      <c r="C35" s="652"/>
      <c r="D35" s="654">
        <v>500</v>
      </c>
      <c r="E35" s="660">
        <v>500</v>
      </c>
    </row>
    <row r="36" spans="2:5">
      <c r="B36" s="657" t="s">
        <v>379</v>
      </c>
      <c r="C36" s="652"/>
      <c r="D36" s="654">
        <v>1000</v>
      </c>
      <c r="E36" s="660">
        <v>1000</v>
      </c>
    </row>
    <row r="37" spans="2:5">
      <c r="B37" s="657" t="s">
        <v>380</v>
      </c>
      <c r="C37" s="652"/>
      <c r="D37" s="654">
        <v>500</v>
      </c>
      <c r="E37" s="660">
        <v>500</v>
      </c>
    </row>
    <row r="38" spans="2:5">
      <c r="B38" s="657" t="s">
        <v>381</v>
      </c>
      <c r="C38" s="652"/>
      <c r="D38" s="654">
        <v>100</v>
      </c>
      <c r="E38" s="660">
        <v>100</v>
      </c>
    </row>
    <row r="39" spans="2:5">
      <c r="B39" s="657" t="s">
        <v>388</v>
      </c>
      <c r="C39" s="652"/>
      <c r="D39" s="654">
        <v>500</v>
      </c>
      <c r="E39" s="660">
        <v>500</v>
      </c>
    </row>
    <row r="40" spans="2:5">
      <c r="B40" s="657" t="s">
        <v>382</v>
      </c>
      <c r="C40" s="652"/>
      <c r="D40" s="654">
        <v>400</v>
      </c>
      <c r="E40" s="660">
        <v>400</v>
      </c>
    </row>
    <row r="41" spans="2:5">
      <c r="B41" s="657" t="s">
        <v>383</v>
      </c>
      <c r="C41" s="652"/>
      <c r="D41" s="654">
        <v>677</v>
      </c>
      <c r="E41" s="660">
        <v>677</v>
      </c>
    </row>
    <row r="42" spans="2:5">
      <c r="B42" s="657" t="s">
        <v>392</v>
      </c>
      <c r="C42" s="652"/>
      <c r="D42" s="654">
        <v>4200</v>
      </c>
      <c r="E42" s="660">
        <v>4200</v>
      </c>
    </row>
    <row r="43" spans="2:5" ht="30">
      <c r="B43" s="657" t="s">
        <v>384</v>
      </c>
      <c r="C43" s="652"/>
      <c r="D43" s="654">
        <v>2000</v>
      </c>
      <c r="E43" s="660">
        <v>2000</v>
      </c>
    </row>
    <row r="44" spans="2:5">
      <c r="B44" s="657" t="s">
        <v>389</v>
      </c>
      <c r="C44" s="652"/>
      <c r="D44" s="654">
        <v>2000</v>
      </c>
      <c r="E44" s="660">
        <v>2000</v>
      </c>
    </row>
    <row r="45" spans="2:5">
      <c r="B45" s="657" t="s">
        <v>385</v>
      </c>
      <c r="C45" s="652"/>
      <c r="D45" s="654">
        <v>500</v>
      </c>
      <c r="E45" s="660">
        <v>500</v>
      </c>
    </row>
    <row r="46" spans="2:5" ht="30">
      <c r="B46" s="657" t="s">
        <v>386</v>
      </c>
      <c r="C46" s="652"/>
      <c r="D46" s="654">
        <v>1800</v>
      </c>
      <c r="E46" s="660">
        <v>1800</v>
      </c>
    </row>
    <row r="47" spans="2:5" ht="30">
      <c r="B47" s="657" t="s">
        <v>387</v>
      </c>
      <c r="C47" s="652"/>
      <c r="D47" s="654">
        <v>5000</v>
      </c>
      <c r="E47" s="660">
        <v>5000</v>
      </c>
    </row>
    <row r="48" spans="2:5">
      <c r="B48" s="657" t="s">
        <v>391</v>
      </c>
      <c r="C48" s="652"/>
      <c r="D48" s="654">
        <v>500</v>
      </c>
      <c r="E48" s="660">
        <v>500</v>
      </c>
    </row>
    <row r="49" spans="2:5">
      <c r="B49" s="657" t="s">
        <v>390</v>
      </c>
      <c r="C49" s="652"/>
      <c r="D49" s="654">
        <v>2000</v>
      </c>
      <c r="E49" s="660">
        <v>2000</v>
      </c>
    </row>
    <row r="50" spans="2:5">
      <c r="B50" s="671"/>
      <c r="C50" s="672"/>
      <c r="D50" s="673"/>
      <c r="E50" s="674"/>
    </row>
    <row r="51" spans="2:5" ht="15.75" thickBot="1">
      <c r="B51" s="675" t="s">
        <v>106</v>
      </c>
      <c r="C51" s="676" t="e">
        <f>SUM(C5,#REF!,C31)</f>
        <v>#REF!</v>
      </c>
      <c r="D51" s="676">
        <f>SUM(D5,D31)</f>
        <v>529166</v>
      </c>
      <c r="E51" s="677">
        <f>SUM(E5,E31)</f>
        <v>694116</v>
      </c>
    </row>
    <row r="52" spans="2:5">
      <c r="B52" s="14"/>
      <c r="C52" s="14"/>
      <c r="D52" s="14"/>
      <c r="E52" s="14"/>
    </row>
    <row r="53" spans="2:5">
      <c r="B53" s="14"/>
      <c r="C53" s="14"/>
      <c r="D53" s="14"/>
      <c r="E53" s="14"/>
    </row>
    <row r="54" spans="2:5">
      <c r="B54" s="14"/>
      <c r="C54" s="14"/>
      <c r="D54" s="14"/>
      <c r="E54" s="14"/>
    </row>
    <row r="55" spans="2:5">
      <c r="B55" s="14"/>
      <c r="C55" s="14"/>
      <c r="D55" s="14"/>
      <c r="E55" s="14"/>
    </row>
    <row r="56" spans="2:5">
      <c r="B56" s="14"/>
      <c r="C56" s="14"/>
      <c r="D56" s="14"/>
      <c r="E56" s="14"/>
    </row>
    <row r="57" spans="2:5">
      <c r="B57" s="14"/>
      <c r="C57" s="14"/>
      <c r="D57" s="14"/>
      <c r="E57" s="14"/>
    </row>
    <row r="58" spans="2:5">
      <c r="B58" s="14"/>
      <c r="C58" s="14"/>
      <c r="D58" s="14"/>
      <c r="E58" s="14"/>
    </row>
  </sheetData>
  <mergeCells count="2">
    <mergeCell ref="B1:D1"/>
    <mergeCell ref="B2:D2"/>
  </mergeCells>
  <printOptions horizontalCentered="1"/>
  <pageMargins left="0.31496062992125984" right="0.35433070866141736" top="0.74803149606299213" bottom="0.74803149606299213" header="0.31496062992125984" footer="0.31496062992125984"/>
  <pageSetup paperSize="9" scale="69" fitToHeight="0" orientation="portrait" r:id="rId1"/>
  <headerFooter>
    <oddHeader>&amp;L8. melléklet a 8/2018.(IV.25.) önkormányzati rendelethez
8. melléklet a 27/2017.(XII.21.)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13</vt:i4>
      </vt:variant>
    </vt:vector>
  </HeadingPairs>
  <TitlesOfParts>
    <vt:vector size="32" baseType="lpstr">
      <vt:lpstr>1. sz. melléklet</vt:lpstr>
      <vt:lpstr>2. sz. melléklet</vt:lpstr>
      <vt:lpstr>3. sz. melléklet</vt:lpstr>
      <vt:lpstr>4.sz. melléklet</vt:lpstr>
      <vt:lpstr>5.sz.melléklet1</vt:lpstr>
      <vt:lpstr>5.sz.melléklet</vt:lpstr>
      <vt:lpstr>6 sz. melléklet</vt:lpstr>
      <vt:lpstr>7. sz. melléklet </vt:lpstr>
      <vt:lpstr>8. sz. melléklet </vt:lpstr>
      <vt:lpstr>9. sz. melléklet </vt:lpstr>
      <vt:lpstr>10. sz. melléklet</vt:lpstr>
      <vt:lpstr>11. sz. melléklet </vt:lpstr>
      <vt:lpstr>12. melléklet</vt:lpstr>
      <vt:lpstr>13. sz. melléklet</vt:lpstr>
      <vt:lpstr>13B</vt:lpstr>
      <vt:lpstr>14. sz. melléklet </vt:lpstr>
      <vt:lpstr>15. sz. melléklet</vt:lpstr>
      <vt:lpstr>16. sz. melléklet </vt:lpstr>
      <vt:lpstr>17. sz.</vt:lpstr>
      <vt:lpstr>'10. sz. melléklet'!Nyomtatási_cím</vt:lpstr>
      <vt:lpstr>'7. sz. melléklet '!Nyomtatási_cím</vt:lpstr>
      <vt:lpstr>'1. sz. melléklet'!Nyomtatási_terület</vt:lpstr>
      <vt:lpstr>'10. sz. melléklet'!Nyomtatási_terület</vt:lpstr>
      <vt:lpstr>'11. sz. melléklet '!Nyomtatási_terület</vt:lpstr>
      <vt:lpstr>'14. sz. melléklet '!Nyomtatási_terület</vt:lpstr>
      <vt:lpstr>'15. sz. melléklet'!Nyomtatási_terület</vt:lpstr>
      <vt:lpstr>'16. sz. melléklet '!Nyomtatási_terület</vt:lpstr>
      <vt:lpstr>'2. sz. melléklet'!Nyomtatási_terület</vt:lpstr>
      <vt:lpstr>'3. sz. melléklet'!Nyomtatási_terület</vt:lpstr>
      <vt:lpstr>'4.sz. melléklet'!Nyomtatási_terület</vt:lpstr>
      <vt:lpstr>'7. sz. melléklet '!Nyomtatási_terület</vt:lpstr>
      <vt:lpstr>'9. sz. melléklet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Titkárság</dc:creator>
  <cp:lastModifiedBy>Lantai Éva dr.</cp:lastModifiedBy>
  <cp:lastPrinted>2018-04-25T09:56:51Z</cp:lastPrinted>
  <dcterms:created xsi:type="dcterms:W3CDTF">2016-03-22T13:59:53Z</dcterms:created>
  <dcterms:modified xsi:type="dcterms:W3CDTF">2018-06-21T08:09:34Z</dcterms:modified>
  <cp:contentStatus/>
</cp:coreProperties>
</file>