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3040" windowHeight="9015" activeTab="1"/>
  </bookViews>
  <sheets>
    <sheet name="5" sheetId="1" r:id="rId1"/>
    <sheet name="5A" sheetId="2" r:id="rId2"/>
    <sheet name="5B" sheetId="3" r:id="rId3"/>
    <sheet name="5C" sheetId="4" r:id="rId4"/>
    <sheet name="5D" sheetId="5" r:id="rId5"/>
    <sheet name="5E" sheetId="6" r:id="rId6"/>
    <sheet name="5F" sheetId="7" r:id="rId7"/>
    <sheet name="Munka1" sheetId="8" r:id="rId8"/>
  </sheets>
  <definedNames>
    <definedName name="_xlnm.Print_Area" localSheetId="0">'5'!$A$2:$O$48</definedName>
    <definedName name="_xlnm.Print_Area" localSheetId="1">'5A'!$A$1:$P$56</definedName>
    <definedName name="_xlnm.Print_Area" localSheetId="2">'5B'!$A$1:$O$22</definedName>
    <definedName name="_xlnm.Print_Area" localSheetId="3">'5C'!$A$2:$O$22</definedName>
    <definedName name="_xlnm.Print_Area" localSheetId="4">'5D'!$A$1:$N$23</definedName>
  </definedNames>
  <calcPr fullCalcOnLoad="1"/>
</workbook>
</file>

<file path=xl/sharedStrings.xml><?xml version="1.0" encoding="utf-8"?>
<sst xmlns="http://schemas.openxmlformats.org/spreadsheetml/2006/main" count="383" uniqueCount="187">
  <si>
    <t>ezer Ft-ban</t>
  </si>
  <si>
    <t>Megnevezés</t>
  </si>
  <si>
    <t>1.</t>
  </si>
  <si>
    <t>2.</t>
  </si>
  <si>
    <t>3.</t>
  </si>
  <si>
    <t>I.</t>
  </si>
  <si>
    <t>II.</t>
  </si>
  <si>
    <t>Áru- és készletértékesítés ellenértéke</t>
  </si>
  <si>
    <t>Építményadó</t>
  </si>
  <si>
    <t>Iparűzési adó</t>
  </si>
  <si>
    <t>Helyi adók összesen</t>
  </si>
  <si>
    <t>Gépjárműadó</t>
  </si>
  <si>
    <t>Immateriális javak értékesítése</t>
  </si>
  <si>
    <t>Ingatlanok értékesítése</t>
  </si>
  <si>
    <t>Felhalmozási célú pénzeszközátvétel államháztartáson kívülről</t>
  </si>
  <si>
    <t>Dolgozók lakásépítésére, vásárlására folyósított kölcsönök megtérülése</t>
  </si>
  <si>
    <t>Önkormányzat helyi lakásépítési és vásárlási támogatás megtérítése</t>
  </si>
  <si>
    <t>Idegenforgalmi adó</t>
  </si>
  <si>
    <t xml:space="preserve">Önkormányzat </t>
  </si>
  <si>
    <t>Mindösszesen</t>
  </si>
  <si>
    <t xml:space="preserve">tervezett felhalmozási bevételeinek részletezése </t>
  </si>
  <si>
    <t xml:space="preserve">FELHALMOZÁSI BEVÉTELEK  ÖSSZESEN </t>
  </si>
  <si>
    <t>Felhalmozási bevételek</t>
  </si>
  <si>
    <t>5/c. számú melléklet</t>
  </si>
  <si>
    <t>5/d. számú melléklet</t>
  </si>
  <si>
    <t>5/f. számú melléklet</t>
  </si>
  <si>
    <t>5/e. számú melléklet</t>
  </si>
  <si>
    <t>Helyi önkormányzatok működésének általános támogatása</t>
  </si>
  <si>
    <t>Helyi önkormányzat ágazati feladataihoz kapcsolódó támogatás</t>
  </si>
  <si>
    <t xml:space="preserve">   Óvodapedagógusok bértámogatása </t>
  </si>
  <si>
    <t xml:space="preserve">   Óvodapedagógusok munkáját közvetlenül segítők bértámogatása</t>
  </si>
  <si>
    <t xml:space="preserve">   Óvodai működtetés támogatása</t>
  </si>
  <si>
    <t xml:space="preserve">   Szociális étkeztetés </t>
  </si>
  <si>
    <t xml:space="preserve">   Házi segítségnyújtás</t>
  </si>
  <si>
    <t xml:space="preserve">   Időskorúak nappali intézményi ellátása</t>
  </si>
  <si>
    <t xml:space="preserve">   Bölcsődei ellátás</t>
  </si>
  <si>
    <t xml:space="preserve">   Szociális bentlakásos intézmény-üzemeltetési támogatás</t>
  </si>
  <si>
    <t>III.</t>
  </si>
  <si>
    <t>IV.</t>
  </si>
  <si>
    <t>5. számú melléklet</t>
  </si>
  <si>
    <t>5/b. számú melléklet</t>
  </si>
  <si>
    <t>Áh-n belülrők kapott felhalmozási célú támogatás eu-s programokra</t>
  </si>
  <si>
    <t>Egyéb működési bevételek</t>
  </si>
  <si>
    <t>Közhatalmi bevételek összesen</t>
  </si>
  <si>
    <t>MŰKÖDÉSI BEVÉTELEK ÖSSZESEN</t>
  </si>
  <si>
    <t>Felhalmozási célú támogatás Áh-n belülről</t>
  </si>
  <si>
    <t>mutatószám (fő)</t>
  </si>
  <si>
    <t xml:space="preserve">   Önkormányzati hivatal működésének támogatása</t>
  </si>
  <si>
    <t>Települési önkorm.egyes köznevelési feladatainak támogatása</t>
  </si>
  <si>
    <t>Települési önkorm.kulturális feladatainak támogatása</t>
  </si>
  <si>
    <t>V.</t>
  </si>
  <si>
    <t>Elvonások és befizetések bevételei</t>
  </si>
  <si>
    <t>Fejezeti kezelésű előirányzattól működési célú támogatás</t>
  </si>
  <si>
    <t>Társadalombiztosítás pénzügyi alapjaitól működési támogatás</t>
  </si>
  <si>
    <t>Társulástól és költségvetési szervétől működési célú támogatás</t>
  </si>
  <si>
    <t xml:space="preserve">           Közterület-hasznosítási Társulástól kapott támogatás</t>
  </si>
  <si>
    <t>3/1.</t>
  </si>
  <si>
    <t>3/2.</t>
  </si>
  <si>
    <t>3/3.</t>
  </si>
  <si>
    <t>Egyéb működési célú támogatások államháztartáson belülről</t>
  </si>
  <si>
    <t>1/1.</t>
  </si>
  <si>
    <t>1/2.</t>
  </si>
  <si>
    <t>1/3.</t>
  </si>
  <si>
    <t>1/4.</t>
  </si>
  <si>
    <t>MŰKÖDÉSI CÉLÚ TÁMOGATÁSOK ÁH-ON BELÜLRŐL (1.+2.+3.)</t>
  </si>
  <si>
    <t>Környezetvédelmi bírság</t>
  </si>
  <si>
    <t>Műemlékvédelmi bírság</t>
  </si>
  <si>
    <t>Helyszíni és szabálysértési bírság</t>
  </si>
  <si>
    <t>Helyi adópótlék, adóbírság</t>
  </si>
  <si>
    <t>Egyéb közhatalmi bevételek</t>
  </si>
  <si>
    <t>Egyéb helyi közhatalmi bevételek összesen</t>
  </si>
  <si>
    <t>KÖZHATALMI BEVÉTELEK ÖSSZESEN (1+2)</t>
  </si>
  <si>
    <t xml:space="preserve">Szolgáltatások </t>
  </si>
  <si>
    <t>Közvetített szolgáltatások ellenértéke</t>
  </si>
  <si>
    <t>Tulajdonosi bevételek</t>
  </si>
  <si>
    <t>Ellátási díjak</t>
  </si>
  <si>
    <t>Kiszámlázott általános forgalmi adó</t>
  </si>
  <si>
    <t>Egyéb tárgyi eszközök értékesítése</t>
  </si>
  <si>
    <t>Részesedés értékesítése</t>
  </si>
  <si>
    <t xml:space="preserve">     Önkormányzati lakások értékesítése</t>
  </si>
  <si>
    <t>Általános forgalmi adó visszatérítése</t>
  </si>
  <si>
    <t>Kamatbevételek</t>
  </si>
  <si>
    <t>Egyéb pénzügyi műveletek bevételei</t>
  </si>
  <si>
    <t>Fejezeti kezelésű előirányzattól felhalmozási célú támogatások</t>
  </si>
  <si>
    <t>Helyi önkormányzattól kapott támogatás</t>
  </si>
  <si>
    <t xml:space="preserve">  Fővárosi Önkormányzat támogatása a Szervita tér </t>
  </si>
  <si>
    <t xml:space="preserve">  megújításához</t>
  </si>
  <si>
    <t>FELHALMOZÁSI CÉLÚ TÁMOGATÁSOK ÁH-ON BELÜLRŐL</t>
  </si>
  <si>
    <t>Felhalmozási célú támogatások, kölcsönök  visszatérülése ÁH-on kívülről</t>
  </si>
  <si>
    <t>FELHALMOZÁSI CÉLÚ ÁTVETT PÉNZESZKÖZÖK ÖSSZESEN</t>
  </si>
  <si>
    <t>Önkormányzat működési támogatásai</t>
  </si>
  <si>
    <t>Egyéb működési célú támogatások bevételei Áh-n belülről</t>
  </si>
  <si>
    <t>Működési célú támogatások  Áh-n belülről</t>
  </si>
  <si>
    <t>Egyéb közhatalmi bevételek összesen</t>
  </si>
  <si>
    <t>Működési bevételek összesen</t>
  </si>
  <si>
    <t>Működési célú visszatérítendő támogatások,kölcsönök megtérülése Áh-on kívülről</t>
  </si>
  <si>
    <t>Egyéb működési célú átvett pénzeszközök</t>
  </si>
  <si>
    <t>Működési célú átvett pénzeszközök</t>
  </si>
  <si>
    <t>MŰKÖDÉSI BEVÉTELEK ÖSSZESEN (I.+II.+III.+IV.)</t>
  </si>
  <si>
    <t>VI.</t>
  </si>
  <si>
    <t>Felhalmozási célú támogatások,kölcsönök visszatérülése Áh-on kívülről</t>
  </si>
  <si>
    <t>Felhalmozási célú pénzeszközátvétel Áh-n kívülről</t>
  </si>
  <si>
    <t>VII.</t>
  </si>
  <si>
    <t>Felhalmozási célú átvett pénzeszközök összesen</t>
  </si>
  <si>
    <t>FELHALMOZÁSI BEVÉTELEK ÖSSZESEN (V.+VI.+VII.)</t>
  </si>
  <si>
    <t>KÖLTSÉGVETÉSI BEVÉTELEK ÖSSZESEN  (I. + II.)</t>
  </si>
  <si>
    <t>Irányító szervi támogatás</t>
  </si>
  <si>
    <t>MŰKÖDÉSI FINANSZÍROZÁSI BEVÉTELEK ÖSSZESEN</t>
  </si>
  <si>
    <t>FELHALMOZÁSI FINANSZÍROZÁSI BEVÉTELEK ÖSSZESEN</t>
  </si>
  <si>
    <t>BEVÉTELEK MINDÖSSZESEN (I.+II.+III.+IV.)</t>
  </si>
  <si>
    <t>Irányító szervi támogatás miatti korrekció</t>
  </si>
  <si>
    <t>KORRIGÁLT BEVÉTELEK ÖSSZESEN</t>
  </si>
  <si>
    <t>5/a. számú melléklet</t>
  </si>
  <si>
    <t>Parkolási tevékenység továbbszámlázott bevétele miatti korrekció</t>
  </si>
  <si>
    <t>Telep.önkorm.szoc.,gyermekjóléti és gyermekétk.támogatása</t>
  </si>
  <si>
    <t>Települési önkorm.szoc.,gyermekjóléti és gyermekétkezt.fa. támog.</t>
  </si>
  <si>
    <t xml:space="preserve">   Üdülőhelyi feladatok támogatása</t>
  </si>
  <si>
    <t>Helyi önkormányzattól működési támogatás</t>
  </si>
  <si>
    <t>3/4.</t>
  </si>
  <si>
    <t xml:space="preserve">     Nem lakáscélú helyiség értékesítése</t>
  </si>
  <si>
    <t xml:space="preserve"> </t>
  </si>
  <si>
    <t xml:space="preserve">   Gyermekétkeztetésben résztvevő dolgozók bértámogatása</t>
  </si>
  <si>
    <t>Gazdasági szervezettel rendelkező kölstégvetési szervek</t>
  </si>
  <si>
    <t>Gazdasági szervezettel nem rendelkező költségvetési szervek</t>
  </si>
  <si>
    <t>Költségvetési maradvány</t>
  </si>
  <si>
    <t>Egyéb bírság (közigazgatási bírság)</t>
  </si>
  <si>
    <t xml:space="preserve">   Rászoruló gyermekek szünidei étkeztetésének támogatása</t>
  </si>
  <si>
    <t xml:space="preserve">   Család és gyermekjóléti szolgálat</t>
  </si>
  <si>
    <t xml:space="preserve">   Család és gyermekjóléti központ</t>
  </si>
  <si>
    <t xml:space="preserve">   - Főváros Kormányhivataltól kapott támog.a közfogl.kiad-hoz</t>
  </si>
  <si>
    <t>HM tömb felújításra kapott támogatás törlesztése</t>
  </si>
  <si>
    <t>Betétlekötés megszüntetése</t>
  </si>
  <si>
    <t>FINANSZÍROZÁSI BEVÉTELEK ÖSSZESEN (III.+IV.)</t>
  </si>
  <si>
    <t>Önkormányzat</t>
  </si>
  <si>
    <t xml:space="preserve">   2016. évi bérkompenzáció</t>
  </si>
  <si>
    <t>1/6.</t>
  </si>
  <si>
    <t>Egyéb támogatások</t>
  </si>
  <si>
    <t>Önkormányzatok működési támogatása ( 1/1.- 1/6.)</t>
  </si>
  <si>
    <t xml:space="preserve">   Szociális bentlakásos int.ellátásokhoz kapcs.bértámogatás</t>
  </si>
  <si>
    <t xml:space="preserve">   Kieg.tám. az óvodapedag. min.-ből adódó többletkiadásokhoz</t>
  </si>
  <si>
    <t xml:space="preserve">   Kieg.tám.a bölcsődében fogl.felsőfokú végzettségűeknek</t>
  </si>
  <si>
    <t xml:space="preserve">   Pszichiátriai betegek részére nyújtott közösségi alapellátás</t>
  </si>
  <si>
    <t>Önkormányzat felhalmozási célú költségvetési támogatása</t>
  </si>
  <si>
    <t xml:space="preserve">   Közművelődési érdekeltségnövelő támogatás</t>
  </si>
  <si>
    <t xml:space="preserve">   - Idősbarát Önkormányzat díjjal járó támogatás</t>
  </si>
  <si>
    <t>3/5.</t>
  </si>
  <si>
    <t>Központi költségvetési szervtől kapott működési támogatás</t>
  </si>
  <si>
    <t xml:space="preserve">   Jelzőrendszeres házi segítségnyújtás támogatás</t>
  </si>
  <si>
    <t xml:space="preserve">   Kiegészítő gyermekvédelmi támogatás</t>
  </si>
  <si>
    <t>Belváros- Lipótváros Önkormányzata 2017. évi államháztartáson belülről kapott működési célú támogatásainak részletezése</t>
  </si>
  <si>
    <t>Belváros-Lipótváros Önkormányzata 2017. évre tervezett közhatalmi bevételeinek részletezése</t>
  </si>
  <si>
    <t>Belváros-Lipótváros Önkormányzata 2017. évre tervezett működési bevételeinek részletezése</t>
  </si>
  <si>
    <t>Belváros- Lipótváros Önkormányzata 2017. évi államháztartáson belülről kapott felhalmozási célú támogatásainak részletezése</t>
  </si>
  <si>
    <t xml:space="preserve">Belváros-  Lipótváros Önkormányzata 2017. évre </t>
  </si>
  <si>
    <t>Belföldi értékpapír beváltása</t>
  </si>
  <si>
    <t xml:space="preserve">   2017. évi bérkompenzáció</t>
  </si>
  <si>
    <t xml:space="preserve">   Bölcsődei pótlék</t>
  </si>
  <si>
    <t xml:space="preserve">   Szociális ágazati összevont pótlék</t>
  </si>
  <si>
    <t xml:space="preserve">   József nádor tér mélygarázs építéshez kapcsolódó</t>
  </si>
  <si>
    <t xml:space="preserve">   felszínrendezéshez belügyminisztériumi támogatás</t>
  </si>
  <si>
    <t xml:space="preserve">   Passzázs (Erzsébet tér 3.és József n.tér 10.között)</t>
  </si>
  <si>
    <t xml:space="preserve">   közterület rekonstrukciójához és alatta lévő födém</t>
  </si>
  <si>
    <t xml:space="preserve">   megerősítéséhez belügyminisztériumi támogatás</t>
  </si>
  <si>
    <t xml:space="preserve">  Óvodapedagógusok munkáját segítők kieg.támogatása</t>
  </si>
  <si>
    <t xml:space="preserve">   - A 2016.évi népszavazás kiadásainak támogatása</t>
  </si>
  <si>
    <t>Felhalmozási célú pénzeszközátvétel Szervita téri beruházáshoz</t>
  </si>
  <si>
    <t>eredeti előirányzat</t>
  </si>
  <si>
    <t>módosított előirányzat</t>
  </si>
  <si>
    <t>teljesítés</t>
  </si>
  <si>
    <t>Belváros-Lipótváros Önkormányzata 2017. évre tervezett bevételeinek teljesítése</t>
  </si>
  <si>
    <t>Belváros-Lipótváros Önkormányzata 2017. évre tervezett államháztartáson kívülről átvett felhalmozási célú pénzeszközeinek teljesítése</t>
  </si>
  <si>
    <t>Elszámolásból származó bevételek</t>
  </si>
  <si>
    <t>1/5.</t>
  </si>
  <si>
    <t>4.</t>
  </si>
  <si>
    <t>Áht-n belüli megelőlegezések</t>
  </si>
  <si>
    <t>blesz</t>
  </si>
  <si>
    <t>p.h.</t>
  </si>
  <si>
    <t>közter.</t>
  </si>
  <si>
    <t>összesen</t>
  </si>
  <si>
    <t>Biztosítók által fizetett kártérítés</t>
  </si>
  <si>
    <t>Balaton</t>
  </si>
  <si>
    <t>Tesz-vesz</t>
  </si>
  <si>
    <t>Bástya</t>
  </si>
  <si>
    <t>Játékkal-mesével</t>
  </si>
  <si>
    <t>Bölcsődék</t>
  </si>
  <si>
    <t>Bölcsőde</t>
  </si>
  <si>
    <t>Eszi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</si>
</sst>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¥€-2]\ #\ ##,000_);[Red]\([$€-2]\ #\ ##,000\)"/>
  </numFmts>
  <fonts count="44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9"/>
      <name val="Arial CE"/>
      <family val="0"/>
    </font>
    <font>
      <b/>
      <i/>
      <sz val="9"/>
      <name val="Arial CE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54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3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3" fontId="4" fillId="0" borderId="13" xfId="0" applyNumberFormat="1" applyFont="1" applyBorder="1" applyAlignment="1">
      <alignment vertical="center"/>
    </xf>
    <xf numFmtId="16" fontId="4" fillId="0" borderId="14" xfId="0" applyNumberFormat="1" applyFont="1" applyBorder="1" applyAlignment="1">
      <alignment horizontal="left" vertical="center"/>
    </xf>
    <xf numFmtId="16" fontId="4" fillId="0" borderId="15" xfId="0" applyNumberFormat="1" applyFont="1" applyBorder="1" applyAlignment="1">
      <alignment horizontal="left" vertical="center"/>
    </xf>
    <xf numFmtId="3" fontId="3" fillId="0" borderId="16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3" fontId="3" fillId="0" borderId="17" xfId="0" applyNumberFormat="1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3" fontId="4" fillId="0" borderId="11" xfId="0" applyNumberFormat="1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3" fontId="4" fillId="0" borderId="16" xfId="0" applyNumberFormat="1" applyFont="1" applyBorder="1" applyAlignment="1">
      <alignment vertical="center"/>
    </xf>
    <xf numFmtId="3" fontId="7" fillId="0" borderId="21" xfId="0" applyNumberFormat="1" applyFont="1" applyBorder="1" applyAlignment="1">
      <alignment vertical="center"/>
    </xf>
    <xf numFmtId="0" fontId="3" fillId="0" borderId="22" xfId="0" applyFont="1" applyBorder="1" applyAlignment="1">
      <alignment horizontal="left" vertical="center"/>
    </xf>
    <xf numFmtId="0" fontId="7" fillId="0" borderId="17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4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8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3" fontId="7" fillId="0" borderId="11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3" fontId="4" fillId="0" borderId="24" xfId="0" applyNumberFormat="1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3" fontId="4" fillId="0" borderId="29" xfId="0" applyNumberFormat="1" applyFont="1" applyBorder="1" applyAlignment="1">
      <alignment vertical="center"/>
    </xf>
    <xf numFmtId="49" fontId="4" fillId="0" borderId="29" xfId="0" applyNumberFormat="1" applyFont="1" applyBorder="1" applyAlignment="1">
      <alignment horizontal="center"/>
    </xf>
    <xf numFmtId="3" fontId="4" fillId="0" borderId="29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  <xf numFmtId="49" fontId="4" fillId="0" borderId="16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/>
    </xf>
    <xf numFmtId="49" fontId="3" fillId="0" borderId="23" xfId="0" applyNumberFormat="1" applyFont="1" applyBorder="1" applyAlignment="1">
      <alignment horizontal="center"/>
    </xf>
    <xf numFmtId="3" fontId="4" fillId="0" borderId="23" xfId="0" applyNumberFormat="1" applyFont="1" applyFill="1" applyBorder="1" applyAlignment="1">
      <alignment/>
    </xf>
    <xf numFmtId="3" fontId="3" fillId="0" borderId="23" xfId="0" applyNumberFormat="1" applyFont="1" applyBorder="1" applyAlignment="1">
      <alignment/>
    </xf>
    <xf numFmtId="3" fontId="4" fillId="0" borderId="16" xfId="0" applyNumberFormat="1" applyFont="1" applyFill="1" applyBorder="1" applyAlignment="1">
      <alignment/>
    </xf>
    <xf numFmtId="3" fontId="3" fillId="0" borderId="16" xfId="0" applyNumberFormat="1" applyFont="1" applyBorder="1" applyAlignment="1">
      <alignment/>
    </xf>
    <xf numFmtId="49" fontId="3" fillId="0" borderId="29" xfId="0" applyNumberFormat="1" applyFont="1" applyBorder="1" applyAlignment="1">
      <alignment horizontal="center"/>
    </xf>
    <xf numFmtId="3" fontId="4" fillId="0" borderId="29" xfId="0" applyNumberFormat="1" applyFont="1" applyFill="1" applyBorder="1" applyAlignment="1">
      <alignment/>
    </xf>
    <xf numFmtId="3" fontId="3" fillId="0" borderId="29" xfId="0" applyNumberFormat="1" applyFont="1" applyBorder="1" applyAlignment="1">
      <alignment/>
    </xf>
    <xf numFmtId="3" fontId="3" fillId="0" borderId="25" xfId="0" applyNumberFormat="1" applyFont="1" applyBorder="1" applyAlignment="1">
      <alignment/>
    </xf>
    <xf numFmtId="3" fontId="4" fillId="0" borderId="30" xfId="0" applyNumberFormat="1" applyFont="1" applyFill="1" applyBorder="1" applyAlignment="1">
      <alignment/>
    </xf>
    <xf numFmtId="49" fontId="4" fillId="0" borderId="29" xfId="0" applyNumberFormat="1" applyFont="1" applyBorder="1" applyAlignment="1">
      <alignment vertical="center"/>
    </xf>
    <xf numFmtId="3" fontId="3" fillId="0" borderId="13" xfId="0" applyNumberFormat="1" applyFont="1" applyBorder="1" applyAlignment="1">
      <alignment horizontal="center" vertical="center"/>
    </xf>
    <xf numFmtId="3" fontId="3" fillId="0" borderId="29" xfId="0" applyNumberFormat="1" applyFont="1" applyBorder="1" applyAlignment="1">
      <alignment horizontal="center" vertical="center"/>
    </xf>
    <xf numFmtId="3" fontId="4" fillId="0" borderId="31" xfId="0" applyNumberFormat="1" applyFont="1" applyBorder="1" applyAlignment="1">
      <alignment vertical="center"/>
    </xf>
    <xf numFmtId="3" fontId="4" fillId="0" borderId="23" xfId="0" applyNumberFormat="1" applyFont="1" applyBorder="1" applyAlignment="1">
      <alignment vertical="center"/>
    </xf>
    <xf numFmtId="49" fontId="4" fillId="0" borderId="16" xfId="0" applyNumberFormat="1" applyFont="1" applyBorder="1" applyAlignment="1">
      <alignment vertical="center"/>
    </xf>
    <xf numFmtId="3" fontId="4" fillId="0" borderId="16" xfId="0" applyNumberFormat="1" applyFont="1" applyBorder="1" applyAlignment="1">
      <alignment vertical="center"/>
    </xf>
    <xf numFmtId="3" fontId="4" fillId="0" borderId="30" xfId="0" applyNumberFormat="1" applyFont="1" applyBorder="1" applyAlignment="1">
      <alignment vertical="center"/>
    </xf>
    <xf numFmtId="49" fontId="3" fillId="0" borderId="24" xfId="0" applyNumberFormat="1" applyFont="1" applyBorder="1" applyAlignment="1">
      <alignment horizontal="center" vertical="center"/>
    </xf>
    <xf numFmtId="3" fontId="3" fillId="0" borderId="17" xfId="0" applyNumberFormat="1" applyFont="1" applyBorder="1" applyAlignment="1">
      <alignment vertical="center"/>
    </xf>
    <xf numFmtId="3" fontId="3" fillId="0" borderId="17" xfId="0" applyNumberFormat="1" applyFont="1" applyBorder="1" applyAlignment="1">
      <alignment/>
    </xf>
    <xf numFmtId="3" fontId="0" fillId="0" borderId="0" xfId="0" applyNumberFormat="1" applyFill="1" applyAlignment="1">
      <alignment vertical="center"/>
    </xf>
    <xf numFmtId="0" fontId="3" fillId="0" borderId="2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3" fontId="3" fillId="0" borderId="23" xfId="0" applyNumberFormat="1" applyFont="1" applyFill="1" applyBorder="1" applyAlignment="1">
      <alignment vertical="center"/>
    </xf>
    <xf numFmtId="0" fontId="7" fillId="0" borderId="33" xfId="0" applyFont="1" applyBorder="1" applyAlignment="1">
      <alignment vertical="center"/>
    </xf>
    <xf numFmtId="0" fontId="7" fillId="0" borderId="34" xfId="0" applyFont="1" applyBorder="1" applyAlignment="1">
      <alignment vertical="center"/>
    </xf>
    <xf numFmtId="3" fontId="4" fillId="0" borderId="30" xfId="0" applyNumberFormat="1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3" fontId="4" fillId="0" borderId="18" xfId="0" applyNumberFormat="1" applyFont="1" applyBorder="1" applyAlignment="1">
      <alignment vertical="center"/>
    </xf>
    <xf numFmtId="3" fontId="3" fillId="0" borderId="21" xfId="0" applyNumberFormat="1" applyFont="1" applyFill="1" applyBorder="1" applyAlignment="1">
      <alignment vertical="center"/>
    </xf>
    <xf numFmtId="3" fontId="3" fillId="0" borderId="15" xfId="0" applyNumberFormat="1" applyFont="1" applyFill="1" applyBorder="1" applyAlignment="1">
      <alignment vertical="center"/>
    </xf>
    <xf numFmtId="3" fontId="3" fillId="0" borderId="18" xfId="0" applyNumberFormat="1" applyFont="1" applyFill="1" applyBorder="1" applyAlignment="1">
      <alignment vertical="center"/>
    </xf>
    <xf numFmtId="3" fontId="3" fillId="0" borderId="28" xfId="0" applyNumberFormat="1" applyFont="1" applyFill="1" applyBorder="1" applyAlignment="1">
      <alignment vertical="center"/>
    </xf>
    <xf numFmtId="3" fontId="3" fillId="0" borderId="33" xfId="0" applyNumberFormat="1" applyFont="1" applyFill="1" applyBorder="1" applyAlignment="1">
      <alignment vertical="center"/>
    </xf>
    <xf numFmtId="0" fontId="7" fillId="0" borderId="35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3" fontId="4" fillId="0" borderId="33" xfId="0" applyNumberFormat="1" applyFont="1" applyBorder="1" applyAlignment="1">
      <alignment/>
    </xf>
    <xf numFmtId="3" fontId="3" fillId="0" borderId="36" xfId="0" applyNumberFormat="1" applyFont="1" applyBorder="1" applyAlignment="1">
      <alignment/>
    </xf>
    <xf numFmtId="3" fontId="3" fillId="0" borderId="31" xfId="0" applyNumberFormat="1" applyFont="1" applyBorder="1" applyAlignment="1">
      <alignment vertical="center"/>
    </xf>
    <xf numFmtId="3" fontId="3" fillId="0" borderId="16" xfId="0" applyNumberFormat="1" applyFont="1" applyBorder="1" applyAlignment="1">
      <alignment vertical="center"/>
    </xf>
    <xf numFmtId="3" fontId="8" fillId="0" borderId="11" xfId="0" applyNumberFormat="1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3" fontId="3" fillId="0" borderId="12" xfId="0" applyNumberFormat="1" applyFont="1" applyFill="1" applyBorder="1" applyAlignment="1">
      <alignment vertical="center"/>
    </xf>
    <xf numFmtId="0" fontId="7" fillId="0" borderId="28" xfId="0" applyFont="1" applyBorder="1" applyAlignment="1">
      <alignment horizontal="center" vertical="center"/>
    </xf>
    <xf numFmtId="3" fontId="3" fillId="0" borderId="24" xfId="0" applyNumberFormat="1" applyFont="1" applyFill="1" applyBorder="1" applyAlignment="1">
      <alignment vertical="center"/>
    </xf>
    <xf numFmtId="0" fontId="7" fillId="0" borderId="37" xfId="0" applyFont="1" applyBorder="1" applyAlignment="1">
      <alignment horizontal="left" vertical="center" wrapText="1"/>
    </xf>
    <xf numFmtId="0" fontId="7" fillId="0" borderId="36" xfId="0" applyFont="1" applyBorder="1" applyAlignment="1">
      <alignment horizontal="center" vertical="center"/>
    </xf>
    <xf numFmtId="0" fontId="7" fillId="0" borderId="38" xfId="0" applyFont="1" applyBorder="1" applyAlignment="1">
      <alignment horizontal="left" vertical="center"/>
    </xf>
    <xf numFmtId="3" fontId="3" fillId="0" borderId="36" xfId="0" applyNumberFormat="1" applyFont="1" applyBorder="1" applyAlignment="1">
      <alignment vertical="center"/>
    </xf>
    <xf numFmtId="0" fontId="7" fillId="0" borderId="20" xfId="0" applyFont="1" applyBorder="1" applyAlignment="1">
      <alignment horizontal="left" vertical="center" wrapText="1"/>
    </xf>
    <xf numFmtId="3" fontId="7" fillId="0" borderId="14" xfId="0" applyNumberFormat="1" applyFont="1" applyFill="1" applyBorder="1" applyAlignment="1">
      <alignment vertical="center"/>
    </xf>
    <xf numFmtId="3" fontId="3" fillId="0" borderId="14" xfId="0" applyNumberFormat="1" applyFont="1" applyFill="1" applyBorder="1" applyAlignment="1">
      <alignment vertical="center"/>
    </xf>
    <xf numFmtId="3" fontId="3" fillId="0" borderId="31" xfId="0" applyNumberFormat="1" applyFont="1" applyFill="1" applyBorder="1" applyAlignment="1">
      <alignment vertical="center"/>
    </xf>
    <xf numFmtId="3" fontId="3" fillId="0" borderId="16" xfId="0" applyNumberFormat="1" applyFont="1" applyFill="1" applyBorder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3" fontId="3" fillId="0" borderId="30" xfId="0" applyNumberFormat="1" applyFont="1" applyBorder="1" applyAlignment="1">
      <alignment vertical="center"/>
    </xf>
    <xf numFmtId="16" fontId="4" fillId="0" borderId="28" xfId="0" applyNumberFormat="1" applyFont="1" applyBorder="1" applyAlignment="1">
      <alignment horizontal="left" vertical="center"/>
    </xf>
    <xf numFmtId="3" fontId="3" fillId="0" borderId="24" xfId="0" applyNumberFormat="1" applyFont="1" applyBorder="1" applyAlignment="1">
      <alignment vertical="center"/>
    </xf>
    <xf numFmtId="3" fontId="3" fillId="0" borderId="11" xfId="0" applyNumberFormat="1" applyFont="1" applyFill="1" applyBorder="1" applyAlignment="1">
      <alignment vertical="center"/>
    </xf>
    <xf numFmtId="3" fontId="4" fillId="0" borderId="36" xfId="0" applyNumberFormat="1" applyFont="1" applyBorder="1" applyAlignment="1">
      <alignment vertical="center"/>
    </xf>
    <xf numFmtId="0" fontId="4" fillId="0" borderId="19" xfId="0" applyFont="1" applyFill="1" applyBorder="1" applyAlignment="1">
      <alignment horizontal="left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3" fontId="4" fillId="0" borderId="25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" fillId="0" borderId="31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right" vertical="center" wrapText="1"/>
    </xf>
    <xf numFmtId="3" fontId="4" fillId="0" borderId="14" xfId="0" applyNumberFormat="1" applyFont="1" applyFill="1" applyBorder="1" applyAlignment="1">
      <alignment vertical="center" wrapText="1"/>
    </xf>
    <xf numFmtId="3" fontId="4" fillId="0" borderId="31" xfId="0" applyNumberFormat="1" applyFont="1" applyFill="1" applyBorder="1" applyAlignment="1">
      <alignment horizontal="center" vertical="center" wrapText="1"/>
    </xf>
    <xf numFmtId="3" fontId="4" fillId="0" borderId="23" xfId="0" applyNumberFormat="1" applyFont="1" applyFill="1" applyBorder="1" applyAlignment="1">
      <alignment horizontal="center" vertical="center" wrapText="1"/>
    </xf>
    <xf numFmtId="3" fontId="4" fillId="0" borderId="23" xfId="0" applyNumberFormat="1" applyFont="1" applyFill="1" applyBorder="1" applyAlignment="1">
      <alignment vertical="center"/>
    </xf>
    <xf numFmtId="0" fontId="3" fillId="0" borderId="30" xfId="0" applyFont="1" applyFill="1" applyBorder="1" applyAlignment="1">
      <alignment/>
    </xf>
    <xf numFmtId="0" fontId="4" fillId="0" borderId="32" xfId="0" applyFont="1" applyFill="1" applyBorder="1" applyAlignment="1">
      <alignment wrapText="1"/>
    </xf>
    <xf numFmtId="0" fontId="4" fillId="0" borderId="33" xfId="0" applyFont="1" applyFill="1" applyBorder="1" applyAlignment="1">
      <alignment horizontal="right" vertical="center" wrapText="1"/>
    </xf>
    <xf numFmtId="3" fontId="4" fillId="0" borderId="33" xfId="0" applyNumberFormat="1" applyFont="1" applyFill="1" applyBorder="1" applyAlignment="1">
      <alignment vertical="center" wrapText="1"/>
    </xf>
    <xf numFmtId="3" fontId="4" fillId="0" borderId="30" xfId="0" applyNumberFormat="1" applyFont="1" applyFill="1" applyBorder="1" applyAlignment="1">
      <alignment horizontal="center" vertical="center" wrapText="1"/>
    </xf>
    <xf numFmtId="3" fontId="4" fillId="0" borderId="30" xfId="0" applyNumberFormat="1" applyFont="1" applyFill="1" applyBorder="1" applyAlignment="1">
      <alignment vertical="center"/>
    </xf>
    <xf numFmtId="0" fontId="3" fillId="0" borderId="24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8" xfId="0" applyFont="1" applyFill="1" applyBorder="1" applyAlignment="1">
      <alignment horizontal="right" vertical="center" wrapText="1"/>
    </xf>
    <xf numFmtId="3" fontId="4" fillId="0" borderId="28" xfId="0" applyNumberFormat="1" applyFont="1" applyFill="1" applyBorder="1" applyAlignment="1">
      <alignment vertical="center" wrapText="1"/>
    </xf>
    <xf numFmtId="3" fontId="4" fillId="0" borderId="28" xfId="0" applyNumberFormat="1" applyFont="1" applyFill="1" applyBorder="1" applyAlignment="1">
      <alignment horizontal="center" vertical="center" wrapText="1"/>
    </xf>
    <xf numFmtId="3" fontId="4" fillId="0" borderId="28" xfId="0" applyNumberFormat="1" applyFont="1" applyFill="1" applyBorder="1" applyAlignment="1">
      <alignment vertical="center"/>
    </xf>
    <xf numFmtId="49" fontId="3" fillId="0" borderId="11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4" fillId="0" borderId="17" xfId="0" applyFont="1" applyFill="1" applyBorder="1" applyAlignment="1">
      <alignment horizontal="right" vertical="center" wrapText="1"/>
    </xf>
    <xf numFmtId="3" fontId="3" fillId="0" borderId="17" xfId="0" applyNumberFormat="1" applyFont="1" applyFill="1" applyBorder="1" applyAlignment="1">
      <alignment horizontal="right" vertical="center" wrapText="1"/>
    </xf>
    <xf numFmtId="3" fontId="3" fillId="0" borderId="11" xfId="0" applyNumberFormat="1" applyFont="1" applyFill="1" applyBorder="1" applyAlignment="1">
      <alignment horizontal="right" vertical="center" wrapText="1"/>
    </xf>
    <xf numFmtId="49" fontId="3" fillId="0" borderId="12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18" xfId="0" applyFont="1" applyFill="1" applyBorder="1" applyAlignment="1">
      <alignment horizontal="right" vertical="center" wrapText="1"/>
    </xf>
    <xf numFmtId="3" fontId="4" fillId="0" borderId="18" xfId="0" applyNumberFormat="1" applyFont="1" applyFill="1" applyBorder="1" applyAlignment="1">
      <alignment horizontal="right" vertical="center" wrapText="1"/>
    </xf>
    <xf numFmtId="3" fontId="4" fillId="0" borderId="18" xfId="0" applyNumberFormat="1" applyFont="1" applyFill="1" applyBorder="1" applyAlignment="1">
      <alignment vertical="center" wrapText="1"/>
    </xf>
    <xf numFmtId="3" fontId="4" fillId="0" borderId="12" xfId="0" applyNumberFormat="1" applyFont="1" applyFill="1" applyBorder="1" applyAlignment="1">
      <alignment horizontal="center" vertical="center" wrapText="1"/>
    </xf>
    <xf numFmtId="3" fontId="4" fillId="0" borderId="21" xfId="0" applyNumberFormat="1" applyFont="1" applyFill="1" applyBorder="1" applyAlignment="1">
      <alignment horizontal="right" vertical="center" wrapText="1"/>
    </xf>
    <xf numFmtId="3" fontId="4" fillId="0" borderId="23" xfId="0" applyNumberFormat="1" applyFont="1" applyFill="1" applyBorder="1" applyAlignment="1">
      <alignment horizontal="right" vertical="center" wrapText="1"/>
    </xf>
    <xf numFmtId="49" fontId="3" fillId="0" borderId="16" xfId="0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/>
    </xf>
    <xf numFmtId="0" fontId="4" fillId="0" borderId="15" xfId="0" applyFont="1" applyFill="1" applyBorder="1" applyAlignment="1">
      <alignment horizontal="right" vertical="center" wrapText="1"/>
    </xf>
    <xf numFmtId="3" fontId="4" fillId="0" borderId="15" xfId="0" applyNumberFormat="1" applyFont="1" applyFill="1" applyBorder="1" applyAlignment="1">
      <alignment horizontal="right" vertical="center" wrapText="1"/>
    </xf>
    <xf numFmtId="3" fontId="4" fillId="0" borderId="15" xfId="0" applyNumberFormat="1" applyFont="1" applyFill="1" applyBorder="1" applyAlignment="1">
      <alignment vertical="center" wrapText="1"/>
    </xf>
    <xf numFmtId="3" fontId="4" fillId="0" borderId="16" xfId="0" applyNumberFormat="1" applyFont="1" applyFill="1" applyBorder="1" applyAlignment="1">
      <alignment horizontal="center" vertical="center" wrapText="1"/>
    </xf>
    <xf numFmtId="3" fontId="4" fillId="0" borderId="16" xfId="0" applyNumberFormat="1" applyFont="1" applyFill="1" applyBorder="1" applyAlignment="1">
      <alignment horizontal="right" vertical="center" wrapText="1"/>
    </xf>
    <xf numFmtId="0" fontId="4" fillId="0" borderId="39" xfId="0" applyFont="1" applyFill="1" applyBorder="1" applyAlignment="1">
      <alignment/>
    </xf>
    <xf numFmtId="0" fontId="4" fillId="0" borderId="13" xfId="0" applyFont="1" applyFill="1" applyBorder="1" applyAlignment="1">
      <alignment horizontal="right" vertical="center" wrapText="1"/>
    </xf>
    <xf numFmtId="3" fontId="4" fillId="0" borderId="13" xfId="0" applyNumberFormat="1" applyFont="1" applyFill="1" applyBorder="1" applyAlignment="1">
      <alignment horizontal="right" vertical="center" wrapText="1"/>
    </xf>
    <xf numFmtId="3" fontId="4" fillId="0" borderId="13" xfId="0" applyNumberFormat="1" applyFont="1" applyFill="1" applyBorder="1" applyAlignment="1">
      <alignment vertical="center" wrapText="1"/>
    </xf>
    <xf numFmtId="3" fontId="4" fillId="0" borderId="29" xfId="0" applyNumberFormat="1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/>
    </xf>
    <xf numFmtId="0" fontId="4" fillId="0" borderId="16" xfId="0" applyFont="1" applyFill="1" applyBorder="1" applyAlignment="1">
      <alignment/>
    </xf>
    <xf numFmtId="3" fontId="4" fillId="0" borderId="29" xfId="0" applyNumberFormat="1" applyFont="1" applyFill="1" applyBorder="1" applyAlignment="1">
      <alignment vertical="center"/>
    </xf>
    <xf numFmtId="49" fontId="3" fillId="0" borderId="16" xfId="0" applyNumberFormat="1" applyFont="1" applyFill="1" applyBorder="1" applyAlignment="1">
      <alignment/>
    </xf>
    <xf numFmtId="0" fontId="4" fillId="0" borderId="19" xfId="0" applyFont="1" applyFill="1" applyBorder="1" applyAlignment="1">
      <alignment wrapText="1"/>
    </xf>
    <xf numFmtId="3" fontId="4" fillId="0" borderId="12" xfId="0" applyNumberFormat="1" applyFont="1" applyFill="1" applyBorder="1" applyAlignment="1">
      <alignment vertical="center"/>
    </xf>
    <xf numFmtId="49" fontId="3" fillId="0" borderId="30" xfId="0" applyNumberFormat="1" applyFont="1" applyFill="1" applyBorder="1" applyAlignment="1">
      <alignment/>
    </xf>
    <xf numFmtId="3" fontId="4" fillId="0" borderId="33" xfId="0" applyNumberFormat="1" applyFont="1" applyFill="1" applyBorder="1" applyAlignment="1">
      <alignment horizontal="right" vertical="center" wrapText="1"/>
    </xf>
    <xf numFmtId="3" fontId="4" fillId="0" borderId="33" xfId="0" applyNumberFormat="1" applyFont="1" applyFill="1" applyBorder="1" applyAlignment="1">
      <alignment horizontal="center" vertical="center" wrapText="1"/>
    </xf>
    <xf numFmtId="3" fontId="4" fillId="0" borderId="15" xfId="0" applyNumberFormat="1" applyFont="1" applyFill="1" applyBorder="1" applyAlignment="1">
      <alignment horizontal="center" vertical="center" wrapText="1"/>
    </xf>
    <xf numFmtId="3" fontId="4" fillId="0" borderId="16" xfId="0" applyNumberFormat="1" applyFont="1" applyFill="1" applyBorder="1" applyAlignment="1">
      <alignment horizontal="right" vertical="center" wrapText="1"/>
    </xf>
    <xf numFmtId="0" fontId="4" fillId="0" borderId="32" xfId="0" applyFont="1" applyFill="1" applyBorder="1" applyAlignment="1">
      <alignment/>
    </xf>
    <xf numFmtId="3" fontId="4" fillId="0" borderId="33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/>
    </xf>
    <xf numFmtId="49" fontId="3" fillId="0" borderId="25" xfId="0" applyNumberFormat="1" applyFont="1" applyFill="1" applyBorder="1" applyAlignment="1">
      <alignment horizontal="center"/>
    </xf>
    <xf numFmtId="0" fontId="8" fillId="0" borderId="38" xfId="0" applyFont="1" applyFill="1" applyBorder="1" applyAlignment="1">
      <alignment wrapText="1"/>
    </xf>
    <xf numFmtId="3" fontId="4" fillId="0" borderId="17" xfId="0" applyNumberFormat="1" applyFont="1" applyFill="1" applyBorder="1" applyAlignment="1">
      <alignment horizontal="right" vertical="center" wrapText="1"/>
    </xf>
    <xf numFmtId="3" fontId="4" fillId="0" borderId="17" xfId="0" applyNumberFormat="1" applyFont="1" applyFill="1" applyBorder="1" applyAlignment="1">
      <alignment vertical="center" wrapText="1"/>
    </xf>
    <xf numFmtId="3" fontId="3" fillId="0" borderId="14" xfId="0" applyNumberFormat="1" applyFont="1" applyFill="1" applyBorder="1" applyAlignment="1">
      <alignment horizontal="right" vertical="center" wrapText="1"/>
    </xf>
    <xf numFmtId="49" fontId="3" fillId="0" borderId="11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49" fontId="3" fillId="0" borderId="25" xfId="0" applyNumberFormat="1" applyFont="1" applyFill="1" applyBorder="1" applyAlignment="1">
      <alignment horizontal="center"/>
    </xf>
    <xf numFmtId="0" fontId="3" fillId="0" borderId="38" xfId="0" applyFont="1" applyFill="1" applyBorder="1" applyAlignment="1">
      <alignment/>
    </xf>
    <xf numFmtId="0" fontId="3" fillId="0" borderId="36" xfId="0" applyFont="1" applyFill="1" applyBorder="1" applyAlignment="1">
      <alignment horizontal="right" vertical="center" wrapText="1"/>
    </xf>
    <xf numFmtId="3" fontId="3" fillId="0" borderId="36" xfId="0" applyNumberFormat="1" applyFont="1" applyFill="1" applyBorder="1" applyAlignment="1">
      <alignment horizontal="right" vertical="center" wrapText="1"/>
    </xf>
    <xf numFmtId="3" fontId="3" fillId="0" borderId="36" xfId="0" applyNumberFormat="1" applyFont="1" applyFill="1" applyBorder="1" applyAlignment="1">
      <alignment horizontal="right" vertical="center" wrapText="1"/>
    </xf>
    <xf numFmtId="3" fontId="3" fillId="0" borderId="25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0" fontId="3" fillId="0" borderId="10" xfId="0" applyFont="1" applyFill="1" applyBorder="1" applyAlignment="1">
      <alignment vertical="top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3" fontId="3" fillId="0" borderId="17" xfId="0" applyNumberFormat="1" applyFont="1" applyFill="1" applyBorder="1" applyAlignment="1">
      <alignment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3" fontId="4" fillId="0" borderId="14" xfId="0" applyNumberFormat="1" applyFont="1" applyFill="1" applyBorder="1" applyAlignment="1">
      <alignment horizontal="right" vertical="center" wrapText="1"/>
    </xf>
    <xf numFmtId="3" fontId="4" fillId="0" borderId="11" xfId="0" applyNumberFormat="1" applyFont="1" applyFill="1" applyBorder="1" applyAlignment="1">
      <alignment vertical="center"/>
    </xf>
    <xf numFmtId="49" fontId="3" fillId="0" borderId="2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 wrapText="1"/>
    </xf>
    <xf numFmtId="3" fontId="4" fillId="0" borderId="16" xfId="0" applyNumberFormat="1" applyFont="1" applyFill="1" applyBorder="1" applyAlignment="1">
      <alignment vertical="center"/>
    </xf>
    <xf numFmtId="0" fontId="4" fillId="0" borderId="15" xfId="0" applyFont="1" applyFill="1" applyBorder="1" applyAlignment="1">
      <alignment vertical="center" wrapText="1"/>
    </xf>
    <xf numFmtId="3" fontId="4" fillId="0" borderId="15" xfId="0" applyNumberFormat="1" applyFont="1" applyFill="1" applyBorder="1" applyAlignment="1">
      <alignment horizontal="right" vertical="center"/>
    </xf>
    <xf numFmtId="3" fontId="4" fillId="0" borderId="15" xfId="0" applyNumberFormat="1" applyFont="1" applyFill="1" applyBorder="1" applyAlignment="1">
      <alignment vertical="center"/>
    </xf>
    <xf numFmtId="12" fontId="3" fillId="0" borderId="18" xfId="0" applyNumberFormat="1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vertical="center" wrapText="1"/>
    </xf>
    <xf numFmtId="3" fontId="4" fillId="0" borderId="13" xfId="0" applyNumberFormat="1" applyFont="1" applyFill="1" applyBorder="1" applyAlignment="1">
      <alignment horizontal="right" vertical="center"/>
    </xf>
    <xf numFmtId="49" fontId="3" fillId="0" borderId="16" xfId="0" applyNumberFormat="1" applyFont="1" applyFill="1" applyBorder="1" applyAlignment="1">
      <alignment horizontal="center" vertical="center" wrapText="1"/>
    </xf>
    <xf numFmtId="12" fontId="3" fillId="0" borderId="15" xfId="0" applyNumberFormat="1" applyFont="1" applyFill="1" applyBorder="1" applyAlignment="1">
      <alignment horizontal="center" vertical="center" wrapText="1"/>
    </xf>
    <xf numFmtId="49" fontId="3" fillId="0" borderId="25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vertical="center" wrapText="1"/>
    </xf>
    <xf numFmtId="3" fontId="4" fillId="0" borderId="18" xfId="0" applyNumberFormat="1" applyFont="1" applyFill="1" applyBorder="1" applyAlignment="1">
      <alignment horizontal="right" vertical="center"/>
    </xf>
    <xf numFmtId="49" fontId="3" fillId="0" borderId="17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3" fontId="3" fillId="0" borderId="11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vertical="center"/>
    </xf>
    <xf numFmtId="3" fontId="4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3" fillId="0" borderId="0" xfId="0" applyFont="1" applyAlignment="1">
      <alignment horizontal="right" vertical="center" wrapText="1"/>
    </xf>
    <xf numFmtId="3" fontId="3" fillId="0" borderId="0" xfId="0" applyNumberFormat="1" applyFont="1" applyAlignment="1">
      <alignment horizontal="center" vertical="center" wrapText="1"/>
    </xf>
    <xf numFmtId="3" fontId="4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3" fontId="3" fillId="0" borderId="18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3" fillId="0" borderId="0" xfId="0" applyFont="1" applyAlignment="1">
      <alignment horizontal="right" vertical="center" wrapText="1"/>
    </xf>
    <xf numFmtId="3" fontId="3" fillId="0" borderId="0" xfId="0" applyNumberFormat="1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3" fontId="4" fillId="0" borderId="25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/>
    </xf>
    <xf numFmtId="0" fontId="4" fillId="0" borderId="29" xfId="0" applyFont="1" applyFill="1" applyBorder="1" applyAlignment="1">
      <alignment horizontal="center"/>
    </xf>
    <xf numFmtId="3" fontId="4" fillId="0" borderId="29" xfId="0" applyNumberFormat="1" applyFont="1" applyFill="1" applyBorder="1" applyAlignment="1">
      <alignment/>
    </xf>
    <xf numFmtId="3" fontId="4" fillId="0" borderId="13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6" xfId="0" applyFont="1" applyFill="1" applyBorder="1" applyAlignment="1">
      <alignment horizontal="center"/>
    </xf>
    <xf numFmtId="3" fontId="4" fillId="0" borderId="16" xfId="0" applyNumberFormat="1" applyFont="1" applyFill="1" applyBorder="1" applyAlignment="1">
      <alignment/>
    </xf>
    <xf numFmtId="0" fontId="4" fillId="0" borderId="30" xfId="0" applyFont="1" applyFill="1" applyBorder="1" applyAlignment="1">
      <alignment horizontal="center"/>
    </xf>
    <xf numFmtId="3" fontId="4" fillId="0" borderId="30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3" fontId="3" fillId="0" borderId="11" xfId="0" applyNumberFormat="1" applyFont="1" applyFill="1" applyBorder="1" applyAlignment="1">
      <alignment/>
    </xf>
    <xf numFmtId="3" fontId="3" fillId="0" borderId="17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vertical="center"/>
    </xf>
    <xf numFmtId="3" fontId="4" fillId="0" borderId="23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left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3" fontId="4" fillId="0" borderId="16" xfId="0" applyNumberFormat="1" applyFont="1" applyBorder="1" applyAlignment="1">
      <alignment horizontal="right" vertical="center" wrapText="1"/>
    </xf>
    <xf numFmtId="3" fontId="4" fillId="0" borderId="16" xfId="0" applyNumberFormat="1" applyFont="1" applyBorder="1" applyAlignment="1">
      <alignment horizontal="center" vertical="center" wrapText="1"/>
    </xf>
    <xf numFmtId="3" fontId="4" fillId="0" borderId="16" xfId="0" applyNumberFormat="1" applyFont="1" applyBorder="1" applyAlignment="1">
      <alignment horizontal="right" vertical="center"/>
    </xf>
    <xf numFmtId="0" fontId="4" fillId="0" borderId="3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3" fontId="4" fillId="0" borderId="12" xfId="0" applyNumberFormat="1" applyFont="1" applyBorder="1" applyAlignment="1">
      <alignment horizontal="right" vertical="center" wrapText="1"/>
    </xf>
    <xf numFmtId="3" fontId="4" fillId="0" borderId="12" xfId="0" applyNumberFormat="1" applyFont="1" applyFill="1" applyBorder="1" applyAlignment="1">
      <alignment horizontal="right" vertical="center" wrapText="1"/>
    </xf>
    <xf numFmtId="3" fontId="4" fillId="0" borderId="12" xfId="0" applyNumberFormat="1" applyFont="1" applyBorder="1" applyAlignment="1">
      <alignment vertical="center"/>
    </xf>
    <xf numFmtId="0" fontId="4" fillId="0" borderId="30" xfId="0" applyFont="1" applyBorder="1" applyAlignment="1">
      <alignment horizontal="left" vertical="center" wrapText="1"/>
    </xf>
    <xf numFmtId="3" fontId="4" fillId="0" borderId="30" xfId="0" applyNumberFormat="1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left" vertical="center" wrapText="1"/>
    </xf>
    <xf numFmtId="3" fontId="4" fillId="0" borderId="29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vertical="center" wrapText="1"/>
    </xf>
    <xf numFmtId="3" fontId="4" fillId="0" borderId="16" xfId="0" applyNumberFormat="1" applyFont="1" applyFill="1" applyBorder="1" applyAlignment="1">
      <alignment vertical="center"/>
    </xf>
    <xf numFmtId="0" fontId="4" fillId="0" borderId="15" xfId="0" applyFont="1" applyBorder="1" applyAlignment="1">
      <alignment horizontal="left" vertical="center" wrapText="1"/>
    </xf>
    <xf numFmtId="3" fontId="4" fillId="0" borderId="15" xfId="0" applyNumberFormat="1" applyFont="1" applyBorder="1" applyAlignment="1">
      <alignment vertical="center"/>
    </xf>
    <xf numFmtId="49" fontId="4" fillId="0" borderId="33" xfId="0" applyNumberFormat="1" applyFont="1" applyBorder="1" applyAlignment="1">
      <alignment horizontal="center" vertical="center"/>
    </xf>
    <xf numFmtId="0" fontId="4" fillId="0" borderId="33" xfId="0" applyFont="1" applyBorder="1" applyAlignment="1">
      <alignment horizontal="left" vertical="center" wrapText="1"/>
    </xf>
    <xf numFmtId="3" fontId="4" fillId="0" borderId="33" xfId="0" applyNumberFormat="1" applyFont="1" applyBorder="1" applyAlignment="1">
      <alignment vertical="center"/>
    </xf>
    <xf numFmtId="49" fontId="4" fillId="0" borderId="36" xfId="0" applyNumberFormat="1" applyFont="1" applyBorder="1" applyAlignment="1">
      <alignment horizontal="center" vertical="center"/>
    </xf>
    <xf numFmtId="0" fontId="4" fillId="0" borderId="36" xfId="0" applyFont="1" applyBorder="1" applyAlignment="1">
      <alignment horizontal="left" vertical="center" wrapText="1"/>
    </xf>
    <xf numFmtId="3" fontId="4" fillId="0" borderId="25" xfId="0" applyNumberFormat="1" applyFont="1" applyBorder="1" applyAlignment="1">
      <alignment vertical="center"/>
    </xf>
    <xf numFmtId="49" fontId="3" fillId="0" borderId="17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vertical="top" wrapText="1"/>
    </xf>
    <xf numFmtId="0" fontId="3" fillId="0" borderId="0" xfId="0" applyFont="1" applyAlignment="1">
      <alignment/>
    </xf>
    <xf numFmtId="49" fontId="4" fillId="0" borderId="30" xfId="0" applyNumberFormat="1" applyFont="1" applyBorder="1" applyAlignment="1">
      <alignment vertical="center"/>
    </xf>
    <xf numFmtId="49" fontId="3" fillId="0" borderId="30" xfId="0" applyNumberFormat="1" applyFont="1" applyBorder="1" applyAlignment="1">
      <alignment horizontal="center" vertical="center"/>
    </xf>
    <xf numFmtId="3" fontId="3" fillId="0" borderId="25" xfId="0" applyNumberFormat="1" applyFont="1" applyBorder="1" applyAlignment="1">
      <alignment vertical="center"/>
    </xf>
    <xf numFmtId="49" fontId="3" fillId="0" borderId="11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7" xfId="0" applyFont="1" applyBorder="1" applyAlignment="1">
      <alignment horizontal="center"/>
    </xf>
    <xf numFmtId="3" fontId="4" fillId="0" borderId="15" xfId="0" applyNumberFormat="1" applyFont="1" applyBorder="1" applyAlignment="1">
      <alignment horizontal="right" vertical="center"/>
    </xf>
    <xf numFmtId="49" fontId="4" fillId="0" borderId="31" xfId="0" applyNumberFormat="1" applyFont="1" applyFill="1" applyBorder="1" applyAlignment="1">
      <alignment horizontal="center"/>
    </xf>
    <xf numFmtId="0" fontId="4" fillId="0" borderId="20" xfId="0" applyFont="1" applyFill="1" applyBorder="1" applyAlignment="1">
      <alignment/>
    </xf>
    <xf numFmtId="0" fontId="4" fillId="0" borderId="14" xfId="0" applyFont="1" applyFill="1" applyBorder="1" applyAlignment="1">
      <alignment horizontal="right" vertical="center" wrapText="1"/>
    </xf>
    <xf numFmtId="3" fontId="4" fillId="0" borderId="14" xfId="0" applyNumberFormat="1" applyFont="1" applyFill="1" applyBorder="1" applyAlignment="1">
      <alignment horizontal="right" vertical="center" wrapText="1"/>
    </xf>
    <xf numFmtId="3" fontId="4" fillId="0" borderId="31" xfId="0" applyNumberFormat="1" applyFont="1" applyFill="1" applyBorder="1" applyAlignment="1">
      <alignment horizontal="right" vertical="center" wrapText="1"/>
    </xf>
    <xf numFmtId="3" fontId="0" fillId="0" borderId="0" xfId="0" applyNumberFormat="1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wrapText="1"/>
    </xf>
    <xf numFmtId="0" fontId="4" fillId="0" borderId="16" xfId="0" applyFont="1" applyFill="1" applyBorder="1" applyAlignment="1">
      <alignment/>
    </xf>
    <xf numFmtId="3" fontId="3" fillId="0" borderId="15" xfId="0" applyNumberFormat="1" applyFont="1" applyBorder="1" applyAlignment="1">
      <alignment vertical="center"/>
    </xf>
    <xf numFmtId="3" fontId="3" fillId="0" borderId="33" xfId="0" applyNumberFormat="1" applyFont="1" applyBorder="1" applyAlignment="1">
      <alignment vertical="center"/>
    </xf>
    <xf numFmtId="3" fontId="4" fillId="0" borderId="21" xfId="0" applyNumberFormat="1" applyFont="1" applyBorder="1" applyAlignment="1">
      <alignment vertical="center"/>
    </xf>
    <xf numFmtId="0" fontId="0" fillId="0" borderId="12" xfId="0" applyBorder="1" applyAlignment="1">
      <alignment vertical="center"/>
    </xf>
    <xf numFmtId="3" fontId="4" fillId="0" borderId="15" xfId="0" applyNumberFormat="1" applyFont="1" applyFill="1" applyBorder="1" applyAlignment="1">
      <alignment horizontal="right" vertical="center" wrapText="1"/>
    </xf>
    <xf numFmtId="3" fontId="4" fillId="0" borderId="18" xfId="0" applyNumberFormat="1" applyFont="1" applyFill="1" applyBorder="1" applyAlignment="1">
      <alignment horizontal="center" vertical="center" wrapText="1"/>
    </xf>
    <xf numFmtId="3" fontId="4" fillId="0" borderId="21" xfId="0" applyNumberFormat="1" applyFont="1" applyFill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vertical="center"/>
    </xf>
    <xf numFmtId="3" fontId="4" fillId="0" borderId="18" xfId="0" applyNumberFormat="1" applyFont="1" applyFill="1" applyBorder="1" applyAlignment="1">
      <alignment vertical="center"/>
    </xf>
    <xf numFmtId="3" fontId="4" fillId="0" borderId="18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3" fontId="4" fillId="0" borderId="18" xfId="0" applyNumberFormat="1" applyFont="1" applyFill="1" applyBorder="1" applyAlignment="1">
      <alignment/>
    </xf>
    <xf numFmtId="0" fontId="4" fillId="0" borderId="11" xfId="0" applyFont="1" applyBorder="1" applyAlignment="1">
      <alignment horizontal="center"/>
    </xf>
    <xf numFmtId="3" fontId="0" fillId="0" borderId="11" xfId="0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3" fontId="3" fillId="0" borderId="22" xfId="0" applyNumberFormat="1" applyFont="1" applyBorder="1" applyAlignment="1">
      <alignment vertical="center"/>
    </xf>
    <xf numFmtId="0" fontId="4" fillId="0" borderId="15" xfId="0" applyFont="1" applyFill="1" applyBorder="1" applyAlignment="1">
      <alignment horizontal="left"/>
    </xf>
    <xf numFmtId="0" fontId="4" fillId="0" borderId="19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horizontal="right" vertical="center" wrapText="1"/>
    </xf>
    <xf numFmtId="3" fontId="3" fillId="0" borderId="18" xfId="0" applyNumberFormat="1" applyFont="1" applyFill="1" applyBorder="1" applyAlignment="1">
      <alignment horizontal="right" vertical="center" wrapText="1"/>
    </xf>
    <xf numFmtId="3" fontId="3" fillId="0" borderId="18" xfId="0" applyNumberFormat="1" applyFont="1" applyFill="1" applyBorder="1" applyAlignment="1">
      <alignment horizontal="right" vertical="center" wrapText="1"/>
    </xf>
    <xf numFmtId="3" fontId="3" fillId="0" borderId="12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/>
    </xf>
    <xf numFmtId="3" fontId="4" fillId="0" borderId="18" xfId="0" applyNumberFormat="1" applyFont="1" applyFill="1" applyBorder="1" applyAlignment="1">
      <alignment horizontal="right" vertical="center" wrapText="1"/>
    </xf>
    <xf numFmtId="3" fontId="4" fillId="0" borderId="16" xfId="0" applyNumberFormat="1" applyFont="1" applyFill="1" applyBorder="1" applyAlignment="1">
      <alignment horizontal="right" vertical="center"/>
    </xf>
    <xf numFmtId="16" fontId="4" fillId="0" borderId="33" xfId="0" applyNumberFormat="1" applyFont="1" applyBorder="1" applyAlignment="1">
      <alignment horizontal="left" vertical="center"/>
    </xf>
    <xf numFmtId="0" fontId="4" fillId="0" borderId="32" xfId="0" applyFont="1" applyBorder="1" applyAlignment="1">
      <alignment/>
    </xf>
    <xf numFmtId="3" fontId="3" fillId="0" borderId="30" xfId="0" applyNumberFormat="1" applyFont="1" applyBorder="1" applyAlignment="1">
      <alignment vertical="center"/>
    </xf>
    <xf numFmtId="3" fontId="3" fillId="0" borderId="28" xfId="0" applyNumberFormat="1" applyFont="1" applyBorder="1" applyAlignment="1">
      <alignment vertical="center"/>
    </xf>
    <xf numFmtId="3" fontId="3" fillId="0" borderId="24" xfId="0" applyNumberFormat="1" applyFont="1" applyBorder="1" applyAlignment="1">
      <alignment vertical="center"/>
    </xf>
    <xf numFmtId="3" fontId="4" fillId="0" borderId="24" xfId="0" applyNumberFormat="1" applyFont="1" applyFill="1" applyBorder="1" applyAlignment="1">
      <alignment vertical="center"/>
    </xf>
    <xf numFmtId="49" fontId="3" fillId="0" borderId="11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7" xfId="0" applyFont="1" applyFill="1" applyBorder="1" applyAlignment="1">
      <alignment horizontal="right" vertical="center" wrapText="1"/>
    </xf>
    <xf numFmtId="3" fontId="3" fillId="0" borderId="17" xfId="0" applyNumberFormat="1" applyFont="1" applyFill="1" applyBorder="1" applyAlignment="1">
      <alignment horizontal="right" vertical="center" wrapText="1"/>
    </xf>
    <xf numFmtId="3" fontId="4" fillId="0" borderId="25" xfId="0" applyNumberFormat="1" applyFont="1" applyFill="1" applyBorder="1" applyAlignment="1">
      <alignment/>
    </xf>
    <xf numFmtId="3" fontId="4" fillId="0" borderId="0" xfId="0" applyNumberFormat="1" applyFont="1" applyBorder="1" applyAlignment="1">
      <alignment vertical="center"/>
    </xf>
    <xf numFmtId="3" fontId="7" fillId="0" borderId="26" xfId="0" applyNumberFormat="1" applyFont="1" applyBorder="1" applyAlignment="1">
      <alignment vertical="center"/>
    </xf>
    <xf numFmtId="3" fontId="7" fillId="0" borderId="34" xfId="0" applyNumberFormat="1" applyFont="1" applyBorder="1" applyAlignment="1">
      <alignment vertical="center"/>
    </xf>
    <xf numFmtId="3" fontId="7" fillId="0" borderId="27" xfId="0" applyNumberFormat="1" applyFont="1" applyBorder="1" applyAlignment="1">
      <alignment vertical="center"/>
    </xf>
    <xf numFmtId="3" fontId="4" fillId="0" borderId="29" xfId="0" applyNumberFormat="1" applyFont="1" applyBorder="1" applyAlignment="1">
      <alignment/>
    </xf>
    <xf numFmtId="0" fontId="4" fillId="0" borderId="16" xfId="0" applyFont="1" applyBorder="1" applyAlignment="1">
      <alignment vertical="center"/>
    </xf>
    <xf numFmtId="3" fontId="4" fillId="0" borderId="33" xfId="0" applyNumberFormat="1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vertical="center"/>
    </xf>
    <xf numFmtId="3" fontId="7" fillId="0" borderId="21" xfId="0" applyNumberFormat="1" applyFont="1" applyFill="1" applyBorder="1" applyAlignment="1">
      <alignment vertical="center"/>
    </xf>
    <xf numFmtId="3" fontId="7" fillId="0" borderId="24" xfId="0" applyNumberFormat="1" applyFont="1" applyFill="1" applyBorder="1" applyAlignment="1">
      <alignment vertical="center"/>
    </xf>
    <xf numFmtId="3" fontId="3" fillId="0" borderId="17" xfId="0" applyNumberFormat="1" applyFont="1" applyFill="1" applyBorder="1" applyAlignment="1">
      <alignment vertical="center"/>
    </xf>
    <xf numFmtId="3" fontId="7" fillId="0" borderId="18" xfId="0" applyNumberFormat="1" applyFont="1" applyFill="1" applyBorder="1" applyAlignment="1">
      <alignment vertical="center"/>
    </xf>
    <xf numFmtId="3" fontId="7" fillId="0" borderId="28" xfId="0" applyNumberFormat="1" applyFont="1" applyFill="1" applyBorder="1" applyAlignment="1">
      <alignment vertical="center"/>
    </xf>
    <xf numFmtId="3" fontId="4" fillId="0" borderId="36" xfId="0" applyNumberFormat="1" applyFont="1" applyFill="1" applyBorder="1" applyAlignment="1">
      <alignment vertical="center"/>
    </xf>
    <xf numFmtId="3" fontId="7" fillId="0" borderId="15" xfId="0" applyNumberFormat="1" applyFont="1" applyFill="1" applyBorder="1" applyAlignment="1">
      <alignment vertical="center"/>
    </xf>
    <xf numFmtId="3" fontId="3" fillId="0" borderId="36" xfId="0" applyNumberFormat="1" applyFont="1" applyFill="1" applyBorder="1" applyAlignment="1">
      <alignment vertical="center"/>
    </xf>
    <xf numFmtId="3" fontId="7" fillId="0" borderId="33" xfId="0" applyNumberFormat="1" applyFont="1" applyFill="1" applyBorder="1" applyAlignment="1">
      <alignment vertical="center"/>
    </xf>
    <xf numFmtId="3" fontId="4" fillId="0" borderId="21" xfId="0" applyNumberFormat="1" applyFont="1" applyFill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right" vertical="center"/>
    </xf>
    <xf numFmtId="0" fontId="4" fillId="0" borderId="38" xfId="0" applyFont="1" applyBorder="1" applyAlignment="1">
      <alignment horizontal="right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3" fontId="3" fillId="0" borderId="21" xfId="0" applyNumberFormat="1" applyFont="1" applyBorder="1" applyAlignment="1">
      <alignment horizontal="center" vertical="center" wrapText="1"/>
    </xf>
    <xf numFmtId="3" fontId="3" fillId="0" borderId="35" xfId="0" applyNumberFormat="1" applyFont="1" applyBorder="1" applyAlignment="1">
      <alignment horizontal="center" vertical="center" wrapText="1"/>
    </xf>
    <xf numFmtId="3" fontId="3" fillId="0" borderId="26" xfId="0" applyNumberFormat="1" applyFont="1" applyBorder="1" applyAlignment="1">
      <alignment horizontal="center" vertical="center" wrapText="1"/>
    </xf>
    <xf numFmtId="3" fontId="3" fillId="0" borderId="36" xfId="0" applyNumberFormat="1" applyFont="1" applyBorder="1" applyAlignment="1">
      <alignment horizontal="center" vertical="center" wrapText="1"/>
    </xf>
    <xf numFmtId="3" fontId="3" fillId="0" borderId="38" xfId="0" applyNumberFormat="1" applyFont="1" applyBorder="1" applyAlignment="1">
      <alignment horizontal="center" vertical="center" wrapText="1"/>
    </xf>
    <xf numFmtId="3" fontId="3" fillId="0" borderId="40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 vertical="center"/>
    </xf>
    <xf numFmtId="3" fontId="0" fillId="0" borderId="0" xfId="0" applyNumberFormat="1" applyFill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right" vertical="center" wrapText="1"/>
    </xf>
    <xf numFmtId="3" fontId="3" fillId="0" borderId="21" xfId="0" applyNumberFormat="1" applyFont="1" applyFill="1" applyBorder="1" applyAlignment="1">
      <alignment horizontal="center" vertical="center" wrapText="1"/>
    </xf>
    <xf numFmtId="3" fontId="3" fillId="0" borderId="35" xfId="0" applyNumberFormat="1" applyFont="1" applyFill="1" applyBorder="1" applyAlignment="1">
      <alignment horizontal="center" vertical="center" wrapText="1"/>
    </xf>
    <xf numFmtId="3" fontId="3" fillId="0" borderId="26" xfId="0" applyNumberFormat="1" applyFont="1" applyFill="1" applyBorder="1" applyAlignment="1">
      <alignment horizontal="center" vertical="center" wrapText="1"/>
    </xf>
    <xf numFmtId="3" fontId="3" fillId="0" borderId="36" xfId="0" applyNumberFormat="1" applyFont="1" applyFill="1" applyBorder="1" applyAlignment="1">
      <alignment horizontal="center" vertical="center" wrapText="1"/>
    </xf>
    <xf numFmtId="3" fontId="3" fillId="0" borderId="38" xfId="0" applyNumberFormat="1" applyFont="1" applyFill="1" applyBorder="1" applyAlignment="1">
      <alignment horizontal="center" vertical="center" wrapText="1"/>
    </xf>
    <xf numFmtId="3" fontId="3" fillId="0" borderId="40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left" wrapText="1"/>
    </xf>
    <xf numFmtId="0" fontId="3" fillId="0" borderId="22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42" xfId="0" applyFont="1" applyBorder="1" applyAlignment="1">
      <alignment horizontal="left" wrapText="1"/>
    </xf>
    <xf numFmtId="0" fontId="4" fillId="0" borderId="29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30" xfId="0" applyFont="1" applyBorder="1" applyAlignment="1">
      <alignment horizontal="left" wrapText="1"/>
    </xf>
    <xf numFmtId="0" fontId="4" fillId="0" borderId="33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4" fillId="0" borderId="32" xfId="0" applyFont="1" applyBorder="1" applyAlignment="1">
      <alignment horizontal="left" wrapText="1"/>
    </xf>
    <xf numFmtId="0" fontId="4" fillId="0" borderId="21" xfId="0" applyFont="1" applyBorder="1" applyAlignment="1">
      <alignment horizontal="left" wrapText="1"/>
    </xf>
    <xf numFmtId="0" fontId="4" fillId="0" borderId="26" xfId="0" applyFont="1" applyBorder="1" applyAlignment="1">
      <alignment horizontal="left" wrapText="1"/>
    </xf>
    <xf numFmtId="0" fontId="4" fillId="0" borderId="34" xfId="0" applyFont="1" applyBorder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38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15" xfId="0" applyFont="1" applyFill="1" applyBorder="1" applyAlignment="1">
      <alignment horizontal="left"/>
    </xf>
    <xf numFmtId="0" fontId="4" fillId="0" borderId="19" xfId="0" applyFont="1" applyFill="1" applyBorder="1" applyAlignment="1">
      <alignment horizontal="left"/>
    </xf>
    <xf numFmtId="0" fontId="4" fillId="0" borderId="43" xfId="0" applyFont="1" applyFill="1" applyBorder="1" applyAlignment="1">
      <alignment horizontal="left"/>
    </xf>
    <xf numFmtId="0" fontId="4" fillId="0" borderId="44" xfId="0" applyFont="1" applyFill="1" applyBorder="1" applyAlignment="1">
      <alignment horizontal="left"/>
    </xf>
    <xf numFmtId="0" fontId="3" fillId="0" borderId="21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3" fontId="3" fillId="0" borderId="21" xfId="0" applyNumberFormat="1" applyFont="1" applyBorder="1" applyAlignment="1">
      <alignment horizontal="center" vertical="center" wrapText="1"/>
    </xf>
    <xf numFmtId="3" fontId="3" fillId="0" borderId="35" xfId="0" applyNumberFormat="1" applyFont="1" applyBorder="1" applyAlignment="1">
      <alignment horizontal="center" vertical="center" wrapText="1"/>
    </xf>
    <xf numFmtId="3" fontId="3" fillId="0" borderId="26" xfId="0" applyNumberFormat="1" applyFont="1" applyBorder="1" applyAlignment="1">
      <alignment horizontal="center" vertical="center" wrapText="1"/>
    </xf>
    <xf numFmtId="3" fontId="3" fillId="0" borderId="36" xfId="0" applyNumberFormat="1" applyFont="1" applyBorder="1" applyAlignment="1">
      <alignment horizontal="center" vertical="center" wrapText="1"/>
    </xf>
    <xf numFmtId="3" fontId="3" fillId="0" borderId="38" xfId="0" applyNumberFormat="1" applyFont="1" applyBorder="1" applyAlignment="1">
      <alignment horizontal="center" vertical="center" wrapText="1"/>
    </xf>
    <xf numFmtId="3" fontId="3" fillId="0" borderId="40" xfId="0" applyNumberFormat="1" applyFont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left"/>
    </xf>
    <xf numFmtId="0" fontId="4" fillId="0" borderId="46" xfId="0" applyFont="1" applyFill="1" applyBorder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4" fillId="0" borderId="38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right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4" fillId="0" borderId="42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3" fontId="4" fillId="0" borderId="30" xfId="0" applyNumberFormat="1" applyFont="1" applyBorder="1" applyAlignment="1">
      <alignment horizontal="right" vertical="center"/>
    </xf>
    <xf numFmtId="3" fontId="4" fillId="0" borderId="25" xfId="0" applyNumberFormat="1" applyFont="1" applyBorder="1" applyAlignment="1">
      <alignment horizontal="right" vertical="center"/>
    </xf>
    <xf numFmtId="3" fontId="4" fillId="0" borderId="29" xfId="0" applyNumberFormat="1" applyFont="1" applyBorder="1" applyAlignment="1">
      <alignment horizontal="right" vertical="center"/>
    </xf>
    <xf numFmtId="3" fontId="4" fillId="0" borderId="12" xfId="0" applyNumberFormat="1" applyFont="1" applyBorder="1" applyAlignment="1">
      <alignment horizontal="right" vertical="center"/>
    </xf>
    <xf numFmtId="3" fontId="4" fillId="0" borderId="30" xfId="0" applyNumberFormat="1" applyFont="1" applyBorder="1" applyAlignment="1">
      <alignment horizontal="right" vertical="center" wrapText="1"/>
    </xf>
    <xf numFmtId="3" fontId="4" fillId="0" borderId="25" xfId="0" applyNumberFormat="1" applyFont="1" applyBorder="1" applyAlignment="1">
      <alignment horizontal="right" vertical="center" wrapText="1"/>
    </xf>
    <xf numFmtId="3" fontId="4" fillId="0" borderId="30" xfId="0" applyNumberFormat="1" applyFont="1" applyFill="1" applyBorder="1" applyAlignment="1">
      <alignment horizontal="right" vertical="center" wrapText="1"/>
    </xf>
    <xf numFmtId="3" fontId="4" fillId="0" borderId="29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right" vertical="center"/>
    </xf>
    <xf numFmtId="0" fontId="4" fillId="0" borderId="38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3" fontId="4" fillId="0" borderId="30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3" fontId="4" fillId="0" borderId="29" xfId="0" applyNumberFormat="1" applyFont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right" vertical="center" wrapText="1"/>
    </xf>
    <xf numFmtId="3" fontId="4" fillId="0" borderId="29" xfId="0" applyNumberFormat="1" applyFont="1" applyBorder="1" applyAlignment="1">
      <alignment horizontal="right" vertical="center" wrapText="1"/>
    </xf>
    <xf numFmtId="3" fontId="4" fillId="0" borderId="12" xfId="0" applyNumberFormat="1" applyFont="1" applyBorder="1" applyAlignment="1">
      <alignment horizontal="right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/>
    </xf>
    <xf numFmtId="0" fontId="4" fillId="0" borderId="42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47" xfId="0" applyFont="1" applyBorder="1" applyAlignment="1">
      <alignment horizontal="left" vertical="center"/>
    </xf>
    <xf numFmtId="0" fontId="4" fillId="0" borderId="38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3" fillId="0" borderId="17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wrapText="1"/>
    </xf>
    <xf numFmtId="0" fontId="4" fillId="0" borderId="22" xfId="0" applyFont="1" applyBorder="1" applyAlignment="1">
      <alignment horizontal="left" wrapText="1"/>
    </xf>
    <xf numFmtId="0" fontId="4" fillId="0" borderId="0" xfId="0" applyFont="1" applyAlignment="1">
      <alignment horizontal="right"/>
    </xf>
    <xf numFmtId="0" fontId="3" fillId="0" borderId="38" xfId="0" applyFont="1" applyBorder="1" applyAlignment="1">
      <alignment horizontal="right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90"/>
  <sheetViews>
    <sheetView zoomScalePageLayoutView="0" workbookViewId="0" topLeftCell="A1">
      <selection activeCell="C16" sqref="C16"/>
    </sheetView>
  </sheetViews>
  <sheetFormatPr defaultColWidth="9.00390625" defaultRowHeight="12.75"/>
  <cols>
    <col min="1" max="1" width="3.25390625" style="6" customWidth="1"/>
    <col min="2" max="2" width="3.125" style="6" customWidth="1"/>
    <col min="3" max="3" width="48.75390625" style="6" customWidth="1"/>
    <col min="4" max="6" width="9.75390625" style="6" customWidth="1"/>
    <col min="7" max="9" width="9.75390625" style="7" customWidth="1"/>
    <col min="10" max="12" width="9.75390625" style="6" customWidth="1"/>
    <col min="13" max="13" width="9.75390625" style="19" customWidth="1"/>
    <col min="14" max="14" width="9.75390625" style="2" customWidth="1"/>
    <col min="15" max="15" width="9.875" style="2" customWidth="1"/>
    <col min="16" max="16384" width="9.125" style="2" customWidth="1"/>
  </cols>
  <sheetData>
    <row r="2" spans="7:15" ht="18" customHeight="1">
      <c r="G2" s="404" t="s">
        <v>39</v>
      </c>
      <c r="H2" s="404"/>
      <c r="I2" s="404"/>
      <c r="J2" s="404"/>
      <c r="K2" s="404"/>
      <c r="L2" s="404"/>
      <c r="M2" s="404"/>
      <c r="N2" s="404"/>
      <c r="O2" s="404"/>
    </row>
    <row r="3" spans="1:15" s="1" customFormat="1" ht="15.75">
      <c r="A3" s="403" t="s">
        <v>169</v>
      </c>
      <c r="B3" s="403"/>
      <c r="C3" s="403"/>
      <c r="D3" s="403"/>
      <c r="E3" s="403"/>
      <c r="F3" s="403"/>
      <c r="G3" s="403"/>
      <c r="H3" s="403"/>
      <c r="I3" s="403"/>
      <c r="J3" s="403"/>
      <c r="K3" s="403"/>
      <c r="L3" s="403"/>
      <c r="M3" s="403"/>
      <c r="N3" s="403"/>
      <c r="O3" s="403"/>
    </row>
    <row r="4" spans="1:13" s="1" customFormat="1" ht="15.75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</row>
    <row r="5" spans="2:15" ht="13.5" customHeight="1" thickBot="1">
      <c r="B5" s="3"/>
      <c r="J5" s="405" t="s">
        <v>0</v>
      </c>
      <c r="K5" s="405"/>
      <c r="L5" s="405"/>
      <c r="M5" s="405"/>
      <c r="N5" s="405"/>
      <c r="O5" s="405"/>
    </row>
    <row r="6" spans="1:15" s="5" customFormat="1" ht="27.75" customHeight="1">
      <c r="A6" s="406" t="s">
        <v>1</v>
      </c>
      <c r="B6" s="407"/>
      <c r="C6" s="408"/>
      <c r="D6" s="418" t="s">
        <v>18</v>
      </c>
      <c r="E6" s="419"/>
      <c r="F6" s="420"/>
      <c r="G6" s="418" t="s">
        <v>122</v>
      </c>
      <c r="H6" s="419"/>
      <c r="I6" s="420"/>
      <c r="J6" s="418" t="s">
        <v>123</v>
      </c>
      <c r="K6" s="419"/>
      <c r="L6" s="420"/>
      <c r="M6" s="397" t="s">
        <v>19</v>
      </c>
      <c r="N6" s="398"/>
      <c r="O6" s="399"/>
    </row>
    <row r="7" spans="1:15" s="5" customFormat="1" ht="25.5" customHeight="1" thickBot="1">
      <c r="A7" s="409"/>
      <c r="B7" s="410"/>
      <c r="C7" s="411"/>
      <c r="D7" s="421"/>
      <c r="E7" s="422"/>
      <c r="F7" s="423"/>
      <c r="G7" s="421"/>
      <c r="H7" s="422"/>
      <c r="I7" s="423"/>
      <c r="J7" s="421"/>
      <c r="K7" s="422"/>
      <c r="L7" s="423"/>
      <c r="M7" s="400"/>
      <c r="N7" s="401"/>
      <c r="O7" s="402"/>
    </row>
    <row r="8" spans="1:15" s="5" customFormat="1" ht="26.25" customHeight="1" thickBot="1">
      <c r="A8" s="412"/>
      <c r="B8" s="413"/>
      <c r="C8" s="414"/>
      <c r="D8" s="99" t="s">
        <v>166</v>
      </c>
      <c r="E8" s="84" t="s">
        <v>167</v>
      </c>
      <c r="F8" s="84" t="s">
        <v>168</v>
      </c>
      <c r="G8" s="99" t="s">
        <v>166</v>
      </c>
      <c r="H8" s="84" t="s">
        <v>167</v>
      </c>
      <c r="I8" s="84" t="s">
        <v>168</v>
      </c>
      <c r="J8" s="99" t="s">
        <v>166</v>
      </c>
      <c r="K8" s="84" t="s">
        <v>167</v>
      </c>
      <c r="L8" s="84" t="s">
        <v>168</v>
      </c>
      <c r="M8" s="99" t="s">
        <v>166</v>
      </c>
      <c r="N8" s="84" t="s">
        <v>167</v>
      </c>
      <c r="O8" s="84" t="s">
        <v>168</v>
      </c>
    </row>
    <row r="9" spans="1:15" ht="13.5" thickBot="1">
      <c r="A9" s="415">
        <v>1</v>
      </c>
      <c r="B9" s="416"/>
      <c r="C9" s="417"/>
      <c r="D9" s="265">
        <v>2</v>
      </c>
      <c r="E9" s="265">
        <v>3</v>
      </c>
      <c r="F9" s="265">
        <v>4</v>
      </c>
      <c r="G9" s="265">
        <v>5</v>
      </c>
      <c r="H9" s="265">
        <v>6</v>
      </c>
      <c r="I9" s="265">
        <v>7</v>
      </c>
      <c r="J9" s="265">
        <v>8</v>
      </c>
      <c r="K9" s="266">
        <v>9</v>
      </c>
      <c r="L9" s="266">
        <v>10</v>
      </c>
      <c r="M9" s="266">
        <v>11</v>
      </c>
      <c r="N9" s="267">
        <v>12</v>
      </c>
      <c r="O9" s="352">
        <v>13</v>
      </c>
    </row>
    <row r="10" spans="1:15" ht="13.5" customHeight="1">
      <c r="A10" s="18"/>
      <c r="B10" s="12"/>
      <c r="C10" s="22" t="s">
        <v>27</v>
      </c>
      <c r="D10" s="347">
        <f>SUM(5A!E13)</f>
        <v>1559900</v>
      </c>
      <c r="E10" s="347">
        <f>SUM(5A!F13)</f>
        <v>1561711</v>
      </c>
      <c r="F10" s="347">
        <f>SUM(5A!G13)</f>
        <v>1561711</v>
      </c>
      <c r="G10" s="11"/>
      <c r="H10" s="11"/>
      <c r="I10" s="11"/>
      <c r="J10" s="11"/>
      <c r="K10" s="92"/>
      <c r="L10" s="92"/>
      <c r="M10" s="93">
        <f aca="true" t="shared" si="0" ref="M10:O15">SUM(D10,G10,J10)</f>
        <v>1559900</v>
      </c>
      <c r="N10" s="104">
        <f t="shared" si="0"/>
        <v>1561711</v>
      </c>
      <c r="O10" s="104">
        <f t="shared" si="0"/>
        <v>1561711</v>
      </c>
    </row>
    <row r="11" spans="1:15" ht="13.5" customHeight="1">
      <c r="A11" s="18"/>
      <c r="B11" s="13"/>
      <c r="C11" s="21" t="s">
        <v>48</v>
      </c>
      <c r="D11" s="347">
        <f>SUM(5A!E19)</f>
        <v>286980</v>
      </c>
      <c r="E11" s="347">
        <f>SUM(5A!F19)</f>
        <v>300560</v>
      </c>
      <c r="F11" s="347">
        <f>SUM(5A!G19)</f>
        <v>300560</v>
      </c>
      <c r="G11" s="28"/>
      <c r="H11" s="28"/>
      <c r="I11" s="28"/>
      <c r="J11" s="14"/>
      <c r="K11" s="14"/>
      <c r="L11" s="340"/>
      <c r="M11" s="94">
        <f t="shared" si="0"/>
        <v>286980</v>
      </c>
      <c r="N11" s="105">
        <f t="shared" si="0"/>
        <v>300560</v>
      </c>
      <c r="O11" s="105">
        <f t="shared" si="0"/>
        <v>300560</v>
      </c>
    </row>
    <row r="12" spans="1:15" ht="13.5" customHeight="1">
      <c r="A12" s="18"/>
      <c r="B12" s="13"/>
      <c r="C12" s="21" t="s">
        <v>114</v>
      </c>
      <c r="D12" s="347">
        <f>SUM(5A!E34)</f>
        <v>227841</v>
      </c>
      <c r="E12" s="347">
        <f>SUM(5A!F34)</f>
        <v>289639</v>
      </c>
      <c r="F12" s="347">
        <f>SUM(5A!G34)</f>
        <v>289639</v>
      </c>
      <c r="G12" s="28"/>
      <c r="H12" s="28"/>
      <c r="I12" s="28"/>
      <c r="J12" s="14"/>
      <c r="K12" s="14"/>
      <c r="L12" s="340"/>
      <c r="M12" s="94">
        <f t="shared" si="0"/>
        <v>227841</v>
      </c>
      <c r="N12" s="105">
        <f t="shared" si="0"/>
        <v>289639</v>
      </c>
      <c r="O12" s="105">
        <f t="shared" si="0"/>
        <v>289639</v>
      </c>
    </row>
    <row r="13" spans="1:15" ht="13.5" customHeight="1">
      <c r="A13" s="18"/>
      <c r="B13" s="13"/>
      <c r="C13" s="85" t="s">
        <v>49</v>
      </c>
      <c r="D13" s="347">
        <f>SUM(5A!E35)</f>
        <v>10466</v>
      </c>
      <c r="E13" s="347">
        <f>SUM(5A!F35)</f>
        <v>10466</v>
      </c>
      <c r="F13" s="347">
        <f>SUM(5A!G35)</f>
        <v>10466</v>
      </c>
      <c r="G13" s="28"/>
      <c r="H13" s="28"/>
      <c r="I13" s="28"/>
      <c r="J13" s="14"/>
      <c r="K13" s="14"/>
      <c r="L13" s="340"/>
      <c r="M13" s="94">
        <f t="shared" si="0"/>
        <v>10466</v>
      </c>
      <c r="N13" s="105">
        <f t="shared" si="0"/>
        <v>10466</v>
      </c>
      <c r="O13" s="105">
        <f t="shared" si="0"/>
        <v>10466</v>
      </c>
    </row>
    <row r="14" spans="1:15" ht="13.5" customHeight="1">
      <c r="A14" s="18"/>
      <c r="B14" s="368"/>
      <c r="C14" s="369" t="s">
        <v>136</v>
      </c>
      <c r="D14" s="385">
        <f>SUM(5A!E38)</f>
        <v>0</v>
      </c>
      <c r="E14" s="385">
        <f>SUM(5A!F38)</f>
        <v>15004</v>
      </c>
      <c r="F14" s="385">
        <f>SUM(5A!G38)</f>
        <v>15004</v>
      </c>
      <c r="G14" s="90"/>
      <c r="H14" s="90"/>
      <c r="I14" s="90"/>
      <c r="J14" s="370"/>
      <c r="K14" s="370"/>
      <c r="L14" s="341"/>
      <c r="M14" s="97">
        <f t="shared" si="0"/>
        <v>0</v>
      </c>
      <c r="N14" s="121">
        <f t="shared" si="0"/>
        <v>15004</v>
      </c>
      <c r="O14" s="105">
        <f t="shared" si="0"/>
        <v>15004</v>
      </c>
    </row>
    <row r="15" spans="1:15" ht="13.5" customHeight="1" thickBot="1">
      <c r="A15" s="18"/>
      <c r="B15" s="122"/>
      <c r="C15" s="365" t="s">
        <v>171</v>
      </c>
      <c r="D15" s="154">
        <f>SUM(5A!E39)</f>
        <v>0</v>
      </c>
      <c r="E15" s="154">
        <f>SUM(5A!F39)</f>
        <v>0</v>
      </c>
      <c r="F15" s="154">
        <f>SUM(5A!G39)</f>
        <v>7388</v>
      </c>
      <c r="G15" s="43"/>
      <c r="H15" s="43"/>
      <c r="I15" s="43"/>
      <c r="J15" s="123"/>
      <c r="K15" s="123"/>
      <c r="L15" s="371"/>
      <c r="M15" s="96"/>
      <c r="N15" s="372"/>
      <c r="O15" s="372">
        <f t="shared" si="0"/>
        <v>7388</v>
      </c>
    </row>
    <row r="16" spans="1:17" ht="13.5" customHeight="1" thickBot="1">
      <c r="A16" s="18"/>
      <c r="B16" s="31" t="s">
        <v>2</v>
      </c>
      <c r="C16" s="32" t="s">
        <v>90</v>
      </c>
      <c r="D16" s="386">
        <f>SUM(D10:D14)</f>
        <v>2085187</v>
      </c>
      <c r="E16" s="386">
        <f>SUM(E10:E14)</f>
        <v>2177380</v>
      </c>
      <c r="F16" s="386">
        <f>SUM(F10:F15)</f>
        <v>2184768</v>
      </c>
      <c r="G16" s="39">
        <v>0</v>
      </c>
      <c r="H16" s="39">
        <f>SUM(H10:H14)</f>
        <v>0</v>
      </c>
      <c r="I16" s="39"/>
      <c r="J16" s="39">
        <v>0</v>
      </c>
      <c r="K16" s="39">
        <f>SUM(K10:K14)</f>
        <v>0</v>
      </c>
      <c r="L16" s="39"/>
      <c r="M16" s="106">
        <f>SUM(M10:M14)</f>
        <v>2085187</v>
      </c>
      <c r="N16" s="106">
        <f>SUM(N10:N14)</f>
        <v>2177380</v>
      </c>
      <c r="O16" s="106">
        <f>SUM(O10:O15)</f>
        <v>2184768</v>
      </c>
      <c r="P16" s="4"/>
      <c r="Q16" s="4"/>
    </row>
    <row r="17" spans="1:15" ht="13.5" customHeight="1">
      <c r="A17" s="18"/>
      <c r="B17" s="34" t="s">
        <v>3</v>
      </c>
      <c r="C17" s="98" t="s">
        <v>51</v>
      </c>
      <c r="D17" s="387"/>
      <c r="E17" s="387"/>
      <c r="F17" s="387"/>
      <c r="G17" s="29"/>
      <c r="H17" s="29"/>
      <c r="I17" s="29"/>
      <c r="J17" s="29"/>
      <c r="K17" s="29"/>
      <c r="L17" s="29"/>
      <c r="M17" s="93">
        <f>SUM(D17:J17)</f>
        <v>0</v>
      </c>
      <c r="N17" s="107"/>
      <c r="O17" s="343"/>
    </row>
    <row r="18" spans="1:15" ht="13.5" thickBot="1">
      <c r="A18" s="18"/>
      <c r="B18" s="109" t="s">
        <v>4</v>
      </c>
      <c r="C18" s="111" t="s">
        <v>91</v>
      </c>
      <c r="D18" s="388">
        <f>SUM(5A!E54)</f>
        <v>600000</v>
      </c>
      <c r="E18" s="388">
        <f>SUM(5A!F54)</f>
        <v>999107</v>
      </c>
      <c r="F18" s="388">
        <v>999106</v>
      </c>
      <c r="G18" s="388">
        <f>SUM(5A!H55)</f>
        <v>902400</v>
      </c>
      <c r="H18" s="388">
        <f>SUM(5A!I55)</f>
        <v>927529</v>
      </c>
      <c r="I18" s="388">
        <f>SUM(5A!J55)</f>
        <v>926753</v>
      </c>
      <c r="J18" s="388">
        <f>SUM(5A!K55)</f>
        <v>4083</v>
      </c>
      <c r="K18" s="388">
        <f>SUM(5A!L55)</f>
        <v>9201</v>
      </c>
      <c r="L18" s="388">
        <f>SUM(5A!M55)</f>
        <v>9201</v>
      </c>
      <c r="M18" s="96">
        <f>SUM(D18,G18,J18)</f>
        <v>1506483</v>
      </c>
      <c r="N18" s="110">
        <f>SUM(E18,H18,K18)</f>
        <v>1935837</v>
      </c>
      <c r="O18" s="110">
        <f>SUM(F18,I18,L18)</f>
        <v>1935060</v>
      </c>
    </row>
    <row r="19" spans="1:15" ht="13.5" thickBot="1">
      <c r="A19" s="18"/>
      <c r="B19" s="16" t="s">
        <v>5</v>
      </c>
      <c r="C19" s="120" t="s">
        <v>92</v>
      </c>
      <c r="D19" s="389">
        <f aca="true" t="shared" si="1" ref="D19:O19">SUM(D16:D18)</f>
        <v>2685187</v>
      </c>
      <c r="E19" s="389">
        <f t="shared" si="1"/>
        <v>3176487</v>
      </c>
      <c r="F19" s="389">
        <f t="shared" si="1"/>
        <v>3183874</v>
      </c>
      <c r="G19" s="389">
        <f>SUM(G18)</f>
        <v>902400</v>
      </c>
      <c r="H19" s="389">
        <f t="shared" si="1"/>
        <v>927529</v>
      </c>
      <c r="I19" s="389">
        <f t="shared" si="1"/>
        <v>926753</v>
      </c>
      <c r="J19" s="389">
        <f>SUM(J18)</f>
        <v>4083</v>
      </c>
      <c r="K19" s="389">
        <f t="shared" si="1"/>
        <v>9201</v>
      </c>
      <c r="L19" s="389">
        <f t="shared" si="1"/>
        <v>9201</v>
      </c>
      <c r="M19" s="389">
        <f t="shared" si="1"/>
        <v>3591670</v>
      </c>
      <c r="N19" s="124">
        <f t="shared" si="1"/>
        <v>4113217</v>
      </c>
      <c r="O19" s="124">
        <f t="shared" si="1"/>
        <v>4119828</v>
      </c>
    </row>
    <row r="20" spans="1:15" ht="12.75">
      <c r="A20" s="18"/>
      <c r="B20" s="34" t="s">
        <v>2</v>
      </c>
      <c r="C20" s="36" t="s">
        <v>10</v>
      </c>
      <c r="D20" s="390">
        <f>SUM(5B!D14)</f>
        <v>5394837</v>
      </c>
      <c r="E20" s="390">
        <f>SUM(5B!E14)</f>
        <v>6224837</v>
      </c>
      <c r="F20" s="390">
        <f>SUM(5B!F14)</f>
        <v>6337661</v>
      </c>
      <c r="G20" s="390"/>
      <c r="H20" s="390"/>
      <c r="I20" s="390"/>
      <c r="J20" s="390"/>
      <c r="K20" s="390"/>
      <c r="L20" s="390"/>
      <c r="M20" s="95">
        <f aca="true" t="shared" si="2" ref="M20:O21">SUM(D20,G20,J20)</f>
        <v>5394837</v>
      </c>
      <c r="N20" s="108">
        <f t="shared" si="2"/>
        <v>6224837</v>
      </c>
      <c r="O20" s="108">
        <f t="shared" si="2"/>
        <v>6337661</v>
      </c>
    </row>
    <row r="21" spans="1:15" ht="13.5" thickBot="1">
      <c r="A21" s="18"/>
      <c r="B21" s="109" t="s">
        <v>3</v>
      </c>
      <c r="C21" s="111" t="s">
        <v>93</v>
      </c>
      <c r="D21" s="391">
        <f>SUM(5B!D21)</f>
        <v>155491</v>
      </c>
      <c r="E21" s="391">
        <f>SUM(5B!E21)</f>
        <v>202806</v>
      </c>
      <c r="F21" s="391">
        <f>SUM(5B!F21)</f>
        <v>202198</v>
      </c>
      <c r="G21" s="391"/>
      <c r="H21" s="391"/>
      <c r="I21" s="391">
        <f>SUM(5B!I20)</f>
        <v>6104</v>
      </c>
      <c r="J21" s="391"/>
      <c r="K21" s="391"/>
      <c r="L21" s="391"/>
      <c r="M21" s="96">
        <f t="shared" si="2"/>
        <v>155491</v>
      </c>
      <c r="N21" s="110">
        <f t="shared" si="2"/>
        <v>202806</v>
      </c>
      <c r="O21" s="110">
        <f t="shared" si="2"/>
        <v>208302</v>
      </c>
    </row>
    <row r="22" spans="1:15" ht="13.5" customHeight="1" thickBot="1">
      <c r="A22" s="18"/>
      <c r="B22" s="16" t="s">
        <v>6</v>
      </c>
      <c r="C22" s="30" t="s">
        <v>43</v>
      </c>
      <c r="D22" s="389">
        <f>SUM(D20:D21)</f>
        <v>5550328</v>
      </c>
      <c r="E22" s="389">
        <f>SUM(E20:E21)</f>
        <v>6427643</v>
      </c>
      <c r="F22" s="389">
        <f>SUM(F20:F21)</f>
        <v>6539859</v>
      </c>
      <c r="G22" s="389">
        <v>0</v>
      </c>
      <c r="H22" s="389">
        <f>SUM(H20:H21)</f>
        <v>0</v>
      </c>
      <c r="I22" s="389">
        <f>SUM(I20:I21)</f>
        <v>6104</v>
      </c>
      <c r="J22" s="389">
        <v>0</v>
      </c>
      <c r="K22" s="389">
        <f>SUM(K20:K21)</f>
        <v>0</v>
      </c>
      <c r="L22" s="389">
        <f>SUM(L20:L21)</f>
        <v>0</v>
      </c>
      <c r="M22" s="389">
        <f>SUM(M20:M21)</f>
        <v>5550328</v>
      </c>
      <c r="N22" s="124">
        <f>SUM(N20:N21)</f>
        <v>6427643</v>
      </c>
      <c r="O22" s="124">
        <f>SUM(O20:O21)</f>
        <v>6545963</v>
      </c>
    </row>
    <row r="23" spans="1:15" ht="13.5" customHeight="1" thickBot="1">
      <c r="A23" s="18"/>
      <c r="B23" s="16" t="s">
        <v>37</v>
      </c>
      <c r="C23" s="24" t="s">
        <v>94</v>
      </c>
      <c r="D23" s="389">
        <f>SUM(5C!D22)</f>
        <v>5221892</v>
      </c>
      <c r="E23" s="389">
        <f>SUM(5C!E22)</f>
        <v>5288507</v>
      </c>
      <c r="F23" s="389">
        <f>SUM(5C!F22)</f>
        <v>5435166</v>
      </c>
      <c r="G23" s="389">
        <f>SUM(5C!G22)</f>
        <v>825191</v>
      </c>
      <c r="H23" s="389">
        <f>SUM(5C!H22)</f>
        <v>831318</v>
      </c>
      <c r="I23" s="389">
        <f>SUM(5C!I22)</f>
        <v>690935</v>
      </c>
      <c r="J23" s="389">
        <v>93370</v>
      </c>
      <c r="K23" s="389">
        <f>SUM(5C!K22)</f>
        <v>93370</v>
      </c>
      <c r="L23" s="389">
        <f>SUM(5C!L22)</f>
        <v>102410</v>
      </c>
      <c r="M23" s="93">
        <f aca="true" t="shared" si="3" ref="M23:O25">SUM(D23,G23,J23)</f>
        <v>6140453</v>
      </c>
      <c r="N23" s="87">
        <f t="shared" si="3"/>
        <v>6213195</v>
      </c>
      <c r="O23" s="87">
        <f t="shared" si="3"/>
        <v>6228511</v>
      </c>
    </row>
    <row r="24" spans="1:15" ht="26.25" customHeight="1">
      <c r="A24" s="18"/>
      <c r="B24" s="33" t="s">
        <v>2</v>
      </c>
      <c r="C24" s="115" t="s">
        <v>95</v>
      </c>
      <c r="D24" s="116">
        <v>360</v>
      </c>
      <c r="E24" s="116">
        <v>360</v>
      </c>
      <c r="F24" s="116"/>
      <c r="G24" s="116"/>
      <c r="H24" s="116"/>
      <c r="I24" s="116"/>
      <c r="J24" s="116"/>
      <c r="K24" s="116"/>
      <c r="L24" s="116"/>
      <c r="M24" s="117">
        <f t="shared" si="3"/>
        <v>360</v>
      </c>
      <c r="N24" s="118">
        <f t="shared" si="3"/>
        <v>360</v>
      </c>
      <c r="O24" s="118">
        <f t="shared" si="3"/>
        <v>0</v>
      </c>
    </row>
    <row r="25" spans="1:15" ht="13.5" customHeight="1" thickBot="1">
      <c r="A25" s="18"/>
      <c r="B25" s="112" t="s">
        <v>3</v>
      </c>
      <c r="C25" s="113" t="s">
        <v>96</v>
      </c>
      <c r="D25" s="392"/>
      <c r="E25" s="392">
        <v>1000</v>
      </c>
      <c r="F25" s="392">
        <v>1000</v>
      </c>
      <c r="G25" s="394"/>
      <c r="H25" s="394"/>
      <c r="I25" s="394"/>
      <c r="J25" s="394"/>
      <c r="K25" s="95"/>
      <c r="L25" s="95"/>
      <c r="M25" s="95">
        <f t="shared" si="3"/>
        <v>0</v>
      </c>
      <c r="N25" s="108">
        <f t="shared" si="3"/>
        <v>1000</v>
      </c>
      <c r="O25" s="108">
        <f t="shared" si="3"/>
        <v>1000</v>
      </c>
    </row>
    <row r="26" spans="1:15" ht="13.5" customHeight="1" thickBot="1">
      <c r="A26" s="18"/>
      <c r="B26" s="16" t="s">
        <v>38</v>
      </c>
      <c r="C26" s="24" t="s">
        <v>97</v>
      </c>
      <c r="D26" s="389">
        <f>SUM(D24:D25)</f>
        <v>360</v>
      </c>
      <c r="E26" s="389">
        <f>SUM(E24:E25)</f>
        <v>1360</v>
      </c>
      <c r="F26" s="389">
        <f>SUM(F24:F25)</f>
        <v>1000</v>
      </c>
      <c r="G26" s="389">
        <v>0</v>
      </c>
      <c r="H26" s="389">
        <f>SUM(H24:H25)</f>
        <v>0</v>
      </c>
      <c r="I26" s="389"/>
      <c r="J26" s="389">
        <v>0</v>
      </c>
      <c r="K26" s="389">
        <f>SUM(K24:K25)</f>
        <v>0</v>
      </c>
      <c r="L26" s="389"/>
      <c r="M26" s="389">
        <f>SUM(M24:M25)</f>
        <v>360</v>
      </c>
      <c r="N26" s="124">
        <f>SUM(N24:N25)</f>
        <v>1360</v>
      </c>
      <c r="O26" s="124">
        <f>SUM(O24:O25)</f>
        <v>1000</v>
      </c>
    </row>
    <row r="27" spans="1:15" s="1" customFormat="1" ht="13.5" customHeight="1" thickBot="1">
      <c r="A27" s="45" t="s">
        <v>5</v>
      </c>
      <c r="B27" s="424" t="s">
        <v>98</v>
      </c>
      <c r="C27" s="425"/>
      <c r="D27" s="389">
        <f aca="true" t="shared" si="4" ref="D27:O27">SUM(D19,D22,D23,D26)</f>
        <v>13457767</v>
      </c>
      <c r="E27" s="389">
        <f t="shared" si="4"/>
        <v>14893997</v>
      </c>
      <c r="F27" s="389">
        <f t="shared" si="4"/>
        <v>15159899</v>
      </c>
      <c r="G27" s="389">
        <f t="shared" si="4"/>
        <v>1727591</v>
      </c>
      <c r="H27" s="389">
        <f t="shared" si="4"/>
        <v>1758847</v>
      </c>
      <c r="I27" s="389">
        <f t="shared" si="4"/>
        <v>1623792</v>
      </c>
      <c r="J27" s="389">
        <f t="shared" si="4"/>
        <v>97453</v>
      </c>
      <c r="K27" s="389">
        <f t="shared" si="4"/>
        <v>102571</v>
      </c>
      <c r="L27" s="389">
        <f t="shared" si="4"/>
        <v>111611</v>
      </c>
      <c r="M27" s="389">
        <f t="shared" si="4"/>
        <v>15282811</v>
      </c>
      <c r="N27" s="124">
        <f t="shared" si="4"/>
        <v>16755415</v>
      </c>
      <c r="O27" s="124">
        <f t="shared" si="4"/>
        <v>16895302</v>
      </c>
    </row>
    <row r="28" spans="1:15" s="1" customFormat="1" ht="13.5" customHeight="1" thickBot="1">
      <c r="A28" s="26"/>
      <c r="B28" s="16" t="s">
        <v>50</v>
      </c>
      <c r="C28" s="20" t="s">
        <v>45</v>
      </c>
      <c r="D28" s="389">
        <f>SUM(5D!C23)</f>
        <v>0</v>
      </c>
      <c r="E28" s="389">
        <f>SUM(5D!D23)</f>
        <v>1612033</v>
      </c>
      <c r="F28" s="389">
        <f>SUM(5D!E23)</f>
        <v>1612034</v>
      </c>
      <c r="G28" s="389"/>
      <c r="H28" s="389"/>
      <c r="I28" s="389"/>
      <c r="J28" s="389"/>
      <c r="K28" s="93"/>
      <c r="L28" s="93"/>
      <c r="M28" s="93">
        <f aca="true" t="shared" si="5" ref="M28:O31">SUM(D28,G28,J28)</f>
        <v>0</v>
      </c>
      <c r="N28" s="87">
        <f t="shared" si="5"/>
        <v>1612033</v>
      </c>
      <c r="O28" s="87">
        <f t="shared" si="5"/>
        <v>1612034</v>
      </c>
    </row>
    <row r="29" spans="1:15" s="1" customFormat="1" ht="13.5" customHeight="1" thickBot="1">
      <c r="A29" s="26"/>
      <c r="B29" s="16" t="s">
        <v>99</v>
      </c>
      <c r="C29" s="20" t="s">
        <v>22</v>
      </c>
      <c r="D29" s="389">
        <f>SUM(5E!D18)</f>
        <v>560381</v>
      </c>
      <c r="E29" s="389">
        <f>SUM(5E!E18)</f>
        <v>925425</v>
      </c>
      <c r="F29" s="389">
        <f>SUM(5E!F18)</f>
        <v>925425</v>
      </c>
      <c r="G29" s="389"/>
      <c r="H29" s="389">
        <f>SUM(5E!H16)</f>
        <v>724</v>
      </c>
      <c r="I29" s="389">
        <f>SUM(5E!I16)</f>
        <v>738</v>
      </c>
      <c r="J29" s="389">
        <f>SUM(5E!J16)</f>
        <v>0</v>
      </c>
      <c r="K29" s="389">
        <f>SUM(5E!K16)</f>
        <v>0</v>
      </c>
      <c r="L29" s="389">
        <f>SUM(5E!L16)</f>
        <v>0</v>
      </c>
      <c r="M29" s="93">
        <f t="shared" si="5"/>
        <v>560381</v>
      </c>
      <c r="N29" s="87">
        <f t="shared" si="5"/>
        <v>926149</v>
      </c>
      <c r="O29" s="87">
        <f t="shared" si="5"/>
        <v>926163</v>
      </c>
    </row>
    <row r="30" spans="1:15" ht="24" customHeight="1">
      <c r="A30" s="10"/>
      <c r="B30" s="35" t="s">
        <v>2</v>
      </c>
      <c r="C30" s="36" t="s">
        <v>100</v>
      </c>
      <c r="D30" s="390">
        <f>SUM(5F!D15)</f>
        <v>23262</v>
      </c>
      <c r="E30" s="390">
        <f>SUM(5F!E15)</f>
        <v>29050</v>
      </c>
      <c r="F30" s="390">
        <f>SUM(5F!F15)</f>
        <v>29050</v>
      </c>
      <c r="G30" s="390"/>
      <c r="H30" s="390"/>
      <c r="I30" s="390"/>
      <c r="J30" s="390"/>
      <c r="K30" s="390"/>
      <c r="L30" s="390"/>
      <c r="M30" s="93">
        <f t="shared" si="5"/>
        <v>23262</v>
      </c>
      <c r="N30" s="87">
        <f t="shared" si="5"/>
        <v>29050</v>
      </c>
      <c r="O30" s="87">
        <f t="shared" si="5"/>
        <v>29050</v>
      </c>
    </row>
    <row r="31" spans="1:15" ht="13.5" customHeight="1" thickBot="1">
      <c r="A31" s="10"/>
      <c r="B31" s="37" t="s">
        <v>3</v>
      </c>
      <c r="C31" s="38" t="s">
        <v>101</v>
      </c>
      <c r="D31" s="393"/>
      <c r="E31" s="393">
        <v>6000</v>
      </c>
      <c r="F31" s="393">
        <f>SUM(5F!F16)</f>
        <v>6000</v>
      </c>
      <c r="G31" s="393"/>
      <c r="H31" s="393"/>
      <c r="I31" s="393"/>
      <c r="J31" s="393"/>
      <c r="K31" s="395"/>
      <c r="L31" s="395"/>
      <c r="M31" s="96">
        <f t="shared" si="5"/>
        <v>0</v>
      </c>
      <c r="N31" s="110">
        <f t="shared" si="5"/>
        <v>6000</v>
      </c>
      <c r="O31" s="110">
        <f t="shared" si="5"/>
        <v>6000</v>
      </c>
    </row>
    <row r="32" spans="1:15" ht="13.5" customHeight="1" thickBot="1">
      <c r="A32" s="10"/>
      <c r="B32" s="8" t="s">
        <v>102</v>
      </c>
      <c r="C32" s="20" t="s">
        <v>103</v>
      </c>
      <c r="D32" s="124">
        <f>SUM(D30:D31)</f>
        <v>23262</v>
      </c>
      <c r="E32" s="124">
        <f>SUM(E30:E31)</f>
        <v>35050</v>
      </c>
      <c r="F32" s="124">
        <f>SUM(F30:F31)</f>
        <v>35050</v>
      </c>
      <c r="G32" s="124">
        <v>0</v>
      </c>
      <c r="H32" s="124"/>
      <c r="I32" s="124"/>
      <c r="J32" s="124">
        <v>0</v>
      </c>
      <c r="K32" s="124">
        <f>SUM(K30:K31)</f>
        <v>0</v>
      </c>
      <c r="L32" s="124">
        <f>SUM(L30:L31)</f>
        <v>0</v>
      </c>
      <c r="M32" s="124">
        <f>SUM(M30:M31)</f>
        <v>23262</v>
      </c>
      <c r="N32" s="124">
        <f>SUM(N30:N31)</f>
        <v>35050</v>
      </c>
      <c r="O32" s="124">
        <f>SUM(O30:O31)</f>
        <v>35050</v>
      </c>
    </row>
    <row r="33" spans="1:15" ht="13.5" customHeight="1" thickBot="1">
      <c r="A33" s="41" t="s">
        <v>6</v>
      </c>
      <c r="B33" s="397" t="s">
        <v>104</v>
      </c>
      <c r="C33" s="399"/>
      <c r="D33" s="124">
        <f aca="true" t="shared" si="6" ref="D33:N33">SUM(D28,D29,D32)</f>
        <v>583643</v>
      </c>
      <c r="E33" s="124">
        <f t="shared" si="6"/>
        <v>2572508</v>
      </c>
      <c r="F33" s="124">
        <f>SUM(F28,F29,F32)</f>
        <v>2572509</v>
      </c>
      <c r="G33" s="124">
        <f t="shared" si="6"/>
        <v>0</v>
      </c>
      <c r="H33" s="124">
        <f t="shared" si="6"/>
        <v>724</v>
      </c>
      <c r="I33" s="124">
        <f t="shared" si="6"/>
        <v>738</v>
      </c>
      <c r="J33" s="124">
        <f t="shared" si="6"/>
        <v>0</v>
      </c>
      <c r="K33" s="124">
        <f t="shared" si="6"/>
        <v>0</v>
      </c>
      <c r="L33" s="124">
        <f t="shared" si="6"/>
        <v>0</v>
      </c>
      <c r="M33" s="389">
        <f t="shared" si="6"/>
        <v>583643</v>
      </c>
      <c r="N33" s="124">
        <f t="shared" si="6"/>
        <v>2573232</v>
      </c>
      <c r="O33" s="124">
        <f>SUM(O28,O29,O32)</f>
        <v>2573247</v>
      </c>
    </row>
    <row r="34" spans="1:15" s="1" customFormat="1" ht="13.5" customHeight="1" thickBot="1">
      <c r="A34" s="424" t="s">
        <v>105</v>
      </c>
      <c r="B34" s="428"/>
      <c r="C34" s="425"/>
      <c r="D34" s="242">
        <f>SUM(D27,D33)</f>
        <v>14041410</v>
      </c>
      <c r="E34" s="242">
        <f>SUM(E27,E33)</f>
        <v>17466505</v>
      </c>
      <c r="F34" s="242">
        <f>SUM(F27,F33)</f>
        <v>17732408</v>
      </c>
      <c r="G34" s="242">
        <f>SUM(G27,G33)</f>
        <v>1727591</v>
      </c>
      <c r="H34" s="242">
        <f>SUM(H27,H33,H32)</f>
        <v>1759571</v>
      </c>
      <c r="I34" s="242">
        <f>SUM(I27,I33,I32)</f>
        <v>1624530</v>
      </c>
      <c r="J34" s="242">
        <f>SUM(J27,J33,J32)</f>
        <v>97453</v>
      </c>
      <c r="K34" s="242">
        <f>SUM(K27,K33,K32)</f>
        <v>102571</v>
      </c>
      <c r="L34" s="242">
        <f>SUM(L27,L33,L32)</f>
        <v>111611</v>
      </c>
      <c r="M34" s="242">
        <f>SUM(M27,M33)</f>
        <v>15866454</v>
      </c>
      <c r="N34" s="124">
        <f>SUM(N27,N33)</f>
        <v>19328647</v>
      </c>
      <c r="O34" s="124">
        <f>SUM(O27,O33)</f>
        <v>19468549</v>
      </c>
    </row>
    <row r="35" spans="1:15" ht="12.75">
      <c r="A35" s="42"/>
      <c r="B35" s="49" t="s">
        <v>2</v>
      </c>
      <c r="C35" s="47" t="s">
        <v>124</v>
      </c>
      <c r="D35" s="142">
        <v>102125</v>
      </c>
      <c r="E35" s="142">
        <v>279527</v>
      </c>
      <c r="F35" s="142">
        <v>279526</v>
      </c>
      <c r="G35" s="142">
        <v>43497</v>
      </c>
      <c r="H35" s="142">
        <f>43497+833+27165+35014</f>
        <v>106509</v>
      </c>
      <c r="I35" s="142">
        <v>106509</v>
      </c>
      <c r="J35" s="142">
        <v>15831</v>
      </c>
      <c r="K35" s="142">
        <f>15831+8958+2468+3155+8123+2901+23893</f>
        <v>65329</v>
      </c>
      <c r="L35" s="396">
        <v>65330</v>
      </c>
      <c r="M35" s="93">
        <f aca="true" t="shared" si="7" ref="M35:O38">SUM(G35,D35,J35)</f>
        <v>161453</v>
      </c>
      <c r="N35" s="87">
        <f t="shared" si="7"/>
        <v>451365</v>
      </c>
      <c r="O35" s="87">
        <f t="shared" si="7"/>
        <v>451365</v>
      </c>
    </row>
    <row r="36" spans="1:15" ht="12.75">
      <c r="A36" s="10"/>
      <c r="B36" s="88" t="s">
        <v>3</v>
      </c>
      <c r="C36" s="89" t="s">
        <v>106</v>
      </c>
      <c r="D36" s="148"/>
      <c r="E36" s="148"/>
      <c r="F36" s="148"/>
      <c r="G36" s="148">
        <v>3435854</v>
      </c>
      <c r="H36" s="148">
        <v>3452284</v>
      </c>
      <c r="I36" s="148">
        <v>3264506</v>
      </c>
      <c r="J36" s="148">
        <v>1434556</v>
      </c>
      <c r="K36" s="148">
        <v>1532975</v>
      </c>
      <c r="L36" s="223">
        <v>1335134</v>
      </c>
      <c r="M36" s="94">
        <f t="shared" si="7"/>
        <v>4870410</v>
      </c>
      <c r="N36" s="119">
        <f t="shared" si="7"/>
        <v>4985259</v>
      </c>
      <c r="O36" s="119">
        <f t="shared" si="7"/>
        <v>4599640</v>
      </c>
    </row>
    <row r="37" spans="1:15" ht="12.75">
      <c r="A37" s="10"/>
      <c r="B37" s="88" t="s">
        <v>4</v>
      </c>
      <c r="C37" s="89" t="s">
        <v>131</v>
      </c>
      <c r="D37" s="148">
        <v>232780</v>
      </c>
      <c r="E37" s="148">
        <v>232780</v>
      </c>
      <c r="F37" s="148">
        <v>232780</v>
      </c>
      <c r="G37" s="148"/>
      <c r="H37" s="148"/>
      <c r="I37" s="148"/>
      <c r="J37" s="148"/>
      <c r="K37" s="148" t="s">
        <v>120</v>
      </c>
      <c r="L37" s="348"/>
      <c r="M37" s="95">
        <f t="shared" si="7"/>
        <v>232780</v>
      </c>
      <c r="N37" s="108">
        <f t="shared" si="7"/>
        <v>232780</v>
      </c>
      <c r="O37" s="119">
        <f t="shared" si="7"/>
        <v>232780</v>
      </c>
    </row>
    <row r="38" spans="1:15" ht="13.5" thickBot="1">
      <c r="A38" s="44"/>
      <c r="B38" s="50" t="s">
        <v>173</v>
      </c>
      <c r="C38" s="48" t="s">
        <v>174</v>
      </c>
      <c r="D38" s="373"/>
      <c r="E38" s="373"/>
      <c r="F38" s="373">
        <v>82953</v>
      </c>
      <c r="G38" s="373"/>
      <c r="H38" s="373"/>
      <c r="I38" s="373"/>
      <c r="J38" s="373"/>
      <c r="K38" s="373"/>
      <c r="L38" s="154"/>
      <c r="M38" s="96"/>
      <c r="N38" s="110"/>
      <c r="O38" s="108">
        <f t="shared" si="7"/>
        <v>82953</v>
      </c>
    </row>
    <row r="39" spans="1:15" ht="13.5" thickBot="1">
      <c r="A39" s="40" t="s">
        <v>37</v>
      </c>
      <c r="B39" s="429" t="s">
        <v>107</v>
      </c>
      <c r="C39" s="429"/>
      <c r="D39" s="124">
        <f aca="true" t="shared" si="8" ref="D39:N39">SUM(D35:D37)</f>
        <v>334905</v>
      </c>
      <c r="E39" s="124">
        <f t="shared" si="8"/>
        <v>512307</v>
      </c>
      <c r="F39" s="124">
        <f>SUM(F35:F38)</f>
        <v>595259</v>
      </c>
      <c r="G39" s="124">
        <f t="shared" si="8"/>
        <v>3479351</v>
      </c>
      <c r="H39" s="124">
        <f t="shared" si="8"/>
        <v>3558793</v>
      </c>
      <c r="I39" s="124">
        <f t="shared" si="8"/>
        <v>3371015</v>
      </c>
      <c r="J39" s="124">
        <f t="shared" si="8"/>
        <v>1450387</v>
      </c>
      <c r="K39" s="124">
        <f t="shared" si="8"/>
        <v>1598304</v>
      </c>
      <c r="L39" s="124">
        <f t="shared" si="8"/>
        <v>1400464</v>
      </c>
      <c r="M39" s="124">
        <f t="shared" si="8"/>
        <v>5264643</v>
      </c>
      <c r="N39" s="124">
        <f t="shared" si="8"/>
        <v>5669404</v>
      </c>
      <c r="O39" s="124">
        <f>SUM(O35:O38)</f>
        <v>5366738</v>
      </c>
    </row>
    <row r="40" spans="1:15" ht="12.75">
      <c r="A40" s="42"/>
      <c r="B40" s="49" t="s">
        <v>2</v>
      </c>
      <c r="C40" s="47" t="s">
        <v>124</v>
      </c>
      <c r="D40" s="142"/>
      <c r="E40" s="142">
        <v>2094883</v>
      </c>
      <c r="F40" s="142">
        <v>2094883</v>
      </c>
      <c r="G40" s="142">
        <v>16412</v>
      </c>
      <c r="H40" s="142">
        <f>16412-3328-1125</f>
        <v>11959</v>
      </c>
      <c r="I40" s="142">
        <v>11959</v>
      </c>
      <c r="J40" s="142"/>
      <c r="K40" s="142"/>
      <c r="L40" s="396"/>
      <c r="M40" s="93">
        <f aca="true" t="shared" si="9" ref="M40:O42">SUM(D40,G40,J40)</f>
        <v>16412</v>
      </c>
      <c r="N40" s="87">
        <f t="shared" si="9"/>
        <v>2106842</v>
      </c>
      <c r="O40" s="87">
        <f t="shared" si="9"/>
        <v>2106842</v>
      </c>
    </row>
    <row r="41" spans="1:15" ht="12.75">
      <c r="A41" s="10"/>
      <c r="B41" s="88" t="s">
        <v>3</v>
      </c>
      <c r="C41" s="89" t="s">
        <v>106</v>
      </c>
      <c r="D41" s="148"/>
      <c r="E41" s="148"/>
      <c r="F41" s="148"/>
      <c r="G41" s="148">
        <v>131241</v>
      </c>
      <c r="H41" s="148">
        <v>141929</v>
      </c>
      <c r="I41" s="148">
        <v>139065</v>
      </c>
      <c r="J41" s="148"/>
      <c r="K41" s="148">
        <v>5289</v>
      </c>
      <c r="L41" s="385">
        <v>70</v>
      </c>
      <c r="M41" s="94">
        <f t="shared" si="9"/>
        <v>131241</v>
      </c>
      <c r="N41" s="119">
        <f t="shared" si="9"/>
        <v>147218</v>
      </c>
      <c r="O41" s="119">
        <f t="shared" si="9"/>
        <v>139135</v>
      </c>
    </row>
    <row r="42" spans="1:15" ht="13.5" thickBot="1">
      <c r="A42" s="91"/>
      <c r="B42" s="50" t="s">
        <v>4</v>
      </c>
      <c r="C42" s="48" t="s">
        <v>154</v>
      </c>
      <c r="D42" s="373">
        <f>6367220</f>
        <v>6367220</v>
      </c>
      <c r="E42" s="373">
        <f>6367220+8000000+2000000+800000</f>
        <v>17167220</v>
      </c>
      <c r="F42" s="373">
        <f>8800000-232780</f>
        <v>8567220</v>
      </c>
      <c r="G42" s="373"/>
      <c r="H42" s="373"/>
      <c r="I42" s="373"/>
      <c r="J42" s="373"/>
      <c r="K42" s="148"/>
      <c r="L42" s="373"/>
      <c r="M42" s="95">
        <f t="shared" si="9"/>
        <v>6367220</v>
      </c>
      <c r="N42" s="108">
        <f t="shared" si="9"/>
        <v>17167220</v>
      </c>
      <c r="O42" s="108">
        <f t="shared" si="9"/>
        <v>8567220</v>
      </c>
    </row>
    <row r="43" spans="1:15" ht="13.5" thickBot="1">
      <c r="A43" s="40" t="s">
        <v>38</v>
      </c>
      <c r="B43" s="429" t="s">
        <v>108</v>
      </c>
      <c r="C43" s="429"/>
      <c r="D43" s="124">
        <f aca="true" t="shared" si="10" ref="D43:N43">SUM(D40:D42)</f>
        <v>6367220</v>
      </c>
      <c r="E43" s="124">
        <f t="shared" si="10"/>
        <v>19262103</v>
      </c>
      <c r="F43" s="124">
        <f t="shared" si="10"/>
        <v>10662103</v>
      </c>
      <c r="G43" s="124">
        <f t="shared" si="10"/>
        <v>147653</v>
      </c>
      <c r="H43" s="124">
        <f t="shared" si="10"/>
        <v>153888</v>
      </c>
      <c r="I43" s="124">
        <f>SUM(I40:I42)</f>
        <v>151024</v>
      </c>
      <c r="J43" s="124">
        <f t="shared" si="10"/>
        <v>0</v>
      </c>
      <c r="K43" s="124">
        <f t="shared" si="10"/>
        <v>5289</v>
      </c>
      <c r="L43" s="124">
        <f t="shared" si="10"/>
        <v>70</v>
      </c>
      <c r="M43" s="124">
        <f t="shared" si="10"/>
        <v>6514873</v>
      </c>
      <c r="N43" s="124">
        <f t="shared" si="10"/>
        <v>19421280</v>
      </c>
      <c r="O43" s="124">
        <f>SUM(O40:O42)</f>
        <v>10813197</v>
      </c>
    </row>
    <row r="44" spans="1:15" ht="13.5" thickBot="1">
      <c r="A44" s="426" t="s">
        <v>132</v>
      </c>
      <c r="B44" s="427"/>
      <c r="C44" s="430"/>
      <c r="D44" s="124">
        <f aca="true" t="shared" si="11" ref="D44:O44">SUM(D43,D39)</f>
        <v>6702125</v>
      </c>
      <c r="E44" s="124">
        <f t="shared" si="11"/>
        <v>19774410</v>
      </c>
      <c r="F44" s="124">
        <f t="shared" si="11"/>
        <v>11257362</v>
      </c>
      <c r="G44" s="124">
        <f t="shared" si="11"/>
        <v>3627004</v>
      </c>
      <c r="H44" s="124">
        <f t="shared" si="11"/>
        <v>3712681</v>
      </c>
      <c r="I44" s="124">
        <f>SUM(I43,I39)</f>
        <v>3522039</v>
      </c>
      <c r="J44" s="124">
        <f t="shared" si="11"/>
        <v>1450387</v>
      </c>
      <c r="K44" s="124">
        <f t="shared" si="11"/>
        <v>1603593</v>
      </c>
      <c r="L44" s="124">
        <f t="shared" si="11"/>
        <v>1400534</v>
      </c>
      <c r="M44" s="124">
        <f t="shared" si="11"/>
        <v>11779516</v>
      </c>
      <c r="N44" s="124">
        <f t="shared" si="11"/>
        <v>25090684</v>
      </c>
      <c r="O44" s="124">
        <f t="shared" si="11"/>
        <v>16179935</v>
      </c>
    </row>
    <row r="45" spans="1:15" s="27" customFormat="1" ht="13.5" thickBot="1">
      <c r="A45" s="426" t="s">
        <v>109</v>
      </c>
      <c r="B45" s="427"/>
      <c r="C45" s="430"/>
      <c r="D45" s="124">
        <f aca="true" t="shared" si="12" ref="D45:M45">SUM(D34,D39,D43)</f>
        <v>20743535</v>
      </c>
      <c r="E45" s="124">
        <f t="shared" si="12"/>
        <v>37240915</v>
      </c>
      <c r="F45" s="124">
        <f t="shared" si="12"/>
        <v>28989770</v>
      </c>
      <c r="G45" s="124">
        <f t="shared" si="12"/>
        <v>5354595</v>
      </c>
      <c r="H45" s="124">
        <f t="shared" si="12"/>
        <v>5472252</v>
      </c>
      <c r="I45" s="124">
        <f>SUM(I34,I39,I43)</f>
        <v>5146569</v>
      </c>
      <c r="J45" s="124">
        <f t="shared" si="12"/>
        <v>1547840</v>
      </c>
      <c r="K45" s="124">
        <f t="shared" si="12"/>
        <v>1706164</v>
      </c>
      <c r="L45" s="124">
        <f t="shared" si="12"/>
        <v>1512145</v>
      </c>
      <c r="M45" s="124">
        <f t="shared" si="12"/>
        <v>27645970</v>
      </c>
      <c r="N45" s="124">
        <f>SUM(N34,N39,N43)</f>
        <v>44419331</v>
      </c>
      <c r="O45" s="124">
        <f>SUM(O34,O39,O43)</f>
        <v>35648484</v>
      </c>
    </row>
    <row r="46" spans="1:15" ht="13.5" thickBot="1">
      <c r="A46" s="46"/>
      <c r="B46" s="431" t="s">
        <v>110</v>
      </c>
      <c r="C46" s="432"/>
      <c r="D46" s="216"/>
      <c r="E46" s="216"/>
      <c r="F46" s="216"/>
      <c r="G46" s="25"/>
      <c r="H46" s="25"/>
      <c r="I46" s="25"/>
      <c r="J46" s="25"/>
      <c r="K46" s="25"/>
      <c r="L46" s="342"/>
      <c r="M46" s="93">
        <f>-SUM(M36,M41)</f>
        <v>-5001651</v>
      </c>
      <c r="N46" s="87">
        <f>-SUM(N36,N41)</f>
        <v>-5132477</v>
      </c>
      <c r="O46" s="87">
        <f>-SUM(O36,O41)</f>
        <v>-4738775</v>
      </c>
    </row>
    <row r="47" spans="1:15" ht="13.5" thickBot="1">
      <c r="A47" s="46"/>
      <c r="B47" s="431" t="s">
        <v>113</v>
      </c>
      <c r="C47" s="432"/>
      <c r="D47" s="216"/>
      <c r="E47" s="216"/>
      <c r="F47" s="216"/>
      <c r="G47" s="25"/>
      <c r="H47" s="25"/>
      <c r="I47" s="25"/>
      <c r="J47" s="25"/>
      <c r="K47" s="25"/>
      <c r="L47" s="342"/>
      <c r="M47" s="93">
        <v>-379000</v>
      </c>
      <c r="N47" s="124">
        <v>-379000</v>
      </c>
      <c r="O47" s="124">
        <v>-276837</v>
      </c>
    </row>
    <row r="48" spans="1:16" s="27" customFormat="1" ht="13.5" thickBot="1">
      <c r="A48" s="426" t="s">
        <v>111</v>
      </c>
      <c r="B48" s="427"/>
      <c r="C48" s="427"/>
      <c r="D48" s="124">
        <f aca="true" t="shared" si="13" ref="D48:L48">SUM(D45:D46)</f>
        <v>20743535</v>
      </c>
      <c r="E48" s="124">
        <f t="shared" si="13"/>
        <v>37240915</v>
      </c>
      <c r="F48" s="124">
        <f t="shared" si="13"/>
        <v>28989770</v>
      </c>
      <c r="G48" s="17">
        <f t="shared" si="13"/>
        <v>5354595</v>
      </c>
      <c r="H48" s="17">
        <f t="shared" si="13"/>
        <v>5472252</v>
      </c>
      <c r="I48" s="17">
        <f>SUM(I45:I46)</f>
        <v>5146569</v>
      </c>
      <c r="J48" s="17">
        <f t="shared" si="13"/>
        <v>1547840</v>
      </c>
      <c r="K48" s="17">
        <f t="shared" si="13"/>
        <v>1706164</v>
      </c>
      <c r="L48" s="17">
        <f t="shared" si="13"/>
        <v>1512145</v>
      </c>
      <c r="M48" s="23">
        <f>SUM(M45:M47)</f>
        <v>22265319</v>
      </c>
      <c r="N48" s="17">
        <f>SUM(N45:N47)</f>
        <v>38907854</v>
      </c>
      <c r="O48" s="17">
        <f>SUM(O45:O47)</f>
        <v>30632872</v>
      </c>
      <c r="P48"/>
    </row>
    <row r="49" spans="1:13" s="27" customFormat="1" ht="12.75">
      <c r="A49" s="52"/>
      <c r="B49" s="52"/>
      <c r="C49" s="52"/>
      <c r="D49" s="51"/>
      <c r="E49" s="51"/>
      <c r="F49" s="51"/>
      <c r="G49" s="51"/>
      <c r="H49" s="51"/>
      <c r="I49" s="51"/>
      <c r="J49" s="51"/>
      <c r="K49" s="51"/>
      <c r="L49" s="51"/>
      <c r="M49" s="51"/>
    </row>
    <row r="50" spans="2:14" ht="12.75">
      <c r="B50" s="3"/>
      <c r="M50" s="83"/>
      <c r="N50" s="243"/>
    </row>
    <row r="51" spans="1:15" s="4" customFormat="1" ht="13.5" thickBot="1">
      <c r="A51" s="7"/>
      <c r="B51" s="379"/>
      <c r="C51" s="7"/>
      <c r="D51" s="433" t="s">
        <v>175</v>
      </c>
      <c r="E51" s="433"/>
      <c r="F51" s="433"/>
      <c r="G51" s="433" t="s">
        <v>176</v>
      </c>
      <c r="H51" s="433"/>
      <c r="I51" s="433"/>
      <c r="J51" s="433" t="s">
        <v>177</v>
      </c>
      <c r="K51" s="433"/>
      <c r="L51" s="433"/>
      <c r="M51" s="433" t="s">
        <v>178</v>
      </c>
      <c r="N51" s="433"/>
      <c r="O51" s="433"/>
    </row>
    <row r="52" spans="1:15" s="4" customFormat="1" ht="12.75">
      <c r="A52" s="7"/>
      <c r="B52" s="379"/>
      <c r="C52" s="380" t="s">
        <v>124</v>
      </c>
      <c r="D52" s="7">
        <v>28759</v>
      </c>
      <c r="E52" s="7">
        <v>54799</v>
      </c>
      <c r="F52" s="7">
        <v>54799</v>
      </c>
      <c r="G52" s="7">
        <v>31150</v>
      </c>
      <c r="H52" s="7">
        <v>28655</v>
      </c>
      <c r="I52" s="7">
        <v>28655</v>
      </c>
      <c r="J52" s="7"/>
      <c r="K52" s="7">
        <v>35014</v>
      </c>
      <c r="L52" s="7">
        <v>35014</v>
      </c>
      <c r="M52" s="83">
        <f aca="true" t="shared" si="14" ref="M52:O55">SUM(D52,G52,J52)</f>
        <v>59909</v>
      </c>
      <c r="N52" s="83">
        <f t="shared" si="14"/>
        <v>118468</v>
      </c>
      <c r="O52" s="83">
        <f t="shared" si="14"/>
        <v>118468</v>
      </c>
    </row>
    <row r="53" spans="1:15" s="4" customFormat="1" ht="12.75">
      <c r="A53" s="7"/>
      <c r="B53" s="379"/>
      <c r="C53" s="381" t="s">
        <v>106</v>
      </c>
      <c r="D53" s="7">
        <v>429085</v>
      </c>
      <c r="E53" s="7">
        <v>460370</v>
      </c>
      <c r="F53" s="7">
        <v>459548</v>
      </c>
      <c r="G53" s="7">
        <v>2381116</v>
      </c>
      <c r="H53" s="7">
        <v>2359719</v>
      </c>
      <c r="I53" s="7">
        <v>2172764</v>
      </c>
      <c r="J53" s="7">
        <v>756894</v>
      </c>
      <c r="K53" s="7">
        <v>774124</v>
      </c>
      <c r="L53" s="7">
        <v>771259</v>
      </c>
      <c r="M53" s="83">
        <f t="shared" si="14"/>
        <v>3567095</v>
      </c>
      <c r="N53" s="83">
        <f t="shared" si="14"/>
        <v>3594213</v>
      </c>
      <c r="O53" s="83">
        <f t="shared" si="14"/>
        <v>3403571</v>
      </c>
    </row>
    <row r="54" spans="1:15" s="4" customFormat="1" ht="12.75">
      <c r="A54" s="7"/>
      <c r="B54" s="379"/>
      <c r="C54" s="381" t="s">
        <v>131</v>
      </c>
      <c r="D54" s="7"/>
      <c r="E54" s="7"/>
      <c r="F54" s="7"/>
      <c r="G54" s="7"/>
      <c r="H54" s="7"/>
      <c r="I54" s="7"/>
      <c r="J54" s="7"/>
      <c r="K54" s="7"/>
      <c r="L54" s="7"/>
      <c r="M54" s="83">
        <f t="shared" si="14"/>
        <v>0</v>
      </c>
      <c r="N54" s="83">
        <f t="shared" si="14"/>
        <v>0</v>
      </c>
      <c r="O54" s="83">
        <f t="shared" si="14"/>
        <v>0</v>
      </c>
    </row>
    <row r="55" spans="1:15" s="4" customFormat="1" ht="13.5" thickBot="1">
      <c r="A55" s="7"/>
      <c r="B55" s="379"/>
      <c r="C55" s="382" t="s">
        <v>174</v>
      </c>
      <c r="D55" s="7"/>
      <c r="E55" s="7"/>
      <c r="F55" s="7"/>
      <c r="G55" s="7"/>
      <c r="H55" s="7"/>
      <c r="I55" s="7"/>
      <c r="J55" s="7"/>
      <c r="K55" s="7"/>
      <c r="L55" s="7"/>
      <c r="M55" s="83">
        <f t="shared" si="14"/>
        <v>0</v>
      </c>
      <c r="N55" s="83">
        <f t="shared" si="14"/>
        <v>0</v>
      </c>
      <c r="O55" s="83">
        <f t="shared" si="14"/>
        <v>0</v>
      </c>
    </row>
    <row r="56" spans="1:15" s="4" customFormat="1" ht="12.75">
      <c r="A56" s="7"/>
      <c r="B56" s="379"/>
      <c r="C56" s="7"/>
      <c r="D56" s="7">
        <f aca="true" t="shared" si="15" ref="D56:I56">SUM(D52:D55)</f>
        <v>457844</v>
      </c>
      <c r="E56" s="7">
        <f t="shared" si="15"/>
        <v>515169</v>
      </c>
      <c r="F56" s="7">
        <f t="shared" si="15"/>
        <v>514347</v>
      </c>
      <c r="G56" s="7">
        <f t="shared" si="15"/>
        <v>2412266</v>
      </c>
      <c r="H56" s="7">
        <f t="shared" si="15"/>
        <v>2388374</v>
      </c>
      <c r="I56" s="7">
        <f t="shared" si="15"/>
        <v>2201419</v>
      </c>
      <c r="J56" s="7">
        <f aca="true" t="shared" si="16" ref="J56:O56">SUM(J52:J55)</f>
        <v>756894</v>
      </c>
      <c r="K56" s="7">
        <f t="shared" si="16"/>
        <v>809138</v>
      </c>
      <c r="L56" s="7">
        <f t="shared" si="16"/>
        <v>806273</v>
      </c>
      <c r="M56" s="7">
        <f t="shared" si="16"/>
        <v>3627004</v>
      </c>
      <c r="N56" s="7">
        <f t="shared" si="16"/>
        <v>3712681</v>
      </c>
      <c r="O56" s="7">
        <f t="shared" si="16"/>
        <v>3522039</v>
      </c>
    </row>
    <row r="57" spans="1:13" s="4" customFormat="1" ht="12.75">
      <c r="A57" s="7"/>
      <c r="B57" s="379"/>
      <c r="C57" s="7"/>
      <c r="D57" s="7"/>
      <c r="E57" s="7"/>
      <c r="F57" s="7"/>
      <c r="G57" s="7"/>
      <c r="H57" s="7"/>
      <c r="I57" s="7"/>
      <c r="J57" s="7"/>
      <c r="K57" s="7"/>
      <c r="L57" s="7"/>
      <c r="M57" s="83">
        <v>-3712836</v>
      </c>
    </row>
    <row r="58" spans="1:13" s="4" customFormat="1" ht="12.75">
      <c r="A58" s="7"/>
      <c r="B58" s="379"/>
      <c r="C58" s="7"/>
      <c r="D58" s="7"/>
      <c r="E58" s="7"/>
      <c r="F58" s="7"/>
      <c r="G58" s="7"/>
      <c r="H58" s="7"/>
      <c r="I58" s="7"/>
      <c r="J58" s="7"/>
      <c r="K58" s="7"/>
      <c r="L58" s="7"/>
      <c r="M58" s="83">
        <f>SUM(M56:M57)</f>
        <v>-85832</v>
      </c>
    </row>
    <row r="59" spans="1:13" s="4" customFormat="1" ht="12.75">
      <c r="A59" s="7"/>
      <c r="B59" s="379"/>
      <c r="C59" s="7"/>
      <c r="D59" s="7"/>
      <c r="E59" s="7"/>
      <c r="F59" s="7"/>
      <c r="G59" s="7"/>
      <c r="H59" s="7"/>
      <c r="I59" s="7"/>
      <c r="J59" s="7"/>
      <c r="K59" s="7"/>
      <c r="L59" s="7"/>
      <c r="M59" s="83"/>
    </row>
    <row r="60" spans="1:21" s="4" customFormat="1" ht="13.5" thickBot="1">
      <c r="A60" s="7"/>
      <c r="B60" s="379"/>
      <c r="C60" s="7"/>
      <c r="D60" s="434" t="s">
        <v>180</v>
      </c>
      <c r="E60" s="434"/>
      <c r="F60" s="434"/>
      <c r="G60" s="434" t="s">
        <v>181</v>
      </c>
      <c r="H60" s="434"/>
      <c r="I60" s="434"/>
      <c r="J60" s="434" t="s">
        <v>182</v>
      </c>
      <c r="K60" s="434"/>
      <c r="L60" s="434"/>
      <c r="M60" s="435" t="s">
        <v>183</v>
      </c>
      <c r="N60" s="435"/>
      <c r="O60" s="435"/>
      <c r="P60" s="436" t="s">
        <v>185</v>
      </c>
      <c r="Q60" s="436"/>
      <c r="R60" s="436"/>
      <c r="S60" s="436" t="s">
        <v>186</v>
      </c>
      <c r="T60" s="436"/>
      <c r="U60" s="436"/>
    </row>
    <row r="61" spans="1:24" s="4" customFormat="1" ht="12.75">
      <c r="A61" s="7"/>
      <c r="B61" s="379"/>
      <c r="C61" s="380" t="s">
        <v>124</v>
      </c>
      <c r="D61" s="7">
        <v>1695</v>
      </c>
      <c r="E61" s="7">
        <v>25588</v>
      </c>
      <c r="F61" s="7">
        <v>25588</v>
      </c>
      <c r="G61" s="7">
        <v>1200</v>
      </c>
      <c r="H61" s="7">
        <v>9323</v>
      </c>
      <c r="I61" s="7">
        <v>9323</v>
      </c>
      <c r="J61" s="7">
        <v>2155</v>
      </c>
      <c r="K61" s="7">
        <v>5056</v>
      </c>
      <c r="L61" s="7">
        <v>5056</v>
      </c>
      <c r="M61" s="83">
        <v>2199</v>
      </c>
      <c r="N61" s="4">
        <v>5354</v>
      </c>
      <c r="O61" s="4">
        <v>5354</v>
      </c>
      <c r="P61" s="4">
        <v>2151</v>
      </c>
      <c r="Q61" s="4">
        <v>11109</v>
      </c>
      <c r="R61" s="4">
        <v>11110</v>
      </c>
      <c r="S61" s="4">
        <v>6431</v>
      </c>
      <c r="T61" s="4">
        <v>8899</v>
      </c>
      <c r="U61" s="4">
        <v>8899</v>
      </c>
      <c r="V61" s="4">
        <f aca="true" t="shared" si="17" ref="V61:X65">SUM(D61,G61,J61,M61,P61,S61)</f>
        <v>15831</v>
      </c>
      <c r="W61" s="4">
        <f t="shared" si="17"/>
        <v>65329</v>
      </c>
      <c r="X61" s="4">
        <f t="shared" si="17"/>
        <v>65330</v>
      </c>
    </row>
    <row r="62" spans="1:24" s="4" customFormat="1" ht="12.75">
      <c r="A62" s="7"/>
      <c r="B62" s="379"/>
      <c r="C62" s="381" t="s">
        <v>106</v>
      </c>
      <c r="D62" s="7">
        <v>127524</v>
      </c>
      <c r="E62" s="7">
        <v>131885</v>
      </c>
      <c r="F62" s="7">
        <v>134264</v>
      </c>
      <c r="G62" s="7">
        <v>100036</v>
      </c>
      <c r="H62" s="7">
        <v>103488</v>
      </c>
      <c r="I62" s="7">
        <v>88836</v>
      </c>
      <c r="J62" s="7">
        <v>151271</v>
      </c>
      <c r="K62" s="7">
        <v>155673</v>
      </c>
      <c r="L62" s="7">
        <v>146742</v>
      </c>
      <c r="M62" s="83">
        <v>167249</v>
      </c>
      <c r="N62" s="4">
        <v>171352</v>
      </c>
      <c r="O62" s="4">
        <v>164523</v>
      </c>
      <c r="P62" s="4">
        <v>193787</v>
      </c>
      <c r="Q62" s="4">
        <v>214522</v>
      </c>
      <c r="R62" s="4">
        <v>200065</v>
      </c>
      <c r="S62" s="4">
        <v>694689</v>
      </c>
      <c r="T62" s="4">
        <v>761344</v>
      </c>
      <c r="U62" s="4">
        <v>600774</v>
      </c>
      <c r="V62" s="4">
        <f t="shared" si="17"/>
        <v>1434556</v>
      </c>
      <c r="W62" s="4">
        <f t="shared" si="17"/>
        <v>1538264</v>
      </c>
      <c r="X62" s="4">
        <f t="shared" si="17"/>
        <v>1335204</v>
      </c>
    </row>
    <row r="63" spans="1:24" s="4" customFormat="1" ht="12.75">
      <c r="A63" s="7"/>
      <c r="B63" s="379"/>
      <c r="C63" s="381" t="s">
        <v>131</v>
      </c>
      <c r="D63" s="7"/>
      <c r="E63" s="7"/>
      <c r="F63" s="7"/>
      <c r="G63" s="7"/>
      <c r="H63" s="7"/>
      <c r="I63" s="7"/>
      <c r="J63" s="7"/>
      <c r="K63" s="7"/>
      <c r="L63" s="7"/>
      <c r="M63" s="83"/>
      <c r="V63" s="4">
        <f t="shared" si="17"/>
        <v>0</v>
      </c>
      <c r="W63" s="4">
        <f t="shared" si="17"/>
        <v>0</v>
      </c>
      <c r="X63" s="4">
        <f t="shared" si="17"/>
        <v>0</v>
      </c>
    </row>
    <row r="64" spans="1:24" s="4" customFormat="1" ht="13.5" thickBot="1">
      <c r="A64" s="7"/>
      <c r="B64" s="379"/>
      <c r="C64" s="382" t="s">
        <v>174</v>
      </c>
      <c r="D64" s="7"/>
      <c r="E64" s="7"/>
      <c r="F64" s="7"/>
      <c r="G64" s="7"/>
      <c r="H64" s="7"/>
      <c r="I64" s="7"/>
      <c r="J64" s="7"/>
      <c r="K64" s="7"/>
      <c r="L64" s="7"/>
      <c r="M64" s="83"/>
      <c r="V64" s="4">
        <f t="shared" si="17"/>
        <v>0</v>
      </c>
      <c r="W64" s="4">
        <f t="shared" si="17"/>
        <v>0</v>
      </c>
      <c r="X64" s="4">
        <f t="shared" si="17"/>
        <v>0</v>
      </c>
    </row>
    <row r="65" spans="1:24" s="4" customFormat="1" ht="12.75">
      <c r="A65" s="7"/>
      <c r="B65" s="379"/>
      <c r="C65" s="7"/>
      <c r="D65" s="7">
        <f aca="true" t="shared" si="18" ref="D65:U65">SUM(D61:D64)</f>
        <v>129219</v>
      </c>
      <c r="E65" s="7">
        <f t="shared" si="18"/>
        <v>157473</v>
      </c>
      <c r="F65" s="7">
        <f t="shared" si="18"/>
        <v>159852</v>
      </c>
      <c r="G65" s="7">
        <f t="shared" si="18"/>
        <v>101236</v>
      </c>
      <c r="H65" s="7">
        <f t="shared" si="18"/>
        <v>112811</v>
      </c>
      <c r="I65" s="7">
        <f t="shared" si="18"/>
        <v>98159</v>
      </c>
      <c r="J65" s="7">
        <f t="shared" si="18"/>
        <v>153426</v>
      </c>
      <c r="K65" s="7">
        <f t="shared" si="18"/>
        <v>160729</v>
      </c>
      <c r="L65" s="7">
        <f t="shared" si="18"/>
        <v>151798</v>
      </c>
      <c r="M65" s="7">
        <f t="shared" si="18"/>
        <v>169448</v>
      </c>
      <c r="N65" s="7">
        <f t="shared" si="18"/>
        <v>176706</v>
      </c>
      <c r="O65" s="7">
        <f t="shared" si="18"/>
        <v>169877</v>
      </c>
      <c r="P65" s="7">
        <f t="shared" si="18"/>
        <v>195938</v>
      </c>
      <c r="Q65" s="7">
        <f t="shared" si="18"/>
        <v>225631</v>
      </c>
      <c r="R65" s="7">
        <f t="shared" si="18"/>
        <v>211175</v>
      </c>
      <c r="S65" s="7">
        <f t="shared" si="18"/>
        <v>701120</v>
      </c>
      <c r="T65" s="7">
        <f t="shared" si="18"/>
        <v>770243</v>
      </c>
      <c r="U65" s="7">
        <f t="shared" si="18"/>
        <v>609673</v>
      </c>
      <c r="V65" s="4">
        <f t="shared" si="17"/>
        <v>1450387</v>
      </c>
      <c r="W65" s="4">
        <f t="shared" si="17"/>
        <v>1603593</v>
      </c>
      <c r="X65" s="4">
        <f t="shared" si="17"/>
        <v>1400534</v>
      </c>
    </row>
    <row r="66" spans="1:13" s="4" customFormat="1" ht="12.75">
      <c r="A66" s="7"/>
      <c r="B66" s="379"/>
      <c r="C66" s="7"/>
      <c r="D66" s="7"/>
      <c r="E66" s="7"/>
      <c r="F66" s="7"/>
      <c r="G66" s="7"/>
      <c r="H66" s="7"/>
      <c r="I66" s="7"/>
      <c r="J66" s="7"/>
      <c r="K66" s="7"/>
      <c r="L66" s="7"/>
      <c r="M66" s="83"/>
    </row>
    <row r="67" spans="1:13" s="4" customFormat="1" ht="12.75">
      <c r="A67" s="7"/>
      <c r="B67" s="379"/>
      <c r="C67" s="7"/>
      <c r="D67" s="7"/>
      <c r="E67" s="7"/>
      <c r="F67" s="7"/>
      <c r="G67" s="7"/>
      <c r="H67" s="7"/>
      <c r="I67" s="7"/>
      <c r="J67" s="7"/>
      <c r="K67" s="7"/>
      <c r="L67" s="7"/>
      <c r="M67" s="83"/>
    </row>
    <row r="68" spans="1:13" s="4" customFormat="1" ht="12.75">
      <c r="A68" s="7"/>
      <c r="B68" s="379"/>
      <c r="C68" s="7"/>
      <c r="D68" s="7"/>
      <c r="E68" s="7"/>
      <c r="F68" s="7"/>
      <c r="G68" s="7"/>
      <c r="H68" s="7"/>
      <c r="I68" s="7"/>
      <c r="J68" s="7"/>
      <c r="K68" s="7"/>
      <c r="L68" s="7"/>
      <c r="M68" s="83"/>
    </row>
    <row r="69" spans="1:13" s="4" customFormat="1" ht="12.75">
      <c r="A69" s="7"/>
      <c r="B69" s="379"/>
      <c r="C69" s="7"/>
      <c r="D69" s="7"/>
      <c r="E69" s="7"/>
      <c r="F69" s="7"/>
      <c r="G69" s="7"/>
      <c r="H69" s="7"/>
      <c r="I69" s="7"/>
      <c r="J69" s="7"/>
      <c r="K69" s="7"/>
      <c r="L69" s="7"/>
      <c r="M69" s="83"/>
    </row>
    <row r="70" spans="1:13" s="4" customFormat="1" ht="12.75">
      <c r="A70" s="7"/>
      <c r="B70" s="379"/>
      <c r="C70" s="7"/>
      <c r="D70" s="7"/>
      <c r="E70" s="7"/>
      <c r="F70" s="7"/>
      <c r="G70" s="7"/>
      <c r="H70" s="7"/>
      <c r="I70" s="7"/>
      <c r="J70" s="7"/>
      <c r="K70" s="7"/>
      <c r="L70" s="7"/>
      <c r="M70" s="83"/>
    </row>
    <row r="71" spans="1:13" s="4" customFormat="1" ht="12.75">
      <c r="A71" s="7"/>
      <c r="B71" s="379"/>
      <c r="C71" s="7"/>
      <c r="D71" s="7"/>
      <c r="E71" s="7"/>
      <c r="F71" s="7"/>
      <c r="G71" s="7"/>
      <c r="H71" s="7"/>
      <c r="I71" s="7"/>
      <c r="J71" s="7"/>
      <c r="K71" s="7"/>
      <c r="L71" s="7"/>
      <c r="M71" s="83"/>
    </row>
    <row r="72" spans="1:13" s="4" customFormat="1" ht="12.75">
      <c r="A72" s="7"/>
      <c r="B72" s="379"/>
      <c r="C72" s="7"/>
      <c r="D72" s="7"/>
      <c r="E72" s="7"/>
      <c r="F72" s="7"/>
      <c r="G72" s="7"/>
      <c r="H72" s="7"/>
      <c r="I72" s="7"/>
      <c r="J72" s="7"/>
      <c r="K72" s="7"/>
      <c r="L72" s="7"/>
      <c r="M72" s="83"/>
    </row>
    <row r="73" spans="1:13" s="4" customFormat="1" ht="12.75">
      <c r="A73" s="7"/>
      <c r="B73" s="379"/>
      <c r="C73" s="7"/>
      <c r="D73" s="7"/>
      <c r="E73" s="7"/>
      <c r="F73" s="7"/>
      <c r="G73" s="7"/>
      <c r="H73" s="7"/>
      <c r="I73" s="7"/>
      <c r="J73" s="7"/>
      <c r="K73" s="7"/>
      <c r="L73" s="7"/>
      <c r="M73" s="83"/>
    </row>
    <row r="74" spans="1:13" s="4" customFormat="1" ht="12.75">
      <c r="A74" s="7"/>
      <c r="B74" s="379"/>
      <c r="C74" s="7"/>
      <c r="D74" s="7"/>
      <c r="E74" s="7"/>
      <c r="F74" s="7"/>
      <c r="G74" s="7"/>
      <c r="H74" s="7"/>
      <c r="I74" s="7"/>
      <c r="J74" s="7"/>
      <c r="K74" s="7"/>
      <c r="L74" s="7"/>
      <c r="M74" s="83"/>
    </row>
    <row r="75" spans="1:13" s="4" customFormat="1" ht="12.75">
      <c r="A75" s="7"/>
      <c r="B75" s="379"/>
      <c r="C75" s="7"/>
      <c r="D75" s="7"/>
      <c r="E75" s="7"/>
      <c r="F75" s="7"/>
      <c r="G75" s="7"/>
      <c r="H75" s="7"/>
      <c r="I75" s="7"/>
      <c r="J75" s="7"/>
      <c r="K75" s="7"/>
      <c r="L75" s="7"/>
      <c r="M75" s="83"/>
    </row>
    <row r="76" spans="1:13" s="4" customFormat="1" ht="12.75">
      <c r="A76" s="7"/>
      <c r="B76" s="379"/>
      <c r="C76" s="7"/>
      <c r="D76" s="7"/>
      <c r="E76" s="7"/>
      <c r="F76" s="7"/>
      <c r="G76" s="7"/>
      <c r="H76" s="7"/>
      <c r="I76" s="7"/>
      <c r="J76" s="7"/>
      <c r="K76" s="7"/>
      <c r="L76" s="7"/>
      <c r="M76" s="83"/>
    </row>
    <row r="77" spans="1:13" s="4" customFormat="1" ht="12.75">
      <c r="A77" s="7"/>
      <c r="B77" s="379"/>
      <c r="C77" s="7"/>
      <c r="D77" s="7"/>
      <c r="E77" s="7"/>
      <c r="F77" s="7"/>
      <c r="G77" s="7"/>
      <c r="H77" s="7"/>
      <c r="I77" s="7"/>
      <c r="J77" s="7"/>
      <c r="K77" s="7"/>
      <c r="L77" s="7"/>
      <c r="M77" s="83"/>
    </row>
    <row r="78" spans="1:13" s="4" customFormat="1" ht="12.75">
      <c r="A78" s="7"/>
      <c r="B78" s="379"/>
      <c r="C78" s="7"/>
      <c r="D78" s="7"/>
      <c r="E78" s="7"/>
      <c r="F78" s="7"/>
      <c r="G78" s="7"/>
      <c r="H78" s="7"/>
      <c r="I78" s="7"/>
      <c r="J78" s="7"/>
      <c r="K78" s="7"/>
      <c r="L78" s="7"/>
      <c r="M78" s="83"/>
    </row>
    <row r="79" spans="1:13" s="4" customFormat="1" ht="12.75">
      <c r="A79" s="7"/>
      <c r="B79" s="379"/>
      <c r="C79" s="7"/>
      <c r="D79" s="7"/>
      <c r="E79" s="7"/>
      <c r="F79" s="7"/>
      <c r="G79" s="7"/>
      <c r="H79" s="7"/>
      <c r="I79" s="7"/>
      <c r="J79" s="7"/>
      <c r="K79" s="7"/>
      <c r="L79" s="7"/>
      <c r="M79" s="83"/>
    </row>
    <row r="80" spans="1:13" s="4" customFormat="1" ht="12.75">
      <c r="A80" s="7"/>
      <c r="B80" s="379"/>
      <c r="C80" s="7"/>
      <c r="D80" s="7"/>
      <c r="E80" s="7"/>
      <c r="F80" s="7"/>
      <c r="G80" s="7"/>
      <c r="H80" s="7"/>
      <c r="I80" s="7"/>
      <c r="J80" s="7"/>
      <c r="K80" s="7"/>
      <c r="L80" s="7"/>
      <c r="M80" s="83"/>
    </row>
    <row r="81" spans="1:13" s="4" customFormat="1" ht="12.75">
      <c r="A81" s="7"/>
      <c r="B81" s="379"/>
      <c r="C81" s="7"/>
      <c r="D81" s="7"/>
      <c r="E81" s="7"/>
      <c r="F81" s="7"/>
      <c r="G81" s="7"/>
      <c r="H81" s="7"/>
      <c r="I81" s="7"/>
      <c r="J81" s="7"/>
      <c r="K81" s="7"/>
      <c r="L81" s="7"/>
      <c r="M81" s="83"/>
    </row>
    <row r="82" spans="1:13" s="4" customFormat="1" ht="12.75">
      <c r="A82" s="7"/>
      <c r="B82" s="379"/>
      <c r="C82" s="7"/>
      <c r="D82" s="7"/>
      <c r="E82" s="7"/>
      <c r="F82" s="7"/>
      <c r="G82" s="7"/>
      <c r="H82" s="7"/>
      <c r="I82" s="7"/>
      <c r="J82" s="7"/>
      <c r="K82" s="7"/>
      <c r="L82" s="7"/>
      <c r="M82" s="83"/>
    </row>
    <row r="83" spans="1:13" s="4" customFormat="1" ht="12.75">
      <c r="A83" s="7"/>
      <c r="B83" s="379"/>
      <c r="C83" s="7"/>
      <c r="D83" s="7"/>
      <c r="E83" s="7"/>
      <c r="F83" s="7"/>
      <c r="G83" s="7"/>
      <c r="H83" s="7"/>
      <c r="I83" s="7"/>
      <c r="J83" s="7"/>
      <c r="K83" s="7"/>
      <c r="L83" s="7"/>
      <c r="M83" s="83"/>
    </row>
    <row r="84" spans="1:13" s="4" customFormat="1" ht="12.75">
      <c r="A84" s="7"/>
      <c r="B84" s="379"/>
      <c r="C84" s="7"/>
      <c r="D84" s="7"/>
      <c r="E84" s="7"/>
      <c r="F84" s="7"/>
      <c r="G84" s="7"/>
      <c r="H84" s="7"/>
      <c r="I84" s="7"/>
      <c r="J84" s="7"/>
      <c r="K84" s="7"/>
      <c r="L84" s="7"/>
      <c r="M84" s="83"/>
    </row>
    <row r="85" spans="1:13" s="4" customFormat="1" ht="12.75">
      <c r="A85" s="7"/>
      <c r="B85" s="379"/>
      <c r="C85" s="7"/>
      <c r="D85" s="7"/>
      <c r="E85" s="7"/>
      <c r="F85" s="7"/>
      <c r="G85" s="7"/>
      <c r="H85" s="7"/>
      <c r="I85" s="7"/>
      <c r="J85" s="7"/>
      <c r="K85" s="7"/>
      <c r="L85" s="7"/>
      <c r="M85" s="83"/>
    </row>
    <row r="86" spans="1:13" s="4" customFormat="1" ht="12.75">
      <c r="A86" s="7"/>
      <c r="B86" s="379"/>
      <c r="C86" s="7"/>
      <c r="D86" s="7"/>
      <c r="E86" s="7"/>
      <c r="F86" s="7"/>
      <c r="G86" s="7"/>
      <c r="H86" s="7"/>
      <c r="I86" s="7"/>
      <c r="J86" s="7"/>
      <c r="K86" s="7"/>
      <c r="L86" s="7"/>
      <c r="M86" s="83"/>
    </row>
    <row r="87" spans="1:13" s="4" customFormat="1" ht="12.75">
      <c r="A87" s="7"/>
      <c r="B87" s="379"/>
      <c r="C87" s="7"/>
      <c r="D87" s="7"/>
      <c r="E87" s="7"/>
      <c r="F87" s="7"/>
      <c r="G87" s="7"/>
      <c r="H87" s="7"/>
      <c r="I87" s="7"/>
      <c r="J87" s="7"/>
      <c r="K87" s="7"/>
      <c r="L87" s="7"/>
      <c r="M87" s="83"/>
    </row>
    <row r="88" spans="1:13" s="4" customFormat="1" ht="12.75">
      <c r="A88" s="7"/>
      <c r="B88" s="379"/>
      <c r="C88" s="7"/>
      <c r="D88" s="7"/>
      <c r="E88" s="7"/>
      <c r="F88" s="7"/>
      <c r="G88" s="7"/>
      <c r="H88" s="7"/>
      <c r="I88" s="7"/>
      <c r="J88" s="7"/>
      <c r="K88" s="7"/>
      <c r="L88" s="7"/>
      <c r="M88" s="83"/>
    </row>
    <row r="89" ht="12.75">
      <c r="B89" s="3"/>
    </row>
    <row r="90" ht="12.75">
      <c r="B90" s="3"/>
    </row>
  </sheetData>
  <sheetProtection/>
  <mergeCells count="29">
    <mergeCell ref="D60:F60"/>
    <mergeCell ref="G60:I60"/>
    <mergeCell ref="J60:L60"/>
    <mergeCell ref="M60:O60"/>
    <mergeCell ref="P60:R60"/>
    <mergeCell ref="S60:U60"/>
    <mergeCell ref="B47:C47"/>
    <mergeCell ref="A44:C44"/>
    <mergeCell ref="D51:F51"/>
    <mergeCell ref="G51:I51"/>
    <mergeCell ref="J51:L51"/>
    <mergeCell ref="M51:O51"/>
    <mergeCell ref="B27:C27"/>
    <mergeCell ref="B33:C33"/>
    <mergeCell ref="G6:I7"/>
    <mergeCell ref="J6:L7"/>
    <mergeCell ref="A48:C48"/>
    <mergeCell ref="A34:C34"/>
    <mergeCell ref="B39:C39"/>
    <mergeCell ref="B43:C43"/>
    <mergeCell ref="A45:C45"/>
    <mergeCell ref="B46:C46"/>
    <mergeCell ref="M6:O7"/>
    <mergeCell ref="A3:O3"/>
    <mergeCell ref="G2:O2"/>
    <mergeCell ref="J5:O5"/>
    <mergeCell ref="A6:C8"/>
    <mergeCell ref="A9:C9"/>
    <mergeCell ref="D6:F7"/>
  </mergeCells>
  <printOptions/>
  <pageMargins left="0.35433070866141736" right="0.15748031496062992" top="0.2755905511811024" bottom="0.2755905511811024" header="0.6299212598425197" footer="0.2755905511811024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R59"/>
  <sheetViews>
    <sheetView tabSelected="1" zoomScalePageLayoutView="0" workbookViewId="0" topLeftCell="A19">
      <selection activeCell="F28" sqref="F28"/>
    </sheetView>
  </sheetViews>
  <sheetFormatPr defaultColWidth="9.00390625" defaultRowHeight="12.75"/>
  <cols>
    <col min="1" max="1" width="5.125" style="19" customWidth="1"/>
    <col min="2" max="2" width="53.625" style="19" customWidth="1"/>
    <col min="3" max="4" width="6.375" style="19" bestFit="1" customWidth="1"/>
    <col min="5" max="5" width="9.75390625" style="19" customWidth="1"/>
    <col min="6" max="14" width="9.875" style="19" customWidth="1"/>
    <col min="15" max="16" width="9.875" style="83" customWidth="1"/>
    <col min="17" max="18" width="9.125" style="83" customWidth="1"/>
    <col min="19" max="16384" width="9.125" style="19" customWidth="1"/>
  </cols>
  <sheetData>
    <row r="1" spans="1:15" ht="12.75">
      <c r="A1" s="127"/>
      <c r="B1" s="127"/>
      <c r="C1" s="127"/>
      <c r="D1" s="127"/>
      <c r="E1" s="127"/>
      <c r="F1" s="127"/>
      <c r="G1" s="127"/>
      <c r="H1" s="127"/>
      <c r="I1" s="127"/>
      <c r="J1" s="127"/>
      <c r="K1" s="457" t="s">
        <v>112</v>
      </c>
      <c r="L1" s="457"/>
      <c r="M1" s="457"/>
      <c r="N1" s="457"/>
      <c r="O1" s="457"/>
    </row>
    <row r="2" spans="1:14" ht="12.75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8"/>
      <c r="L2" s="128"/>
      <c r="M2" s="128"/>
      <c r="N2" s="128"/>
    </row>
    <row r="3" spans="1:15" ht="16.5" customHeight="1">
      <c r="A3" s="458" t="s">
        <v>149</v>
      </c>
      <c r="B3" s="458"/>
      <c r="C3" s="458"/>
      <c r="D3" s="458"/>
      <c r="E3" s="458"/>
      <c r="F3" s="458"/>
      <c r="G3" s="458"/>
      <c r="H3" s="458"/>
      <c r="I3" s="458"/>
      <c r="J3" s="458"/>
      <c r="K3" s="458"/>
      <c r="L3" s="458"/>
      <c r="M3" s="458"/>
      <c r="N3" s="458"/>
      <c r="O3" s="458"/>
    </row>
    <row r="4" spans="1:14" ht="15" customHeight="1">
      <c r="A4" s="129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</row>
    <row r="5" spans="1:15" ht="15" customHeight="1" thickBot="1">
      <c r="A5" s="130"/>
      <c r="B5" s="130"/>
      <c r="C5" s="130"/>
      <c r="D5" s="130"/>
      <c r="E5" s="130"/>
      <c r="F5" s="130"/>
      <c r="G5" s="130"/>
      <c r="H5" s="130"/>
      <c r="I5" s="130"/>
      <c r="J5" s="130"/>
      <c r="K5" s="444" t="s">
        <v>0</v>
      </c>
      <c r="L5" s="444"/>
      <c r="M5" s="444"/>
      <c r="N5" s="444"/>
      <c r="O5" s="444"/>
    </row>
    <row r="6" spans="1:16" ht="15" customHeight="1">
      <c r="A6" s="438" t="s">
        <v>1</v>
      </c>
      <c r="B6" s="439"/>
      <c r="C6" s="438" t="s">
        <v>46</v>
      </c>
      <c r="D6" s="439"/>
      <c r="E6" s="445" t="s">
        <v>133</v>
      </c>
      <c r="F6" s="446"/>
      <c r="G6" s="447"/>
      <c r="H6" s="445" t="s">
        <v>122</v>
      </c>
      <c r="I6" s="446"/>
      <c r="J6" s="447"/>
      <c r="K6" s="445" t="s">
        <v>123</v>
      </c>
      <c r="L6" s="446"/>
      <c r="M6" s="447"/>
      <c r="N6" s="451" t="s">
        <v>19</v>
      </c>
      <c r="O6" s="452"/>
      <c r="P6" s="453"/>
    </row>
    <row r="7" spans="1:16" ht="32.25" customHeight="1" thickBot="1">
      <c r="A7" s="440"/>
      <c r="B7" s="441"/>
      <c r="C7" s="442"/>
      <c r="D7" s="443"/>
      <c r="E7" s="448"/>
      <c r="F7" s="449"/>
      <c r="G7" s="450"/>
      <c r="H7" s="448"/>
      <c r="I7" s="449"/>
      <c r="J7" s="450"/>
      <c r="K7" s="448"/>
      <c r="L7" s="449"/>
      <c r="M7" s="450"/>
      <c r="N7" s="454"/>
      <c r="O7" s="455"/>
      <c r="P7" s="456"/>
    </row>
    <row r="8" spans="1:16" ht="30" customHeight="1" thickBot="1">
      <c r="A8" s="442"/>
      <c r="B8" s="443"/>
      <c r="C8" s="442"/>
      <c r="D8" s="443"/>
      <c r="E8" s="358" t="s">
        <v>166</v>
      </c>
      <c r="F8" s="359" t="s">
        <v>167</v>
      </c>
      <c r="G8" s="359" t="s">
        <v>168</v>
      </c>
      <c r="H8" s="358" t="s">
        <v>166</v>
      </c>
      <c r="I8" s="359" t="s">
        <v>167</v>
      </c>
      <c r="J8" s="359" t="s">
        <v>168</v>
      </c>
      <c r="K8" s="358" t="s">
        <v>166</v>
      </c>
      <c r="L8" s="359" t="s">
        <v>167</v>
      </c>
      <c r="M8" s="359" t="s">
        <v>168</v>
      </c>
      <c r="N8" s="358" t="s">
        <v>166</v>
      </c>
      <c r="O8" s="359" t="s">
        <v>167</v>
      </c>
      <c r="P8" s="358" t="s">
        <v>168</v>
      </c>
    </row>
    <row r="9" spans="1:18" s="135" customFormat="1" ht="15" customHeight="1" thickBot="1">
      <c r="A9" s="437">
        <v>1</v>
      </c>
      <c r="B9" s="437"/>
      <c r="C9" s="131">
        <v>2</v>
      </c>
      <c r="D9" s="131">
        <v>3</v>
      </c>
      <c r="E9" s="132">
        <v>4</v>
      </c>
      <c r="F9" s="132">
        <v>5</v>
      </c>
      <c r="G9" s="132">
        <v>6</v>
      </c>
      <c r="H9" s="132">
        <v>7</v>
      </c>
      <c r="I9" s="132">
        <v>8</v>
      </c>
      <c r="J9" s="132">
        <v>9</v>
      </c>
      <c r="K9" s="132">
        <v>10</v>
      </c>
      <c r="L9" s="133">
        <v>11</v>
      </c>
      <c r="M9" s="133">
        <v>12</v>
      </c>
      <c r="N9" s="133">
        <v>13</v>
      </c>
      <c r="O9" s="134">
        <v>14</v>
      </c>
      <c r="P9" s="353">
        <v>15</v>
      </c>
      <c r="Q9" s="335"/>
      <c r="R9" s="335"/>
    </row>
    <row r="10" spans="1:18" s="135" customFormat="1" ht="15" customHeight="1">
      <c r="A10" s="136"/>
      <c r="B10" s="137" t="s">
        <v>47</v>
      </c>
      <c r="C10" s="138"/>
      <c r="D10" s="138"/>
      <c r="E10" s="139">
        <v>318219</v>
      </c>
      <c r="F10" s="139">
        <v>318219</v>
      </c>
      <c r="G10" s="139">
        <v>318219</v>
      </c>
      <c r="H10" s="139"/>
      <c r="I10" s="139"/>
      <c r="J10" s="139"/>
      <c r="K10" s="140"/>
      <c r="L10" s="141"/>
      <c r="M10" s="141"/>
      <c r="N10" s="142">
        <f>SUM(E10,H10,K10)</f>
        <v>318219</v>
      </c>
      <c r="O10" s="142">
        <f>SUM(F10,I10,L10)</f>
        <v>318219</v>
      </c>
      <c r="P10" s="142">
        <f>SUM(G10,J10,M10)</f>
        <v>318219</v>
      </c>
      <c r="Q10" s="335"/>
      <c r="R10" s="335"/>
    </row>
    <row r="11" spans="1:18" s="135" customFormat="1" ht="15" customHeight="1">
      <c r="A11" s="143"/>
      <c r="B11" s="144" t="s">
        <v>116</v>
      </c>
      <c r="C11" s="145"/>
      <c r="D11" s="145"/>
      <c r="E11" s="146">
        <v>1241681</v>
      </c>
      <c r="F11" s="146">
        <v>1241681</v>
      </c>
      <c r="G11" s="146">
        <v>1241681</v>
      </c>
      <c r="H11" s="146"/>
      <c r="I11" s="146"/>
      <c r="J11" s="146"/>
      <c r="K11" s="147"/>
      <c r="L11" s="147"/>
      <c r="M11" s="147"/>
      <c r="N11" s="148">
        <f>SUM(E11,H11,K11)</f>
        <v>1241681</v>
      </c>
      <c r="O11" s="148">
        <f>SUM(F11,I11,L11)</f>
        <v>1241681</v>
      </c>
      <c r="P11" s="223">
        <f aca="true" t="shared" si="0" ref="P11:P55">SUM(G11,J11,M11)</f>
        <v>1241681</v>
      </c>
      <c r="Q11" s="335"/>
      <c r="R11" s="335"/>
    </row>
    <row r="12" spans="1:18" s="135" customFormat="1" ht="15" customHeight="1" thickBot="1">
      <c r="A12" s="149"/>
      <c r="B12" s="150" t="s">
        <v>134</v>
      </c>
      <c r="C12" s="151"/>
      <c r="D12" s="151"/>
      <c r="E12" s="152"/>
      <c r="F12" s="152">
        <v>1811</v>
      </c>
      <c r="G12" s="152">
        <v>1811</v>
      </c>
      <c r="H12" s="152"/>
      <c r="I12" s="152"/>
      <c r="J12" s="152"/>
      <c r="K12" s="153"/>
      <c r="L12" s="153"/>
      <c r="M12" s="153"/>
      <c r="N12" s="154">
        <v>1811</v>
      </c>
      <c r="O12" s="148">
        <f>SUM(F12,I12,L12)</f>
        <v>1811</v>
      </c>
      <c r="P12" s="186">
        <f t="shared" si="0"/>
        <v>1811</v>
      </c>
      <c r="Q12" s="335"/>
      <c r="R12" s="335"/>
    </row>
    <row r="13" spans="1:18" s="135" customFormat="1" ht="15" customHeight="1" thickBot="1">
      <c r="A13" s="155" t="s">
        <v>60</v>
      </c>
      <c r="B13" s="156" t="s">
        <v>27</v>
      </c>
      <c r="C13" s="157"/>
      <c r="D13" s="157"/>
      <c r="E13" s="158">
        <f>SUM(E10:E12)</f>
        <v>1559900</v>
      </c>
      <c r="F13" s="158">
        <f>SUM(F10:F12)</f>
        <v>1561711</v>
      </c>
      <c r="G13" s="158">
        <f>SUM(G10:G12)</f>
        <v>1561711</v>
      </c>
      <c r="H13" s="158">
        <f aca="true" t="shared" si="1" ref="H13:O13">SUM(H10:H12)</f>
        <v>0</v>
      </c>
      <c r="I13" s="158">
        <f t="shared" si="1"/>
        <v>0</v>
      </c>
      <c r="J13" s="158"/>
      <c r="K13" s="158">
        <f t="shared" si="1"/>
        <v>0</v>
      </c>
      <c r="L13" s="158">
        <f t="shared" si="1"/>
        <v>0</v>
      </c>
      <c r="M13" s="158"/>
      <c r="N13" s="158">
        <f t="shared" si="1"/>
        <v>1561711</v>
      </c>
      <c r="O13" s="159">
        <f t="shared" si="1"/>
        <v>1561711</v>
      </c>
      <c r="P13" s="87">
        <f t="shared" si="0"/>
        <v>1561711</v>
      </c>
      <c r="Q13" s="335">
        <f>SUM(F10:F11)</f>
        <v>1559900</v>
      </c>
      <c r="R13" s="335"/>
    </row>
    <row r="14" spans="1:18" s="135" customFormat="1" ht="15" customHeight="1">
      <c r="A14" s="160"/>
      <c r="B14" s="161" t="s">
        <v>29</v>
      </c>
      <c r="C14" s="162">
        <v>41.1</v>
      </c>
      <c r="D14" s="162">
        <v>41.1</v>
      </c>
      <c r="E14" s="163">
        <v>186046</v>
      </c>
      <c r="F14" s="163">
        <f>186046+1062-1680</f>
        <v>185428</v>
      </c>
      <c r="G14" s="163">
        <v>185428</v>
      </c>
      <c r="H14" s="164"/>
      <c r="I14" s="164"/>
      <c r="J14" s="164"/>
      <c r="K14" s="165"/>
      <c r="L14" s="165"/>
      <c r="M14" s="345"/>
      <c r="N14" s="166">
        <f aca="true" t="shared" si="2" ref="N14:O18">SUM(E14,H14,K14)</f>
        <v>186046</v>
      </c>
      <c r="O14" s="167">
        <f t="shared" si="2"/>
        <v>185428</v>
      </c>
      <c r="P14" s="142">
        <f t="shared" si="0"/>
        <v>185428</v>
      </c>
      <c r="Q14" s="335"/>
      <c r="R14" s="335"/>
    </row>
    <row r="15" spans="1:18" s="135" customFormat="1" ht="15" customHeight="1">
      <c r="A15" s="168"/>
      <c r="B15" s="169" t="s">
        <v>30</v>
      </c>
      <c r="C15" s="170"/>
      <c r="D15" s="170"/>
      <c r="E15" s="171">
        <v>54360</v>
      </c>
      <c r="F15" s="171">
        <f>54360-1260</f>
        <v>53100</v>
      </c>
      <c r="G15" s="171">
        <v>53100</v>
      </c>
      <c r="H15" s="172"/>
      <c r="I15" s="172"/>
      <c r="J15" s="172"/>
      <c r="K15" s="173"/>
      <c r="L15" s="173"/>
      <c r="M15" s="173"/>
      <c r="N15" s="174">
        <f t="shared" si="2"/>
        <v>54360</v>
      </c>
      <c r="O15" s="174">
        <f t="shared" si="2"/>
        <v>53100</v>
      </c>
      <c r="P15" s="148">
        <f t="shared" si="0"/>
        <v>53100</v>
      </c>
      <c r="Q15" s="335"/>
      <c r="R15" s="335"/>
    </row>
    <row r="16" spans="1:18" s="135" customFormat="1" ht="15" customHeight="1">
      <c r="A16" s="168"/>
      <c r="B16" s="175" t="s">
        <v>31</v>
      </c>
      <c r="C16" s="176"/>
      <c r="D16" s="176"/>
      <c r="E16" s="177">
        <v>37664</v>
      </c>
      <c r="F16" s="177">
        <f>37664+27-272</f>
        <v>37419</v>
      </c>
      <c r="G16" s="177">
        <v>37419</v>
      </c>
      <c r="H16" s="178"/>
      <c r="I16" s="178"/>
      <c r="J16" s="178"/>
      <c r="K16" s="179"/>
      <c r="L16" s="179"/>
      <c r="M16" s="179"/>
      <c r="N16" s="174">
        <f t="shared" si="2"/>
        <v>37664</v>
      </c>
      <c r="O16" s="174">
        <f t="shared" si="2"/>
        <v>37419</v>
      </c>
      <c r="P16" s="223">
        <f t="shared" si="0"/>
        <v>37419</v>
      </c>
      <c r="Q16" s="335"/>
      <c r="R16" s="335"/>
    </row>
    <row r="17" spans="1:18" s="135" customFormat="1" ht="15" customHeight="1">
      <c r="A17" s="180"/>
      <c r="B17" s="175" t="s">
        <v>163</v>
      </c>
      <c r="C17" s="176"/>
      <c r="D17" s="176"/>
      <c r="E17" s="177"/>
      <c r="F17" s="177">
        <f>7874+2952+1</f>
        <v>10827</v>
      </c>
      <c r="G17" s="177">
        <v>10827</v>
      </c>
      <c r="H17" s="178"/>
      <c r="I17" s="178"/>
      <c r="J17" s="178"/>
      <c r="K17" s="179"/>
      <c r="L17" s="179"/>
      <c r="M17" s="179"/>
      <c r="N17" s="174">
        <f t="shared" si="2"/>
        <v>0</v>
      </c>
      <c r="O17" s="174">
        <f t="shared" si="2"/>
        <v>10827</v>
      </c>
      <c r="P17" s="183">
        <f t="shared" si="0"/>
        <v>10827</v>
      </c>
      <c r="Q17" s="335"/>
      <c r="R17" s="335"/>
    </row>
    <row r="18" spans="1:18" s="135" customFormat="1" ht="15" customHeight="1" thickBot="1">
      <c r="A18" s="180"/>
      <c r="B18" s="175" t="s">
        <v>139</v>
      </c>
      <c r="C18" s="176"/>
      <c r="D18" s="176"/>
      <c r="E18" s="177">
        <v>8910</v>
      </c>
      <c r="F18" s="177">
        <f>8910+4992-116</f>
        <v>13786</v>
      </c>
      <c r="G18" s="177">
        <v>13786</v>
      </c>
      <c r="H18" s="178"/>
      <c r="I18" s="178"/>
      <c r="J18" s="178"/>
      <c r="K18" s="179"/>
      <c r="L18" s="179"/>
      <c r="M18" s="179"/>
      <c r="N18" s="174">
        <f t="shared" si="2"/>
        <v>8910</v>
      </c>
      <c r="O18" s="174">
        <f t="shared" si="2"/>
        <v>13786</v>
      </c>
      <c r="P18" s="186">
        <f t="shared" si="0"/>
        <v>13786</v>
      </c>
      <c r="Q18" s="335">
        <v>290887</v>
      </c>
      <c r="R18" s="335">
        <f>SUM(F19-Q18)</f>
        <v>9673</v>
      </c>
    </row>
    <row r="19" spans="1:18" s="135" customFormat="1" ht="15" customHeight="1" thickBot="1">
      <c r="A19" s="155" t="s">
        <v>61</v>
      </c>
      <c r="B19" s="156" t="s">
        <v>48</v>
      </c>
      <c r="C19" s="157"/>
      <c r="D19" s="157"/>
      <c r="E19" s="158">
        <f>SUM(E14:E18)</f>
        <v>286980</v>
      </c>
      <c r="F19" s="158">
        <f>SUM(F14:F18)</f>
        <v>300560</v>
      </c>
      <c r="G19" s="158">
        <f>SUM(G14:G18)</f>
        <v>300560</v>
      </c>
      <c r="H19" s="158">
        <f>SUM(H14:H18)</f>
        <v>0</v>
      </c>
      <c r="I19" s="158"/>
      <c r="J19" s="158"/>
      <c r="K19" s="158">
        <f>SUM(K14:K18)</f>
        <v>0</v>
      </c>
      <c r="L19" s="158"/>
      <c r="M19" s="158"/>
      <c r="N19" s="158">
        <f>SUM(N14:N18)</f>
        <v>286980</v>
      </c>
      <c r="O19" s="159">
        <f>SUM(O14:O18)</f>
        <v>300560</v>
      </c>
      <c r="P19" s="87">
        <f t="shared" si="0"/>
        <v>300560</v>
      </c>
      <c r="Q19" s="335"/>
      <c r="R19" s="335"/>
    </row>
    <row r="20" spans="1:18" s="135" customFormat="1" ht="15" customHeight="1">
      <c r="A20" s="181"/>
      <c r="B20" s="182" t="s">
        <v>127</v>
      </c>
      <c r="C20" s="170"/>
      <c r="D20" s="170"/>
      <c r="E20" s="171">
        <v>6600</v>
      </c>
      <c r="F20" s="171">
        <v>6600</v>
      </c>
      <c r="G20" s="171">
        <v>6600</v>
      </c>
      <c r="H20" s="172"/>
      <c r="I20" s="172"/>
      <c r="J20" s="172"/>
      <c r="K20" s="173"/>
      <c r="L20" s="165"/>
      <c r="M20" s="345"/>
      <c r="N20" s="166">
        <f>SUM(E20,H20,K20)</f>
        <v>6600</v>
      </c>
      <c r="O20" s="183">
        <f>SUM(F20,I20,L20)</f>
        <v>6600</v>
      </c>
      <c r="P20" s="142">
        <f t="shared" si="0"/>
        <v>6600</v>
      </c>
      <c r="Q20" s="335"/>
      <c r="R20" s="335"/>
    </row>
    <row r="21" spans="1:18" s="135" customFormat="1" ht="15" customHeight="1">
      <c r="A21" s="181"/>
      <c r="B21" s="182" t="s">
        <v>128</v>
      </c>
      <c r="C21" s="170"/>
      <c r="D21" s="170"/>
      <c r="E21" s="171">
        <v>6600</v>
      </c>
      <c r="F21" s="171">
        <v>6600</v>
      </c>
      <c r="G21" s="171">
        <v>6600</v>
      </c>
      <c r="H21" s="172"/>
      <c r="I21" s="172"/>
      <c r="J21" s="172"/>
      <c r="K21" s="173"/>
      <c r="L21" s="173"/>
      <c r="M21" s="173"/>
      <c r="N21" s="174">
        <f aca="true" t="shared" si="3" ref="N21:N33">SUM(E21,H21,K21)</f>
        <v>6600</v>
      </c>
      <c r="O21" s="183">
        <f aca="true" t="shared" si="4" ref="O21:O33">SUM(F21,I21,L21)</f>
        <v>6600</v>
      </c>
      <c r="P21" s="223">
        <f t="shared" si="0"/>
        <v>6600</v>
      </c>
      <c r="Q21" s="335"/>
      <c r="R21" s="335"/>
    </row>
    <row r="22" spans="1:18" s="135" customFormat="1" ht="15" customHeight="1">
      <c r="A22" s="181"/>
      <c r="B22" s="182" t="s">
        <v>32</v>
      </c>
      <c r="C22" s="170">
        <v>450</v>
      </c>
      <c r="D22" s="170">
        <v>450</v>
      </c>
      <c r="E22" s="171">
        <v>24912</v>
      </c>
      <c r="F22" s="171">
        <f>24912-2214</f>
        <v>22698</v>
      </c>
      <c r="G22" s="171">
        <v>22698</v>
      </c>
      <c r="H22" s="172"/>
      <c r="I22" s="172"/>
      <c r="J22" s="172"/>
      <c r="K22" s="173"/>
      <c r="L22" s="173"/>
      <c r="M22" s="173"/>
      <c r="N22" s="174">
        <f t="shared" si="3"/>
        <v>24912</v>
      </c>
      <c r="O22" s="183">
        <f t="shared" si="4"/>
        <v>22698</v>
      </c>
      <c r="P22" s="223">
        <f t="shared" si="0"/>
        <v>22698</v>
      </c>
      <c r="Q22" s="335"/>
      <c r="R22" s="335"/>
    </row>
    <row r="23" spans="1:18" s="135" customFormat="1" ht="15" customHeight="1">
      <c r="A23" s="184"/>
      <c r="B23" s="169" t="s">
        <v>33</v>
      </c>
      <c r="C23" s="170">
        <v>70</v>
      </c>
      <c r="D23" s="170">
        <v>70</v>
      </c>
      <c r="E23" s="171">
        <v>13960</v>
      </c>
      <c r="F23" s="171">
        <v>13960</v>
      </c>
      <c r="G23" s="171">
        <v>13960</v>
      </c>
      <c r="H23" s="172"/>
      <c r="I23" s="172"/>
      <c r="J23" s="172"/>
      <c r="K23" s="173"/>
      <c r="L23" s="173"/>
      <c r="M23" s="173"/>
      <c r="N23" s="174">
        <f t="shared" si="3"/>
        <v>13960</v>
      </c>
      <c r="O23" s="183">
        <f t="shared" si="4"/>
        <v>13960</v>
      </c>
      <c r="P23" s="223">
        <f t="shared" si="0"/>
        <v>13960</v>
      </c>
      <c r="Q23" s="335"/>
      <c r="R23" s="335"/>
    </row>
    <row r="24" spans="1:18" s="135" customFormat="1" ht="15" customHeight="1">
      <c r="A24" s="184"/>
      <c r="B24" s="169" t="s">
        <v>34</v>
      </c>
      <c r="C24" s="170">
        <v>320</v>
      </c>
      <c r="D24" s="170">
        <v>320</v>
      </c>
      <c r="E24" s="171">
        <v>34880</v>
      </c>
      <c r="F24" s="171">
        <v>34880</v>
      </c>
      <c r="G24" s="171">
        <v>34880</v>
      </c>
      <c r="H24" s="172"/>
      <c r="I24" s="172"/>
      <c r="J24" s="172"/>
      <c r="K24" s="173"/>
      <c r="L24" s="173"/>
      <c r="M24" s="173"/>
      <c r="N24" s="174">
        <f t="shared" si="3"/>
        <v>34880</v>
      </c>
      <c r="O24" s="183">
        <f t="shared" si="4"/>
        <v>34880</v>
      </c>
      <c r="P24" s="223">
        <f t="shared" si="0"/>
        <v>34880</v>
      </c>
      <c r="Q24" s="335"/>
      <c r="R24" s="335"/>
    </row>
    <row r="25" spans="1:18" s="135" customFormat="1" ht="15" customHeight="1">
      <c r="A25" s="184"/>
      <c r="B25" s="169" t="s">
        <v>35</v>
      </c>
      <c r="C25" s="170">
        <v>95</v>
      </c>
      <c r="D25" s="170">
        <v>95</v>
      </c>
      <c r="E25" s="171">
        <v>46939</v>
      </c>
      <c r="F25" s="171">
        <v>46939</v>
      </c>
      <c r="G25" s="171">
        <v>46939</v>
      </c>
      <c r="H25" s="172"/>
      <c r="I25" s="172"/>
      <c r="J25" s="172"/>
      <c r="K25" s="173"/>
      <c r="L25" s="173"/>
      <c r="M25" s="173"/>
      <c r="N25" s="174">
        <f t="shared" si="3"/>
        <v>46939</v>
      </c>
      <c r="O25" s="183">
        <f t="shared" si="4"/>
        <v>46939</v>
      </c>
      <c r="P25" s="223">
        <f t="shared" si="0"/>
        <v>46939</v>
      </c>
      <c r="Q25" s="335">
        <f>SUM(F26,F27)</f>
        <v>17252</v>
      </c>
      <c r="R25" s="335"/>
    </row>
    <row r="26" spans="1:18" s="135" customFormat="1" ht="15" customHeight="1">
      <c r="A26" s="184"/>
      <c r="B26" s="126" t="s">
        <v>138</v>
      </c>
      <c r="C26" s="170">
        <v>4</v>
      </c>
      <c r="D26" s="170">
        <v>4</v>
      </c>
      <c r="E26" s="171">
        <v>10424</v>
      </c>
      <c r="F26" s="171">
        <v>10424</v>
      </c>
      <c r="G26" s="171">
        <v>10424</v>
      </c>
      <c r="H26" s="172"/>
      <c r="I26" s="172"/>
      <c r="J26" s="172"/>
      <c r="K26" s="173"/>
      <c r="L26" s="173"/>
      <c r="M26" s="173"/>
      <c r="N26" s="174">
        <f t="shared" si="3"/>
        <v>10424</v>
      </c>
      <c r="O26" s="183">
        <f t="shared" si="4"/>
        <v>10424</v>
      </c>
      <c r="P26" s="223">
        <f t="shared" si="0"/>
        <v>10424</v>
      </c>
      <c r="Q26" s="335"/>
      <c r="R26" s="335"/>
    </row>
    <row r="27" spans="1:18" s="135" customFormat="1" ht="15" customHeight="1">
      <c r="A27" s="184"/>
      <c r="B27" s="185" t="s">
        <v>36</v>
      </c>
      <c r="C27" s="170"/>
      <c r="D27" s="170"/>
      <c r="E27" s="171">
        <v>7575</v>
      </c>
      <c r="F27" s="171">
        <f>7575-747</f>
        <v>6828</v>
      </c>
      <c r="G27" s="171">
        <v>6828</v>
      </c>
      <c r="H27" s="172"/>
      <c r="I27" s="172"/>
      <c r="J27" s="172"/>
      <c r="K27" s="173"/>
      <c r="L27" s="173"/>
      <c r="M27" s="173"/>
      <c r="N27" s="174">
        <f t="shared" si="3"/>
        <v>7575</v>
      </c>
      <c r="O27" s="183">
        <f t="shared" si="4"/>
        <v>6828</v>
      </c>
      <c r="P27" s="223">
        <f t="shared" si="0"/>
        <v>6828</v>
      </c>
      <c r="Q27" s="335"/>
      <c r="R27" s="335"/>
    </row>
    <row r="28" spans="1:18" s="135" customFormat="1" ht="15" customHeight="1">
      <c r="A28" s="184"/>
      <c r="B28" s="185" t="s">
        <v>121</v>
      </c>
      <c r="C28" s="170">
        <v>35.87</v>
      </c>
      <c r="D28" s="170">
        <v>35.87</v>
      </c>
      <c r="E28" s="171">
        <v>58540</v>
      </c>
      <c r="F28" s="171">
        <f>58540-147-1763</f>
        <v>56630</v>
      </c>
      <c r="G28" s="171">
        <v>56630</v>
      </c>
      <c r="H28" s="172"/>
      <c r="I28" s="172"/>
      <c r="J28" s="172"/>
      <c r="K28" s="173"/>
      <c r="L28" s="173"/>
      <c r="M28" s="173"/>
      <c r="N28" s="174">
        <f t="shared" si="3"/>
        <v>58540</v>
      </c>
      <c r="O28" s="183">
        <f t="shared" si="4"/>
        <v>56630</v>
      </c>
      <c r="P28" s="223">
        <f t="shared" si="0"/>
        <v>56630</v>
      </c>
      <c r="Q28" s="335"/>
      <c r="R28" s="335"/>
    </row>
    <row r="29" spans="1:18" s="135" customFormat="1" ht="15" customHeight="1">
      <c r="A29" s="187"/>
      <c r="B29" s="144" t="s">
        <v>126</v>
      </c>
      <c r="C29" s="145">
        <v>609</v>
      </c>
      <c r="D29" s="145">
        <v>609</v>
      </c>
      <c r="E29" s="188">
        <v>208</v>
      </c>
      <c r="F29" s="188">
        <f>208-3-87</f>
        <v>118</v>
      </c>
      <c r="G29" s="188">
        <v>118</v>
      </c>
      <c r="H29" s="146">
        <f>SUM(H27)</f>
        <v>0</v>
      </c>
      <c r="I29" s="146"/>
      <c r="J29" s="146"/>
      <c r="K29" s="147"/>
      <c r="L29" s="147"/>
      <c r="M29" s="189"/>
      <c r="N29" s="188">
        <f t="shared" si="3"/>
        <v>208</v>
      </c>
      <c r="O29" s="148">
        <f t="shared" si="4"/>
        <v>118</v>
      </c>
      <c r="P29" s="223">
        <f t="shared" si="0"/>
        <v>118</v>
      </c>
      <c r="Q29" s="335"/>
      <c r="R29" s="335"/>
    </row>
    <row r="30" spans="1:18" s="135" customFormat="1" ht="15" customHeight="1">
      <c r="A30" s="184"/>
      <c r="B30" s="185" t="s">
        <v>140</v>
      </c>
      <c r="C30" s="170">
        <v>6</v>
      </c>
      <c r="D30" s="170">
        <v>6</v>
      </c>
      <c r="E30" s="171">
        <v>9053</v>
      </c>
      <c r="F30" s="171">
        <f>9053+1207</f>
        <v>10260</v>
      </c>
      <c r="G30" s="171">
        <v>10260</v>
      </c>
      <c r="H30" s="172"/>
      <c r="I30" s="172"/>
      <c r="J30" s="172"/>
      <c r="K30" s="190"/>
      <c r="L30" s="190"/>
      <c r="M30" s="189"/>
      <c r="N30" s="188">
        <f t="shared" si="3"/>
        <v>9053</v>
      </c>
      <c r="O30" s="148">
        <f t="shared" si="4"/>
        <v>10260</v>
      </c>
      <c r="P30" s="223">
        <f t="shared" si="0"/>
        <v>10260</v>
      </c>
      <c r="Q30" s="335"/>
      <c r="R30" s="335"/>
    </row>
    <row r="31" spans="1:18" s="135" customFormat="1" ht="15" customHeight="1">
      <c r="A31" s="184"/>
      <c r="B31" s="338" t="s">
        <v>156</v>
      </c>
      <c r="C31" s="170"/>
      <c r="D31" s="170"/>
      <c r="E31" s="171"/>
      <c r="F31" s="171">
        <f>4845+4785+2400+1190</f>
        <v>13220</v>
      </c>
      <c r="G31" s="171">
        <v>13220</v>
      </c>
      <c r="H31" s="172"/>
      <c r="I31" s="172"/>
      <c r="J31" s="172"/>
      <c r="K31" s="190"/>
      <c r="L31" s="190"/>
      <c r="M31" s="189"/>
      <c r="N31" s="188">
        <f t="shared" si="3"/>
        <v>0</v>
      </c>
      <c r="O31" s="148">
        <f t="shared" si="4"/>
        <v>13220</v>
      </c>
      <c r="P31" s="223">
        <f t="shared" si="0"/>
        <v>13220</v>
      </c>
      <c r="Q31" s="335"/>
      <c r="R31" s="335"/>
    </row>
    <row r="32" spans="1:18" s="135" customFormat="1" ht="15" customHeight="1">
      <c r="A32" s="184"/>
      <c r="B32" s="339" t="s">
        <v>157</v>
      </c>
      <c r="C32" s="170"/>
      <c r="D32" s="170"/>
      <c r="E32" s="191"/>
      <c r="F32" s="191">
        <f>21895+17485+8625+4327</f>
        <v>52332</v>
      </c>
      <c r="G32" s="344">
        <v>52332</v>
      </c>
      <c r="H32" s="172"/>
      <c r="I32" s="172"/>
      <c r="J32" s="172"/>
      <c r="K32" s="190"/>
      <c r="L32" s="190"/>
      <c r="M32" s="189"/>
      <c r="N32" s="188">
        <f t="shared" si="3"/>
        <v>0</v>
      </c>
      <c r="O32" s="148">
        <f t="shared" si="4"/>
        <v>52332</v>
      </c>
      <c r="P32" s="223">
        <f t="shared" si="0"/>
        <v>52332</v>
      </c>
      <c r="Q32" s="335"/>
      <c r="R32" s="335"/>
    </row>
    <row r="33" spans="1:18" s="135" customFormat="1" ht="15" customHeight="1" thickBot="1">
      <c r="A33" s="187"/>
      <c r="B33" s="192" t="s">
        <v>141</v>
      </c>
      <c r="C33" s="145">
        <v>41</v>
      </c>
      <c r="D33" s="145">
        <v>41</v>
      </c>
      <c r="E33" s="193">
        <v>8150</v>
      </c>
      <c r="F33" s="193">
        <v>8150</v>
      </c>
      <c r="G33" s="193">
        <v>8150</v>
      </c>
      <c r="H33" s="146"/>
      <c r="I33" s="146"/>
      <c r="J33" s="146"/>
      <c r="K33" s="189"/>
      <c r="L33" s="189"/>
      <c r="M33" s="189"/>
      <c r="N33" s="188">
        <f t="shared" si="3"/>
        <v>8150</v>
      </c>
      <c r="O33" s="148">
        <f t="shared" si="4"/>
        <v>8150</v>
      </c>
      <c r="P33" s="186">
        <f t="shared" si="0"/>
        <v>8150</v>
      </c>
      <c r="Q33" s="335"/>
      <c r="R33" s="335"/>
    </row>
    <row r="34" spans="1:18" s="135" customFormat="1" ht="15" customHeight="1" thickBot="1">
      <c r="A34" s="155" t="s">
        <v>62</v>
      </c>
      <c r="B34" s="194" t="s">
        <v>115</v>
      </c>
      <c r="C34" s="157"/>
      <c r="D34" s="157"/>
      <c r="E34" s="158">
        <f>SUM(E20:E33)</f>
        <v>227841</v>
      </c>
      <c r="F34" s="158">
        <f>SUM(F20:F33)</f>
        <v>289639</v>
      </c>
      <c r="G34" s="158">
        <f>SUM(G20:G33)</f>
        <v>289639</v>
      </c>
      <c r="H34" s="158">
        <f>SUM(H20:H29)</f>
        <v>0</v>
      </c>
      <c r="I34" s="158">
        <f>SUM(I20:I29)</f>
        <v>0</v>
      </c>
      <c r="J34" s="158"/>
      <c r="K34" s="158">
        <f>SUM(K20:K29)</f>
        <v>0</v>
      </c>
      <c r="L34" s="158">
        <f>SUM(L20:L29)</f>
        <v>0</v>
      </c>
      <c r="M34" s="158"/>
      <c r="N34" s="158">
        <f>SUM(N20:N33)</f>
        <v>227841</v>
      </c>
      <c r="O34" s="159">
        <f>SUM(O20:O33)</f>
        <v>289639</v>
      </c>
      <c r="P34" s="87">
        <f t="shared" si="0"/>
        <v>289639</v>
      </c>
      <c r="Q34" s="335"/>
      <c r="R34" s="335"/>
    </row>
    <row r="35" spans="1:18" s="135" customFormat="1" ht="15" customHeight="1" thickBot="1">
      <c r="A35" s="195" t="s">
        <v>63</v>
      </c>
      <c r="B35" s="196" t="s">
        <v>49</v>
      </c>
      <c r="C35" s="197">
        <v>26166</v>
      </c>
      <c r="D35" s="197">
        <v>26166</v>
      </c>
      <c r="E35" s="197">
        <v>10466</v>
      </c>
      <c r="F35" s="197">
        <v>10466</v>
      </c>
      <c r="G35" s="197">
        <v>10466</v>
      </c>
      <c r="H35" s="198"/>
      <c r="I35" s="198"/>
      <c r="J35" s="198"/>
      <c r="K35" s="132"/>
      <c r="L35" s="141"/>
      <c r="M35" s="346"/>
      <c r="N35" s="199">
        <f>SUM(E35,H35,K35)</f>
        <v>10466</v>
      </c>
      <c r="O35" s="108">
        <f>SUM(F35,I35,L35)</f>
        <v>10466</v>
      </c>
      <c r="P35" s="87">
        <f t="shared" si="0"/>
        <v>10466</v>
      </c>
      <c r="Q35" s="335"/>
      <c r="R35" s="335"/>
    </row>
    <row r="36" spans="1:18" s="135" customFormat="1" ht="15" customHeight="1" thickBot="1">
      <c r="A36" s="200"/>
      <c r="B36" s="201" t="s">
        <v>28</v>
      </c>
      <c r="C36" s="157"/>
      <c r="D36" s="157"/>
      <c r="E36" s="158">
        <f>SUM(E19,E34,E35)</f>
        <v>525287</v>
      </c>
      <c r="F36" s="158">
        <f>SUM(F19,F34,F35)</f>
        <v>600665</v>
      </c>
      <c r="G36" s="158">
        <f>SUM(G19,G34,G35)</f>
        <v>600665</v>
      </c>
      <c r="H36" s="158">
        <f>SUM(H19,H34,H35)</f>
        <v>0</v>
      </c>
      <c r="I36" s="158"/>
      <c r="J36" s="158"/>
      <c r="K36" s="158">
        <f>SUM(K19,K34,K35)</f>
        <v>0</v>
      </c>
      <c r="L36" s="158"/>
      <c r="M36" s="158"/>
      <c r="N36" s="158">
        <f>SUM(N19,N34,N35)</f>
        <v>525287</v>
      </c>
      <c r="O36" s="159">
        <f>SUM(O19,O34,O35)</f>
        <v>600665</v>
      </c>
      <c r="P36" s="87">
        <f t="shared" si="0"/>
        <v>600665</v>
      </c>
      <c r="Q36" s="335"/>
      <c r="R36" s="335"/>
    </row>
    <row r="37" spans="1:18" s="202" customFormat="1" ht="15" customHeight="1">
      <c r="A37" s="330"/>
      <c r="B37" s="331" t="s">
        <v>155</v>
      </c>
      <c r="C37" s="332"/>
      <c r="D37" s="332"/>
      <c r="E37" s="333"/>
      <c r="F37" s="333">
        <f>5811+5460+2543+1190</f>
        <v>15004</v>
      </c>
      <c r="G37" s="333">
        <v>15004</v>
      </c>
      <c r="H37" s="333"/>
      <c r="I37" s="333"/>
      <c r="J37" s="333"/>
      <c r="K37" s="333"/>
      <c r="L37" s="333"/>
      <c r="M37" s="333"/>
      <c r="N37" s="215">
        <f>SUM(E37,H37,K37)</f>
        <v>0</v>
      </c>
      <c r="O37" s="334">
        <f>SUM(F37,I37,L37)</f>
        <v>15004</v>
      </c>
      <c r="P37" s="142">
        <f t="shared" si="0"/>
        <v>15004</v>
      </c>
      <c r="Q37" s="336"/>
      <c r="R37" s="336"/>
    </row>
    <row r="38" spans="1:18" s="209" customFormat="1" ht="15" customHeight="1" thickBot="1">
      <c r="A38" s="203" t="s">
        <v>172</v>
      </c>
      <c r="B38" s="204" t="s">
        <v>136</v>
      </c>
      <c r="C38" s="205"/>
      <c r="D38" s="205"/>
      <c r="E38" s="206">
        <f aca="true" t="shared" si="5" ref="E38:O38">SUM(E37:E37)</f>
        <v>0</v>
      </c>
      <c r="F38" s="206">
        <f t="shared" si="5"/>
        <v>15004</v>
      </c>
      <c r="G38" s="206">
        <f t="shared" si="5"/>
        <v>15004</v>
      </c>
      <c r="H38" s="206">
        <f t="shared" si="5"/>
        <v>0</v>
      </c>
      <c r="I38" s="206">
        <f t="shared" si="5"/>
        <v>0</v>
      </c>
      <c r="J38" s="206"/>
      <c r="K38" s="206">
        <f t="shared" si="5"/>
        <v>0</v>
      </c>
      <c r="L38" s="206">
        <f t="shared" si="5"/>
        <v>0</v>
      </c>
      <c r="M38" s="206"/>
      <c r="N38" s="207">
        <f t="shared" si="5"/>
        <v>0</v>
      </c>
      <c r="O38" s="208">
        <f t="shared" si="5"/>
        <v>15004</v>
      </c>
      <c r="P38" s="110">
        <f t="shared" si="0"/>
        <v>15004</v>
      </c>
      <c r="Q38" s="337"/>
      <c r="R38" s="337"/>
    </row>
    <row r="39" spans="1:18" s="209" customFormat="1" ht="15" customHeight="1" thickBot="1">
      <c r="A39" s="360"/>
      <c r="B39" s="365" t="s">
        <v>171</v>
      </c>
      <c r="C39" s="361"/>
      <c r="D39" s="361"/>
      <c r="E39" s="362"/>
      <c r="F39" s="362"/>
      <c r="G39" s="366">
        <v>7388</v>
      </c>
      <c r="H39" s="362"/>
      <c r="I39" s="362"/>
      <c r="J39" s="362"/>
      <c r="K39" s="362"/>
      <c r="L39" s="362"/>
      <c r="M39" s="362"/>
      <c r="N39" s="363"/>
      <c r="O39" s="364"/>
      <c r="P39" s="142">
        <f t="shared" si="0"/>
        <v>7388</v>
      </c>
      <c r="Q39" s="337"/>
      <c r="R39" s="337"/>
    </row>
    <row r="40" spans="1:18" s="209" customFormat="1" ht="15" customHeight="1" thickBot="1">
      <c r="A40" s="374" t="s">
        <v>135</v>
      </c>
      <c r="B40" s="375" t="s">
        <v>171</v>
      </c>
      <c r="C40" s="376"/>
      <c r="D40" s="376"/>
      <c r="E40" s="377"/>
      <c r="F40" s="377"/>
      <c r="G40" s="377">
        <f>SUM(G39)</f>
        <v>7388</v>
      </c>
      <c r="H40" s="377"/>
      <c r="I40" s="377"/>
      <c r="J40" s="377"/>
      <c r="K40" s="377"/>
      <c r="L40" s="377"/>
      <c r="M40" s="377"/>
      <c r="N40" s="158"/>
      <c r="O40" s="159"/>
      <c r="P40" s="124">
        <f t="shared" si="0"/>
        <v>7388</v>
      </c>
      <c r="Q40" s="337"/>
      <c r="R40" s="337"/>
    </row>
    <row r="41" spans="1:18" s="135" customFormat="1" ht="15" customHeight="1" thickBot="1">
      <c r="A41" s="155" t="s">
        <v>2</v>
      </c>
      <c r="B41" s="210" t="s">
        <v>137</v>
      </c>
      <c r="C41" s="157"/>
      <c r="D41" s="157"/>
      <c r="E41" s="158">
        <f aca="true" t="shared" si="6" ref="E41:O41">SUM(E13,E36,E38)</f>
        <v>2085187</v>
      </c>
      <c r="F41" s="158">
        <f t="shared" si="6"/>
        <v>2177380</v>
      </c>
      <c r="G41" s="158">
        <f>SUM(G13,G36,G38,G40)</f>
        <v>2184768</v>
      </c>
      <c r="H41" s="158">
        <f t="shared" si="6"/>
        <v>0</v>
      </c>
      <c r="I41" s="158">
        <f t="shared" si="6"/>
        <v>0</v>
      </c>
      <c r="J41" s="158"/>
      <c r="K41" s="158">
        <f t="shared" si="6"/>
        <v>0</v>
      </c>
      <c r="L41" s="158">
        <f t="shared" si="6"/>
        <v>0</v>
      </c>
      <c r="M41" s="158"/>
      <c r="N41" s="158">
        <f t="shared" si="6"/>
        <v>2086998</v>
      </c>
      <c r="O41" s="159">
        <f t="shared" si="6"/>
        <v>2177380</v>
      </c>
      <c r="P41" s="87">
        <f t="shared" si="0"/>
        <v>2184768</v>
      </c>
      <c r="Q41" s="336"/>
      <c r="R41" s="335"/>
    </row>
    <row r="42" spans="1:18" s="135" customFormat="1" ht="15" customHeight="1" thickBot="1">
      <c r="A42" s="211" t="s">
        <v>3</v>
      </c>
      <c r="B42" s="212" t="s">
        <v>51</v>
      </c>
      <c r="C42" s="211"/>
      <c r="D42" s="211"/>
      <c r="E42" s="158"/>
      <c r="F42" s="158"/>
      <c r="G42" s="158"/>
      <c r="H42" s="213"/>
      <c r="I42" s="213"/>
      <c r="J42" s="213"/>
      <c r="K42" s="214"/>
      <c r="L42" s="214"/>
      <c r="M42" s="214"/>
      <c r="N42" s="215">
        <f>SUM(E42:K42)</f>
        <v>0</v>
      </c>
      <c r="O42" s="216"/>
      <c r="P42" s="142">
        <f t="shared" si="0"/>
        <v>0</v>
      </c>
      <c r="Q42" s="335"/>
      <c r="R42" s="335"/>
    </row>
    <row r="43" spans="1:18" s="135" customFormat="1" ht="15" customHeight="1">
      <c r="A43" s="217" t="s">
        <v>56</v>
      </c>
      <c r="B43" s="218" t="s">
        <v>52</v>
      </c>
      <c r="C43" s="219"/>
      <c r="D43" s="219"/>
      <c r="E43" s="163"/>
      <c r="F43" s="163"/>
      <c r="G43" s="163"/>
      <c r="H43" s="164"/>
      <c r="I43" s="164"/>
      <c r="J43" s="164"/>
      <c r="K43" s="165"/>
      <c r="L43" s="165"/>
      <c r="M43" s="345"/>
      <c r="N43" s="166">
        <f>SUM(E43:K43)</f>
        <v>0</v>
      </c>
      <c r="O43" s="183"/>
      <c r="P43" s="142">
        <f t="shared" si="0"/>
        <v>0</v>
      </c>
      <c r="Q43" s="335"/>
      <c r="R43" s="335"/>
    </row>
    <row r="44" spans="1:18" s="135" customFormat="1" ht="15" customHeight="1">
      <c r="A44" s="220"/>
      <c r="B44" s="221" t="s">
        <v>129</v>
      </c>
      <c r="C44" s="222"/>
      <c r="D44" s="222"/>
      <c r="E44" s="171"/>
      <c r="F44" s="171"/>
      <c r="G44" s="171"/>
      <c r="H44" s="172"/>
      <c r="I44" s="172"/>
      <c r="J44" s="172"/>
      <c r="K44" s="174">
        <v>4083</v>
      </c>
      <c r="L44" s="174">
        <f>4083+4307+811</f>
        <v>9201</v>
      </c>
      <c r="M44" s="171">
        <v>9201</v>
      </c>
      <c r="N44" s="171">
        <f aca="true" t="shared" si="7" ref="N44:O50">SUM(E44,H44,K44)</f>
        <v>4083</v>
      </c>
      <c r="O44" s="223">
        <f t="shared" si="7"/>
        <v>9201</v>
      </c>
      <c r="P44" s="223">
        <f t="shared" si="0"/>
        <v>9201</v>
      </c>
      <c r="Q44" s="335"/>
      <c r="R44" s="335"/>
    </row>
    <row r="45" spans="1:18" s="135" customFormat="1" ht="15" customHeight="1">
      <c r="A45" s="220"/>
      <c r="B45" s="221" t="s">
        <v>144</v>
      </c>
      <c r="C45" s="222"/>
      <c r="D45" s="222"/>
      <c r="E45" s="171"/>
      <c r="F45" s="171">
        <v>500</v>
      </c>
      <c r="G45" s="171">
        <v>500</v>
      </c>
      <c r="H45" s="172"/>
      <c r="I45" s="172"/>
      <c r="J45" s="172"/>
      <c r="K45" s="174"/>
      <c r="L45" s="174"/>
      <c r="M45" s="174"/>
      <c r="N45" s="223">
        <f t="shared" si="7"/>
        <v>0</v>
      </c>
      <c r="O45" s="223">
        <f t="shared" si="7"/>
        <v>500</v>
      </c>
      <c r="P45" s="223">
        <f t="shared" si="0"/>
        <v>500</v>
      </c>
      <c r="Q45" s="335"/>
      <c r="R45" s="335"/>
    </row>
    <row r="46" spans="1:18" s="135" customFormat="1" ht="15" customHeight="1">
      <c r="A46" s="220"/>
      <c r="B46" s="221" t="s">
        <v>164</v>
      </c>
      <c r="C46" s="222"/>
      <c r="D46" s="222"/>
      <c r="E46" s="171"/>
      <c r="F46" s="171"/>
      <c r="G46" s="171"/>
      <c r="H46" s="172"/>
      <c r="I46" s="172"/>
      <c r="J46" s="172"/>
      <c r="K46" s="174"/>
      <c r="L46" s="174"/>
      <c r="M46" s="174"/>
      <c r="N46" s="223">
        <f t="shared" si="7"/>
        <v>0</v>
      </c>
      <c r="O46" s="223">
        <f t="shared" si="7"/>
        <v>0</v>
      </c>
      <c r="P46" s="223">
        <f t="shared" si="0"/>
        <v>0</v>
      </c>
      <c r="Q46" s="335"/>
      <c r="R46" s="335"/>
    </row>
    <row r="47" spans="1:18" s="135" customFormat="1" ht="15" customHeight="1">
      <c r="A47" s="220" t="s">
        <v>57</v>
      </c>
      <c r="B47" s="221" t="s">
        <v>53</v>
      </c>
      <c r="C47" s="222"/>
      <c r="D47" s="222"/>
      <c r="E47" s="171"/>
      <c r="F47" s="171"/>
      <c r="G47" s="171"/>
      <c r="H47" s="171">
        <v>902400</v>
      </c>
      <c r="I47" s="171">
        <f>902400+25129</f>
        <v>927529</v>
      </c>
      <c r="J47" s="171">
        <v>926753</v>
      </c>
      <c r="K47" s="173"/>
      <c r="L47" s="173"/>
      <c r="M47" s="190"/>
      <c r="N47" s="171">
        <f t="shared" si="7"/>
        <v>902400</v>
      </c>
      <c r="O47" s="223">
        <f t="shared" si="7"/>
        <v>927529</v>
      </c>
      <c r="P47" s="223">
        <f t="shared" si="0"/>
        <v>926753</v>
      </c>
      <c r="Q47" s="335"/>
      <c r="R47" s="335"/>
    </row>
    <row r="48" spans="1:18" s="135" customFormat="1" ht="15" customHeight="1">
      <c r="A48" s="220" t="s">
        <v>58</v>
      </c>
      <c r="B48" s="221" t="s">
        <v>117</v>
      </c>
      <c r="C48" s="222"/>
      <c r="D48" s="222"/>
      <c r="E48" s="171"/>
      <c r="F48" s="171"/>
      <c r="G48" s="171"/>
      <c r="H48" s="171"/>
      <c r="I48" s="171"/>
      <c r="J48" s="171"/>
      <c r="K48" s="173"/>
      <c r="L48" s="173"/>
      <c r="M48" s="190"/>
      <c r="N48" s="171">
        <f t="shared" si="7"/>
        <v>0</v>
      </c>
      <c r="O48" s="223">
        <f t="shared" si="7"/>
        <v>0</v>
      </c>
      <c r="P48" s="223">
        <f t="shared" si="0"/>
        <v>0</v>
      </c>
      <c r="Q48" s="335"/>
      <c r="R48" s="335"/>
    </row>
    <row r="49" spans="1:16" ht="15" customHeight="1">
      <c r="A49" s="220" t="s">
        <v>118</v>
      </c>
      <c r="B49" s="221" t="s">
        <v>54</v>
      </c>
      <c r="C49" s="224"/>
      <c r="D49" s="224"/>
      <c r="E49" s="225"/>
      <c r="F49" s="225"/>
      <c r="G49" s="225"/>
      <c r="H49" s="226"/>
      <c r="I49" s="226"/>
      <c r="J49" s="226"/>
      <c r="K49" s="223"/>
      <c r="L49" s="223"/>
      <c r="M49" s="226"/>
      <c r="N49" s="171">
        <f t="shared" si="7"/>
        <v>0</v>
      </c>
      <c r="O49" s="223">
        <f t="shared" si="7"/>
        <v>0</v>
      </c>
      <c r="P49" s="223">
        <f t="shared" si="0"/>
        <v>0</v>
      </c>
    </row>
    <row r="50" spans="1:16" ht="15" customHeight="1">
      <c r="A50" s="227"/>
      <c r="B50" s="228" t="s">
        <v>55</v>
      </c>
      <c r="C50" s="229"/>
      <c r="D50" s="229"/>
      <c r="E50" s="230">
        <v>600000</v>
      </c>
      <c r="F50" s="230">
        <f>600000+132545+144000+120000</f>
        <v>996545</v>
      </c>
      <c r="G50" s="230">
        <v>996545</v>
      </c>
      <c r="H50" s="183"/>
      <c r="I50" s="183"/>
      <c r="J50" s="183"/>
      <c r="K50" s="183"/>
      <c r="L50" s="183"/>
      <c r="M50" s="347"/>
      <c r="N50" s="171">
        <f t="shared" si="7"/>
        <v>600000</v>
      </c>
      <c r="O50" s="223">
        <f t="shared" si="7"/>
        <v>996545</v>
      </c>
      <c r="P50" s="223">
        <f t="shared" si="0"/>
        <v>996545</v>
      </c>
    </row>
    <row r="51" spans="1:16" ht="15" customHeight="1">
      <c r="A51" s="231" t="s">
        <v>145</v>
      </c>
      <c r="B51" s="221" t="s">
        <v>146</v>
      </c>
      <c r="C51" s="224"/>
      <c r="D51" s="224"/>
      <c r="E51" s="225"/>
      <c r="F51" s="225"/>
      <c r="G51" s="225"/>
      <c r="H51" s="223"/>
      <c r="I51" s="223"/>
      <c r="J51" s="223"/>
      <c r="K51" s="223"/>
      <c r="L51" s="223"/>
      <c r="M51" s="226"/>
      <c r="N51" s="171"/>
      <c r="O51" s="223"/>
      <c r="P51" s="223">
        <f t="shared" si="0"/>
        <v>0</v>
      </c>
    </row>
    <row r="52" spans="1:16" ht="15" customHeight="1">
      <c r="A52" s="232"/>
      <c r="B52" s="221" t="s">
        <v>147</v>
      </c>
      <c r="C52" s="224"/>
      <c r="D52" s="224"/>
      <c r="E52" s="225"/>
      <c r="F52" s="225">
        <v>1976</v>
      </c>
      <c r="G52" s="225">
        <v>1976</v>
      </c>
      <c r="H52" s="223"/>
      <c r="I52" s="223"/>
      <c r="J52" s="223"/>
      <c r="K52" s="223"/>
      <c r="L52" s="223"/>
      <c r="M52" s="223"/>
      <c r="N52" s="223">
        <f>SUM(E52)</f>
        <v>0</v>
      </c>
      <c r="O52" s="223">
        <f>SUM(F52)</f>
        <v>1976</v>
      </c>
      <c r="P52" s="223">
        <f t="shared" si="0"/>
        <v>1976</v>
      </c>
    </row>
    <row r="53" spans="1:16" ht="15" customHeight="1" thickBot="1">
      <c r="A53" s="233"/>
      <c r="B53" s="218" t="s">
        <v>148</v>
      </c>
      <c r="C53" s="234"/>
      <c r="D53" s="234"/>
      <c r="E53" s="235"/>
      <c r="F53" s="235">
        <f>38+27+6+15</f>
        <v>86</v>
      </c>
      <c r="G53" s="235">
        <v>85</v>
      </c>
      <c r="H53" s="186"/>
      <c r="I53" s="186"/>
      <c r="J53" s="186"/>
      <c r="K53" s="186"/>
      <c r="L53" s="186"/>
      <c r="M53" s="348"/>
      <c r="N53" s="177">
        <f>SUM(E53,H53,K53)</f>
        <v>0</v>
      </c>
      <c r="O53" s="183">
        <f>SUM(F53,I53,L53)</f>
        <v>86</v>
      </c>
      <c r="P53" s="186">
        <f t="shared" si="0"/>
        <v>85</v>
      </c>
    </row>
    <row r="54" spans="1:16" ht="13.5" thickBot="1">
      <c r="A54" s="236" t="s">
        <v>4</v>
      </c>
      <c r="B54" s="237" t="s">
        <v>59</v>
      </c>
      <c r="C54" s="237"/>
      <c r="D54" s="237"/>
      <c r="E54" s="238">
        <f>SUM(E45:E53)</f>
        <v>600000</v>
      </c>
      <c r="F54" s="238">
        <f>SUM(F43:F53)</f>
        <v>999107</v>
      </c>
      <c r="G54" s="238">
        <f>SUM(G43:G53)</f>
        <v>999106</v>
      </c>
      <c r="H54" s="238">
        <f aca="true" t="shared" si="8" ref="H54:O54">SUM(H43:H53)</f>
        <v>902400</v>
      </c>
      <c r="I54" s="238">
        <f t="shared" si="8"/>
        <v>927529</v>
      </c>
      <c r="J54" s="238">
        <f t="shared" si="8"/>
        <v>926753</v>
      </c>
      <c r="K54" s="238">
        <f t="shared" si="8"/>
        <v>4083</v>
      </c>
      <c r="L54" s="238">
        <f t="shared" si="8"/>
        <v>9201</v>
      </c>
      <c r="M54" s="238">
        <f t="shared" si="8"/>
        <v>9201</v>
      </c>
      <c r="N54" s="238">
        <f t="shared" si="8"/>
        <v>1506483</v>
      </c>
      <c r="O54" s="238">
        <f t="shared" si="8"/>
        <v>1935837</v>
      </c>
      <c r="P54" s="87">
        <f t="shared" si="0"/>
        <v>1935060</v>
      </c>
    </row>
    <row r="55" spans="1:16" ht="13.5" thickBot="1">
      <c r="A55" s="239" t="s">
        <v>5</v>
      </c>
      <c r="B55" s="240" t="s">
        <v>64</v>
      </c>
      <c r="C55" s="241"/>
      <c r="D55" s="242"/>
      <c r="E55" s="242">
        <f aca="true" t="shared" si="9" ref="E55:M55">SUM(E41,E42,E54)</f>
        <v>2685187</v>
      </c>
      <c r="F55" s="242">
        <f t="shared" si="9"/>
        <v>3176487</v>
      </c>
      <c r="G55" s="242">
        <f t="shared" si="9"/>
        <v>3183874</v>
      </c>
      <c r="H55" s="242">
        <f t="shared" si="9"/>
        <v>902400</v>
      </c>
      <c r="I55" s="242">
        <f t="shared" si="9"/>
        <v>927529</v>
      </c>
      <c r="J55" s="242">
        <f t="shared" si="9"/>
        <v>926753</v>
      </c>
      <c r="K55" s="242">
        <f t="shared" si="9"/>
        <v>4083</v>
      </c>
      <c r="L55" s="242">
        <f t="shared" si="9"/>
        <v>9201</v>
      </c>
      <c r="M55" s="242">
        <f t="shared" si="9"/>
        <v>9201</v>
      </c>
      <c r="N55" s="158">
        <f>SUM(E55,H55,K55)</f>
        <v>3591670</v>
      </c>
      <c r="O55" s="159">
        <f>SUM(F55,I55,L55)</f>
        <v>4113217</v>
      </c>
      <c r="P55" s="124">
        <f t="shared" si="0"/>
        <v>4119828</v>
      </c>
    </row>
    <row r="56" ht="12.75">
      <c r="N56" s="83"/>
    </row>
    <row r="59" spans="6:7" ht="12.75">
      <c r="F59" s="83"/>
      <c r="G59" s="83"/>
    </row>
  </sheetData>
  <sheetProtection/>
  <mergeCells count="11">
    <mergeCell ref="K1:O1"/>
    <mergeCell ref="A3:O3"/>
    <mergeCell ref="C6:D7"/>
    <mergeCell ref="A9:B9"/>
    <mergeCell ref="A6:B8"/>
    <mergeCell ref="K5:O5"/>
    <mergeCell ref="C8:D8"/>
    <mergeCell ref="E6:G7"/>
    <mergeCell ref="N6:P7"/>
    <mergeCell ref="H6:J7"/>
    <mergeCell ref="K6:M7"/>
  </mergeCells>
  <printOptions/>
  <pageMargins left="1.141732283464567" right="0.15748031496062992" top="0.2755905511811024" bottom="0.2755905511811024" header="0.6299212598425197" footer="0.2755905511811024"/>
  <pageSetup fitToHeight="1" fitToWidth="1" horizontalDpi="600" verticalDpi="6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R34"/>
  <sheetViews>
    <sheetView zoomScalePageLayoutView="0" workbookViewId="0" topLeftCell="A1">
      <selection activeCell="F28" sqref="F28"/>
    </sheetView>
  </sheetViews>
  <sheetFormatPr defaultColWidth="9.00390625" defaultRowHeight="12.75"/>
  <cols>
    <col min="1" max="1" width="3.625" style="258" customWidth="1"/>
    <col min="2" max="2" width="3.00390625" style="246" customWidth="1"/>
    <col min="3" max="3" width="32.25390625" style="246" customWidth="1"/>
    <col min="4" max="6" width="10.75390625" style="249" customWidth="1"/>
    <col min="7" max="14" width="10.75390625" style="246" customWidth="1"/>
    <col min="15" max="16384" width="9.125" style="246" customWidth="1"/>
  </cols>
  <sheetData>
    <row r="1" spans="1:14" ht="25.5" customHeight="1">
      <c r="A1" s="472"/>
      <c r="B1" s="472"/>
      <c r="C1" s="472"/>
      <c r="D1" s="245"/>
      <c r="E1" s="245"/>
      <c r="F1" s="245"/>
      <c r="G1" s="473" t="s">
        <v>40</v>
      </c>
      <c r="H1" s="473"/>
      <c r="I1" s="473"/>
      <c r="J1" s="473"/>
      <c r="K1" s="473"/>
      <c r="L1" s="473"/>
      <c r="M1" s="473"/>
      <c r="N1" s="473"/>
    </row>
    <row r="2" spans="1:12" ht="25.5" customHeight="1">
      <c r="A2" s="245"/>
      <c r="B2" s="245"/>
      <c r="C2" s="245"/>
      <c r="D2" s="245"/>
      <c r="E2" s="245"/>
      <c r="F2" s="245"/>
      <c r="G2" s="247"/>
      <c r="H2" s="247"/>
      <c r="I2" s="247"/>
      <c r="J2" s="247"/>
      <c r="K2" s="247"/>
      <c r="L2" s="247"/>
    </row>
    <row r="3" spans="1:14" ht="33" customHeight="1">
      <c r="A3" s="472" t="s">
        <v>150</v>
      </c>
      <c r="B3" s="472"/>
      <c r="C3" s="472"/>
      <c r="D3" s="472"/>
      <c r="E3" s="472"/>
      <c r="F3" s="472"/>
      <c r="G3" s="472"/>
      <c r="H3" s="472"/>
      <c r="I3" s="472"/>
      <c r="J3" s="472"/>
      <c r="K3" s="472"/>
      <c r="L3" s="472"/>
      <c r="M3" s="472"/>
      <c r="N3" s="472"/>
    </row>
    <row r="4" spans="1:9" ht="25.5" customHeight="1">
      <c r="A4" s="245"/>
      <c r="B4" s="245"/>
      <c r="C4" s="245"/>
      <c r="D4" s="248"/>
      <c r="E4" s="248"/>
      <c r="F4" s="248"/>
      <c r="G4" s="245"/>
      <c r="H4" s="245"/>
      <c r="I4" s="245"/>
    </row>
    <row r="5" spans="1:14" ht="17.25" customHeight="1" thickBot="1">
      <c r="A5" s="245"/>
      <c r="B5" s="245"/>
      <c r="C5" s="245"/>
      <c r="D5" s="248"/>
      <c r="E5" s="248"/>
      <c r="F5" s="248"/>
      <c r="G5" s="245"/>
      <c r="H5" s="245"/>
      <c r="I5" s="245"/>
      <c r="J5" s="474" t="s">
        <v>0</v>
      </c>
      <c r="K5" s="474"/>
      <c r="L5" s="474"/>
      <c r="M5" s="475"/>
      <c r="N5" s="475"/>
    </row>
    <row r="6" spans="1:15" ht="26.25" customHeight="1">
      <c r="A6" s="406" t="s">
        <v>1</v>
      </c>
      <c r="B6" s="407"/>
      <c r="C6" s="408"/>
      <c r="D6" s="418" t="s">
        <v>18</v>
      </c>
      <c r="E6" s="419"/>
      <c r="F6" s="420"/>
      <c r="G6" s="418" t="s">
        <v>122</v>
      </c>
      <c r="H6" s="419"/>
      <c r="I6" s="420"/>
      <c r="J6" s="418" t="s">
        <v>123</v>
      </c>
      <c r="K6" s="419"/>
      <c r="L6" s="420"/>
      <c r="M6" s="397" t="s">
        <v>19</v>
      </c>
      <c r="N6" s="398"/>
      <c r="O6" s="399"/>
    </row>
    <row r="7" spans="1:15" ht="51" customHeight="1" thickBot="1">
      <c r="A7" s="409"/>
      <c r="B7" s="410"/>
      <c r="C7" s="411"/>
      <c r="D7" s="421"/>
      <c r="E7" s="422"/>
      <c r="F7" s="423"/>
      <c r="G7" s="421"/>
      <c r="H7" s="422"/>
      <c r="I7" s="423"/>
      <c r="J7" s="421"/>
      <c r="K7" s="422"/>
      <c r="L7" s="423"/>
      <c r="M7" s="400"/>
      <c r="N7" s="401"/>
      <c r="O7" s="402"/>
    </row>
    <row r="8" spans="1:15" ht="51" customHeight="1" thickBot="1">
      <c r="A8" s="412"/>
      <c r="B8" s="413"/>
      <c r="C8" s="414"/>
      <c r="D8" s="99" t="s">
        <v>166</v>
      </c>
      <c r="E8" s="84" t="s">
        <v>167</v>
      </c>
      <c r="F8" s="84" t="s">
        <v>168</v>
      </c>
      <c r="G8" s="99" t="s">
        <v>166</v>
      </c>
      <c r="H8" s="84" t="s">
        <v>167</v>
      </c>
      <c r="I8" s="84" t="s">
        <v>168</v>
      </c>
      <c r="J8" s="99" t="s">
        <v>166</v>
      </c>
      <c r="K8" s="84" t="s">
        <v>167</v>
      </c>
      <c r="L8" s="84" t="s">
        <v>168</v>
      </c>
      <c r="M8" s="99" t="s">
        <v>166</v>
      </c>
      <c r="N8" s="84" t="s">
        <v>167</v>
      </c>
      <c r="O8" s="84" t="s">
        <v>168</v>
      </c>
    </row>
    <row r="9" spans="1:18" ht="13.5" customHeight="1" thickBot="1">
      <c r="A9" s="415">
        <v>1</v>
      </c>
      <c r="B9" s="416"/>
      <c r="C9" s="417"/>
      <c r="D9" s="265">
        <v>2</v>
      </c>
      <c r="E9" s="265">
        <v>3</v>
      </c>
      <c r="F9" s="265">
        <v>4</v>
      </c>
      <c r="G9" s="265">
        <v>5</v>
      </c>
      <c r="H9" s="265">
        <v>6</v>
      </c>
      <c r="I9" s="265">
        <v>7</v>
      </c>
      <c r="J9" s="265">
        <v>8</v>
      </c>
      <c r="K9" s="266">
        <v>9</v>
      </c>
      <c r="L9" s="266">
        <v>10</v>
      </c>
      <c r="M9" s="266">
        <v>11</v>
      </c>
      <c r="N9" s="267">
        <v>12</v>
      </c>
      <c r="O9" s="352">
        <v>13</v>
      </c>
      <c r="P9" s="249"/>
      <c r="Q9" s="249"/>
      <c r="R9" s="249"/>
    </row>
    <row r="10" spans="1:18" ht="12">
      <c r="A10" s="56"/>
      <c r="B10" s="463" t="s">
        <v>8</v>
      </c>
      <c r="C10" s="464"/>
      <c r="D10" s="57">
        <v>2440000</v>
      </c>
      <c r="E10" s="57">
        <f>2440000+180000</f>
        <v>2620000</v>
      </c>
      <c r="F10" s="57">
        <v>2681630</v>
      </c>
      <c r="G10" s="57"/>
      <c r="H10" s="57"/>
      <c r="I10" s="57"/>
      <c r="J10" s="57"/>
      <c r="K10" s="100"/>
      <c r="L10" s="349"/>
      <c r="M10" s="102">
        <f aca="true" t="shared" si="0" ref="M10:O13">SUM(D10,G10,J10)</f>
        <v>2440000</v>
      </c>
      <c r="N10" s="102">
        <f t="shared" si="0"/>
        <v>2620000</v>
      </c>
      <c r="O10" s="58">
        <f t="shared" si="0"/>
        <v>2681630</v>
      </c>
      <c r="P10" s="249"/>
      <c r="Q10" s="249"/>
      <c r="R10" s="249"/>
    </row>
    <row r="11" spans="1:18" ht="12">
      <c r="A11" s="59"/>
      <c r="B11" s="465" t="s">
        <v>9</v>
      </c>
      <c r="C11" s="466"/>
      <c r="D11" s="71">
        <v>1546837</v>
      </c>
      <c r="E11" s="71">
        <f>1546837</f>
        <v>1546837</v>
      </c>
      <c r="F11" s="71">
        <v>1595921</v>
      </c>
      <c r="G11" s="58"/>
      <c r="H11" s="58"/>
      <c r="I11" s="58"/>
      <c r="J11" s="58"/>
      <c r="K11" s="58"/>
      <c r="L11" s="102"/>
      <c r="M11" s="102">
        <f t="shared" si="0"/>
        <v>1546837</v>
      </c>
      <c r="N11" s="102">
        <f t="shared" si="0"/>
        <v>1546837</v>
      </c>
      <c r="O11" s="58">
        <f t="shared" si="0"/>
        <v>1595921</v>
      </c>
      <c r="P11" s="249"/>
      <c r="Q11" s="249"/>
      <c r="R11" s="249"/>
    </row>
    <row r="12" spans="1:18" ht="12">
      <c r="A12" s="60"/>
      <c r="B12" s="466" t="s">
        <v>11</v>
      </c>
      <c r="C12" s="468"/>
      <c r="D12" s="58">
        <v>128000</v>
      </c>
      <c r="E12" s="58">
        <v>128000</v>
      </c>
      <c r="F12" s="58">
        <v>144260</v>
      </c>
      <c r="G12" s="58"/>
      <c r="H12" s="58"/>
      <c r="I12" s="58"/>
      <c r="J12" s="58"/>
      <c r="K12" s="58"/>
      <c r="L12" s="102"/>
      <c r="M12" s="102">
        <f t="shared" si="0"/>
        <v>128000</v>
      </c>
      <c r="N12" s="102">
        <f t="shared" si="0"/>
        <v>128000</v>
      </c>
      <c r="O12" s="58">
        <f t="shared" si="0"/>
        <v>144260</v>
      </c>
      <c r="P12" s="249"/>
      <c r="Q12" s="249"/>
      <c r="R12" s="249"/>
    </row>
    <row r="13" spans="1:18" ht="12.75" thickBot="1">
      <c r="A13" s="60"/>
      <c r="B13" s="466" t="s">
        <v>17</v>
      </c>
      <c r="C13" s="471"/>
      <c r="D13" s="58">
        <v>1280000</v>
      </c>
      <c r="E13" s="58">
        <f>1280000+500000+150000</f>
        <v>1930000</v>
      </c>
      <c r="F13" s="58">
        <v>1915850</v>
      </c>
      <c r="G13" s="58"/>
      <c r="H13" s="58"/>
      <c r="I13" s="58"/>
      <c r="J13" s="58"/>
      <c r="K13" s="58"/>
      <c r="L13" s="102"/>
      <c r="M13" s="102">
        <f t="shared" si="0"/>
        <v>1280000</v>
      </c>
      <c r="N13" s="102">
        <f t="shared" si="0"/>
        <v>1930000</v>
      </c>
      <c r="O13" s="58">
        <f t="shared" si="0"/>
        <v>1915850</v>
      </c>
      <c r="P13" s="249"/>
      <c r="Q13" s="249"/>
      <c r="R13" s="249"/>
    </row>
    <row r="14" spans="1:18" s="251" customFormat="1" ht="12.75" thickBot="1">
      <c r="A14" s="53" t="s">
        <v>2</v>
      </c>
      <c r="B14" s="467" t="s">
        <v>10</v>
      </c>
      <c r="C14" s="459"/>
      <c r="D14" s="61">
        <f>SUM(D10:D13)</f>
        <v>5394837</v>
      </c>
      <c r="E14" s="61">
        <f>SUM(E10:E13)</f>
        <v>6224837</v>
      </c>
      <c r="F14" s="61">
        <f>SUM(F10:F13)</f>
        <v>6337661</v>
      </c>
      <c r="G14" s="61">
        <f>SUM(G10:G13)</f>
        <v>0</v>
      </c>
      <c r="H14" s="61"/>
      <c r="I14" s="61"/>
      <c r="J14" s="61">
        <f>SUM(J10:J13)</f>
        <v>0</v>
      </c>
      <c r="K14" s="61"/>
      <c r="L14" s="82"/>
      <c r="M14" s="82">
        <f>SUM(M10:M13)</f>
        <v>5394837</v>
      </c>
      <c r="N14" s="61">
        <f>SUM(N10:N13)</f>
        <v>6224837</v>
      </c>
      <c r="O14" s="61">
        <f>SUM(O10:O13)</f>
        <v>6337661</v>
      </c>
      <c r="P14" s="250"/>
      <c r="Q14" s="250"/>
      <c r="R14" s="250"/>
    </row>
    <row r="15" spans="1:18" s="251" customFormat="1" ht="12">
      <c r="A15" s="62"/>
      <c r="B15" s="469" t="s">
        <v>65</v>
      </c>
      <c r="C15" s="470"/>
      <c r="D15" s="63">
        <v>1000</v>
      </c>
      <c r="E15" s="63">
        <v>1000</v>
      </c>
      <c r="F15" s="63"/>
      <c r="G15" s="64"/>
      <c r="H15" s="64"/>
      <c r="I15" s="64"/>
      <c r="J15" s="64"/>
      <c r="K15" s="101"/>
      <c r="L15" s="252"/>
      <c r="M15" s="252">
        <f aca="true" t="shared" si="1" ref="M15:O20">SUM(D15,G15,J15)</f>
        <v>1000</v>
      </c>
      <c r="N15" s="252">
        <f t="shared" si="1"/>
        <v>1000</v>
      </c>
      <c r="O15" s="101">
        <f t="shared" si="1"/>
        <v>0</v>
      </c>
      <c r="P15" s="250"/>
      <c r="Q15" s="250"/>
      <c r="R15" s="250"/>
    </row>
    <row r="16" spans="1:18" s="251" customFormat="1" ht="12">
      <c r="A16" s="54"/>
      <c r="B16" s="461" t="s">
        <v>66</v>
      </c>
      <c r="C16" s="462"/>
      <c r="D16" s="65"/>
      <c r="E16" s="65"/>
      <c r="F16" s="65"/>
      <c r="G16" s="66"/>
      <c r="H16" s="66"/>
      <c r="I16" s="66"/>
      <c r="J16" s="66"/>
      <c r="K16" s="66"/>
      <c r="L16" s="253"/>
      <c r="M16" s="253">
        <f t="shared" si="1"/>
        <v>0</v>
      </c>
      <c r="N16" s="253">
        <f t="shared" si="1"/>
        <v>0</v>
      </c>
      <c r="O16" s="66">
        <f t="shared" si="1"/>
        <v>0</v>
      </c>
      <c r="P16" s="250"/>
      <c r="Q16" s="250"/>
      <c r="R16" s="250"/>
    </row>
    <row r="17" spans="1:18" s="251" customFormat="1" ht="12">
      <c r="A17" s="67"/>
      <c r="B17" s="461" t="s">
        <v>67</v>
      </c>
      <c r="C17" s="462"/>
      <c r="D17" s="68"/>
      <c r="E17" s="68"/>
      <c r="F17" s="68"/>
      <c r="G17" s="69"/>
      <c r="H17" s="69"/>
      <c r="I17" s="69"/>
      <c r="J17" s="69"/>
      <c r="K17" s="69"/>
      <c r="L17" s="350"/>
      <c r="M17" s="253">
        <f t="shared" si="1"/>
        <v>0</v>
      </c>
      <c r="N17" s="253">
        <f t="shared" si="1"/>
        <v>0</v>
      </c>
      <c r="O17" s="66">
        <f t="shared" si="1"/>
        <v>0</v>
      </c>
      <c r="P17" s="250"/>
      <c r="Q17" s="250"/>
      <c r="R17" s="250"/>
    </row>
    <row r="18" spans="1:18" s="251" customFormat="1" ht="12">
      <c r="A18" s="67"/>
      <c r="B18" s="461" t="s">
        <v>125</v>
      </c>
      <c r="C18" s="462"/>
      <c r="D18" s="68">
        <v>100000</v>
      </c>
      <c r="E18" s="68">
        <f>100000+64878</f>
        <v>164878</v>
      </c>
      <c r="F18" s="68">
        <v>164878</v>
      </c>
      <c r="G18" s="69"/>
      <c r="H18" s="69"/>
      <c r="I18" s="69"/>
      <c r="J18" s="69"/>
      <c r="K18" s="69"/>
      <c r="L18" s="350"/>
      <c r="M18" s="253">
        <f t="shared" si="1"/>
        <v>100000</v>
      </c>
      <c r="N18" s="253">
        <f t="shared" si="1"/>
        <v>164878</v>
      </c>
      <c r="O18" s="66">
        <f t="shared" si="1"/>
        <v>164878</v>
      </c>
      <c r="P18" s="250"/>
      <c r="Q18" s="250"/>
      <c r="R18" s="250"/>
    </row>
    <row r="19" spans="1:18" s="251" customFormat="1" ht="12">
      <c r="A19" s="67"/>
      <c r="B19" s="461" t="s">
        <v>68</v>
      </c>
      <c r="C19" s="462"/>
      <c r="D19" s="68">
        <v>54391</v>
      </c>
      <c r="E19" s="68">
        <f>54391-17563</f>
        <v>36828</v>
      </c>
      <c r="F19" s="68">
        <v>37163</v>
      </c>
      <c r="G19" s="69"/>
      <c r="H19" s="69"/>
      <c r="I19" s="69"/>
      <c r="J19" s="69"/>
      <c r="K19" s="69"/>
      <c r="L19" s="350"/>
      <c r="M19" s="253">
        <f t="shared" si="1"/>
        <v>54391</v>
      </c>
      <c r="N19" s="253">
        <f t="shared" si="1"/>
        <v>36828</v>
      </c>
      <c r="O19" s="66">
        <f t="shared" si="1"/>
        <v>37163</v>
      </c>
      <c r="P19" s="250"/>
      <c r="Q19" s="250"/>
      <c r="R19" s="250"/>
    </row>
    <row r="20" spans="1:18" s="251" customFormat="1" ht="12.75" thickBot="1">
      <c r="A20" s="67"/>
      <c r="B20" s="461" t="s">
        <v>69</v>
      </c>
      <c r="C20" s="462"/>
      <c r="D20" s="68">
        <v>100</v>
      </c>
      <c r="E20" s="68">
        <v>100</v>
      </c>
      <c r="F20" s="68">
        <v>157</v>
      </c>
      <c r="G20" s="69"/>
      <c r="H20" s="69"/>
      <c r="I20" s="383">
        <v>6104</v>
      </c>
      <c r="J20" s="69"/>
      <c r="K20" s="101"/>
      <c r="L20" s="252"/>
      <c r="M20" s="252">
        <f t="shared" si="1"/>
        <v>100</v>
      </c>
      <c r="N20" s="252">
        <f t="shared" si="1"/>
        <v>100</v>
      </c>
      <c r="O20" s="101">
        <f t="shared" si="1"/>
        <v>6261</v>
      </c>
      <c r="P20" s="250"/>
      <c r="Q20" s="250"/>
      <c r="R20" s="250"/>
    </row>
    <row r="21" spans="1:18" ht="12.75" thickBot="1">
      <c r="A21" s="53" t="s">
        <v>3</v>
      </c>
      <c r="B21" s="467" t="s">
        <v>70</v>
      </c>
      <c r="C21" s="459"/>
      <c r="D21" s="61">
        <f aca="true" t="shared" si="2" ref="D21:J21">SUM(D15:D20)</f>
        <v>155491</v>
      </c>
      <c r="E21" s="61">
        <f t="shared" si="2"/>
        <v>202806</v>
      </c>
      <c r="F21" s="61">
        <f t="shared" si="2"/>
        <v>202198</v>
      </c>
      <c r="G21" s="61">
        <f t="shared" si="2"/>
        <v>0</v>
      </c>
      <c r="H21" s="61">
        <f t="shared" si="2"/>
        <v>0</v>
      </c>
      <c r="I21" s="61">
        <f t="shared" si="2"/>
        <v>6104</v>
      </c>
      <c r="J21" s="61">
        <f t="shared" si="2"/>
        <v>0</v>
      </c>
      <c r="K21" s="61"/>
      <c r="L21" s="82"/>
      <c r="M21" s="82">
        <f>SUM(M15:M20)</f>
        <v>155491</v>
      </c>
      <c r="N21" s="61">
        <f>SUM(N15:N20)</f>
        <v>202806</v>
      </c>
      <c r="O21" s="61">
        <f>SUM(O15:O20)</f>
        <v>208302</v>
      </c>
      <c r="P21" s="249"/>
      <c r="Q21" s="249"/>
      <c r="R21" s="249"/>
    </row>
    <row r="22" spans="1:18" ht="22.5" customHeight="1" thickBot="1">
      <c r="A22" s="53" t="s">
        <v>6</v>
      </c>
      <c r="B22" s="459" t="s">
        <v>71</v>
      </c>
      <c r="C22" s="460"/>
      <c r="D22" s="70">
        <f aca="true" t="shared" si="3" ref="D22:J22">SUM(D14,D21)</f>
        <v>5550328</v>
      </c>
      <c r="E22" s="70">
        <f t="shared" si="3"/>
        <v>6427643</v>
      </c>
      <c r="F22" s="70">
        <f t="shared" si="3"/>
        <v>6539859</v>
      </c>
      <c r="G22" s="70">
        <f t="shared" si="3"/>
        <v>0</v>
      </c>
      <c r="H22" s="70">
        <f t="shared" si="3"/>
        <v>0</v>
      </c>
      <c r="I22" s="70">
        <f t="shared" si="3"/>
        <v>6104</v>
      </c>
      <c r="J22" s="70">
        <f t="shared" si="3"/>
        <v>0</v>
      </c>
      <c r="K22" s="70"/>
      <c r="L22" s="103"/>
      <c r="M22" s="103">
        <f>SUM(M14,M21)</f>
        <v>5550328</v>
      </c>
      <c r="N22" s="70">
        <f>SUM(N14,N21)</f>
        <v>6427643</v>
      </c>
      <c r="O22" s="70">
        <f>SUM(O14,O21)</f>
        <v>6545963</v>
      </c>
      <c r="P22" s="249"/>
      <c r="Q22" s="249"/>
      <c r="R22" s="249"/>
    </row>
    <row r="23" spans="1:18" ht="12">
      <c r="A23" s="254"/>
      <c r="B23" s="255"/>
      <c r="C23" s="255"/>
      <c r="D23" s="256"/>
      <c r="E23" s="256"/>
      <c r="F23" s="256"/>
      <c r="G23" s="257"/>
      <c r="H23" s="257"/>
      <c r="I23" s="257"/>
      <c r="N23" s="249"/>
      <c r="O23" s="249"/>
      <c r="P23" s="249"/>
      <c r="Q23" s="249"/>
      <c r="R23" s="249"/>
    </row>
    <row r="24" spans="14:18" ht="12">
      <c r="N24" s="249"/>
      <c r="O24" s="249"/>
      <c r="P24" s="249"/>
      <c r="Q24" s="249"/>
      <c r="R24" s="249"/>
    </row>
    <row r="25" spans="14:18" ht="12">
      <c r="N25" s="249"/>
      <c r="O25" s="249"/>
      <c r="P25" s="249"/>
      <c r="Q25" s="249"/>
      <c r="R25" s="249"/>
    </row>
    <row r="26" spans="14:18" ht="12">
      <c r="N26" s="249"/>
      <c r="O26" s="249"/>
      <c r="P26" s="249"/>
      <c r="Q26" s="249"/>
      <c r="R26" s="249"/>
    </row>
    <row r="27" spans="14:18" ht="12">
      <c r="N27" s="249"/>
      <c r="O27" s="249"/>
      <c r="P27" s="249"/>
      <c r="Q27" s="249"/>
      <c r="R27" s="249"/>
    </row>
    <row r="28" spans="14:18" ht="12">
      <c r="N28" s="249"/>
      <c r="O28" s="249"/>
      <c r="P28" s="249"/>
      <c r="Q28" s="249"/>
      <c r="R28" s="249"/>
    </row>
    <row r="29" spans="14:18" ht="12">
      <c r="N29" s="249"/>
      <c r="O29" s="249"/>
      <c r="P29" s="249"/>
      <c r="Q29" s="249"/>
      <c r="R29" s="249"/>
    </row>
    <row r="34" ht="12">
      <c r="G34" s="246" t="s">
        <v>120</v>
      </c>
    </row>
  </sheetData>
  <sheetProtection/>
  <mergeCells count="23">
    <mergeCell ref="J6:L7"/>
    <mergeCell ref="A1:C1"/>
    <mergeCell ref="A6:C8"/>
    <mergeCell ref="A3:N3"/>
    <mergeCell ref="G1:N1"/>
    <mergeCell ref="J5:N5"/>
    <mergeCell ref="M6:O7"/>
    <mergeCell ref="B14:C14"/>
    <mergeCell ref="B18:C18"/>
    <mergeCell ref="B17:C17"/>
    <mergeCell ref="B13:C13"/>
    <mergeCell ref="D6:F7"/>
    <mergeCell ref="G6:I7"/>
    <mergeCell ref="B22:C22"/>
    <mergeCell ref="B20:C20"/>
    <mergeCell ref="A9:C9"/>
    <mergeCell ref="B19:C19"/>
    <mergeCell ref="B10:C10"/>
    <mergeCell ref="B11:C11"/>
    <mergeCell ref="B21:C21"/>
    <mergeCell ref="B16:C16"/>
    <mergeCell ref="B12:C12"/>
    <mergeCell ref="B15:C15"/>
  </mergeCells>
  <printOptions/>
  <pageMargins left="0.35433070866141736" right="0.15748031496062992" top="0.2755905511811024" bottom="0.2755905511811024" header="0.6299212598425197" footer="0.2755905511811024"/>
  <pageSetup fitToHeight="0" fitToWidth="1" horizontalDpi="600" verticalDpi="6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2:X50"/>
  <sheetViews>
    <sheetView zoomScalePageLayoutView="0" workbookViewId="0" topLeftCell="B1">
      <selection activeCell="F28" sqref="F28"/>
    </sheetView>
  </sheetViews>
  <sheetFormatPr defaultColWidth="9.00390625" defaultRowHeight="12.75"/>
  <cols>
    <col min="1" max="1" width="2.625" style="281" customWidth="1"/>
    <col min="2" max="2" width="4.375" style="260" customWidth="1"/>
    <col min="3" max="3" width="25.75390625" style="260" customWidth="1"/>
    <col min="4" max="4" width="9.875" style="282" customWidth="1"/>
    <col min="5" max="5" width="9.625" style="282" customWidth="1"/>
    <col min="6" max="6" width="9.00390625" style="282" customWidth="1"/>
    <col min="7" max="7" width="10.00390625" style="260" customWidth="1"/>
    <col min="8" max="8" width="10.625" style="260" customWidth="1"/>
    <col min="9" max="9" width="9.125" style="260" customWidth="1"/>
    <col min="10" max="10" width="9.75390625" style="260" customWidth="1"/>
    <col min="11" max="11" width="9.875" style="260" customWidth="1"/>
    <col min="12" max="12" width="9.00390625" style="260" customWidth="1"/>
    <col min="13" max="13" width="9.625" style="260" customWidth="1"/>
    <col min="14" max="14" width="10.375" style="260" customWidth="1"/>
    <col min="15" max="16384" width="9.125" style="260" customWidth="1"/>
  </cols>
  <sheetData>
    <row r="2" spans="1:14" ht="25.5" customHeight="1">
      <c r="A2" s="494"/>
      <c r="B2" s="494"/>
      <c r="C2" s="494"/>
      <c r="D2" s="259"/>
      <c r="E2" s="259"/>
      <c r="F2" s="259"/>
      <c r="G2" s="497" t="s">
        <v>23</v>
      </c>
      <c r="H2" s="497"/>
      <c r="I2" s="497"/>
      <c r="J2" s="497"/>
      <c r="K2" s="497"/>
      <c r="L2" s="497"/>
      <c r="M2" s="497"/>
      <c r="N2" s="497"/>
    </row>
    <row r="3" spans="1:12" ht="25.5" customHeight="1">
      <c r="A3" s="259"/>
      <c r="B3" s="259"/>
      <c r="C3" s="259"/>
      <c r="D3" s="259"/>
      <c r="E3" s="259"/>
      <c r="F3" s="259"/>
      <c r="G3" s="261"/>
      <c r="H3" s="261"/>
      <c r="I3" s="261"/>
      <c r="J3" s="261"/>
      <c r="K3" s="261"/>
      <c r="L3" s="261"/>
    </row>
    <row r="4" spans="1:14" ht="33" customHeight="1">
      <c r="A4" s="494" t="s">
        <v>151</v>
      </c>
      <c r="B4" s="494"/>
      <c r="C4" s="494"/>
      <c r="D4" s="494"/>
      <c r="E4" s="494"/>
      <c r="F4" s="494"/>
      <c r="G4" s="494"/>
      <c r="H4" s="494"/>
      <c r="I4" s="494"/>
      <c r="J4" s="494"/>
      <c r="K4" s="494"/>
      <c r="L4" s="494"/>
      <c r="M4" s="494"/>
      <c r="N4" s="494"/>
    </row>
    <row r="5" spans="1:9" ht="25.5" customHeight="1">
      <c r="A5" s="259"/>
      <c r="B5" s="259"/>
      <c r="C5" s="259"/>
      <c r="D5" s="262"/>
      <c r="E5" s="262"/>
      <c r="F5" s="262"/>
      <c r="G5" s="259"/>
      <c r="H5" s="259"/>
      <c r="I5" s="259"/>
    </row>
    <row r="6" spans="1:14" ht="17.25" customHeight="1" thickBot="1">
      <c r="A6" s="259"/>
      <c r="B6" s="259"/>
      <c r="C6" s="259"/>
      <c r="D6" s="262"/>
      <c r="E6" s="262"/>
      <c r="F6" s="262"/>
      <c r="G6" s="259"/>
      <c r="H6" s="259"/>
      <c r="I6" s="259"/>
      <c r="J6" s="495" t="s">
        <v>0</v>
      </c>
      <c r="K6" s="495"/>
      <c r="L6" s="495"/>
      <c r="M6" s="496"/>
      <c r="N6" s="496"/>
    </row>
    <row r="7" spans="1:15" ht="26.25" customHeight="1">
      <c r="A7" s="498" t="s">
        <v>1</v>
      </c>
      <c r="B7" s="499"/>
      <c r="C7" s="500"/>
      <c r="D7" s="486" t="s">
        <v>18</v>
      </c>
      <c r="E7" s="487"/>
      <c r="F7" s="488"/>
      <c r="G7" s="486" t="s">
        <v>122</v>
      </c>
      <c r="H7" s="487"/>
      <c r="I7" s="488"/>
      <c r="J7" s="486" t="s">
        <v>123</v>
      </c>
      <c r="K7" s="487"/>
      <c r="L7" s="488"/>
      <c r="M7" s="480" t="s">
        <v>19</v>
      </c>
      <c r="N7" s="481"/>
      <c r="O7" s="482"/>
    </row>
    <row r="8" spans="1:15" ht="33.75" customHeight="1" thickBot="1">
      <c r="A8" s="501"/>
      <c r="B8" s="502"/>
      <c r="C8" s="503"/>
      <c r="D8" s="489"/>
      <c r="E8" s="490"/>
      <c r="F8" s="491"/>
      <c r="G8" s="489"/>
      <c r="H8" s="490"/>
      <c r="I8" s="491"/>
      <c r="J8" s="489"/>
      <c r="K8" s="490"/>
      <c r="L8" s="491"/>
      <c r="M8" s="483"/>
      <c r="N8" s="484"/>
      <c r="O8" s="485"/>
    </row>
    <row r="9" spans="1:15" ht="31.5" customHeight="1" thickBot="1">
      <c r="A9" s="504"/>
      <c r="B9" s="505"/>
      <c r="C9" s="506"/>
      <c r="D9" s="99" t="s">
        <v>166</v>
      </c>
      <c r="E9" s="84" t="s">
        <v>167</v>
      </c>
      <c r="F9" s="84" t="s">
        <v>168</v>
      </c>
      <c r="G9" s="99" t="s">
        <v>166</v>
      </c>
      <c r="H9" s="84" t="s">
        <v>167</v>
      </c>
      <c r="I9" s="84" t="s">
        <v>168</v>
      </c>
      <c r="J9" s="99" t="s">
        <v>166</v>
      </c>
      <c r="K9" s="84" t="s">
        <v>167</v>
      </c>
      <c r="L9" s="84" t="s">
        <v>168</v>
      </c>
      <c r="M9" s="99" t="s">
        <v>166</v>
      </c>
      <c r="N9" s="84" t="s">
        <v>167</v>
      </c>
      <c r="O9" s="84" t="s">
        <v>168</v>
      </c>
    </row>
    <row r="10" spans="1:15" ht="13.5" customHeight="1" thickBot="1">
      <c r="A10" s="415">
        <v>1</v>
      </c>
      <c r="B10" s="416"/>
      <c r="C10" s="417"/>
      <c r="D10" s="265">
        <v>2</v>
      </c>
      <c r="E10" s="265">
        <v>3</v>
      </c>
      <c r="F10" s="265">
        <v>4</v>
      </c>
      <c r="G10" s="265">
        <v>5</v>
      </c>
      <c r="H10" s="265">
        <v>6</v>
      </c>
      <c r="I10" s="265">
        <v>7</v>
      </c>
      <c r="J10" s="265">
        <v>8</v>
      </c>
      <c r="K10" s="266">
        <v>9</v>
      </c>
      <c r="L10" s="266">
        <v>10</v>
      </c>
      <c r="M10" s="266">
        <v>11</v>
      </c>
      <c r="N10" s="267">
        <v>12</v>
      </c>
      <c r="O10" s="352">
        <v>13</v>
      </c>
    </row>
    <row r="11" spans="1:15" s="271" customFormat="1" ht="12">
      <c r="A11" s="268"/>
      <c r="B11" s="492" t="s">
        <v>7</v>
      </c>
      <c r="C11" s="493"/>
      <c r="D11" s="269"/>
      <c r="E11" s="269"/>
      <c r="F11" s="269"/>
      <c r="G11" s="269">
        <v>467</v>
      </c>
      <c r="H11" s="269">
        <v>467</v>
      </c>
      <c r="I11" s="269">
        <v>195</v>
      </c>
      <c r="J11" s="269"/>
      <c r="K11" s="269"/>
      <c r="L11" s="270"/>
      <c r="M11" s="270">
        <f aca="true" t="shared" si="0" ref="M11:M21">SUM(D11,G11,J11)</f>
        <v>467</v>
      </c>
      <c r="N11" s="269">
        <f aca="true" t="shared" si="1" ref="N11:O21">SUM(E11,H11,K11)</f>
        <v>467</v>
      </c>
      <c r="O11" s="269">
        <f t="shared" si="1"/>
        <v>195</v>
      </c>
    </row>
    <row r="12" spans="1:15" s="271" customFormat="1" ht="12">
      <c r="A12" s="272"/>
      <c r="B12" s="478" t="s">
        <v>72</v>
      </c>
      <c r="C12" s="479"/>
      <c r="D12" s="273">
        <v>4093790</v>
      </c>
      <c r="E12" s="273">
        <v>4093790</v>
      </c>
      <c r="F12" s="273">
        <v>3899133</v>
      </c>
      <c r="G12" s="273">
        <v>156719</v>
      </c>
      <c r="H12" s="273">
        <f>156719+6127</f>
        <v>162846</v>
      </c>
      <c r="I12" s="273">
        <v>161494</v>
      </c>
      <c r="J12" s="273"/>
      <c r="K12" s="269"/>
      <c r="L12" s="270">
        <v>7</v>
      </c>
      <c r="M12" s="270">
        <f t="shared" si="0"/>
        <v>4250509</v>
      </c>
      <c r="N12" s="269">
        <f t="shared" si="1"/>
        <v>4256636</v>
      </c>
      <c r="O12" s="269">
        <f t="shared" si="1"/>
        <v>4060634</v>
      </c>
    </row>
    <row r="13" spans="1:15" s="271" customFormat="1" ht="12">
      <c r="A13" s="274"/>
      <c r="B13" s="476" t="s">
        <v>73</v>
      </c>
      <c r="C13" s="477"/>
      <c r="D13" s="273">
        <v>1450</v>
      </c>
      <c r="E13" s="273">
        <v>1450</v>
      </c>
      <c r="F13" s="273">
        <v>5795</v>
      </c>
      <c r="G13" s="273">
        <v>501431</v>
      </c>
      <c r="H13" s="273">
        <v>501431</v>
      </c>
      <c r="I13" s="273">
        <v>361434</v>
      </c>
      <c r="J13" s="273"/>
      <c r="K13" s="269"/>
      <c r="L13" s="270">
        <v>3399</v>
      </c>
      <c r="M13" s="270">
        <f t="shared" si="0"/>
        <v>502881</v>
      </c>
      <c r="N13" s="269">
        <f t="shared" si="1"/>
        <v>502881</v>
      </c>
      <c r="O13" s="269">
        <f t="shared" si="1"/>
        <v>370628</v>
      </c>
    </row>
    <row r="14" spans="1:15" s="271" customFormat="1" ht="12">
      <c r="A14" s="274"/>
      <c r="B14" s="476" t="s">
        <v>74</v>
      </c>
      <c r="C14" s="477"/>
      <c r="D14" s="273">
        <v>2000</v>
      </c>
      <c r="E14" s="273">
        <v>2000</v>
      </c>
      <c r="F14" s="273">
        <v>6625</v>
      </c>
      <c r="G14" s="273">
        <v>0</v>
      </c>
      <c r="H14" s="273">
        <v>0</v>
      </c>
      <c r="I14" s="273"/>
      <c r="J14" s="273"/>
      <c r="K14" s="269"/>
      <c r="L14" s="270"/>
      <c r="M14" s="270">
        <f t="shared" si="0"/>
        <v>2000</v>
      </c>
      <c r="N14" s="269">
        <f t="shared" si="1"/>
        <v>2000</v>
      </c>
      <c r="O14" s="269">
        <f t="shared" si="1"/>
        <v>6625</v>
      </c>
    </row>
    <row r="15" spans="1:15" s="271" customFormat="1" ht="12">
      <c r="A15" s="274"/>
      <c r="B15" s="476" t="s">
        <v>75</v>
      </c>
      <c r="C15" s="477"/>
      <c r="D15" s="273">
        <v>50838</v>
      </c>
      <c r="E15" s="273">
        <v>50838</v>
      </c>
      <c r="F15" s="273">
        <v>52144</v>
      </c>
      <c r="G15" s="273">
        <v>0</v>
      </c>
      <c r="H15" s="273">
        <v>0</v>
      </c>
      <c r="I15" s="273"/>
      <c r="J15" s="273">
        <v>73520</v>
      </c>
      <c r="K15" s="273">
        <v>73520</v>
      </c>
      <c r="L15" s="270">
        <v>64471</v>
      </c>
      <c r="M15" s="270">
        <f t="shared" si="0"/>
        <v>124358</v>
      </c>
      <c r="N15" s="269">
        <f t="shared" si="1"/>
        <v>124358</v>
      </c>
      <c r="O15" s="269">
        <f t="shared" si="1"/>
        <v>116615</v>
      </c>
    </row>
    <row r="16" spans="1:15" s="271" customFormat="1" ht="12">
      <c r="A16" s="274"/>
      <c r="B16" s="476" t="s">
        <v>76</v>
      </c>
      <c r="C16" s="509"/>
      <c r="D16" s="273">
        <v>955080</v>
      </c>
      <c r="E16" s="273">
        <v>955080</v>
      </c>
      <c r="F16" s="273">
        <v>987611</v>
      </c>
      <c r="G16" s="273">
        <v>90574</v>
      </c>
      <c r="H16" s="273">
        <v>90574</v>
      </c>
      <c r="I16" s="273">
        <v>82206</v>
      </c>
      <c r="J16" s="273">
        <v>19850</v>
      </c>
      <c r="K16" s="273">
        <v>19850</v>
      </c>
      <c r="L16" s="270">
        <v>9575</v>
      </c>
      <c r="M16" s="270">
        <f t="shared" si="0"/>
        <v>1065504</v>
      </c>
      <c r="N16" s="269">
        <f t="shared" si="1"/>
        <v>1065504</v>
      </c>
      <c r="O16" s="269">
        <f t="shared" si="1"/>
        <v>1079392</v>
      </c>
    </row>
    <row r="17" spans="1:15" s="271" customFormat="1" ht="12">
      <c r="A17" s="274"/>
      <c r="B17" s="492" t="s">
        <v>80</v>
      </c>
      <c r="C17" s="493"/>
      <c r="D17" s="273"/>
      <c r="E17" s="273"/>
      <c r="F17" s="273"/>
      <c r="G17" s="273">
        <v>0</v>
      </c>
      <c r="H17" s="273">
        <v>0</v>
      </c>
      <c r="I17" s="273"/>
      <c r="J17" s="273"/>
      <c r="K17" s="273"/>
      <c r="L17" s="270">
        <v>11973</v>
      </c>
      <c r="M17" s="270">
        <f t="shared" si="0"/>
        <v>0</v>
      </c>
      <c r="N17" s="269">
        <f t="shared" si="1"/>
        <v>0</v>
      </c>
      <c r="O17" s="269">
        <f t="shared" si="1"/>
        <v>11973</v>
      </c>
    </row>
    <row r="18" spans="1:15" s="271" customFormat="1" ht="12">
      <c r="A18" s="274"/>
      <c r="B18" s="476" t="s">
        <v>81</v>
      </c>
      <c r="C18" s="477"/>
      <c r="D18" s="273">
        <v>70000</v>
      </c>
      <c r="E18" s="273">
        <v>70000</v>
      </c>
      <c r="F18" s="273">
        <v>88075</v>
      </c>
      <c r="G18" s="273">
        <v>0</v>
      </c>
      <c r="H18" s="273">
        <v>0</v>
      </c>
      <c r="I18" s="273">
        <v>133</v>
      </c>
      <c r="J18" s="273"/>
      <c r="K18" s="269"/>
      <c r="L18" s="270"/>
      <c r="M18" s="270">
        <f t="shared" si="0"/>
        <v>70000</v>
      </c>
      <c r="N18" s="269">
        <f t="shared" si="1"/>
        <v>70000</v>
      </c>
      <c r="O18" s="269">
        <f t="shared" si="1"/>
        <v>88208</v>
      </c>
    </row>
    <row r="19" spans="1:15" s="271" customFormat="1" ht="12">
      <c r="A19" s="274"/>
      <c r="B19" s="476" t="s">
        <v>82</v>
      </c>
      <c r="C19" s="509"/>
      <c r="D19" s="275"/>
      <c r="E19" s="275"/>
      <c r="F19" s="275">
        <v>107</v>
      </c>
      <c r="G19" s="273">
        <v>1500</v>
      </c>
      <c r="H19" s="273">
        <v>1500</v>
      </c>
      <c r="I19" s="275">
        <v>112</v>
      </c>
      <c r="J19" s="273"/>
      <c r="K19" s="273"/>
      <c r="L19" s="273"/>
      <c r="M19" s="270">
        <f t="shared" si="0"/>
        <v>1500</v>
      </c>
      <c r="N19" s="269">
        <f t="shared" si="1"/>
        <v>1500</v>
      </c>
      <c r="O19" s="269">
        <f t="shared" si="1"/>
        <v>219</v>
      </c>
    </row>
    <row r="20" spans="1:15" s="271" customFormat="1" ht="12">
      <c r="A20" s="274"/>
      <c r="B20" s="476" t="s">
        <v>179</v>
      </c>
      <c r="C20" s="509"/>
      <c r="D20" s="275"/>
      <c r="E20" s="275"/>
      <c r="F20" s="275"/>
      <c r="G20" s="273"/>
      <c r="H20" s="273"/>
      <c r="I20" s="275">
        <v>6580</v>
      </c>
      <c r="J20" s="273"/>
      <c r="K20" s="273"/>
      <c r="L20" s="273"/>
      <c r="M20" s="270"/>
      <c r="N20" s="269"/>
      <c r="O20" s="269">
        <f t="shared" si="1"/>
        <v>6580</v>
      </c>
    </row>
    <row r="21" spans="1:15" s="271" customFormat="1" ht="12.75" thickBot="1">
      <c r="A21" s="274"/>
      <c r="B21" s="476" t="s">
        <v>42</v>
      </c>
      <c r="C21" s="477"/>
      <c r="D21" s="275">
        <v>48734</v>
      </c>
      <c r="E21" s="275">
        <f>48734+66615</f>
        <v>115349</v>
      </c>
      <c r="F21" s="275">
        <v>395676</v>
      </c>
      <c r="G21" s="273">
        <v>74500</v>
      </c>
      <c r="H21" s="273">
        <v>74500</v>
      </c>
      <c r="I21" s="275">
        <v>78781</v>
      </c>
      <c r="J21" s="276"/>
      <c r="K21" s="378"/>
      <c r="L21" s="351">
        <v>12985</v>
      </c>
      <c r="M21" s="270">
        <f t="shared" si="0"/>
        <v>123234</v>
      </c>
      <c r="N21" s="269">
        <f t="shared" si="1"/>
        <v>189849</v>
      </c>
      <c r="O21" s="269">
        <f t="shared" si="1"/>
        <v>487442</v>
      </c>
    </row>
    <row r="22" spans="1:15" s="280" customFormat="1" ht="16.5" customHeight="1" thickBot="1">
      <c r="A22" s="277" t="s">
        <v>37</v>
      </c>
      <c r="B22" s="507" t="s">
        <v>44</v>
      </c>
      <c r="C22" s="508"/>
      <c r="D22" s="278">
        <f>SUM(D11:D21)</f>
        <v>5221892</v>
      </c>
      <c r="E22" s="278">
        <f aca="true" t="shared" si="2" ref="E22:O22">SUM(E11:E21)</f>
        <v>5288507</v>
      </c>
      <c r="F22" s="278">
        <f t="shared" si="2"/>
        <v>5435166</v>
      </c>
      <c r="G22" s="278">
        <f t="shared" si="2"/>
        <v>825191</v>
      </c>
      <c r="H22" s="278">
        <f t="shared" si="2"/>
        <v>831318</v>
      </c>
      <c r="I22" s="278">
        <f t="shared" si="2"/>
        <v>690935</v>
      </c>
      <c r="J22" s="278">
        <f t="shared" si="2"/>
        <v>93370</v>
      </c>
      <c r="K22" s="278">
        <f t="shared" si="2"/>
        <v>93370</v>
      </c>
      <c r="L22" s="278">
        <f t="shared" si="2"/>
        <v>102410</v>
      </c>
      <c r="M22" s="279">
        <f t="shared" si="2"/>
        <v>6140453</v>
      </c>
      <c r="N22" s="278">
        <f t="shared" si="2"/>
        <v>6213195</v>
      </c>
      <c r="O22" s="278">
        <f t="shared" si="2"/>
        <v>6228511</v>
      </c>
    </row>
    <row r="23" ht="12">
      <c r="M23" s="283"/>
    </row>
    <row r="24" spans="4:15" ht="12">
      <c r="D24" s="433" t="s">
        <v>175</v>
      </c>
      <c r="E24" s="433"/>
      <c r="F24" s="433"/>
      <c r="G24" s="510" t="s">
        <v>176</v>
      </c>
      <c r="H24" s="510"/>
      <c r="I24" s="510"/>
      <c r="J24" s="510" t="s">
        <v>177</v>
      </c>
      <c r="K24" s="510"/>
      <c r="L24" s="510"/>
      <c r="M24" s="510" t="s">
        <v>178</v>
      </c>
      <c r="N24" s="510"/>
      <c r="O24" s="510"/>
    </row>
    <row r="25" spans="2:15" ht="12">
      <c r="B25" s="492" t="s">
        <v>7</v>
      </c>
      <c r="C25" s="493"/>
      <c r="D25" s="282">
        <v>210</v>
      </c>
      <c r="E25" s="282">
        <v>220</v>
      </c>
      <c r="F25" s="282">
        <v>195</v>
      </c>
      <c r="M25" s="282">
        <f>SUM(D25,G25,J25)</f>
        <v>210</v>
      </c>
      <c r="N25" s="282">
        <f>SUM(E25,H25,K25)</f>
        <v>220</v>
      </c>
      <c r="O25" s="282">
        <f>SUM(F25,I25,L25)</f>
        <v>195</v>
      </c>
    </row>
    <row r="26" spans="2:15" ht="12">
      <c r="B26" s="478" t="s">
        <v>72</v>
      </c>
      <c r="C26" s="479"/>
      <c r="D26" s="282">
        <v>140559</v>
      </c>
      <c r="E26" s="282">
        <v>140847</v>
      </c>
      <c r="F26" s="282">
        <v>146040</v>
      </c>
      <c r="G26" s="260">
        <v>6130</v>
      </c>
      <c r="H26" s="260">
        <v>6130</v>
      </c>
      <c r="I26" s="260">
        <v>7191</v>
      </c>
      <c r="J26" s="260">
        <v>8000</v>
      </c>
      <c r="K26" s="260">
        <v>8500</v>
      </c>
      <c r="L26" s="260">
        <v>8263</v>
      </c>
      <c r="M26" s="282">
        <f aca="true" t="shared" si="3" ref="M26:M35">SUM(D26,G26,J26)</f>
        <v>154689</v>
      </c>
      <c r="N26" s="282">
        <f aca="true" t="shared" si="4" ref="N26:N35">SUM(E26,H26,K26)</f>
        <v>155477</v>
      </c>
      <c r="O26" s="282">
        <f aca="true" t="shared" si="5" ref="O26:O35">SUM(F26,I26,L26)</f>
        <v>161494</v>
      </c>
    </row>
    <row r="27" spans="2:15" ht="12">
      <c r="B27" s="476" t="s">
        <v>73</v>
      </c>
      <c r="C27" s="477"/>
      <c r="D27" s="7">
        <v>7348</v>
      </c>
      <c r="E27" s="7">
        <v>7348</v>
      </c>
      <c r="F27" s="7">
        <v>2497</v>
      </c>
      <c r="G27" s="260">
        <v>66685</v>
      </c>
      <c r="H27" s="260">
        <v>66685</v>
      </c>
      <c r="I27" s="260">
        <v>81482</v>
      </c>
      <c r="J27" s="260">
        <v>455000</v>
      </c>
      <c r="K27" s="260">
        <v>370000</v>
      </c>
      <c r="L27" s="260">
        <v>277455</v>
      </c>
      <c r="M27" s="282">
        <f t="shared" si="3"/>
        <v>529033</v>
      </c>
      <c r="N27" s="282">
        <f t="shared" si="4"/>
        <v>444033</v>
      </c>
      <c r="O27" s="282">
        <f t="shared" si="5"/>
        <v>361434</v>
      </c>
    </row>
    <row r="28" spans="2:15" ht="12">
      <c r="B28" s="476" t="s">
        <v>74</v>
      </c>
      <c r="C28" s="477"/>
      <c r="D28" s="7"/>
      <c r="E28" s="7"/>
      <c r="F28" s="7"/>
      <c r="M28" s="282">
        <f t="shared" si="3"/>
        <v>0</v>
      </c>
      <c r="N28" s="282">
        <f t="shared" si="4"/>
        <v>0</v>
      </c>
      <c r="O28" s="282">
        <f t="shared" si="5"/>
        <v>0</v>
      </c>
    </row>
    <row r="29" spans="2:15" ht="12">
      <c r="B29" s="476" t="s">
        <v>75</v>
      </c>
      <c r="C29" s="477"/>
      <c r="D29" s="7"/>
      <c r="E29" s="7"/>
      <c r="F29" s="7"/>
      <c r="M29" s="282">
        <f t="shared" si="3"/>
        <v>0</v>
      </c>
      <c r="N29" s="282">
        <f t="shared" si="4"/>
        <v>0</v>
      </c>
      <c r="O29" s="282">
        <f t="shared" si="5"/>
        <v>0</v>
      </c>
    </row>
    <row r="30" spans="2:15" ht="12">
      <c r="B30" s="476" t="s">
        <v>76</v>
      </c>
      <c r="C30" s="509"/>
      <c r="D30" s="7">
        <v>193</v>
      </c>
      <c r="E30" s="7">
        <v>3193</v>
      </c>
      <c r="F30" s="7">
        <v>2982</v>
      </c>
      <c r="G30" s="260">
        <v>18005</v>
      </c>
      <c r="H30" s="260">
        <v>18005</v>
      </c>
      <c r="I30" s="260">
        <v>21127</v>
      </c>
      <c r="J30" s="260">
        <v>60000</v>
      </c>
      <c r="K30" s="260">
        <v>89500</v>
      </c>
      <c r="L30" s="260">
        <v>58097</v>
      </c>
      <c r="M30" s="282">
        <f t="shared" si="3"/>
        <v>78198</v>
      </c>
      <c r="N30" s="282">
        <f t="shared" si="4"/>
        <v>110698</v>
      </c>
      <c r="O30" s="282">
        <f t="shared" si="5"/>
        <v>82206</v>
      </c>
    </row>
    <row r="31" spans="2:15" ht="12">
      <c r="B31" s="492" t="s">
        <v>80</v>
      </c>
      <c r="C31" s="493"/>
      <c r="M31" s="282">
        <f t="shared" si="3"/>
        <v>0</v>
      </c>
      <c r="N31" s="282">
        <f t="shared" si="4"/>
        <v>0</v>
      </c>
      <c r="O31" s="282">
        <f t="shared" si="5"/>
        <v>0</v>
      </c>
    </row>
    <row r="32" spans="2:15" ht="12">
      <c r="B32" s="476" t="s">
        <v>81</v>
      </c>
      <c r="C32" s="477"/>
      <c r="D32" s="282">
        <v>61</v>
      </c>
      <c r="E32" s="282">
        <v>166</v>
      </c>
      <c r="F32" s="282">
        <v>116</v>
      </c>
      <c r="I32" s="260">
        <v>2</v>
      </c>
      <c r="J32" s="260">
        <v>150</v>
      </c>
      <c r="K32" s="260">
        <v>150</v>
      </c>
      <c r="L32" s="260">
        <v>15</v>
      </c>
      <c r="M32" s="282">
        <f t="shared" si="3"/>
        <v>211</v>
      </c>
      <c r="N32" s="282">
        <f t="shared" si="4"/>
        <v>316</v>
      </c>
      <c r="O32" s="282">
        <f t="shared" si="5"/>
        <v>133</v>
      </c>
    </row>
    <row r="33" spans="2:15" ht="12">
      <c r="B33" s="476" t="s">
        <v>82</v>
      </c>
      <c r="C33" s="509"/>
      <c r="E33" s="282">
        <v>113</v>
      </c>
      <c r="F33" s="282">
        <v>112</v>
      </c>
      <c r="M33" s="282">
        <f t="shared" si="3"/>
        <v>0</v>
      </c>
      <c r="N33" s="282">
        <f t="shared" si="4"/>
        <v>113</v>
      </c>
      <c r="O33" s="282">
        <f t="shared" si="5"/>
        <v>112</v>
      </c>
    </row>
    <row r="34" spans="2:15" ht="12">
      <c r="B34" s="356" t="s">
        <v>179</v>
      </c>
      <c r="C34" s="357"/>
      <c r="E34" s="282">
        <v>2300</v>
      </c>
      <c r="F34" s="282">
        <v>2246</v>
      </c>
      <c r="I34" s="260">
        <v>646</v>
      </c>
      <c r="J34" s="260">
        <v>4000</v>
      </c>
      <c r="K34" s="260">
        <v>4000</v>
      </c>
      <c r="L34" s="260">
        <v>3688</v>
      </c>
      <c r="M34" s="282">
        <f t="shared" si="3"/>
        <v>4000</v>
      </c>
      <c r="N34" s="282">
        <f t="shared" si="4"/>
        <v>6300</v>
      </c>
      <c r="O34" s="282">
        <f t="shared" si="5"/>
        <v>6580</v>
      </c>
    </row>
    <row r="35" spans="2:15" ht="12">
      <c r="B35" s="476" t="s">
        <v>42</v>
      </c>
      <c r="C35" s="477"/>
      <c r="E35" s="282">
        <v>311</v>
      </c>
      <c r="F35" s="282">
        <v>310</v>
      </c>
      <c r="G35" s="260">
        <v>1000</v>
      </c>
      <c r="H35" s="260">
        <v>1000</v>
      </c>
      <c r="I35" s="260">
        <v>1774</v>
      </c>
      <c r="J35" s="260">
        <v>57850</v>
      </c>
      <c r="K35" s="260">
        <v>112850</v>
      </c>
      <c r="L35" s="260">
        <v>76697</v>
      </c>
      <c r="M35" s="282">
        <f t="shared" si="3"/>
        <v>58850</v>
      </c>
      <c r="N35" s="282">
        <f t="shared" si="4"/>
        <v>114161</v>
      </c>
      <c r="O35" s="282">
        <f t="shared" si="5"/>
        <v>78781</v>
      </c>
    </row>
    <row r="36" spans="4:15" ht="12">
      <c r="D36" s="282">
        <f aca="true" t="shared" si="6" ref="D36:O36">SUM(D25:D35)</f>
        <v>148371</v>
      </c>
      <c r="E36" s="282">
        <f t="shared" si="6"/>
        <v>154498</v>
      </c>
      <c r="F36" s="282">
        <f t="shared" si="6"/>
        <v>154498</v>
      </c>
      <c r="G36" s="282">
        <f t="shared" si="6"/>
        <v>91820</v>
      </c>
      <c r="H36" s="282">
        <f t="shared" si="6"/>
        <v>91820</v>
      </c>
      <c r="I36" s="282">
        <f t="shared" si="6"/>
        <v>112222</v>
      </c>
      <c r="J36" s="282">
        <f t="shared" si="6"/>
        <v>585000</v>
      </c>
      <c r="K36" s="282">
        <f t="shared" si="6"/>
        <v>585000</v>
      </c>
      <c r="L36" s="282">
        <f t="shared" si="6"/>
        <v>424215</v>
      </c>
      <c r="M36" s="282">
        <f t="shared" si="6"/>
        <v>825191</v>
      </c>
      <c r="N36" s="282">
        <f t="shared" si="6"/>
        <v>831318</v>
      </c>
      <c r="O36" s="282">
        <f t="shared" si="6"/>
        <v>690935</v>
      </c>
    </row>
    <row r="38" spans="4:21" ht="12">
      <c r="D38" s="433" t="s">
        <v>180</v>
      </c>
      <c r="E38" s="433"/>
      <c r="F38" s="433"/>
      <c r="G38" s="510" t="s">
        <v>181</v>
      </c>
      <c r="H38" s="510"/>
      <c r="I38" s="510"/>
      <c r="J38" s="510" t="s">
        <v>182</v>
      </c>
      <c r="K38" s="510"/>
      <c r="L38" s="510"/>
      <c r="M38" s="510" t="s">
        <v>183</v>
      </c>
      <c r="N38" s="510"/>
      <c r="O38" s="510"/>
      <c r="P38" s="510" t="s">
        <v>184</v>
      </c>
      <c r="Q38" s="510"/>
      <c r="R38" s="510"/>
      <c r="S38" s="510" t="s">
        <v>186</v>
      </c>
      <c r="T38" s="510"/>
      <c r="U38" s="510"/>
    </row>
    <row r="39" spans="2:24" ht="12">
      <c r="B39" s="492" t="s">
        <v>7</v>
      </c>
      <c r="C39" s="493"/>
      <c r="V39" s="282">
        <f>SUM(D39,G39,J39,M39,P39,S39)</f>
        <v>0</v>
      </c>
      <c r="W39" s="282">
        <f>SUM(E39,H39,K39,N39,Q39,T39)</f>
        <v>0</v>
      </c>
      <c r="X39" s="282">
        <f>SUM(F39,I39,L39,O39,R39,U39)</f>
        <v>0</v>
      </c>
    </row>
    <row r="40" spans="2:24" ht="12">
      <c r="B40" s="478" t="s">
        <v>72</v>
      </c>
      <c r="C40" s="479"/>
      <c r="L40" s="260">
        <v>7</v>
      </c>
      <c r="V40" s="282">
        <f aca="true" t="shared" si="7" ref="V40:V49">SUM(D40,G40,J40,M40,P40,S40)</f>
        <v>0</v>
      </c>
      <c r="W40" s="282">
        <f aca="true" t="shared" si="8" ref="W40:W49">SUM(E40,H40,K40,N40,Q40,T40)</f>
        <v>0</v>
      </c>
      <c r="X40" s="282">
        <f aca="true" t="shared" si="9" ref="X40:X49">SUM(F40,I40,L40,O40,R40,U40)</f>
        <v>7</v>
      </c>
    </row>
    <row r="41" spans="2:24" ht="12">
      <c r="B41" s="476" t="s">
        <v>73</v>
      </c>
      <c r="C41" s="477"/>
      <c r="J41" s="260">
        <v>12000</v>
      </c>
      <c r="K41" s="260">
        <v>12000</v>
      </c>
      <c r="L41" s="260">
        <v>3399</v>
      </c>
      <c r="V41" s="282">
        <f t="shared" si="7"/>
        <v>12000</v>
      </c>
      <c r="W41" s="282">
        <f t="shared" si="8"/>
        <v>12000</v>
      </c>
      <c r="X41" s="282">
        <f t="shared" si="9"/>
        <v>3399</v>
      </c>
    </row>
    <row r="42" spans="2:24" ht="12">
      <c r="B42" s="476" t="s">
        <v>74</v>
      </c>
      <c r="C42" s="477"/>
      <c r="V42" s="282">
        <f t="shared" si="7"/>
        <v>0</v>
      </c>
      <c r="W42" s="282">
        <f t="shared" si="8"/>
        <v>0</v>
      </c>
      <c r="X42" s="282">
        <f t="shared" si="9"/>
        <v>0</v>
      </c>
    </row>
    <row r="43" spans="2:24" ht="12">
      <c r="B43" s="476" t="s">
        <v>75</v>
      </c>
      <c r="C43" s="477"/>
      <c r="D43" s="282">
        <v>2350</v>
      </c>
      <c r="E43" s="282">
        <v>2350</v>
      </c>
      <c r="F43" s="282">
        <v>2101</v>
      </c>
      <c r="G43" s="260">
        <v>3000</v>
      </c>
      <c r="H43" s="260">
        <v>3000</v>
      </c>
      <c r="I43" s="260">
        <v>2888</v>
      </c>
      <c r="J43" s="260">
        <v>6500</v>
      </c>
      <c r="K43" s="260">
        <v>6500</v>
      </c>
      <c r="L43" s="260">
        <v>3440</v>
      </c>
      <c r="M43" s="260">
        <v>3800</v>
      </c>
      <c r="N43" s="260">
        <v>3800</v>
      </c>
      <c r="O43" s="260">
        <v>3139</v>
      </c>
      <c r="P43" s="260">
        <v>3300</v>
      </c>
      <c r="Q43" s="260">
        <v>3300</v>
      </c>
      <c r="R43" s="260">
        <v>4574</v>
      </c>
      <c r="S43" s="260">
        <v>56300</v>
      </c>
      <c r="T43" s="260">
        <v>56300</v>
      </c>
      <c r="U43" s="260">
        <v>48329</v>
      </c>
      <c r="V43" s="282">
        <f t="shared" si="7"/>
        <v>75250</v>
      </c>
      <c r="W43" s="282">
        <f t="shared" si="8"/>
        <v>75250</v>
      </c>
      <c r="X43" s="282">
        <f t="shared" si="9"/>
        <v>64471</v>
      </c>
    </row>
    <row r="44" spans="2:24" ht="12">
      <c r="B44" s="476" t="s">
        <v>76</v>
      </c>
      <c r="C44" s="509"/>
      <c r="J44" s="260">
        <v>4000</v>
      </c>
      <c r="K44" s="260">
        <v>4000</v>
      </c>
      <c r="L44" s="260">
        <v>1849</v>
      </c>
      <c r="M44" s="260">
        <v>1220</v>
      </c>
      <c r="N44" s="260">
        <v>1220</v>
      </c>
      <c r="O44" s="260">
        <v>847</v>
      </c>
      <c r="P44" s="260">
        <v>900</v>
      </c>
      <c r="Q44" s="260">
        <v>900</v>
      </c>
      <c r="R44" s="260">
        <v>819</v>
      </c>
      <c r="U44" s="260">
        <v>6060</v>
      </c>
      <c r="V44" s="282">
        <f t="shared" si="7"/>
        <v>6120</v>
      </c>
      <c r="W44" s="282">
        <f t="shared" si="8"/>
        <v>6120</v>
      </c>
      <c r="X44" s="282">
        <f t="shared" si="9"/>
        <v>9575</v>
      </c>
    </row>
    <row r="45" spans="2:24" ht="12">
      <c r="B45" s="492" t="s">
        <v>80</v>
      </c>
      <c r="C45" s="493"/>
      <c r="L45" s="260">
        <v>1002</v>
      </c>
      <c r="R45" s="260">
        <v>324</v>
      </c>
      <c r="U45" s="260">
        <v>10647</v>
      </c>
      <c r="V45" s="282">
        <f t="shared" si="7"/>
        <v>0</v>
      </c>
      <c r="W45" s="282">
        <f t="shared" si="8"/>
        <v>0</v>
      </c>
      <c r="X45" s="282">
        <f t="shared" si="9"/>
        <v>11973</v>
      </c>
    </row>
    <row r="46" spans="2:24" ht="12">
      <c r="B46" s="476" t="s">
        <v>81</v>
      </c>
      <c r="C46" s="477"/>
      <c r="V46" s="282">
        <f t="shared" si="7"/>
        <v>0</v>
      </c>
      <c r="W46" s="282">
        <f t="shared" si="8"/>
        <v>0</v>
      </c>
      <c r="X46" s="282">
        <f t="shared" si="9"/>
        <v>0</v>
      </c>
    </row>
    <row r="47" spans="2:24" ht="12">
      <c r="B47" s="476" t="s">
        <v>82</v>
      </c>
      <c r="C47" s="509"/>
      <c r="V47" s="282">
        <f t="shared" si="7"/>
        <v>0</v>
      </c>
      <c r="W47" s="282">
        <f t="shared" si="8"/>
        <v>0</v>
      </c>
      <c r="X47" s="282">
        <f t="shared" si="9"/>
        <v>0</v>
      </c>
    </row>
    <row r="48" spans="2:24" ht="12">
      <c r="B48" s="356" t="s">
        <v>179</v>
      </c>
      <c r="C48" s="357"/>
      <c r="V48" s="282">
        <f t="shared" si="7"/>
        <v>0</v>
      </c>
      <c r="W48" s="282">
        <f t="shared" si="8"/>
        <v>0</v>
      </c>
      <c r="X48" s="282">
        <f t="shared" si="9"/>
        <v>0</v>
      </c>
    </row>
    <row r="49" spans="2:24" ht="12">
      <c r="B49" s="476" t="s">
        <v>42</v>
      </c>
      <c r="C49" s="477"/>
      <c r="F49" s="282">
        <v>1067</v>
      </c>
      <c r="I49" s="260">
        <v>988</v>
      </c>
      <c r="L49" s="260">
        <v>1257</v>
      </c>
      <c r="O49" s="260">
        <v>1667</v>
      </c>
      <c r="R49" s="260">
        <v>889</v>
      </c>
      <c r="U49" s="260">
        <v>7117</v>
      </c>
      <c r="V49" s="282">
        <f t="shared" si="7"/>
        <v>0</v>
      </c>
      <c r="W49" s="282">
        <f t="shared" si="8"/>
        <v>0</v>
      </c>
      <c r="X49" s="282">
        <f t="shared" si="9"/>
        <v>12985</v>
      </c>
    </row>
    <row r="50" spans="4:24" ht="12">
      <c r="D50" s="282">
        <f aca="true" t="shared" si="10" ref="D50:R50">SUM(D39:D49)</f>
        <v>2350</v>
      </c>
      <c r="E50" s="282">
        <f t="shared" si="10"/>
        <v>2350</v>
      </c>
      <c r="F50" s="282">
        <f t="shared" si="10"/>
        <v>3168</v>
      </c>
      <c r="G50" s="282">
        <f t="shared" si="10"/>
        <v>3000</v>
      </c>
      <c r="H50" s="282">
        <f t="shared" si="10"/>
        <v>3000</v>
      </c>
      <c r="I50" s="282">
        <f t="shared" si="10"/>
        <v>3876</v>
      </c>
      <c r="J50" s="282">
        <f t="shared" si="10"/>
        <v>22500</v>
      </c>
      <c r="K50" s="282">
        <f t="shared" si="10"/>
        <v>22500</v>
      </c>
      <c r="L50" s="282">
        <f t="shared" si="10"/>
        <v>10954</v>
      </c>
      <c r="M50" s="282">
        <f t="shared" si="10"/>
        <v>5020</v>
      </c>
      <c r="N50" s="282">
        <f t="shared" si="10"/>
        <v>5020</v>
      </c>
      <c r="O50" s="282">
        <f t="shared" si="10"/>
        <v>5653</v>
      </c>
      <c r="P50" s="282">
        <f t="shared" si="10"/>
        <v>4200</v>
      </c>
      <c r="Q50" s="282">
        <f t="shared" si="10"/>
        <v>4200</v>
      </c>
      <c r="R50" s="282">
        <f t="shared" si="10"/>
        <v>6606</v>
      </c>
      <c r="S50" s="260">
        <f>SUM(S43:S49)</f>
        <v>56300</v>
      </c>
      <c r="T50" s="260">
        <f>SUM(T43:T49)</f>
        <v>56300</v>
      </c>
      <c r="U50" s="260">
        <f>SUM(U43:U49)</f>
        <v>72153</v>
      </c>
      <c r="V50" s="282">
        <f>SUM(V39:V49)</f>
        <v>93370</v>
      </c>
      <c r="W50" s="282">
        <f>SUM(W39:W49)</f>
        <v>93370</v>
      </c>
      <c r="X50" s="282">
        <f>SUM(X39:X49)</f>
        <v>102410</v>
      </c>
    </row>
  </sheetData>
  <sheetProtection/>
  <mergeCells count="52">
    <mergeCell ref="B47:C47"/>
    <mergeCell ref="B49:C49"/>
    <mergeCell ref="D38:F38"/>
    <mergeCell ref="G38:I38"/>
    <mergeCell ref="J38:L38"/>
    <mergeCell ref="B40:C40"/>
    <mergeCell ref="B41:C41"/>
    <mergeCell ref="B44:C44"/>
    <mergeCell ref="B45:C45"/>
    <mergeCell ref="D24:F24"/>
    <mergeCell ref="G24:I24"/>
    <mergeCell ref="B35:C35"/>
    <mergeCell ref="P38:R38"/>
    <mergeCell ref="S38:U38"/>
    <mergeCell ref="B46:C46"/>
    <mergeCell ref="B32:C32"/>
    <mergeCell ref="B33:C33"/>
    <mergeCell ref="B42:C42"/>
    <mergeCell ref="B43:C43"/>
    <mergeCell ref="B16:C16"/>
    <mergeCell ref="B19:C19"/>
    <mergeCell ref="J24:L24"/>
    <mergeCell ref="M24:O24"/>
    <mergeCell ref="B20:C20"/>
    <mergeCell ref="B39:C39"/>
    <mergeCell ref="M38:O38"/>
    <mergeCell ref="B29:C29"/>
    <mergeCell ref="B30:C30"/>
    <mergeCell ref="B31:C31"/>
    <mergeCell ref="B25:C25"/>
    <mergeCell ref="B26:C26"/>
    <mergeCell ref="B27:C27"/>
    <mergeCell ref="B28:C28"/>
    <mergeCell ref="B21:C21"/>
    <mergeCell ref="B17:C17"/>
    <mergeCell ref="B18:C18"/>
    <mergeCell ref="B22:C22"/>
    <mergeCell ref="A2:C2"/>
    <mergeCell ref="J6:N6"/>
    <mergeCell ref="A4:N4"/>
    <mergeCell ref="G2:N2"/>
    <mergeCell ref="A10:C10"/>
    <mergeCell ref="D7:F8"/>
    <mergeCell ref="G7:I8"/>
    <mergeCell ref="A7:C9"/>
    <mergeCell ref="B15:C15"/>
    <mergeCell ref="B12:C12"/>
    <mergeCell ref="B13:C13"/>
    <mergeCell ref="M7:O8"/>
    <mergeCell ref="J7:L8"/>
    <mergeCell ref="B14:C14"/>
    <mergeCell ref="B11:C11"/>
  </mergeCells>
  <printOptions/>
  <pageMargins left="0.35433070866141736" right="0.15748031496062992" top="0.2755905511811024" bottom="0.2755905511811024" header="0.6299212598425197" footer="0.2755905511811024"/>
  <pageSetup fitToHeight="0" fitToWidth="1" horizontalDpi="600" verticalDpi="600" orientation="landscape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P32"/>
  <sheetViews>
    <sheetView zoomScalePageLayoutView="0" workbookViewId="0" topLeftCell="A1">
      <selection activeCell="F28" sqref="F28"/>
    </sheetView>
  </sheetViews>
  <sheetFormatPr defaultColWidth="9.00390625" defaultRowHeight="12.75"/>
  <cols>
    <col min="1" max="1" width="3.125" style="284" customWidth="1"/>
    <col min="2" max="2" width="44.625" style="284" customWidth="1"/>
    <col min="3" max="12" width="9.875" style="284" customWidth="1"/>
    <col min="13" max="13" width="9.875" style="243" customWidth="1"/>
    <col min="14" max="14" width="10.125" style="243" bestFit="1" customWidth="1"/>
    <col min="15" max="16384" width="9.125" style="284" customWidth="1"/>
  </cols>
  <sheetData>
    <row r="1" spans="9:13" ht="12">
      <c r="I1" s="519" t="s">
        <v>24</v>
      </c>
      <c r="J1" s="519"/>
      <c r="K1" s="519"/>
      <c r="L1" s="519"/>
      <c r="M1" s="519"/>
    </row>
    <row r="2" spans="6:12" ht="12">
      <c r="F2" s="519"/>
      <c r="G2" s="519"/>
      <c r="H2" s="519"/>
      <c r="I2" s="519"/>
      <c r="J2" s="519"/>
      <c r="K2" s="519"/>
      <c r="L2" s="519"/>
    </row>
    <row r="3" spans="1:13" ht="31.5" customHeight="1">
      <c r="A3" s="502" t="s">
        <v>152</v>
      </c>
      <c r="B3" s="502"/>
      <c r="C3" s="502"/>
      <c r="D3" s="502"/>
      <c r="E3" s="502"/>
      <c r="F3" s="502"/>
      <c r="G3" s="502"/>
      <c r="H3" s="502"/>
      <c r="I3" s="502"/>
      <c r="J3" s="502"/>
      <c r="K3" s="502"/>
      <c r="L3" s="502"/>
      <c r="M3" s="502"/>
    </row>
    <row r="4" spans="1:12" ht="15.75" customHeight="1">
      <c r="A4" s="263"/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</row>
    <row r="5" spans="1:12" ht="21" customHeight="1">
      <c r="A5" s="263"/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</row>
    <row r="6" spans="1:13" ht="12.75" thickBot="1">
      <c r="A6" s="264"/>
      <c r="B6" s="264"/>
      <c r="C6" s="264"/>
      <c r="D6" s="264"/>
      <c r="E6" s="264"/>
      <c r="F6" s="264"/>
      <c r="G6" s="264"/>
      <c r="H6" s="264"/>
      <c r="I6" s="520" t="s">
        <v>0</v>
      </c>
      <c r="J6" s="520"/>
      <c r="K6" s="520"/>
      <c r="L6" s="521"/>
      <c r="M6" s="521"/>
    </row>
    <row r="7" spans="1:14" ht="16.5" customHeight="1">
      <c r="A7" s="498" t="s">
        <v>1</v>
      </c>
      <c r="B7" s="500"/>
      <c r="C7" s="486" t="s">
        <v>18</v>
      </c>
      <c r="D7" s="487"/>
      <c r="E7" s="488"/>
      <c r="F7" s="486" t="s">
        <v>122</v>
      </c>
      <c r="G7" s="487"/>
      <c r="H7" s="488"/>
      <c r="I7" s="486" t="s">
        <v>123</v>
      </c>
      <c r="J7" s="487"/>
      <c r="K7" s="488"/>
      <c r="L7" s="480" t="s">
        <v>19</v>
      </c>
      <c r="M7" s="481"/>
      <c r="N7" s="482"/>
    </row>
    <row r="8" spans="1:14" ht="60" customHeight="1" thickBot="1">
      <c r="A8" s="501"/>
      <c r="B8" s="503"/>
      <c r="C8" s="489"/>
      <c r="D8" s="490"/>
      <c r="E8" s="491"/>
      <c r="F8" s="489"/>
      <c r="G8" s="490"/>
      <c r="H8" s="491"/>
      <c r="I8" s="489"/>
      <c r="J8" s="490"/>
      <c r="K8" s="491"/>
      <c r="L8" s="483"/>
      <c r="M8" s="484"/>
      <c r="N8" s="485"/>
    </row>
    <row r="9" spans="1:14" ht="60" customHeight="1" thickBot="1">
      <c r="A9" s="504"/>
      <c r="B9" s="506"/>
      <c r="C9" s="99" t="s">
        <v>166</v>
      </c>
      <c r="D9" s="84" t="s">
        <v>167</v>
      </c>
      <c r="E9" s="84" t="s">
        <v>168</v>
      </c>
      <c r="F9" s="99" t="s">
        <v>166</v>
      </c>
      <c r="G9" s="84" t="s">
        <v>167</v>
      </c>
      <c r="H9" s="84" t="s">
        <v>168</v>
      </c>
      <c r="I9" s="99" t="s">
        <v>166</v>
      </c>
      <c r="J9" s="84" t="s">
        <v>167</v>
      </c>
      <c r="K9" s="84" t="s">
        <v>168</v>
      </c>
      <c r="L9" s="99" t="s">
        <v>166</v>
      </c>
      <c r="M9" s="84" t="s">
        <v>167</v>
      </c>
      <c r="N9" s="84" t="s">
        <v>168</v>
      </c>
    </row>
    <row r="10" spans="1:14" ht="15" customHeight="1" thickBot="1">
      <c r="A10" s="528" t="s">
        <v>2</v>
      </c>
      <c r="B10" s="529"/>
      <c r="C10" s="265">
        <v>2</v>
      </c>
      <c r="D10" s="265">
        <v>3</v>
      </c>
      <c r="E10" s="265">
        <v>4</v>
      </c>
      <c r="F10" s="265">
        <v>5</v>
      </c>
      <c r="G10" s="265">
        <v>6</v>
      </c>
      <c r="H10" s="265">
        <v>7</v>
      </c>
      <c r="I10" s="265">
        <v>8</v>
      </c>
      <c r="J10" s="266">
        <v>9</v>
      </c>
      <c r="K10" s="266">
        <v>10</v>
      </c>
      <c r="L10" s="266">
        <v>11</v>
      </c>
      <c r="M10" s="267">
        <v>12</v>
      </c>
      <c r="N10" s="352">
        <v>13</v>
      </c>
    </row>
    <row r="11" spans="1:14" ht="28.5" customHeight="1">
      <c r="A11" s="286"/>
      <c r="B11" s="287" t="s">
        <v>142</v>
      </c>
      <c r="C11" s="288"/>
      <c r="D11" s="288"/>
      <c r="E11" s="296"/>
      <c r="F11" s="288"/>
      <c r="G11" s="288"/>
      <c r="H11" s="288"/>
      <c r="I11" s="288"/>
      <c r="J11" s="288"/>
      <c r="K11" s="288"/>
      <c r="L11" s="288"/>
      <c r="M11" s="285"/>
      <c r="N11" s="76"/>
    </row>
    <row r="12" spans="1:14" ht="15" customHeight="1">
      <c r="A12" s="289"/>
      <c r="B12" s="290" t="s">
        <v>143</v>
      </c>
      <c r="C12" s="291"/>
      <c r="D12" s="191">
        <v>775</v>
      </c>
      <c r="E12" s="191">
        <v>775</v>
      </c>
      <c r="F12" s="292"/>
      <c r="G12" s="292"/>
      <c r="H12" s="292"/>
      <c r="I12" s="292"/>
      <c r="J12" s="292"/>
      <c r="K12" s="292"/>
      <c r="L12" s="291"/>
      <c r="M12" s="293">
        <f>SUM(D12)</f>
        <v>775</v>
      </c>
      <c r="N12" s="293">
        <f>SUM(E12)</f>
        <v>775</v>
      </c>
    </row>
    <row r="13" spans="1:14" ht="24">
      <c r="A13" s="294"/>
      <c r="B13" s="295" t="s">
        <v>83</v>
      </c>
      <c r="C13" s="296"/>
      <c r="D13" s="297"/>
      <c r="E13" s="297"/>
      <c r="F13" s="288"/>
      <c r="G13" s="288"/>
      <c r="H13" s="288"/>
      <c r="I13" s="288"/>
      <c r="J13" s="288"/>
      <c r="K13" s="288"/>
      <c r="L13" s="296"/>
      <c r="M13" s="298"/>
      <c r="N13" s="78"/>
    </row>
    <row r="14" spans="1:14" ht="12">
      <c r="A14" s="294"/>
      <c r="B14" s="299" t="s">
        <v>158</v>
      </c>
      <c r="C14" s="515"/>
      <c r="D14" s="517">
        <v>1427184</v>
      </c>
      <c r="E14" s="517">
        <v>1427184</v>
      </c>
      <c r="F14" s="300"/>
      <c r="G14" s="522"/>
      <c r="H14" s="300"/>
      <c r="I14" s="300"/>
      <c r="J14" s="522"/>
      <c r="K14" s="300"/>
      <c r="L14" s="511">
        <f>SUM(C14,F15,F14,I14:I15)</f>
        <v>0</v>
      </c>
      <c r="M14" s="511">
        <f>SUM(D14,G15,G14,J14:J15)</f>
        <v>1427184</v>
      </c>
      <c r="N14" s="511">
        <f>SUM(E14,H15,H14,K14:K15)</f>
        <v>1427184</v>
      </c>
    </row>
    <row r="15" spans="1:14" ht="12">
      <c r="A15" s="301"/>
      <c r="B15" s="302" t="s">
        <v>159</v>
      </c>
      <c r="C15" s="526"/>
      <c r="D15" s="518"/>
      <c r="E15" s="518"/>
      <c r="F15" s="303"/>
      <c r="G15" s="524"/>
      <c r="H15" s="303"/>
      <c r="I15" s="303"/>
      <c r="J15" s="524"/>
      <c r="K15" s="303"/>
      <c r="L15" s="513"/>
      <c r="M15" s="513"/>
      <c r="N15" s="513"/>
    </row>
    <row r="16" spans="1:14" ht="12">
      <c r="A16" s="304"/>
      <c r="B16" s="295" t="s">
        <v>160</v>
      </c>
      <c r="C16" s="515"/>
      <c r="D16" s="525">
        <v>144920</v>
      </c>
      <c r="E16" s="517">
        <v>144920</v>
      </c>
      <c r="F16" s="288"/>
      <c r="G16" s="522"/>
      <c r="H16" s="288"/>
      <c r="I16" s="288"/>
      <c r="J16" s="522"/>
      <c r="K16" s="300"/>
      <c r="L16" s="511">
        <f>SUM(C16,F16,I16)</f>
        <v>0</v>
      </c>
      <c r="M16" s="511">
        <f>SUM(D16,G16,J16)</f>
        <v>144920</v>
      </c>
      <c r="N16" s="511">
        <f>SUM(E16,H16,K16)</f>
        <v>144920</v>
      </c>
    </row>
    <row r="17" spans="1:14" ht="12">
      <c r="A17" s="304"/>
      <c r="B17" s="295" t="s">
        <v>161</v>
      </c>
      <c r="C17" s="527"/>
      <c r="D17" s="525"/>
      <c r="E17" s="525"/>
      <c r="F17" s="288"/>
      <c r="G17" s="523"/>
      <c r="H17" s="288"/>
      <c r="I17" s="288"/>
      <c r="J17" s="523"/>
      <c r="K17" s="288"/>
      <c r="L17" s="514"/>
      <c r="M17" s="514"/>
      <c r="N17" s="514"/>
    </row>
    <row r="18" spans="1:14" ht="12">
      <c r="A18" s="301"/>
      <c r="B18" s="295" t="s">
        <v>162</v>
      </c>
      <c r="C18" s="526"/>
      <c r="D18" s="518"/>
      <c r="E18" s="518"/>
      <c r="F18" s="288"/>
      <c r="G18" s="524"/>
      <c r="H18" s="288"/>
      <c r="I18" s="288"/>
      <c r="J18" s="524"/>
      <c r="K18" s="303"/>
      <c r="L18" s="513"/>
      <c r="M18" s="513"/>
      <c r="N18" s="513"/>
    </row>
    <row r="19" spans="1:16" ht="24">
      <c r="A19" s="305"/>
      <c r="B19" s="306" t="s">
        <v>41</v>
      </c>
      <c r="C19" s="293"/>
      <c r="D19" s="307"/>
      <c r="E19" s="367"/>
      <c r="F19" s="78"/>
      <c r="G19" s="78"/>
      <c r="H19" s="78"/>
      <c r="I19" s="78"/>
      <c r="J19" s="78"/>
      <c r="K19" s="78"/>
      <c r="L19" s="291"/>
      <c r="M19" s="291"/>
      <c r="N19" s="78"/>
      <c r="P19" s="243"/>
    </row>
    <row r="20" spans="1:14" ht="15.75" customHeight="1">
      <c r="A20" s="305"/>
      <c r="B20" s="308" t="s">
        <v>84</v>
      </c>
      <c r="C20" s="329"/>
      <c r="D20" s="309"/>
      <c r="E20" s="329"/>
      <c r="F20" s="309"/>
      <c r="G20" s="309"/>
      <c r="H20" s="309"/>
      <c r="I20" s="78"/>
      <c r="J20" s="78"/>
      <c r="K20" s="78"/>
      <c r="L20" s="291"/>
      <c r="M20" s="291"/>
      <c r="N20" s="78"/>
    </row>
    <row r="21" spans="1:14" ht="15.75" customHeight="1">
      <c r="A21" s="310"/>
      <c r="B21" s="311" t="s">
        <v>85</v>
      </c>
      <c r="C21" s="511"/>
      <c r="D21" s="511">
        <v>39154</v>
      </c>
      <c r="E21" s="511">
        <v>39155</v>
      </c>
      <c r="F21" s="312"/>
      <c r="G21" s="312"/>
      <c r="H21" s="312"/>
      <c r="I21" s="79"/>
      <c r="J21" s="79"/>
      <c r="K21" s="79"/>
      <c r="L21" s="515">
        <f>SUM(C21,F21,I21)</f>
        <v>0</v>
      </c>
      <c r="M21" s="515">
        <f>SUM(D21,G21,J21)</f>
        <v>39154</v>
      </c>
      <c r="N21" s="515">
        <f>SUM(E21,H21,K21)</f>
        <v>39155</v>
      </c>
    </row>
    <row r="22" spans="1:14" ht="15.75" customHeight="1" thickBot="1">
      <c r="A22" s="313"/>
      <c r="B22" s="314" t="s">
        <v>86</v>
      </c>
      <c r="C22" s="512"/>
      <c r="D22" s="512"/>
      <c r="E22" s="512"/>
      <c r="F22" s="125"/>
      <c r="G22" s="125"/>
      <c r="H22" s="125"/>
      <c r="I22" s="315"/>
      <c r="J22" s="315"/>
      <c r="K22" s="315"/>
      <c r="L22" s="516"/>
      <c r="M22" s="516"/>
      <c r="N22" s="516"/>
    </row>
    <row r="23" spans="1:14" ht="25.5" customHeight="1" thickBot="1">
      <c r="A23" s="316" t="s">
        <v>50</v>
      </c>
      <c r="B23" s="317" t="s">
        <v>87</v>
      </c>
      <c r="C23" s="17">
        <f>SUM(C11:C22)</f>
        <v>0</v>
      </c>
      <c r="D23" s="17">
        <f aca="true" t="shared" si="0" ref="D23:N23">SUM(D11:D22)</f>
        <v>1612033</v>
      </c>
      <c r="E23" s="17">
        <f t="shared" si="0"/>
        <v>1612034</v>
      </c>
      <c r="F23" s="17">
        <f t="shared" si="0"/>
        <v>0</v>
      </c>
      <c r="G23" s="17">
        <f t="shared" si="0"/>
        <v>0</v>
      </c>
      <c r="H23" s="17"/>
      <c r="I23" s="17">
        <f t="shared" si="0"/>
        <v>0</v>
      </c>
      <c r="J23" s="17">
        <f t="shared" si="0"/>
        <v>0</v>
      </c>
      <c r="K23" s="17"/>
      <c r="L23" s="17">
        <f t="shared" si="0"/>
        <v>0</v>
      </c>
      <c r="M23" s="17">
        <f t="shared" si="0"/>
        <v>1612033</v>
      </c>
      <c r="N23" s="17">
        <f t="shared" si="0"/>
        <v>1612034</v>
      </c>
    </row>
    <row r="25" spans="4:5" ht="12">
      <c r="D25" s="243"/>
      <c r="E25" s="243"/>
    </row>
    <row r="26" spans="3:5" ht="12">
      <c r="C26" s="243"/>
      <c r="D26" s="243"/>
      <c r="E26" s="243"/>
    </row>
    <row r="27" spans="3:5" ht="12">
      <c r="C27" s="243"/>
      <c r="D27" s="243"/>
      <c r="E27" s="243"/>
    </row>
    <row r="29" spans="4:5" ht="12">
      <c r="D29" s="243"/>
      <c r="E29" s="243"/>
    </row>
    <row r="30" spans="6:8" ht="12">
      <c r="F30" s="243"/>
      <c r="G30" s="243"/>
      <c r="H30" s="243"/>
    </row>
    <row r="32" spans="6:8" ht="12">
      <c r="F32" s="243"/>
      <c r="G32" s="243"/>
      <c r="H32" s="243"/>
    </row>
  </sheetData>
  <sheetProtection/>
  <mergeCells count="32">
    <mergeCell ref="A10:B10"/>
    <mergeCell ref="F2:L2"/>
    <mergeCell ref="A7:B9"/>
    <mergeCell ref="M14:M15"/>
    <mergeCell ref="G14:G15"/>
    <mergeCell ref="J14:J15"/>
    <mergeCell ref="F7:H8"/>
    <mergeCell ref="I7:K8"/>
    <mergeCell ref="N14:N15"/>
    <mergeCell ref="N16:N18"/>
    <mergeCell ref="E14:E15"/>
    <mergeCell ref="E16:E18"/>
    <mergeCell ref="C14:C15"/>
    <mergeCell ref="C7:E8"/>
    <mergeCell ref="M16:M18"/>
    <mergeCell ref="C16:C18"/>
    <mergeCell ref="I1:M1"/>
    <mergeCell ref="I6:M6"/>
    <mergeCell ref="N21:N22"/>
    <mergeCell ref="M21:M22"/>
    <mergeCell ref="G16:G18"/>
    <mergeCell ref="J16:J18"/>
    <mergeCell ref="L7:N8"/>
    <mergeCell ref="A3:M3"/>
    <mergeCell ref="D16:D18"/>
    <mergeCell ref="E21:E22"/>
    <mergeCell ref="C21:C22"/>
    <mergeCell ref="L14:L15"/>
    <mergeCell ref="L16:L18"/>
    <mergeCell ref="L21:L22"/>
    <mergeCell ref="D21:D22"/>
    <mergeCell ref="D14:D15"/>
  </mergeCells>
  <printOptions/>
  <pageMargins left="0.35433070866141736" right="0.15748031496062992" top="0.2755905511811024" bottom="0.2755905511811024" header="0.6299212598425197" footer="0.2755905511811024"/>
  <pageSetup fitToHeight="0" fitToWidth="1" horizontalDpi="600" verticalDpi="600" orientation="landscape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O28"/>
  <sheetViews>
    <sheetView zoomScalePageLayoutView="0" workbookViewId="0" topLeftCell="A1">
      <selection activeCell="F28" sqref="F28"/>
    </sheetView>
  </sheetViews>
  <sheetFormatPr defaultColWidth="9.00390625" defaultRowHeight="12.75"/>
  <cols>
    <col min="1" max="2" width="3.25390625" style="284" customWidth="1"/>
    <col min="3" max="3" width="29.625" style="284" customWidth="1"/>
    <col min="4" max="4" width="10.00390625" style="284" customWidth="1"/>
    <col min="5" max="5" width="9.75390625" style="284" customWidth="1"/>
    <col min="6" max="6" width="9.125" style="284" customWidth="1"/>
    <col min="7" max="7" width="9.75390625" style="284" customWidth="1"/>
    <col min="8" max="14" width="9.125" style="284" customWidth="1"/>
    <col min="15" max="16384" width="9.125" style="284" customWidth="1"/>
  </cols>
  <sheetData>
    <row r="1" spans="10:14" ht="12">
      <c r="J1" s="519" t="s">
        <v>26</v>
      </c>
      <c r="K1" s="519"/>
      <c r="L1" s="519"/>
      <c r="M1" s="519"/>
      <c r="N1" s="519"/>
    </row>
    <row r="4" spans="3:13" ht="19.5" customHeight="1">
      <c r="C4" s="410" t="s">
        <v>153</v>
      </c>
      <c r="D4" s="410"/>
      <c r="E4" s="410"/>
      <c r="F4" s="410"/>
      <c r="G4" s="410"/>
      <c r="H4" s="410"/>
      <c r="I4" s="410"/>
      <c r="J4" s="410"/>
      <c r="K4" s="410"/>
      <c r="L4" s="410"/>
      <c r="M4" s="410"/>
    </row>
    <row r="5" spans="3:13" ht="19.5" customHeight="1">
      <c r="C5" s="410" t="s">
        <v>20</v>
      </c>
      <c r="D5" s="410"/>
      <c r="E5" s="410"/>
      <c r="F5" s="410"/>
      <c r="G5" s="410"/>
      <c r="H5" s="410"/>
      <c r="I5" s="410"/>
      <c r="J5" s="410"/>
      <c r="K5" s="410"/>
      <c r="L5" s="410"/>
      <c r="M5" s="410"/>
    </row>
    <row r="6" spans="3:13" ht="19.5" customHeight="1"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</row>
    <row r="7" spans="3:14" ht="19.5" customHeight="1" thickBot="1">
      <c r="C7" s="244"/>
      <c r="D7" s="244"/>
      <c r="E7" s="244"/>
      <c r="F7" s="244"/>
      <c r="G7" s="244"/>
      <c r="H7" s="244"/>
      <c r="I7" s="244"/>
      <c r="J7" s="536" t="s">
        <v>0</v>
      </c>
      <c r="K7" s="536"/>
      <c r="L7" s="536"/>
      <c r="M7" s="537"/>
      <c r="N7" s="537"/>
    </row>
    <row r="8" spans="1:15" ht="19.5" customHeight="1">
      <c r="A8" s="406" t="s">
        <v>1</v>
      </c>
      <c r="B8" s="407"/>
      <c r="C8" s="408"/>
      <c r="D8" s="418" t="s">
        <v>18</v>
      </c>
      <c r="E8" s="419"/>
      <c r="F8" s="420"/>
      <c r="G8" s="418" t="s">
        <v>122</v>
      </c>
      <c r="H8" s="419"/>
      <c r="I8" s="420"/>
      <c r="J8" s="418" t="s">
        <v>123</v>
      </c>
      <c r="K8" s="419"/>
      <c r="L8" s="420"/>
      <c r="M8" s="397" t="s">
        <v>19</v>
      </c>
      <c r="N8" s="398"/>
      <c r="O8" s="399"/>
    </row>
    <row r="9" spans="1:15" ht="56.25" customHeight="1" thickBot="1">
      <c r="A9" s="409"/>
      <c r="B9" s="410"/>
      <c r="C9" s="411"/>
      <c r="D9" s="421"/>
      <c r="E9" s="422"/>
      <c r="F9" s="423"/>
      <c r="G9" s="421"/>
      <c r="H9" s="422"/>
      <c r="I9" s="423"/>
      <c r="J9" s="421"/>
      <c r="K9" s="422"/>
      <c r="L9" s="423"/>
      <c r="M9" s="400"/>
      <c r="N9" s="401"/>
      <c r="O9" s="402"/>
    </row>
    <row r="10" spans="1:15" ht="56.25" customHeight="1" thickBot="1">
      <c r="A10" s="412"/>
      <c r="B10" s="413"/>
      <c r="C10" s="414"/>
      <c r="D10" s="99" t="s">
        <v>166</v>
      </c>
      <c r="E10" s="84" t="s">
        <v>167</v>
      </c>
      <c r="F10" s="84" t="s">
        <v>168</v>
      </c>
      <c r="G10" s="99" t="s">
        <v>166</v>
      </c>
      <c r="H10" s="84" t="s">
        <v>167</v>
      </c>
      <c r="I10" s="84" t="s">
        <v>168</v>
      </c>
      <c r="J10" s="99" t="s">
        <v>166</v>
      </c>
      <c r="K10" s="84" t="s">
        <v>167</v>
      </c>
      <c r="L10" s="84" t="s">
        <v>168</v>
      </c>
      <c r="M10" s="99" t="s">
        <v>166</v>
      </c>
      <c r="N10" s="84" t="s">
        <v>167</v>
      </c>
      <c r="O10" s="84" t="s">
        <v>168</v>
      </c>
    </row>
    <row r="11" spans="1:15" ht="19.5" customHeight="1" thickBot="1">
      <c r="A11" s="415">
        <v>1</v>
      </c>
      <c r="B11" s="416"/>
      <c r="C11" s="417"/>
      <c r="D11" s="265">
        <v>2</v>
      </c>
      <c r="E11" s="265">
        <v>3</v>
      </c>
      <c r="F11" s="265">
        <v>4</v>
      </c>
      <c r="G11" s="265">
        <v>5</v>
      </c>
      <c r="H11" s="265">
        <v>6</v>
      </c>
      <c r="I11" s="265">
        <v>7</v>
      </c>
      <c r="J11" s="265">
        <v>8</v>
      </c>
      <c r="K11" s="266">
        <v>9</v>
      </c>
      <c r="L11" s="266">
        <v>10</v>
      </c>
      <c r="M11" s="266">
        <v>11</v>
      </c>
      <c r="N11" s="267">
        <v>12</v>
      </c>
      <c r="O11" s="352">
        <v>13</v>
      </c>
    </row>
    <row r="12" spans="1:15" ht="19.5" customHeight="1">
      <c r="A12" s="72"/>
      <c r="B12" s="534" t="s">
        <v>12</v>
      </c>
      <c r="C12" s="535"/>
      <c r="D12" s="73"/>
      <c r="E12" s="73"/>
      <c r="F12" s="73"/>
      <c r="G12" s="74"/>
      <c r="H12" s="74"/>
      <c r="I12" s="74"/>
      <c r="J12" s="75"/>
      <c r="K12" s="76"/>
      <c r="L12" s="76"/>
      <c r="M12" s="76">
        <f aca="true" t="shared" si="0" ref="M12:M17">SUM(D12,G12,J12)</f>
        <v>0</v>
      </c>
      <c r="N12" s="75">
        <f aca="true" t="shared" si="1" ref="N12:O17">SUM(E12,H12,K12)</f>
        <v>0</v>
      </c>
      <c r="O12" s="354"/>
    </row>
    <row r="13" spans="1:15" ht="17.25" customHeight="1">
      <c r="A13" s="77"/>
      <c r="B13" s="532" t="s">
        <v>13</v>
      </c>
      <c r="C13" s="533"/>
      <c r="D13" s="11"/>
      <c r="E13" s="11"/>
      <c r="F13" s="11"/>
      <c r="G13" s="55"/>
      <c r="H13" s="55"/>
      <c r="I13" s="55"/>
      <c r="J13" s="78"/>
      <c r="K13" s="78"/>
      <c r="L13" s="78"/>
      <c r="M13" s="78">
        <f t="shared" si="0"/>
        <v>0</v>
      </c>
      <c r="N13" s="78">
        <f t="shared" si="1"/>
        <v>0</v>
      </c>
      <c r="O13" s="384"/>
    </row>
    <row r="14" spans="1:15" ht="19.5" customHeight="1">
      <c r="A14" s="77"/>
      <c r="B14" s="532" t="s">
        <v>119</v>
      </c>
      <c r="C14" s="533"/>
      <c r="D14" s="28">
        <v>410381</v>
      </c>
      <c r="E14" s="28">
        <f>410381+161197+28600+37358</f>
        <v>637536</v>
      </c>
      <c r="F14" s="28">
        <v>637536</v>
      </c>
      <c r="G14" s="28"/>
      <c r="H14" s="28"/>
      <c r="I14" s="28"/>
      <c r="J14" s="78"/>
      <c r="K14" s="78"/>
      <c r="L14" s="78"/>
      <c r="M14" s="78">
        <f t="shared" si="0"/>
        <v>410381</v>
      </c>
      <c r="N14" s="78">
        <f t="shared" si="1"/>
        <v>637536</v>
      </c>
      <c r="O14" s="78">
        <f t="shared" si="1"/>
        <v>637536</v>
      </c>
    </row>
    <row r="15" spans="1:15" ht="19.5" customHeight="1">
      <c r="A15" s="77"/>
      <c r="B15" s="532" t="s">
        <v>79</v>
      </c>
      <c r="C15" s="533"/>
      <c r="D15" s="55">
        <v>150000</v>
      </c>
      <c r="E15" s="55">
        <f>150000+50000+60689+27200</f>
        <v>287889</v>
      </c>
      <c r="F15" s="55">
        <v>287889</v>
      </c>
      <c r="G15" s="55"/>
      <c r="H15" s="55"/>
      <c r="I15" s="55"/>
      <c r="J15" s="78"/>
      <c r="K15" s="78"/>
      <c r="L15" s="78"/>
      <c r="M15" s="78">
        <f t="shared" si="0"/>
        <v>150000</v>
      </c>
      <c r="N15" s="78">
        <f t="shared" si="1"/>
        <v>287889</v>
      </c>
      <c r="O15" s="78">
        <f t="shared" si="1"/>
        <v>287889</v>
      </c>
    </row>
    <row r="16" spans="1:15" ht="19.5" customHeight="1">
      <c r="A16" s="77"/>
      <c r="B16" s="532" t="s">
        <v>77</v>
      </c>
      <c r="C16" s="533"/>
      <c r="D16" s="55"/>
      <c r="E16" s="55"/>
      <c r="F16" s="55"/>
      <c r="G16" s="55"/>
      <c r="H16" s="55">
        <v>724</v>
      </c>
      <c r="I16" s="55">
        <f>2+736</f>
        <v>738</v>
      </c>
      <c r="J16" s="78"/>
      <c r="K16" s="78"/>
      <c r="L16" s="78"/>
      <c r="M16" s="78">
        <f t="shared" si="0"/>
        <v>0</v>
      </c>
      <c r="N16" s="78">
        <f t="shared" si="1"/>
        <v>724</v>
      </c>
      <c r="O16" s="78">
        <f t="shared" si="1"/>
        <v>738</v>
      </c>
    </row>
    <row r="17" spans="1:15" ht="19.5" customHeight="1" thickBot="1">
      <c r="A17" s="77"/>
      <c r="B17" s="532" t="s">
        <v>78</v>
      </c>
      <c r="C17" s="533"/>
      <c r="D17" s="15"/>
      <c r="E17" s="15"/>
      <c r="F17" s="15"/>
      <c r="G17" s="15"/>
      <c r="H17" s="15"/>
      <c r="I17" s="15"/>
      <c r="J17" s="79"/>
      <c r="K17" s="79"/>
      <c r="L17" s="79"/>
      <c r="M17" s="79">
        <f t="shared" si="0"/>
        <v>0</v>
      </c>
      <c r="N17" s="78">
        <f t="shared" si="1"/>
        <v>0</v>
      </c>
      <c r="O17" s="78">
        <f t="shared" si="1"/>
        <v>0</v>
      </c>
    </row>
    <row r="18" spans="1:15" ht="27" customHeight="1" thickBot="1">
      <c r="A18" s="80" t="s">
        <v>99</v>
      </c>
      <c r="B18" s="530" t="s">
        <v>21</v>
      </c>
      <c r="C18" s="531"/>
      <c r="D18" s="81">
        <f aca="true" t="shared" si="2" ref="D18:J18">SUM(D14:D17)</f>
        <v>560381</v>
      </c>
      <c r="E18" s="81">
        <f t="shared" si="2"/>
        <v>925425</v>
      </c>
      <c r="F18" s="81">
        <f t="shared" si="2"/>
        <v>925425</v>
      </c>
      <c r="G18" s="81">
        <f t="shared" si="2"/>
        <v>0</v>
      </c>
      <c r="H18" s="81">
        <f t="shared" si="2"/>
        <v>724</v>
      </c>
      <c r="I18" s="81">
        <f t="shared" si="2"/>
        <v>738</v>
      </c>
      <c r="J18" s="81">
        <f t="shared" si="2"/>
        <v>0</v>
      </c>
      <c r="K18" s="81"/>
      <c r="L18" s="81"/>
      <c r="M18" s="9">
        <f>SUM(M14:M17)</f>
        <v>560381</v>
      </c>
      <c r="N18" s="9">
        <f>SUM(N14:N17)</f>
        <v>926149</v>
      </c>
      <c r="O18" s="9">
        <f>SUM(O14:O17)</f>
        <v>926163</v>
      </c>
    </row>
    <row r="22" spans="5:6" ht="12">
      <c r="E22" s="243"/>
      <c r="F22" s="243"/>
    </row>
    <row r="26" spans="4:6" ht="12">
      <c r="D26" s="243"/>
      <c r="E26" s="243"/>
      <c r="F26" s="243"/>
    </row>
    <row r="28" spans="4:6" ht="12">
      <c r="D28" s="243"/>
      <c r="E28" s="243"/>
      <c r="F28" s="243"/>
    </row>
  </sheetData>
  <sheetProtection/>
  <mergeCells count="17">
    <mergeCell ref="M8:O9"/>
    <mergeCell ref="J1:N1"/>
    <mergeCell ref="J7:N7"/>
    <mergeCell ref="B15:C15"/>
    <mergeCell ref="A8:C10"/>
    <mergeCell ref="A11:C11"/>
    <mergeCell ref="C4:M4"/>
    <mergeCell ref="C5:M5"/>
    <mergeCell ref="D8:F9"/>
    <mergeCell ref="G8:I9"/>
    <mergeCell ref="J8:L9"/>
    <mergeCell ref="B18:C18"/>
    <mergeCell ref="B14:C14"/>
    <mergeCell ref="B16:C16"/>
    <mergeCell ref="B17:C17"/>
    <mergeCell ref="B12:C12"/>
    <mergeCell ref="B13:C13"/>
  </mergeCells>
  <printOptions/>
  <pageMargins left="0.35433070866141736" right="0.15748031496062992" top="0.2755905511811024" bottom="0.2755905511811024" header="0.6299212598425197" footer="0.2755905511811024"/>
  <pageSetup fitToHeight="0" fitToWidth="1" horizontalDpi="600" verticalDpi="6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2:P28"/>
  <sheetViews>
    <sheetView zoomScalePageLayoutView="0" workbookViewId="0" topLeftCell="A1">
      <selection activeCell="F28" sqref="F28"/>
    </sheetView>
  </sheetViews>
  <sheetFormatPr defaultColWidth="9.00390625" defaultRowHeight="12.75"/>
  <cols>
    <col min="1" max="2" width="2.875" style="281" customWidth="1"/>
    <col min="3" max="3" width="36.125" style="260" customWidth="1"/>
    <col min="4" max="4" width="10.875" style="260" customWidth="1"/>
    <col min="5" max="6" width="9.875" style="260" customWidth="1"/>
    <col min="7" max="7" width="8.375" style="260" bestFit="1" customWidth="1"/>
    <col min="8" max="8" width="9.75390625" style="260" customWidth="1"/>
    <col min="9" max="9" width="8.875" style="260" customWidth="1"/>
    <col min="10" max="10" width="10.25390625" style="260" customWidth="1"/>
    <col min="11" max="12" width="9.625" style="260" customWidth="1"/>
    <col min="13" max="13" width="10.00390625" style="260" bestFit="1" customWidth="1"/>
    <col min="14" max="14" width="10.00390625" style="260" customWidth="1"/>
    <col min="15" max="16384" width="9.125" style="260" customWidth="1"/>
  </cols>
  <sheetData>
    <row r="2" spans="7:15" ht="12">
      <c r="G2" s="544" t="s">
        <v>25</v>
      </c>
      <c r="H2" s="544"/>
      <c r="I2" s="544"/>
      <c r="J2" s="544"/>
      <c r="K2" s="544"/>
      <c r="L2" s="544"/>
      <c r="M2" s="544"/>
      <c r="N2" s="544"/>
      <c r="O2" s="544"/>
    </row>
    <row r="3" spans="1:13" ht="25.5" customHeight="1">
      <c r="A3" s="318"/>
      <c r="B3" s="318"/>
      <c r="C3" s="318"/>
      <c r="D3" s="318"/>
      <c r="E3" s="318"/>
      <c r="F3" s="318"/>
      <c r="G3" s="318"/>
      <c r="H3" s="318"/>
      <c r="I3" s="318"/>
      <c r="J3" s="319"/>
      <c r="K3" s="319"/>
      <c r="L3" s="319"/>
      <c r="M3" s="320"/>
    </row>
    <row r="4" spans="1:13" ht="56.25" customHeight="1">
      <c r="A4" s="259"/>
      <c r="B4" s="259"/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61"/>
    </row>
    <row r="5" spans="1:14" ht="33" customHeight="1">
      <c r="A5" s="494" t="s">
        <v>170</v>
      </c>
      <c r="B5" s="494"/>
      <c r="C5" s="494"/>
      <c r="D5" s="494"/>
      <c r="E5" s="494"/>
      <c r="F5" s="494"/>
      <c r="G5" s="494"/>
      <c r="H5" s="494"/>
      <c r="I5" s="494"/>
      <c r="J5" s="494"/>
      <c r="K5" s="494"/>
      <c r="L5" s="494"/>
      <c r="M5" s="494"/>
      <c r="N5" s="494"/>
    </row>
    <row r="6" spans="1:13" ht="25.5" customHeight="1">
      <c r="A6" s="259"/>
      <c r="B6" s="259"/>
      <c r="C6" s="259"/>
      <c r="D6" s="259"/>
      <c r="E6" s="259"/>
      <c r="F6" s="259"/>
      <c r="G6" s="259"/>
      <c r="H6" s="259"/>
      <c r="I6" s="259"/>
      <c r="J6" s="259"/>
      <c r="K6" s="259"/>
      <c r="L6" s="259"/>
      <c r="M6" s="259"/>
    </row>
    <row r="7" spans="1:15" ht="17.25" customHeight="1" thickBot="1">
      <c r="A7" s="259"/>
      <c r="B7" s="259"/>
      <c r="C7" s="259"/>
      <c r="D7" s="259"/>
      <c r="E7" s="259"/>
      <c r="F7" s="259"/>
      <c r="G7" s="259"/>
      <c r="H7" s="259"/>
      <c r="I7" s="259"/>
      <c r="J7" s="259"/>
      <c r="K7" s="259"/>
      <c r="L7" s="259"/>
      <c r="M7" s="545" t="s">
        <v>0</v>
      </c>
      <c r="N7" s="545"/>
      <c r="O7" s="545"/>
    </row>
    <row r="8" spans="1:15" ht="72" customHeight="1">
      <c r="A8" s="498" t="s">
        <v>1</v>
      </c>
      <c r="B8" s="499"/>
      <c r="C8" s="500"/>
      <c r="D8" s="486" t="s">
        <v>18</v>
      </c>
      <c r="E8" s="487"/>
      <c r="F8" s="488"/>
      <c r="G8" s="486" t="s">
        <v>122</v>
      </c>
      <c r="H8" s="487"/>
      <c r="I8" s="488"/>
      <c r="J8" s="486" t="s">
        <v>123</v>
      </c>
      <c r="K8" s="487"/>
      <c r="L8" s="488"/>
      <c r="M8" s="480" t="s">
        <v>19</v>
      </c>
      <c r="N8" s="481"/>
      <c r="O8" s="482"/>
    </row>
    <row r="9" spans="1:15" s="321" customFormat="1" ht="13.5" customHeight="1" thickBot="1">
      <c r="A9" s="501"/>
      <c r="B9" s="502"/>
      <c r="C9" s="503"/>
      <c r="D9" s="489"/>
      <c r="E9" s="490"/>
      <c r="F9" s="491"/>
      <c r="G9" s="489"/>
      <c r="H9" s="490"/>
      <c r="I9" s="491"/>
      <c r="J9" s="489"/>
      <c r="K9" s="490"/>
      <c r="L9" s="491"/>
      <c r="M9" s="483"/>
      <c r="N9" s="484"/>
      <c r="O9" s="485"/>
    </row>
    <row r="10" spans="1:15" s="321" customFormat="1" ht="48.75" thickBot="1">
      <c r="A10" s="504"/>
      <c r="B10" s="505"/>
      <c r="C10" s="506"/>
      <c r="D10" s="99" t="s">
        <v>166</v>
      </c>
      <c r="E10" s="84" t="s">
        <v>167</v>
      </c>
      <c r="F10" s="84" t="s">
        <v>168</v>
      </c>
      <c r="G10" s="99" t="s">
        <v>166</v>
      </c>
      <c r="H10" s="84" t="s">
        <v>167</v>
      </c>
      <c r="I10" s="84" t="s">
        <v>168</v>
      </c>
      <c r="J10" s="99" t="s">
        <v>166</v>
      </c>
      <c r="K10" s="84" t="s">
        <v>167</v>
      </c>
      <c r="L10" s="84" t="s">
        <v>168</v>
      </c>
      <c r="M10" s="99" t="s">
        <v>166</v>
      </c>
      <c r="N10" s="84" t="s">
        <v>167</v>
      </c>
      <c r="O10" s="84" t="s">
        <v>168</v>
      </c>
    </row>
    <row r="11" spans="1:15" s="321" customFormat="1" ht="12.75" customHeight="1" thickBot="1">
      <c r="A11" s="415">
        <v>1</v>
      </c>
      <c r="B11" s="416"/>
      <c r="C11" s="417"/>
      <c r="D11" s="265">
        <v>2</v>
      </c>
      <c r="E11" s="265">
        <v>3</v>
      </c>
      <c r="F11" s="265">
        <v>4</v>
      </c>
      <c r="G11" s="265">
        <v>5</v>
      </c>
      <c r="H11" s="265">
        <v>6</v>
      </c>
      <c r="I11" s="265">
        <v>7</v>
      </c>
      <c r="J11" s="265">
        <v>8</v>
      </c>
      <c r="K11" s="266">
        <v>9</v>
      </c>
      <c r="L11" s="266">
        <v>10</v>
      </c>
      <c r="M11" s="266">
        <v>11</v>
      </c>
      <c r="N11" s="267">
        <v>12</v>
      </c>
      <c r="O11" s="352">
        <v>13</v>
      </c>
    </row>
    <row r="12" spans="1:15" s="284" customFormat="1" ht="27" customHeight="1" thickBot="1">
      <c r="A12" s="322"/>
      <c r="B12" s="542" t="s">
        <v>15</v>
      </c>
      <c r="C12" s="543"/>
      <c r="D12" s="125">
        <v>20276</v>
      </c>
      <c r="E12" s="125">
        <f>20276+5936</f>
        <v>26212</v>
      </c>
      <c r="F12" s="125">
        <v>26212</v>
      </c>
      <c r="G12" s="114"/>
      <c r="H12" s="114"/>
      <c r="I12" s="114"/>
      <c r="J12" s="114"/>
      <c r="K12" s="114"/>
      <c r="L12" s="114"/>
      <c r="M12" s="17">
        <f>SUM(D12,J12)</f>
        <v>20276</v>
      </c>
      <c r="N12" s="17">
        <f>SUM(E12,K12)</f>
        <v>26212</v>
      </c>
      <c r="O12" s="17">
        <f>SUM(F12,L12)</f>
        <v>26212</v>
      </c>
    </row>
    <row r="13" spans="1:16" s="284" customFormat="1" ht="30.75" customHeight="1" thickBot="1">
      <c r="A13" s="322"/>
      <c r="B13" s="542" t="s">
        <v>16</v>
      </c>
      <c r="C13" s="543"/>
      <c r="D13" s="125">
        <v>1686</v>
      </c>
      <c r="E13" s="125">
        <f>1686-148</f>
        <v>1538</v>
      </c>
      <c r="F13" s="125">
        <v>1538</v>
      </c>
      <c r="G13" s="114"/>
      <c r="H13" s="114"/>
      <c r="I13" s="114"/>
      <c r="J13" s="114"/>
      <c r="K13" s="114"/>
      <c r="L13" s="114"/>
      <c r="M13" s="17">
        <f>SUM(D13,J13)</f>
        <v>1686</v>
      </c>
      <c r="N13" s="17">
        <f aca="true" t="shared" si="0" ref="N13:N18">SUM(E13,K13)</f>
        <v>1538</v>
      </c>
      <c r="O13" s="17">
        <f aca="true" t="shared" si="1" ref="O13:O18">SUM(F13,L13)</f>
        <v>1538</v>
      </c>
      <c r="P13" s="243"/>
    </row>
    <row r="14" spans="1:15" s="284" customFormat="1" ht="27" customHeight="1" thickBot="1">
      <c r="A14" s="322"/>
      <c r="B14" s="540" t="s">
        <v>130</v>
      </c>
      <c r="C14" s="541"/>
      <c r="D14" s="125">
        <v>1300</v>
      </c>
      <c r="E14" s="125">
        <v>1300</v>
      </c>
      <c r="F14" s="125">
        <v>1300</v>
      </c>
      <c r="G14" s="114"/>
      <c r="H14" s="114"/>
      <c r="I14" s="114"/>
      <c r="J14" s="114"/>
      <c r="K14" s="114"/>
      <c r="L14" s="114"/>
      <c r="M14" s="17">
        <f>SUM(D14,J14)</f>
        <v>1300</v>
      </c>
      <c r="N14" s="17">
        <f t="shared" si="0"/>
        <v>1300</v>
      </c>
      <c r="O14" s="17">
        <f t="shared" si="1"/>
        <v>1300</v>
      </c>
    </row>
    <row r="15" spans="1:15" s="284" customFormat="1" ht="27" customHeight="1" thickBot="1">
      <c r="A15" s="323" t="s">
        <v>2</v>
      </c>
      <c r="B15" s="538" t="s">
        <v>88</v>
      </c>
      <c r="C15" s="539"/>
      <c r="D15" s="114">
        <f>SUM(D12:D14)</f>
        <v>23262</v>
      </c>
      <c r="E15" s="114">
        <f>SUM(E12:E14)</f>
        <v>29050</v>
      </c>
      <c r="F15" s="114">
        <f>SUM(F12:F14)</f>
        <v>29050</v>
      </c>
      <c r="G15" s="114">
        <f aca="true" t="shared" si="2" ref="G15:M15">SUM(G12:G14)</f>
        <v>0</v>
      </c>
      <c r="H15" s="114">
        <f t="shared" si="2"/>
        <v>0</v>
      </c>
      <c r="I15" s="114">
        <f t="shared" si="2"/>
        <v>0</v>
      </c>
      <c r="J15" s="114">
        <f t="shared" si="2"/>
        <v>0</v>
      </c>
      <c r="K15" s="114">
        <f t="shared" si="2"/>
        <v>0</v>
      </c>
      <c r="L15" s="114">
        <f t="shared" si="2"/>
        <v>0</v>
      </c>
      <c r="M15" s="324">
        <f t="shared" si="2"/>
        <v>23262</v>
      </c>
      <c r="N15" s="17">
        <f t="shared" si="0"/>
        <v>29050</v>
      </c>
      <c r="O15" s="17">
        <f t="shared" si="1"/>
        <v>29050</v>
      </c>
    </row>
    <row r="16" spans="1:15" s="284" customFormat="1" ht="29.25" customHeight="1" thickBot="1">
      <c r="A16" s="325"/>
      <c r="B16" s="540" t="s">
        <v>165</v>
      </c>
      <c r="C16" s="541"/>
      <c r="D16" s="326"/>
      <c r="E16" s="326">
        <v>6000</v>
      </c>
      <c r="F16" s="326">
        <v>6000</v>
      </c>
      <c r="G16" s="326"/>
      <c r="H16" s="298"/>
      <c r="I16" s="298"/>
      <c r="J16" s="298"/>
      <c r="K16" s="298"/>
      <c r="L16" s="298"/>
      <c r="M16" s="17">
        <f>SUM(D16,J16)</f>
        <v>0</v>
      </c>
      <c r="N16" s="17">
        <f t="shared" si="0"/>
        <v>6000</v>
      </c>
      <c r="O16" s="17">
        <f t="shared" si="1"/>
        <v>6000</v>
      </c>
    </row>
    <row r="17" spans="1:15" s="327" customFormat="1" ht="25.5" customHeight="1" thickBot="1">
      <c r="A17" s="325" t="s">
        <v>3</v>
      </c>
      <c r="B17" s="538" t="s">
        <v>14</v>
      </c>
      <c r="C17" s="539"/>
      <c r="D17" s="17">
        <f>SUM(D16)</f>
        <v>0</v>
      </c>
      <c r="E17" s="17">
        <v>6000</v>
      </c>
      <c r="F17" s="17">
        <v>6000</v>
      </c>
      <c r="G17" s="17">
        <f aca="true" t="shared" si="3" ref="G17:L17">SUM(G16:G16)</f>
        <v>0</v>
      </c>
      <c r="H17" s="17">
        <f t="shared" si="3"/>
        <v>0</v>
      </c>
      <c r="I17" s="17">
        <f t="shared" si="3"/>
        <v>0</v>
      </c>
      <c r="J17" s="17">
        <f t="shared" si="3"/>
        <v>0</v>
      </c>
      <c r="K17" s="17">
        <f t="shared" si="3"/>
        <v>0</v>
      </c>
      <c r="L17" s="17">
        <f t="shared" si="3"/>
        <v>0</v>
      </c>
      <c r="M17" s="17">
        <f>SUM(M16)</f>
        <v>0</v>
      </c>
      <c r="N17" s="17">
        <f t="shared" si="0"/>
        <v>6000</v>
      </c>
      <c r="O17" s="17">
        <f t="shared" si="1"/>
        <v>6000</v>
      </c>
    </row>
    <row r="18" spans="1:15" s="321" customFormat="1" ht="27" customHeight="1" thickBot="1">
      <c r="A18" s="328" t="s">
        <v>102</v>
      </c>
      <c r="B18" s="538" t="s">
        <v>89</v>
      </c>
      <c r="C18" s="539"/>
      <c r="D18" s="17">
        <f>SUM(D17,D15)</f>
        <v>23262</v>
      </c>
      <c r="E18" s="17">
        <f>SUM(E17,E15)</f>
        <v>35050</v>
      </c>
      <c r="F18" s="17">
        <f>SUM(F17,F15)</f>
        <v>35050</v>
      </c>
      <c r="G18" s="23">
        <f aca="true" t="shared" si="4" ref="G18:M18">SUM(G17,G15)</f>
        <v>0</v>
      </c>
      <c r="H18" s="23">
        <f t="shared" si="4"/>
        <v>0</v>
      </c>
      <c r="I18" s="23">
        <f t="shared" si="4"/>
        <v>0</v>
      </c>
      <c r="J18" s="17">
        <f t="shared" si="4"/>
        <v>0</v>
      </c>
      <c r="K18" s="17">
        <f t="shared" si="4"/>
        <v>0</v>
      </c>
      <c r="L18" s="17">
        <f t="shared" si="4"/>
        <v>0</v>
      </c>
      <c r="M18" s="355">
        <f t="shared" si="4"/>
        <v>23262</v>
      </c>
      <c r="N18" s="17">
        <f t="shared" si="0"/>
        <v>35050</v>
      </c>
      <c r="O18" s="17">
        <f t="shared" si="1"/>
        <v>35050</v>
      </c>
    </row>
    <row r="19" ht="12">
      <c r="N19" s="282"/>
    </row>
    <row r="20" ht="12">
      <c r="N20" s="282"/>
    </row>
    <row r="21" ht="12">
      <c r="N21" s="282"/>
    </row>
    <row r="26" spans="4:6" ht="12">
      <c r="D26" s="282"/>
      <c r="E26" s="282"/>
      <c r="F26" s="282"/>
    </row>
    <row r="28" spans="4:6" ht="12">
      <c r="D28" s="282"/>
      <c r="E28" s="282"/>
      <c r="F28" s="282"/>
    </row>
  </sheetData>
  <sheetProtection/>
  <mergeCells count="16">
    <mergeCell ref="G8:I9"/>
    <mergeCell ref="D8:F9"/>
    <mergeCell ref="G2:O2"/>
    <mergeCell ref="M7:O7"/>
    <mergeCell ref="A8:C10"/>
    <mergeCell ref="A5:N5"/>
    <mergeCell ref="M8:O9"/>
    <mergeCell ref="J8:L9"/>
    <mergeCell ref="A11:C11"/>
    <mergeCell ref="B18:C18"/>
    <mergeCell ref="B16:C16"/>
    <mergeCell ref="B12:C12"/>
    <mergeCell ref="B13:C13"/>
    <mergeCell ref="B14:C14"/>
    <mergeCell ref="B15:C15"/>
    <mergeCell ref="B17:C17"/>
  </mergeCells>
  <printOptions/>
  <pageMargins left="0.35433070866141736" right="0.15748031496062992" top="0.2755905511811024" bottom="0.2755905511811024" header="0.6299212598425197" footer="0.2755905511811024"/>
  <pageSetup fitToHeight="0" fitToWidth="1" horizontalDpi="600" verticalDpi="600" orientation="landscape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F28" sqref="F28"/>
    </sheetView>
  </sheetViews>
  <sheetFormatPr defaultColWidth="9.00390625" defaultRowHeight="12.75"/>
  <sheetData/>
  <sheetProtection/>
  <printOptions/>
  <pageMargins left="0.35433070866141736" right="0.15748031496062992" top="0.2755905511811024" bottom="0.2755905511811024" header="0.6299212598425197" footer="0.2755905511811024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szedlak.krisztina</dc:creator>
  <cp:keywords/>
  <dc:description/>
  <cp:lastModifiedBy>Morvai Éva</cp:lastModifiedBy>
  <cp:lastPrinted>2018-05-28T11:11:06Z</cp:lastPrinted>
  <dcterms:created xsi:type="dcterms:W3CDTF">2011-02-03T10:02:06Z</dcterms:created>
  <dcterms:modified xsi:type="dcterms:W3CDTF">2018-05-28T11:11:10Z</dcterms:modified>
  <cp:category/>
  <cp:version/>
  <cp:contentType/>
  <cp:contentStatus/>
</cp:coreProperties>
</file>