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360" windowHeight="8355" tabRatio="968" firstSheet="34" activeTab="37"/>
  </bookViews>
  <sheets>
    <sheet name="Z_TARTALOMJEGYZÉK" sheetId="1" r:id="rId1"/>
    <sheet name="Z_ALAPADATOK" sheetId="2" r:id="rId2"/>
    <sheet name="Z_ÖSSZEFÜGGÉSEK" sheetId="3" r:id="rId3"/>
    <sheet name="Z_1.1.sz.mell." sheetId="4" r:id="rId4"/>
    <sheet name="Z_1.2.sz.mell." sheetId="5" r:id="rId5"/>
    <sheet name="Z_1.3.sz.mell." sheetId="6" r:id="rId6"/>
    <sheet name="Z_1.4.sz.mell." sheetId="7" r:id="rId7"/>
    <sheet name="Z_2.1.sz.mell" sheetId="8" r:id="rId8"/>
    <sheet name="Z_2.2.sz.mell" sheetId="9" r:id="rId9"/>
    <sheet name="Z_ELLENŐRZÉS" sheetId="10" r:id="rId10"/>
    <sheet name="Z_3.sz.mell." sheetId="11" r:id="rId11"/>
    <sheet name="Z_4.sz.mell." sheetId="12" r:id="rId12"/>
    <sheet name="Z_5.1 sz.mell." sheetId="13" r:id="rId13"/>
    <sheet name="Z_5.2 sz.mell." sheetId="14" r:id="rId14"/>
    <sheet name="Z_5.3 sz.mell." sheetId="15" r:id="rId15"/>
    <sheet name="Z_5.4 sz.mell." sheetId="16" r:id="rId16"/>
    <sheet name="Z_5.5 sz.mell." sheetId="17" r:id="rId17"/>
    <sheet name="Z_5.6 sz.mell." sheetId="18" r:id="rId18"/>
    <sheet name="Z_5.7 sz.mell." sheetId="19" r:id="rId19"/>
    <sheet name="Z_5.8 sz.mell." sheetId="20" r:id="rId20"/>
    <sheet name="Z_5.9sz.mell." sheetId="21" r:id="rId21"/>
    <sheet name="Z_5.10 sz.mell." sheetId="22" r:id="rId22"/>
    <sheet name="Z_5.11 sz.mell." sheetId="23" r:id="rId23"/>
    <sheet name="Z_6.1.sz.mell" sheetId="24" r:id="rId24"/>
    <sheet name="Z_6.1.1.sz.mell" sheetId="25" r:id="rId25"/>
    <sheet name="Z_6.1.2.sz.mell" sheetId="26" r:id="rId26"/>
    <sheet name="Z_6.1.3.sz.mell" sheetId="27" r:id="rId27"/>
    <sheet name="Z_6.2.sz.mell" sheetId="28" r:id="rId28"/>
    <sheet name="Z_6.2.1.sz.mell" sheetId="29" r:id="rId29"/>
    <sheet name="Z_6.2.2.sz.mell" sheetId="30" r:id="rId30"/>
    <sheet name="Z_6.2.3.sz.mell" sheetId="31" r:id="rId31"/>
    <sheet name="Z_6.2.4.sz.mell " sheetId="32" r:id="rId32"/>
    <sheet name="Z_6.3.sz.mell" sheetId="33" r:id="rId33"/>
    <sheet name="Z_6.4.sz.mell" sheetId="34" r:id="rId34"/>
    <sheet name="Z_6.4.1.sz.mell" sheetId="35" r:id="rId35"/>
    <sheet name="Z_6.4.2.sz.mell" sheetId="36" r:id="rId36"/>
    <sheet name="Z_6.4.3.sz.mell" sheetId="37" r:id="rId37"/>
    <sheet name="Z_7.sz.mell" sheetId="38" r:id="rId38"/>
    <sheet name="Z_8.sz.mell" sheetId="39" r:id="rId39"/>
    <sheet name="Z_1.tájékoztató_t." sheetId="40" r:id="rId40"/>
    <sheet name="Z_2.tájékoztató_t." sheetId="41" r:id="rId41"/>
    <sheet name="Z_3.tájékoztató_t." sheetId="42" r:id="rId42"/>
    <sheet name="Z_4.tájékoztató_t." sheetId="43" r:id="rId43"/>
    <sheet name="Z_5.tájékoztató_t." sheetId="44" r:id="rId44"/>
    <sheet name="Z_6.tájékoztató_t." sheetId="45" r:id="rId45"/>
    <sheet name="Z_7.1.tájékoztató_t." sheetId="46" r:id="rId46"/>
    <sheet name="Z_7.2.tájékoztató_t." sheetId="47" r:id="rId47"/>
    <sheet name="Z_8.tájékoztató_t." sheetId="48" r:id="rId48"/>
    <sheet name="Z_9.tájékoztató_t." sheetId="49" r:id="rId49"/>
  </sheets>
  <definedNames>
    <definedName name="_xlfn.IFERROR" hidden="1">#NAME?</definedName>
    <definedName name="_xlnm.Print_Titles" localSheetId="24">'Z_6.1.1.sz.mell'!$1:$6</definedName>
    <definedName name="_xlnm.Print_Titles" localSheetId="25">'Z_6.1.2.sz.mell'!$1:$6</definedName>
    <definedName name="_xlnm.Print_Titles" localSheetId="26">'Z_6.1.3.sz.mell'!$1:$6</definedName>
    <definedName name="_xlnm.Print_Titles" localSheetId="23">'Z_6.1.sz.mell'!$1:$6</definedName>
    <definedName name="_xlnm.Print_Titles" localSheetId="28">'Z_6.2.1.sz.mell'!$1:$6</definedName>
    <definedName name="_xlnm.Print_Titles" localSheetId="29">'Z_6.2.2.sz.mell'!$1:$6</definedName>
    <definedName name="_xlnm.Print_Titles" localSheetId="30">'Z_6.2.3.sz.mell'!$1:$6</definedName>
    <definedName name="_xlnm.Print_Titles" localSheetId="31">'Z_6.2.4.sz.mell '!$1:$6</definedName>
    <definedName name="_xlnm.Print_Titles" localSheetId="27">'Z_6.2.sz.mell'!$1:$6</definedName>
    <definedName name="_xlnm.Print_Titles" localSheetId="32">'Z_6.3.sz.mell'!$1:$6</definedName>
    <definedName name="_xlnm.Print_Titles" localSheetId="34">'Z_6.4.1.sz.mell'!$1:$6</definedName>
    <definedName name="_xlnm.Print_Titles" localSheetId="35">'Z_6.4.2.sz.mell'!$1:$6</definedName>
    <definedName name="_xlnm.Print_Titles" localSheetId="36">'Z_6.4.3.sz.mell'!$1:$6</definedName>
    <definedName name="_xlnm.Print_Titles" localSheetId="33">'Z_6.4.sz.mell'!$1:$6</definedName>
    <definedName name="_xlnm.Print_Titles" localSheetId="45">'Z_7.1.tájékoztató_t.'!$5:$9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  <definedName name="_xlnm.Print_Area" localSheetId="39">'Z_1.tájékoztató_t.'!$A$1:$E$148</definedName>
  </definedNames>
  <calcPr fullCalcOnLoad="1"/>
</workbook>
</file>

<file path=xl/sharedStrings.xml><?xml version="1.0" encoding="utf-8"?>
<sst xmlns="http://schemas.openxmlformats.org/spreadsheetml/2006/main" count="5504" uniqueCount="1001">
  <si>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</si>
  <si>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</si>
  <si>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</si>
  <si>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</si>
  <si>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</si>
  <si>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</si>
  <si>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</si>
  <si>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</si>
  <si>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</si>
  <si>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</si>
  <si>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</si>
  <si>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</si>
  <si>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</si>
  <si>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</si>
  <si>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</si>
  <si>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</si>
  <si>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</si>
  <si>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</si>
  <si>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</si>
  <si>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</si>
  <si>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</si>
  <si>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</si>
  <si>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</si>
  <si>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</si>
  <si>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</si>
  <si>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</si>
  <si>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</si>
  <si>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</si>
  <si>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</si>
  <si>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</si>
  <si>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</si>
  <si>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</si>
  <si>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</si>
  <si>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</si>
  <si>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</si>
  <si>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</si>
  <si>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</si>
  <si>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</si>
  <si>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</si>
  <si>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</si>
  <si>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</si>
  <si>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</si>
  <si>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</si>
  <si>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</si>
  <si>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</si>
  <si>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</si>
  <si>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</si>
  <si>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</si>
  <si>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</si>
  <si>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</si>
  <si>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</si>
  <si>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</si>
  <si>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</si>
  <si>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</si>
  <si>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</si>
  <si>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</si>
  <si>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</si>
  <si>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</si>
  <si>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</si>
  <si>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</si>
  <si>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</si>
  <si>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</si>
  <si>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</si>
  <si>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</si>
  <si>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</si>
  <si>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</si>
  <si>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</si>
  <si>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</si>
  <si>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</si>
  <si>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</si>
  <si>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</si>
  <si>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</si>
  <si>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</si>
  <si>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</si>
  <si>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</si>
  <si>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</si>
  <si>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</si>
  <si>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</si>
  <si>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</si>
  <si>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</si>
  <si>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</si>
  <si>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</si>
  <si>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</si>
  <si>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</si>
  <si>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</si>
  <si>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</si>
  <si>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</si>
  <si>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</si>
  <si>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</si>
  <si>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</si>
  <si>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</si>
  <si>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</si>
  <si>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</si>
  <si>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</si>
  <si>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</si>
  <si>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</si>
  <si>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</si>
  <si>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</si>
  <si>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</si>
  <si>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</si>
  <si>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</si>
  <si>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</si>
  <si>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</si>
  <si>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</si>
  <si>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</si>
  <si>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</si>
  <si>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</si>
  <si>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</si>
  <si>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</si>
  <si>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</si>
  <si>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</si>
  <si>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</si>
  <si>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</si>
  <si>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</si>
  <si>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</si>
  <si>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</si>
  <si>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</si>
  <si>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</si>
  <si>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</si>
  <si>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</si>
  <si>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</si>
  <si>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</si>
  <si>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</si>
  <si>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</si>
  <si>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</si>
  <si>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</si>
  <si>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</si>
  <si>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</si>
  <si>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</si>
  <si>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</si>
  <si>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</si>
  <si>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</si>
  <si>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</si>
  <si>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</si>
  <si>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</si>
  <si>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</si>
  <si>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</si>
  <si>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</si>
  <si>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</si>
  <si>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</si>
  <si>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</si>
  <si>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</si>
  <si>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</si>
  <si>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</si>
  <si>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</si>
  <si>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</si>
  <si>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</si>
  <si>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</si>
  <si>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</si>
  <si>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</si>
  <si>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</si>
  <si>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</si>
  <si>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</si>
  <si>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</si>
  <si>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</si>
  <si>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</si>
  <si>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</si>
  <si>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</si>
  <si>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</si>
  <si>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</si>
  <si>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</si>
  <si>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</si>
  <si>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</si>
  <si>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</si>
  <si>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</si>
  <si>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</si>
  <si>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</si>
  <si>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</si>
  <si>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</si>
  <si>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</si>
  <si>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</si>
  <si>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</si>
  <si>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</si>
  <si>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</si>
  <si>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</si>
  <si>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</si>
  <si>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</si>
  <si>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</si>
  <si>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</si>
  <si>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</si>
  <si>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</si>
  <si>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</si>
  <si>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</si>
  <si>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</si>
  <si>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</si>
  <si>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</si>
  <si>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</si>
  <si>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</si>
  <si>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</si>
  <si>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</si>
  <si>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</si>
  <si>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</si>
  <si>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</si>
  <si>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</si>
  <si>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</si>
  <si>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</si>
  <si>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</si>
  <si>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</si>
  <si>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</si>
  <si>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</si>
  <si>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</si>
  <si>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</si>
  <si>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</si>
  <si>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</si>
  <si>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</si>
  <si>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</si>
  <si>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</si>
  <si>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</si>
  <si>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</si>
  <si>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</si>
  <si>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</si>
  <si>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</si>
  <si>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</si>
  <si>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</si>
  <si>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</si>
  <si>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</si>
  <si>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</si>
  <si>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</si>
  <si>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</si>
  <si>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</si>
  <si>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</si>
  <si>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</si>
  <si>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</si>
  <si>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</si>
  <si>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</si>
  <si>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</si>
  <si>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</si>
  <si>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</si>
  <si>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</si>
  <si>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</si>
  <si>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</si>
  <si>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</si>
  <si>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</si>
  <si>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</si>
  <si>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</si>
  <si>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</si>
  <si>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</si>
  <si>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</si>
  <si>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</si>
  <si>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</si>
  <si>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</si>
  <si>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</si>
  <si>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</si>
  <si>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</si>
  <si>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</si>
  <si>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</si>
  <si>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</si>
  <si>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</si>
  <si>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</si>
  <si>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</si>
  <si>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</si>
  <si>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</si>
  <si>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</si>
  <si>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</si>
  <si>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</si>
  <si>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</si>
  <si>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</si>
  <si>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</si>
  <si>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</si>
  <si>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</si>
  <si>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</si>
  <si>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</si>
  <si>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</si>
  <si>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</si>
  <si>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</si>
  <si>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</si>
  <si>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</si>
  <si>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</si>
  <si>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</si>
  <si>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</si>
  <si>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</si>
  <si>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</si>
  <si>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</si>
  <si>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</si>
  <si>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</si>
  <si>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</si>
  <si>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</si>
  <si>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</si>
  <si>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</si>
  <si>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</si>
  <si>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</si>
  <si>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</si>
  <si>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</si>
  <si>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</si>
  <si>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</si>
  <si>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</si>
  <si>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</si>
  <si>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</si>
  <si>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</si>
  <si>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</si>
  <si>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</si>
  <si>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</si>
  <si>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</si>
  <si>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</si>
  <si>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</si>
  <si>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</si>
  <si>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</si>
  <si>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</si>
  <si>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</si>
  <si>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</si>
  <si>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</si>
  <si>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</si>
  <si>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</si>
  <si>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</si>
  <si>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</si>
  <si>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</si>
  <si>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</si>
  <si>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</si>
  <si>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</si>
  <si>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</si>
  <si>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</si>
  <si>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</si>
  <si>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</si>
  <si>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</si>
  <si>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</si>
  <si>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</si>
  <si>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</si>
  <si>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</si>
  <si>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</si>
  <si>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</si>
  <si>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</si>
  <si>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</si>
  <si>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</si>
  <si>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</si>
  <si>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</si>
  <si>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</si>
  <si>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</si>
  <si>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</si>
  <si>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</si>
  <si>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</si>
  <si>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</si>
  <si>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</si>
  <si>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</si>
  <si>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</si>
  <si>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</si>
  <si>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</si>
  <si>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</si>
  <si>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</si>
  <si>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</si>
  <si>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</si>
  <si>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</si>
  <si>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</si>
  <si>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</si>
  <si>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</si>
  <si>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</si>
  <si>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</si>
  <si>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</si>
  <si>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</si>
  <si>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</si>
  <si>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</si>
  <si>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</si>
  <si>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</si>
  <si>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</si>
  <si>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</si>
  <si>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</si>
  <si>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</si>
  <si>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</si>
  <si>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</si>
  <si>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</si>
  <si>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</si>
  <si>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</si>
  <si>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</si>
  <si>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</si>
  <si>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</si>
  <si>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</si>
  <si>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</si>
  <si>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</si>
  <si>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</si>
  <si>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</si>
  <si>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</si>
  <si>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</si>
  <si>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</si>
  <si>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</si>
  <si>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</si>
  <si>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</si>
  <si>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</si>
  <si>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</si>
  <si>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</si>
  <si>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</si>
  <si>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</si>
  <si>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</si>
  <si>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</si>
  <si>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</si>
  <si>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</si>
  <si>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</si>
  <si>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</si>
  <si>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</si>
  <si>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</si>
  <si>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</si>
  <si>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</si>
  <si>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</si>
  <si>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</si>
  <si>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</si>
  <si>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</si>
  <si>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</si>
  <si>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</si>
  <si>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</si>
  <si>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</si>
  <si>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</si>
  <si>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</si>
  <si>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</si>
  <si>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</si>
  <si>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</si>
  <si>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</si>
  <si>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</si>
  <si>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</si>
  <si>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</si>
  <si>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</si>
  <si>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</si>
  <si>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</si>
  <si>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</si>
  <si>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</si>
  <si>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</si>
  <si>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</si>
  <si>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</si>
  <si>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</si>
  <si>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</si>
  <si>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</si>
  <si>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</si>
  <si>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</si>
  <si>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</si>
  <si>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</si>
  <si>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</si>
  <si>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</si>
  <si>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</si>
  <si>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</si>
  <si>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</si>
  <si>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</si>
  <si>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</si>
  <si>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</si>
  <si>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</si>
  <si>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</si>
  <si>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</si>
  <si>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</si>
  <si>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</si>
  <si>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</si>
  <si>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</si>
  <si>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</si>
  <si>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</si>
  <si>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</si>
  <si>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</si>
  <si>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</si>
  <si>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</si>
  <si>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</si>
  <si>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</si>
  <si>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</si>
  <si>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</si>
  <si>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</si>
  <si>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</si>
  <si>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</si>
  <si>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</si>
  <si>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</si>
  <si>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</si>
  <si>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</si>
  <si>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</si>
  <si>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</si>
  <si>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</si>
  <si>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</si>
  <si>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</si>
  <si>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Eredeti ei.</t>
  </si>
  <si>
    <t>Módosított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</si>
  <si>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</si>
  <si>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</si>
  <si>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</si>
  <si>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</si>
  <si>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</si>
  <si>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</si>
  <si>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</si>
  <si>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</si>
  <si>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</si>
  <si>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</si>
  <si>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</si>
  <si>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</si>
  <si>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</si>
  <si>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</si>
  <si>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</si>
  <si>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</si>
  <si>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</si>
  <si>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</si>
  <si>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</si>
  <si>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</si>
  <si>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</si>
  <si>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</si>
  <si>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</si>
  <si>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</si>
  <si>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</si>
  <si>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</si>
  <si>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</si>
  <si>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</si>
  <si>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</si>
  <si>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</si>
  <si>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</si>
  <si>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</si>
  <si>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</si>
  <si>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</si>
  <si>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</si>
  <si>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</si>
  <si>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</si>
  <si>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</si>
  <si>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</si>
  <si>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</si>
  <si>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</si>
  <si>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</si>
  <si>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</si>
  <si>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</si>
  <si>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</si>
  <si>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</si>
  <si>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</si>
  <si>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</si>
  <si>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</si>
  <si>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</si>
  <si>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</si>
  <si>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</si>
  <si>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</si>
  <si>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</si>
  <si>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</si>
  <si>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</si>
  <si>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</si>
  <si>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</si>
  <si>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</si>
  <si>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</si>
  <si>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</si>
  <si>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</si>
  <si>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</si>
  <si>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</si>
  <si>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</si>
  <si>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</si>
  <si>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05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</si>
  <si>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</si>
  <si>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</si>
  <si>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</si>
  <si>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</si>
  <si>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bevételei, kiadási, hozzűjárulások</t>
  </si>
  <si>
    <t>6.1. melléklet</t>
  </si>
  <si>
    <t>Helyi önkormányzatok kiegészítő támogatásai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</si>
  <si>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</si>
  <si>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</si>
  <si>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</si>
  <si>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</si>
  <si>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</si>
  <si>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</si>
  <si>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</si>
  <si>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</si>
  <si>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</si>
  <si>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</si>
  <si>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</si>
  <si>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</si>
  <si>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</si>
  <si>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</si>
  <si>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</si>
  <si>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</si>
  <si>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</si>
  <si>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Forgatási célú belföldi értékpapírok beváltása</t>
  </si>
  <si>
    <t>Befektetési célú belföldi értékpapírok beváltása</t>
  </si>
  <si>
    <t>Belföldi finanszírozás kiadásai (7.1. + … + 7.4.)</t>
  </si>
  <si>
    <t xml:space="preserve">Pénzeszközök betétként elhelyezése 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</si>
  <si>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</si>
  <si>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</si>
  <si>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</si>
  <si>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</si>
  <si>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</si>
  <si>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</si>
  <si>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</si>
  <si>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</si>
  <si>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</si>
  <si>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</si>
  <si>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</si>
  <si>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</si>
  <si>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</si>
  <si>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</si>
  <si>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............................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</si>
  <si>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</si>
  <si>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</si>
  <si>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</si>
  <si>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</si>
  <si>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</si>
  <si>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</si>
  <si>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</si>
  <si>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</si>
  <si>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</si>
  <si>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</si>
  <si>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</si>
  <si>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</si>
  <si>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</si>
  <si>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</si>
  <si>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</si>
  <si>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</si>
  <si>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</si>
  <si>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</si>
  <si>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</si>
  <si>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</si>
  <si>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</si>
  <si>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</si>
  <si>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</si>
  <si>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</si>
  <si>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</si>
  <si>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</si>
  <si>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</si>
  <si>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</si>
  <si>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</si>
  <si>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</si>
  <si>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</si>
  <si>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</si>
  <si>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</si>
  <si>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</si>
  <si>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</si>
  <si>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</si>
  <si>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</si>
  <si>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</si>
  <si>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</si>
  <si>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</si>
  <si>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</si>
  <si>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</si>
  <si>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</si>
  <si>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</si>
  <si>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</si>
  <si>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</si>
  <si>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</si>
  <si>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</si>
  <si>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</si>
  <si>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</si>
  <si>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</si>
  <si>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</si>
  <si>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</si>
  <si>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</si>
  <si>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</si>
  <si>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</si>
  <si>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</si>
  <si>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</si>
  <si>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</si>
  <si>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</si>
  <si>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</si>
  <si>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</si>
  <si>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</si>
  <si>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</si>
  <si>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</si>
  <si>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</si>
  <si>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</si>
  <si>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</si>
  <si>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</si>
  <si>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</si>
  <si>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</si>
  <si>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</si>
  <si>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</si>
  <si>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</si>
  <si>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</si>
  <si>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</si>
  <si>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</si>
  <si>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</si>
  <si>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</si>
  <si>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</si>
  <si>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</si>
  <si>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</si>
  <si>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</si>
  <si>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</si>
  <si>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</si>
  <si>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</si>
  <si>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</si>
  <si>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</si>
  <si>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</si>
  <si>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</si>
  <si>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</si>
  <si>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</si>
  <si>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</si>
  <si>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</si>
  <si>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</si>
  <si>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</si>
  <si>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</si>
  <si>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</si>
  <si>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</si>
  <si>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</si>
  <si>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</si>
  <si>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</si>
  <si>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</si>
  <si>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</si>
  <si>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</si>
  <si>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</si>
  <si>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</si>
  <si>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</si>
  <si>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</si>
  <si>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</si>
  <si>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</si>
  <si>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</si>
  <si>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</si>
  <si>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</si>
  <si>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</si>
  <si>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</si>
  <si>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</si>
  <si>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</si>
  <si>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</si>
  <si>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</si>
  <si>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</si>
  <si>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</si>
  <si>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</si>
  <si>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</si>
  <si>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</si>
  <si>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</si>
  <si>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</si>
  <si>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</si>
  <si>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</si>
  <si>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</si>
  <si>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</si>
  <si>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</si>
  <si>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</si>
  <si>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</si>
  <si>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</si>
  <si>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</si>
  <si>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</si>
  <si>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</si>
  <si>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</si>
  <si>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</si>
  <si>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</si>
  <si>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</si>
  <si>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</si>
  <si>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</si>
  <si>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</si>
  <si>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</si>
  <si>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</si>
  <si>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</si>
  <si>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</si>
  <si>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</si>
  <si>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</si>
  <si>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</si>
  <si>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</si>
  <si>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</si>
  <si>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</si>
  <si>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</si>
  <si>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</si>
  <si>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</si>
  <si>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</si>
  <si>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</si>
  <si>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</si>
  <si>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</si>
  <si>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</si>
  <si>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</si>
  <si>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</si>
  <si>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</si>
  <si>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</si>
  <si>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</si>
  <si>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</si>
  <si>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</si>
  <si>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</si>
  <si>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</si>
  <si>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</si>
  <si>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</si>
  <si>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</si>
  <si>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</si>
  <si>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</si>
  <si>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</si>
  <si>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</si>
  <si>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</si>
  <si>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</si>
  <si>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</si>
  <si>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</si>
  <si>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</si>
  <si>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</si>
  <si>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</si>
  <si>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</si>
  <si>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</si>
  <si>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</si>
  <si>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</si>
  <si>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</si>
  <si>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</si>
  <si>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Többéves kihatással járó döntésekből származó kötzelezettségek célok szerinti, évenkénti bontásban</t>
  </si>
  <si>
    <t>2. tájékoztató tábla</t>
  </si>
  <si>
    <t>2020.</t>
  </si>
  <si>
    <t>2021.</t>
  </si>
  <si>
    <t>2021. után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</si>
  <si>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</si>
  <si>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</si>
  <si>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</si>
  <si>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</si>
  <si>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</si>
  <si>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</si>
  <si>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</si>
  <si>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</si>
  <si>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</si>
  <si>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</si>
  <si>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</si>
  <si>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</si>
  <si>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</si>
  <si>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</si>
  <si>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</si>
  <si>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</si>
  <si>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</si>
  <si>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</si>
  <si>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</si>
  <si>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</si>
  <si>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</si>
  <si>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</si>
  <si>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</si>
  <si>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</si>
  <si>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</si>
  <si>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</si>
  <si>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</si>
  <si>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</si>
  <si>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</si>
  <si>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</si>
  <si>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</si>
  <si>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</si>
  <si>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</si>
  <si>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</si>
  <si>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</si>
  <si>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</si>
  <si>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</si>
  <si>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</si>
  <si>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</si>
  <si>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</si>
  <si>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</si>
  <si>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</si>
  <si>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</si>
  <si>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</si>
  <si>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</si>
  <si>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</si>
  <si>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</si>
  <si>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</si>
  <si>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</si>
  <si>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</si>
  <si>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</si>
  <si>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</si>
  <si>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</si>
  <si>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</si>
  <si>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…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</si>
  <si>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</si>
  <si>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</si>
  <si>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</si>
  <si>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</si>
  <si>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</si>
  <si>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</si>
  <si>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</si>
  <si>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2018. évi eredeti előirányzat BEVÉTELEK</t>
  </si>
  <si>
    <t>2018. évi ZÁRSZÁMADÁSÁNAK PÉNZÜGYI MÉRLEGE</t>
  </si>
  <si>
    <t>2019.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</si>
  <si>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</si>
  <si>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</si>
  <si>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</si>
  <si>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</si>
  <si>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</si>
  <si>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</si>
  <si>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</si>
  <si>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</si>
  <si>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</si>
  <si>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</si>
  <si>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</si>
  <si>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</si>
  <si>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</si>
  <si>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</si>
  <si>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</si>
  <si>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</si>
  <si>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</si>
  <si>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r>
      <t>2017. évi C.
törvény 2. sz. melléklete száma</t>
    </r>
    <r>
      <rPr>
        <b/>
        <sz val="10"/>
        <rFont val="Symbol"/>
        <family val="1"/>
      </rPr>
      <t>*</t>
    </r>
  </si>
  <si>
    <t>2018. évi általános működés és ágazati feladatok támogatásának alakulása jogcímenként</t>
  </si>
  <si>
    <t>* Magyarország 2018. évi központi költségvetéséról szóló törvény</t>
  </si>
  <si>
    <t>2018. ÉVI ZÁRSZÁMADSÁS</t>
  </si>
  <si>
    <t>KÖTELEZŐ FELADATOK PÉNZÜGYI MÉRLEGE</t>
  </si>
  <si>
    <t>ÖNKÉNT VÁLLALT FELADATOK PÉNZÜGYI MÉRLEGE</t>
  </si>
  <si>
    <t>ÁLLAMIGAZGATÁSI FELADATOK PÉNZÜGYI MÉRLEGE</t>
  </si>
  <si>
    <t>A 2018. évi céljelleggel juttatott támogatások felhasználásáról</t>
  </si>
  <si>
    <t>2017. évi tény</t>
  </si>
  <si>
    <t>2018. évi</t>
  </si>
  <si>
    <t>2018. évi teljesítés</t>
  </si>
  <si>
    <t>Hitel, kölcsön állomány 2018. dec.31-én</t>
  </si>
  <si>
    <t>2020. után</t>
  </si>
  <si>
    <t>Adósság állomány alakulása lejárat, eszközök, bel- és külföldi hitelezők szerinti bontásban
2018. december 31-én</t>
  </si>
  <si>
    <t>2018. év</t>
  </si>
  <si>
    <t>kötelezettségek és részesedések alakulása 2018-ban</t>
  </si>
  <si>
    <t>Pénzkészlet 2018. január 1-jén
Ebből:</t>
  </si>
  <si>
    <t>Záró pénzkészlet 2018. december 31-én
Ebből: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</si>
  <si>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</si>
  <si>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</si>
  <si>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</si>
  <si>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</si>
  <si>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Besenyszög Város Önkormányzata</t>
  </si>
  <si>
    <t>Besenyszögi Közös Önkormányzati Hivatal</t>
  </si>
  <si>
    <t>Besenyszögi Hivatal bevételei, kiadásai</t>
  </si>
  <si>
    <t>Szászbereki Hivatal bevételei, kiadásai</t>
  </si>
  <si>
    <t>Wesniczky Antal Művelődési Ház és Könyvtár</t>
  </si>
  <si>
    <t>Összes bevétel, kiadás (kötelező feladatok)</t>
  </si>
  <si>
    <t>TSZ Központ átalakítása</t>
  </si>
  <si>
    <t>2016-2020</t>
  </si>
  <si>
    <t>Szociális konyha kialakítása</t>
  </si>
  <si>
    <t xml:space="preserve">Bölcsőde </t>
  </si>
  <si>
    <t>Sportliget</t>
  </si>
  <si>
    <t>Kerékpárút</t>
  </si>
  <si>
    <t>Energetika I.</t>
  </si>
  <si>
    <t>Energetika II.</t>
  </si>
  <si>
    <t>2016-2019</t>
  </si>
  <si>
    <t>Szekérrekonstrukcó</t>
  </si>
  <si>
    <t>2018</t>
  </si>
  <si>
    <t>Aszfalt melegítő gép</t>
  </si>
  <si>
    <t>Ingatlan vásárlások</t>
  </si>
  <si>
    <t>Településrendezési terv</t>
  </si>
  <si>
    <t>Sportcsarnok csapadékvíz elvezetés</t>
  </si>
  <si>
    <t>Sportcsarnok bővítés tervei</t>
  </si>
  <si>
    <t>2018.</t>
  </si>
  <si>
    <t>Egyéb tervek, programok</t>
  </si>
  <si>
    <t>Iskola konyha eszközbeszerzés</t>
  </si>
  <si>
    <t>Gázkazán csere</t>
  </si>
  <si>
    <t>Egyéb beruházások</t>
  </si>
  <si>
    <t>Intézményi beruházások</t>
  </si>
  <si>
    <t xml:space="preserve">Pályázati eszközbeszerzések </t>
  </si>
  <si>
    <t>Belvízelvezető árok felújítás</t>
  </si>
  <si>
    <t>Szociális bérlakás felújítás</t>
  </si>
  <si>
    <t>2017-2019</t>
  </si>
  <si>
    <t>Út- és járda felújítás</t>
  </si>
  <si>
    <t>Lőcsös kocsi felújítás (múzeumban)</t>
  </si>
  <si>
    <t>Hivatal villamosenergia felújítás terve</t>
  </si>
  <si>
    <t>Besenyszög-Szászberek Óvodafenntartó Társulás</t>
  </si>
  <si>
    <t>Óvodafenntartó Társulás bevételei, kiadásai (kötelező)</t>
  </si>
  <si>
    <t>Összes bevétel, kiadás (Kötelező)</t>
  </si>
  <si>
    <t>Besenyszögi Óvoda bevételei, kiadásai (Kötelező)</t>
  </si>
  <si>
    <t>Szászbereki Óvoda bevételei, kiadásai (Kötelező)</t>
  </si>
  <si>
    <t>Egyéb felhalmozási c. tám. bevételei államháztartáson belülről</t>
  </si>
  <si>
    <t>Besenyszögi Közös Önk. Hivatal</t>
  </si>
  <si>
    <t>W.A Művelődési Ház és Könyvtár</t>
  </si>
  <si>
    <t>I.5</t>
  </si>
  <si>
    <t>A 2017. évről áthúzódó bérkompenzáció</t>
  </si>
  <si>
    <t>I.6</t>
  </si>
  <si>
    <t>I.1</t>
  </si>
  <si>
    <t>Települési önkormányzatok működésének támogatása</t>
  </si>
  <si>
    <t>II.</t>
  </si>
  <si>
    <t>Polgármesteri illetmény támogatása</t>
  </si>
  <si>
    <t>Köznevelési feladatok támogatása</t>
  </si>
  <si>
    <t>III.2</t>
  </si>
  <si>
    <t>Települési önkormányzatok szociális feladatainak támogatása</t>
  </si>
  <si>
    <t>III.5</t>
  </si>
  <si>
    <t>III.6</t>
  </si>
  <si>
    <t>Intézményi gyermekétkeztetés támogatása</t>
  </si>
  <si>
    <t>Rászoruló gyermekek szünidei étkeztetésének támogatása</t>
  </si>
  <si>
    <t>Települési önkormányzatok nyilvános könyvtári és közművelődési feladatainak támogatása</t>
  </si>
  <si>
    <t xml:space="preserve">IV.1.d </t>
  </si>
  <si>
    <t>IV.1.i</t>
  </si>
  <si>
    <t>Települési önkormányzatok könyvtári célú érdekeltség növelő támogatása</t>
  </si>
  <si>
    <t>IV.3</t>
  </si>
  <si>
    <t>Kulturális illetménypótlék</t>
  </si>
  <si>
    <t>Gépjármű adó</t>
  </si>
  <si>
    <t>TOP-3.2.1-15-JN1-2016-00027 Önkormányzati épületek energetikai korszerűsítése Besenyszögön</t>
  </si>
  <si>
    <t xml:space="preserve">EU-s projekt neve, azonosítója:  </t>
  </si>
  <si>
    <t>TOP-3.2.1-16-JN1-2017-00004 Önkormányzati épületek energetikai korszerűsítése Besenyszögön</t>
  </si>
  <si>
    <t>TOP-3.1.1-15-JN1-2016-00009 Kerékpárút kiépítése Besenyszögön</t>
  </si>
  <si>
    <t>TOP-2.1.3-15-JN1-2016-00016 Besenyszög Város belterületi csapadékvíz elvezető csatornahálózat fejlesztése</t>
  </si>
  <si>
    <t>TOP-1.4.1-15-JN1-2016-00044 Besenyszögi Napsugár Bölcsőde kialakítása</t>
  </si>
  <si>
    <t>TOP-2.1.2-15-JN1-2016-00020  ZÖLDÜLŐ Besenyszög - Sportliget kialakítása Besenyszög központjában.</t>
  </si>
  <si>
    <t>TOP-2.1.1-15-JN1-2016-00003 Sport és közösségi központ létrehozása felhagyott TSZ központ hasznosításával</t>
  </si>
  <si>
    <t>TOP-4.2.1-15-JN1-2016-00021 Szociális konyha kialakítása Besenyszögön</t>
  </si>
  <si>
    <t xml:space="preserve"> EFOP-1.8.2-17-2017-00028 Széchenyi praxisközösség az egészségfejlesztésért</t>
  </si>
  <si>
    <t xml:space="preserve"> EFOP-3.3.2-16-2016-00316  Kalandos barangolás a kultúrában</t>
  </si>
  <si>
    <t>TOP-5.3.1-16-JN1-2017-00002  Jó szomszédok - közösségfejlesztés a Szolnoki járásban</t>
  </si>
  <si>
    <t>2018-2019</t>
  </si>
  <si>
    <t>2019-2020</t>
  </si>
  <si>
    <t>Hiteltörlesztés (tőke+kamat)</t>
  </si>
  <si>
    <t>EU-s pályázatok</t>
  </si>
  <si>
    <t>2016.</t>
  </si>
  <si>
    <t>Önkormányzati épületek energia korszerűsítése I</t>
  </si>
  <si>
    <t>Önkormányzati épületek energia korszerűsítése II</t>
  </si>
  <si>
    <t>Kerékpárút építés</t>
  </si>
  <si>
    <t>Belterületi csapadékvíz elvezetés</t>
  </si>
  <si>
    <t>2017.</t>
  </si>
  <si>
    <t>Bölcsőde építés</t>
  </si>
  <si>
    <t>Sporliget kialakítása</t>
  </si>
  <si>
    <t>Sport és közösségi központ</t>
  </si>
  <si>
    <t>Széchenyi praxis közösség</t>
  </si>
  <si>
    <t>Kalandos barangolás a kultúrában</t>
  </si>
  <si>
    <t>Jó szomszédok-közösségfejlesztés</t>
  </si>
  <si>
    <t>BES-Ász Kft</t>
  </si>
  <si>
    <t>2014-2018</t>
  </si>
  <si>
    <t>Péntek Józsefné</t>
  </si>
  <si>
    <t>Munkácsi Györy</t>
  </si>
  <si>
    <t>Hulladákgazdálkodási Nonprofit Kft.</t>
  </si>
  <si>
    <t>TRV részesedés</t>
  </si>
  <si>
    <t>Szögi-szántó Kft</t>
  </si>
  <si>
    <t>BURSA H. támogatás</t>
  </si>
  <si>
    <t>Emberi Erőforrások Minisztériuma</t>
  </si>
  <si>
    <t>Óvodafenntartó Társulás</t>
  </si>
  <si>
    <t>működési támogatás</t>
  </si>
  <si>
    <t>Szolnoki Kistérség T.Társulása</t>
  </si>
  <si>
    <t>2017. évi állami felülvizsg.</t>
  </si>
  <si>
    <t>Magyar Államkincstár</t>
  </si>
  <si>
    <t>Meskó Zsolt</t>
  </si>
  <si>
    <t>Boros Kamilla</t>
  </si>
  <si>
    <t>telekár visszatérítés</t>
  </si>
  <si>
    <t>iskolai útiktg. térítés</t>
  </si>
  <si>
    <t>Besenyszögi hulladékgazd. Nonprofit Kft</t>
  </si>
  <si>
    <t>könyvvizsgálat díja</t>
  </si>
  <si>
    <t>Besenyszögi Sport Egyesület</t>
  </si>
  <si>
    <t>Besenyszögi Óvodásokért Alapítvány</t>
  </si>
  <si>
    <t>Besenyszögi Polgárőr Egyesület</t>
  </si>
  <si>
    <t>"Érezd magad jól a besenyszögi iskolában" A.</t>
  </si>
  <si>
    <t>Magyar-Német Baráti Társaság</t>
  </si>
  <si>
    <t>Tehetséges Diákokért Alapítvány</t>
  </si>
  <si>
    <t>Besenyszöügi Milléri Sporthorgász Egyesület</t>
  </si>
  <si>
    <t>Besenyszögért Alapítvány</t>
  </si>
  <si>
    <t>Besenyszögi Hagyományőrző Íjász Egyesület</t>
  </si>
  <si>
    <t>C.F. K.K.Általános iskola iskolai feladatok</t>
  </si>
  <si>
    <t>C.F. K.K.Általános iskola m feladatok</t>
  </si>
  <si>
    <t xml:space="preserve">Munkácsi György </t>
  </si>
  <si>
    <t>Regio-Kom Kft</t>
  </si>
  <si>
    <t>tartozás rendezés</t>
  </si>
  <si>
    <t>2018. ÉVI ZÁRSZÁMADÁSÁNAK PÉNZÜGYI MÉRLEGE</t>
  </si>
  <si>
    <t>likviditási c. vt.tám.</t>
  </si>
  <si>
    <t>lakásépítési vt.tám.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</si>
</sst>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  <numFmt numFmtId="180" formatCode="[$¥€-2]\ #\ ##,000_);[Red]\([$€-2]\ #\ ##,000\)"/>
  </numFmts>
  <fonts count="10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6"/>
      <name val="Times New Roman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0" fillId="22" borderId="7" applyNumberFormat="0" applyFont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0" fontId="9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5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27" xfId="0" applyNumberFormat="1" applyFont="1" applyFill="1" applyBorder="1" applyAlignment="1" applyProtection="1">
      <alignment vertical="center" wrapText="1"/>
      <protection/>
    </xf>
    <xf numFmtId="166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5" xfId="0" applyNumberFormat="1" applyFont="1" applyFill="1" applyBorder="1" applyAlignment="1" applyProtection="1">
      <alignment vertical="center" wrapText="1"/>
      <protection locked="0"/>
    </xf>
    <xf numFmtId="166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6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31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8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6" fontId="12" fillId="0" borderId="27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/>
      <protection/>
    </xf>
    <xf numFmtId="166" fontId="12" fillId="0" borderId="26" xfId="0" applyNumberFormat="1" applyFont="1" applyFill="1" applyBorder="1" applyAlignment="1" applyProtection="1">
      <alignment vertical="center"/>
      <protection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7" xfId="0" applyFont="1" applyBorder="1" applyAlignment="1" applyProtection="1">
      <alignment horizontal="left" vertical="center" wrapText="1" indent="1"/>
      <protection/>
    </xf>
    <xf numFmtId="166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9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3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1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horizontal="center" vertical="center" wrapText="1"/>
      <protection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7" xfId="60" applyFont="1" applyFill="1" applyBorder="1" applyAlignment="1" applyProtection="1">
      <alignment horizontal="left" vertical="center" wrapText="1" indent="1"/>
      <protection/>
    </xf>
    <xf numFmtId="0" fontId="12" fillId="0" borderId="31" xfId="60" applyFont="1" applyFill="1" applyBorder="1" applyAlignment="1" applyProtection="1">
      <alignment vertical="center" wrapText="1"/>
      <protection/>
    </xf>
    <xf numFmtId="0" fontId="13" fillId="0" borderId="28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6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9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50" xfId="60" applyFont="1" applyFill="1" applyBorder="1" applyAlignment="1" applyProtection="1">
      <alignment horizontal="center" vertical="center" wrapText="1"/>
      <protection/>
    </xf>
    <xf numFmtId="0" fontId="12" fillId="0" borderId="51" xfId="60" applyFont="1" applyFill="1" applyBorder="1" applyAlignment="1" applyProtection="1">
      <alignment horizontal="center" vertical="center" wrapText="1"/>
      <protection/>
    </xf>
    <xf numFmtId="166" fontId="12" fillId="0" borderId="52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2" xfId="0" applyNumberFormat="1" applyFont="1" applyBorder="1" applyAlignment="1" applyProtection="1">
      <alignment horizontal="right" vertical="center" wrapText="1" indent="1"/>
      <protection/>
    </xf>
    <xf numFmtId="166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2" xfId="60" applyFont="1" applyFill="1" applyBorder="1" applyAlignment="1" applyProtection="1">
      <alignment horizontal="center" vertical="center" wrapTex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2" fillId="0" borderId="42" xfId="0" applyNumberFormat="1" applyFont="1" applyFill="1" applyBorder="1" applyAlignment="1">
      <alignment horizontal="center" vertical="center"/>
    </xf>
    <xf numFmtId="166" fontId="12" fillId="0" borderId="42" xfId="0" applyNumberFormat="1" applyFont="1" applyFill="1" applyBorder="1" applyAlignment="1">
      <alignment horizontal="center" vertical="center" wrapText="1"/>
    </xf>
    <xf numFmtId="166" fontId="12" fillId="0" borderId="55" xfId="0" applyNumberFormat="1" applyFont="1" applyFill="1" applyBorder="1" applyAlignment="1">
      <alignment horizontal="center" vertical="center"/>
    </xf>
    <xf numFmtId="166" fontId="12" fillId="0" borderId="56" xfId="0" applyNumberFormat="1" applyFont="1" applyFill="1" applyBorder="1" applyAlignment="1">
      <alignment horizontal="center" vertical="center"/>
    </xf>
    <xf numFmtId="166" fontId="12" fillId="0" borderId="56" xfId="0" applyNumberFormat="1" applyFont="1" applyFill="1" applyBorder="1" applyAlignment="1">
      <alignment horizontal="center" vertical="center" wrapText="1"/>
    </xf>
    <xf numFmtId="49" fontId="13" fillId="0" borderId="57" xfId="0" applyNumberFormat="1" applyFont="1" applyFill="1" applyBorder="1" applyAlignment="1">
      <alignment horizontal="left" vertical="center"/>
    </xf>
    <xf numFmtId="3" fontId="13" fillId="0" borderId="58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59" xfId="0" applyNumberFormat="1" applyFont="1" applyFill="1" applyBorder="1" applyAlignment="1" quotePrefix="1">
      <alignment horizontal="left" vertical="center" indent="1"/>
    </xf>
    <xf numFmtId="49" fontId="13" fillId="0" borderId="59" xfId="0" applyNumberFormat="1" applyFont="1" applyFill="1" applyBorder="1" applyAlignment="1">
      <alignment horizontal="left" vertical="center"/>
    </xf>
    <xf numFmtId="49" fontId="13" fillId="0" borderId="60" xfId="0" applyNumberFormat="1" applyFont="1" applyFill="1" applyBorder="1" applyAlignment="1" applyProtection="1">
      <alignment horizontal="lef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3" xfId="0" applyNumberFormat="1" applyFont="1" applyFill="1" applyBorder="1" applyAlignment="1" applyProtection="1">
      <alignment vertical="center"/>
      <protection locked="0"/>
    </xf>
    <xf numFmtId="49" fontId="12" fillId="0" borderId="63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0" xfId="0" applyNumberFormat="1" applyFont="1" applyFill="1" applyBorder="1" applyAlignment="1" applyProtection="1">
      <alignment vertical="center"/>
      <protection locked="0"/>
    </xf>
    <xf numFmtId="49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5" fontId="12" fillId="0" borderId="42" xfId="0" applyNumberFormat="1" applyFont="1" applyFill="1" applyBorder="1" applyAlignment="1">
      <alignment horizontal="left" vertical="center" wrapText="1" indent="1"/>
    </xf>
    <xf numFmtId="175" fontId="26" fillId="0" borderId="0" xfId="0" applyNumberFormat="1" applyFont="1" applyFill="1" applyBorder="1" applyAlignment="1">
      <alignment horizontal="left" vertical="center" wrapText="1"/>
    </xf>
    <xf numFmtId="166" fontId="12" fillId="0" borderId="42" xfId="0" applyNumberFormat="1" applyFont="1" applyFill="1" applyBorder="1" applyAlignment="1">
      <alignment horizontal="center" vertical="center" wrapText="1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42" xfId="0" applyNumberFormat="1" applyFont="1" applyFill="1" applyBorder="1" applyAlignment="1">
      <alignment horizontal="right" vertical="center" wrapText="1"/>
    </xf>
    <xf numFmtId="0" fontId="12" fillId="0" borderId="65" xfId="0" applyFont="1" applyFill="1" applyBorder="1" applyAlignment="1" applyProtection="1">
      <alignment horizontal="center" vertical="center" wrapText="1"/>
      <protection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/>
    </xf>
    <xf numFmtId="0" fontId="3" fillId="0" borderId="66" xfId="0" applyFont="1" applyBorder="1" applyAlignment="1">
      <alignment vertical="center" wrapText="1"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3" fontId="27" fillId="0" borderId="67" xfId="0" applyNumberFormat="1" applyFont="1" applyFill="1" applyBorder="1" applyAlignment="1" applyProtection="1">
      <alignment horizontal="right" vertical="center"/>
      <protection locked="0"/>
    </xf>
    <xf numFmtId="3" fontId="27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58" xfId="0" applyNumberFormat="1" applyFont="1" applyFill="1" applyBorder="1" applyAlignment="1" applyProtection="1">
      <alignment horizontal="right" vertical="center" wrapText="1"/>
      <protection locked="0"/>
    </xf>
    <xf numFmtId="166" fontId="28" fillId="0" borderId="58" xfId="0" applyNumberFormat="1" applyFont="1" applyFill="1" applyBorder="1" applyAlignment="1">
      <alignment horizontal="right" vertical="center" wrapText="1"/>
    </xf>
    <xf numFmtId="4" fontId="28" fillId="0" borderId="58" xfId="0" applyNumberFormat="1" applyFont="1" applyFill="1" applyBorder="1" applyAlignment="1">
      <alignment horizontal="right" vertical="center" wrapText="1"/>
    </xf>
    <xf numFmtId="3" fontId="29" fillId="0" borderId="40" xfId="0" applyNumberFormat="1" applyFont="1" applyFill="1" applyBorder="1" applyAlignment="1" applyProtection="1">
      <alignment horizontal="right" vertical="center"/>
      <protection locked="0"/>
    </xf>
    <xf numFmtId="3" fontId="29" fillId="0" borderId="40" xfId="0" applyNumberFormat="1" applyFont="1" applyFill="1" applyBorder="1" applyAlignment="1" applyProtection="1">
      <alignment horizontal="right" vertical="center" wrapText="1"/>
      <protection locked="0"/>
    </xf>
    <xf numFmtId="166" fontId="28" fillId="0" borderId="40" xfId="0" applyNumberFormat="1" applyFont="1" applyFill="1" applyBorder="1" applyAlignment="1">
      <alignment horizontal="right" vertical="center" wrapText="1"/>
    </xf>
    <xf numFmtId="4" fontId="28" fillId="0" borderId="40" xfId="0" applyNumberFormat="1" applyFont="1" applyFill="1" applyBorder="1" applyAlignment="1">
      <alignment horizontal="right" vertical="center" wrapText="1"/>
    </xf>
    <xf numFmtId="3" fontId="27" fillId="0" borderId="40" xfId="0" applyNumberFormat="1" applyFont="1" applyFill="1" applyBorder="1" applyAlignment="1" applyProtection="1">
      <alignment horizontal="right" vertical="center"/>
      <protection locked="0"/>
    </xf>
    <xf numFmtId="3" fontId="27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61" xfId="0" applyNumberFormat="1" applyFont="1" applyFill="1" applyBorder="1" applyAlignment="1" applyProtection="1">
      <alignment horizontal="right" vertical="center"/>
      <protection locked="0"/>
    </xf>
    <xf numFmtId="3" fontId="27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64" xfId="0" applyNumberFormat="1" applyFont="1" applyFill="1" applyBorder="1" applyAlignment="1">
      <alignment horizontal="right" vertical="center" wrapText="1"/>
    </xf>
    <xf numFmtId="166" fontId="28" fillId="0" borderId="42" xfId="0" applyNumberFormat="1" applyFont="1" applyFill="1" applyBorder="1" applyAlignment="1">
      <alignment vertical="center"/>
    </xf>
    <xf numFmtId="4" fontId="27" fillId="0" borderId="42" xfId="0" applyNumberFormat="1" applyFont="1" applyFill="1" applyBorder="1" applyAlignment="1" applyProtection="1">
      <alignment vertical="center" wrapText="1"/>
      <protection locked="0"/>
    </xf>
    <xf numFmtId="3" fontId="30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67" xfId="0" applyNumberFormat="1" applyFont="1" applyFill="1" applyBorder="1" applyAlignment="1" applyProtection="1">
      <alignment horizontal="right" vertical="center"/>
      <protection locked="0"/>
    </xf>
    <xf numFmtId="3" fontId="30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58" xfId="0" applyNumberFormat="1" applyFont="1" applyFill="1" applyBorder="1" applyAlignment="1" applyProtection="1">
      <alignment horizontal="right" vertical="center" wrapText="1"/>
      <protection locked="0"/>
    </xf>
    <xf numFmtId="166" fontId="31" fillId="0" borderId="67" xfId="0" applyNumberFormat="1" applyFont="1" applyFill="1" applyBorder="1" applyAlignment="1" applyProtection="1">
      <alignment horizontal="right" vertical="center" wrapText="1"/>
      <protection/>
    </xf>
    <xf numFmtId="4" fontId="31" fillId="0" borderId="58" xfId="0" applyNumberFormat="1" applyFont="1" applyFill="1" applyBorder="1" applyAlignment="1">
      <alignment horizontal="right" vertical="center" wrapText="1"/>
    </xf>
    <xf numFmtId="3" fontId="32" fillId="0" borderId="40" xfId="0" applyNumberFormat="1" applyFont="1" applyFill="1" applyBorder="1" applyAlignment="1" applyProtection="1">
      <alignment horizontal="right" vertical="center"/>
      <protection locked="0"/>
    </xf>
    <xf numFmtId="166" fontId="31" fillId="0" borderId="40" xfId="0" applyNumberFormat="1" applyFont="1" applyFill="1" applyBorder="1" applyAlignment="1" applyProtection="1">
      <alignment horizontal="right" vertical="center" wrapText="1"/>
      <protection/>
    </xf>
    <xf numFmtId="4" fontId="31" fillId="0" borderId="40" xfId="0" applyNumberFormat="1" applyFont="1" applyFill="1" applyBorder="1" applyAlignment="1">
      <alignment horizontal="right" vertical="center" wrapText="1"/>
    </xf>
    <xf numFmtId="3" fontId="30" fillId="0" borderId="40" xfId="0" applyNumberFormat="1" applyFont="1" applyFill="1" applyBorder="1" applyAlignment="1" applyProtection="1">
      <alignment horizontal="right" vertical="center"/>
      <protection locked="0"/>
    </xf>
    <xf numFmtId="3" fontId="30" fillId="0" borderId="61" xfId="0" applyNumberFormat="1" applyFont="1" applyFill="1" applyBorder="1" applyAlignment="1" applyProtection="1">
      <alignment horizontal="right" vertical="center"/>
      <protection locked="0"/>
    </xf>
    <xf numFmtId="3" fontId="30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64" xfId="0" applyNumberFormat="1" applyFont="1" applyFill="1" applyBorder="1" applyAlignment="1">
      <alignment horizontal="right" vertical="center" wrapText="1"/>
    </xf>
    <xf numFmtId="166" fontId="31" fillId="0" borderId="42" xfId="0" applyNumberFormat="1" applyFont="1" applyFill="1" applyBorder="1" applyAlignment="1">
      <alignment vertical="center"/>
    </xf>
    <xf numFmtId="4" fontId="30" fillId="0" borderId="42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68" xfId="60" applyFont="1" applyFill="1" applyBorder="1" applyAlignment="1" applyProtection="1">
      <alignment horizontal="center" vertical="center" wrapText="1"/>
      <protection locked="0"/>
    </xf>
    <xf numFmtId="166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8" xfId="0" applyFont="1" applyBorder="1" applyAlignment="1" applyProtection="1">
      <alignment wrapTex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3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 quotePrefix="1">
      <alignment horizontal="right" vertical="center" indent="1"/>
      <protection locked="0"/>
    </xf>
    <xf numFmtId="49" fontId="6" fillId="0" borderId="42" xfId="0" applyNumberFormat="1" applyFont="1" applyFill="1" applyBorder="1" applyAlignment="1" applyProtection="1">
      <alignment horizontal="right" vertical="center" inden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166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6" fontId="8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69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6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166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5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68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166" fontId="13" fillId="34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6" fontId="13" fillId="34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166" fontId="20" fillId="0" borderId="30" xfId="60" applyNumberFormat="1" applyFont="1" applyFill="1" applyBorder="1" applyAlignment="1" applyProtection="1">
      <alignment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0" fontId="13" fillId="0" borderId="13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14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/>
      <protection/>
    </xf>
    <xf numFmtId="0" fontId="13" fillId="0" borderId="15" xfId="60" applyFont="1" applyFill="1" applyBorder="1" applyAlignment="1" applyProtection="1">
      <alignment horizontal="left" vertical="center" wrapText="1"/>
      <protection/>
    </xf>
    <xf numFmtId="0" fontId="13" fillId="0" borderId="28" xfId="60" applyFont="1" applyFill="1" applyBorder="1" applyAlignment="1" applyProtection="1">
      <alignment horizontal="left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/>
      <protection/>
    </xf>
    <xf numFmtId="0" fontId="2" fillId="0" borderId="0" xfId="60" applyFill="1" applyAlignment="1" applyProtection="1">
      <alignment horizontal="left" vertical="center" inden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5" fillId="0" borderId="31" xfId="0" applyFont="1" applyBorder="1" applyAlignment="1" applyProtection="1">
      <alignment horizontal="left" vertical="center" wrapText="1"/>
      <protection/>
    </xf>
    <xf numFmtId="166" fontId="6" fillId="0" borderId="70" xfId="0" applyNumberFormat="1" applyFont="1" applyFill="1" applyBorder="1" applyAlignment="1" applyProtection="1">
      <alignment horizontal="centerContinuous" vertical="center"/>
      <protection/>
    </xf>
    <xf numFmtId="166" fontId="6" fillId="0" borderId="71" xfId="0" applyNumberFormat="1" applyFont="1" applyFill="1" applyBorder="1" applyAlignment="1" applyProtection="1">
      <alignment horizontal="centerContinuous" vertical="center"/>
      <protection/>
    </xf>
    <xf numFmtId="166" fontId="6" fillId="0" borderId="47" xfId="0" applyNumberFormat="1" applyFont="1" applyFill="1" applyBorder="1" applyAlignment="1" applyProtection="1">
      <alignment horizontal="centerContinuous" vertical="center"/>
      <protection/>
    </xf>
    <xf numFmtId="166" fontId="19" fillId="0" borderId="0" xfId="0" applyNumberFormat="1" applyFont="1" applyFill="1" applyAlignment="1">
      <alignment vertical="center"/>
    </xf>
    <xf numFmtId="166" fontId="6" fillId="0" borderId="72" xfId="0" applyNumberFormat="1" applyFont="1" applyFill="1" applyBorder="1" applyAlignment="1" applyProtection="1">
      <alignment horizontal="center" vertical="center"/>
      <protection/>
    </xf>
    <xf numFmtId="166" fontId="6" fillId="0" borderId="73" xfId="0" applyNumberFormat="1" applyFont="1" applyFill="1" applyBorder="1" applyAlignment="1" applyProtection="1">
      <alignment horizontal="center" vertical="center"/>
      <protection/>
    </xf>
    <xf numFmtId="166" fontId="6" fillId="0" borderId="68" xfId="0" applyNumberFormat="1" applyFont="1" applyFill="1" applyBorder="1" applyAlignment="1" applyProtection="1">
      <alignment horizontal="center" vertical="center" wrapText="1"/>
      <protection/>
    </xf>
    <xf numFmtId="166" fontId="19" fillId="0" borderId="0" xfId="0" applyNumberFormat="1" applyFont="1" applyFill="1" applyAlignment="1">
      <alignment horizontal="center" vertical="center"/>
    </xf>
    <xf numFmtId="166" fontId="12" fillId="0" borderId="62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52" xfId="0" applyNumberFormat="1" applyFont="1" applyFill="1" applyBorder="1" applyAlignment="1" applyProtection="1">
      <alignment horizontal="center" vertical="center" wrapText="1"/>
      <protection/>
    </xf>
    <xf numFmtId="166" fontId="12" fillId="0" borderId="4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>
      <alignment horizontal="center" vertical="center" wrapText="1"/>
    </xf>
    <xf numFmtId="166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6" fontId="12" fillId="0" borderId="13" xfId="0" applyNumberFormat="1" applyFont="1" applyFill="1" applyBorder="1" applyAlignment="1" applyProtection="1">
      <alignment vertical="center" wrapText="1"/>
      <protection/>
    </xf>
    <xf numFmtId="166" fontId="12" fillId="0" borderId="58" xfId="0" applyNumberFormat="1" applyFont="1" applyFill="1" applyBorder="1" applyAlignment="1" applyProtection="1">
      <alignment vertical="center" wrapText="1"/>
      <protection/>
    </xf>
    <xf numFmtId="166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" fontId="13" fillId="33" borderId="52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Alignment="1">
      <alignment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166" fontId="12" fillId="0" borderId="22" xfId="0" applyNumberFormat="1" applyFont="1" applyFill="1" applyBorder="1" applyAlignment="1">
      <alignment horizontal="right" vertical="center" wrapText="1" indent="1"/>
    </xf>
    <xf numFmtId="166" fontId="12" fillId="0" borderId="42" xfId="0" applyNumberFormat="1" applyFont="1" applyFill="1" applyBorder="1" applyAlignment="1">
      <alignment horizontal="left" vertical="center" wrapText="1" indent="1"/>
    </xf>
    <xf numFmtId="166" fontId="0" fillId="33" borderId="42" xfId="0" applyNumberFormat="1" applyFont="1" applyFill="1" applyBorder="1" applyAlignment="1">
      <alignment horizontal="left" vertical="center" wrapText="1" indent="2"/>
    </xf>
    <xf numFmtId="166" fontId="0" fillId="33" borderId="32" xfId="0" applyNumberFormat="1" applyFont="1" applyFill="1" applyBorder="1" applyAlignment="1">
      <alignment horizontal="left" vertical="center" wrapText="1" indent="2"/>
    </xf>
    <xf numFmtId="166" fontId="12" fillId="0" borderId="22" xfId="0" applyNumberFormat="1" applyFont="1" applyFill="1" applyBorder="1" applyAlignment="1">
      <alignment vertical="center" wrapText="1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6" xfId="0" applyNumberFormat="1" applyFont="1" applyFill="1" applyBorder="1" applyAlignment="1">
      <alignment vertical="center" wrapText="1"/>
    </xf>
    <xf numFmtId="166" fontId="12" fillId="0" borderId="17" xfId="0" applyNumberFormat="1" applyFont="1" applyFill="1" applyBorder="1" applyAlignment="1">
      <alignment horizontal="right" vertical="center" wrapText="1" indent="1"/>
    </xf>
    <xf numFmtId="166" fontId="13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Fill="1" applyBorder="1" applyAlignment="1" applyProtection="1">
      <alignment vertical="center" wrapTex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 locked="0"/>
    </xf>
    <xf numFmtId="166" fontId="0" fillId="33" borderId="42" xfId="0" applyNumberFormat="1" applyFont="1" applyFill="1" applyBorder="1" applyAlignment="1">
      <alignment horizontal="right" vertical="center" wrapText="1" indent="2"/>
    </xf>
    <xf numFmtId="166" fontId="0" fillId="33" borderId="32" xfId="0" applyNumberFormat="1" applyFont="1" applyFill="1" applyBorder="1" applyAlignment="1">
      <alignment horizontal="right" vertical="center" wrapText="1" indent="2"/>
    </xf>
    <xf numFmtId="166" fontId="13" fillId="0" borderId="38" xfId="0" applyNumberFormat="1" applyFont="1" applyFill="1" applyBorder="1" applyAlignment="1" applyProtection="1">
      <alignment vertical="center"/>
      <protection locked="0"/>
    </xf>
    <xf numFmtId="166" fontId="12" fillId="0" borderId="38" xfId="0" applyNumberFormat="1" applyFont="1" applyFill="1" applyBorder="1" applyAlignment="1" applyProtection="1">
      <alignment vertical="center"/>
      <protection/>
    </xf>
    <xf numFmtId="166" fontId="13" fillId="0" borderId="74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vertical="center" wrapText="1"/>
      <protection/>
    </xf>
    <xf numFmtId="166" fontId="13" fillId="0" borderId="28" xfId="0" applyNumberFormat="1" applyFont="1" applyFill="1" applyBorder="1" applyAlignment="1" applyProtection="1">
      <alignment vertical="center"/>
      <protection locked="0"/>
    </xf>
    <xf numFmtId="166" fontId="13" fillId="0" borderId="73" xfId="0" applyNumberFormat="1" applyFont="1" applyFill="1" applyBorder="1" applyAlignment="1" applyProtection="1">
      <alignment vertical="center"/>
      <protection locked="0"/>
    </xf>
    <xf numFmtId="166" fontId="12" fillId="0" borderId="52" xfId="0" applyNumberFormat="1" applyFont="1" applyFill="1" applyBorder="1" applyAlignment="1" applyProtection="1">
      <alignment vertical="center"/>
      <protection/>
    </xf>
    <xf numFmtId="166" fontId="12" fillId="0" borderId="68" xfId="0" applyNumberFormat="1" applyFont="1" applyFill="1" applyBorder="1" applyAlignment="1" applyProtection="1">
      <alignment vertical="center"/>
      <protection/>
    </xf>
    <xf numFmtId="166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29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8" xfId="0" applyFont="1" applyFill="1" applyBorder="1" applyAlignment="1" applyProtection="1">
      <alignment vertical="center" wrapText="1"/>
      <protection locked="0"/>
    </xf>
    <xf numFmtId="3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>
      <alignment horizontal="right" vertical="center" indent="1"/>
    </xf>
    <xf numFmtId="0" fontId="13" fillId="0" borderId="15" xfId="0" applyFont="1" applyFill="1" applyBorder="1" applyAlignment="1" applyProtection="1">
      <alignment horizontal="left" vertical="center" indent="1"/>
      <protection locked="0"/>
    </xf>
    <xf numFmtId="3" fontId="13" fillId="0" borderId="74" xfId="0" applyNumberFormat="1" applyFont="1" applyFill="1" applyBorder="1" applyAlignment="1" applyProtection="1">
      <alignment horizontal="right" vertical="center"/>
      <protection locked="0"/>
    </xf>
    <xf numFmtId="3" fontId="13" fillId="0" borderId="76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0" fontId="25" fillId="0" borderId="0" xfId="62" applyFill="1" applyProtection="1">
      <alignment/>
      <protection/>
    </xf>
    <xf numFmtId="0" fontId="35" fillId="0" borderId="0" xfId="62" applyFont="1" applyFill="1" applyProtection="1">
      <alignment/>
      <protection/>
    </xf>
    <xf numFmtId="0" fontId="25" fillId="0" borderId="0" xfId="62" applyFill="1" applyAlignment="1" applyProtection="1">
      <alignment horizontal="center" vertical="center"/>
      <protection/>
    </xf>
    <xf numFmtId="0" fontId="17" fillId="0" borderId="20" xfId="62" applyFont="1" applyFill="1" applyBorder="1" applyAlignment="1" applyProtection="1">
      <alignment vertical="center" wrapText="1"/>
      <protection/>
    </xf>
    <xf numFmtId="176" fontId="13" fillId="0" borderId="13" xfId="61" applyNumberFormat="1" applyFont="1" applyFill="1" applyBorder="1" applyAlignment="1" applyProtection="1">
      <alignment horizontal="center" vertical="center"/>
      <protection/>
    </xf>
    <xf numFmtId="177" fontId="38" fillId="0" borderId="44" xfId="62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2" applyFill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vertical="center" wrapText="1"/>
      <protection/>
    </xf>
    <xf numFmtId="176" fontId="13" fillId="0" borderId="11" xfId="61" applyNumberFormat="1" applyFont="1" applyFill="1" applyBorder="1" applyAlignment="1" applyProtection="1">
      <alignment horizontal="center" vertical="center"/>
      <protection/>
    </xf>
    <xf numFmtId="177" fontId="38" fillId="0" borderId="27" xfId="62" applyNumberFormat="1" applyFont="1" applyFill="1" applyBorder="1" applyAlignment="1" applyProtection="1">
      <alignment horizontal="right" vertical="center" wrapText="1"/>
      <protection/>
    </xf>
    <xf numFmtId="0" fontId="39" fillId="0" borderId="17" xfId="62" applyFont="1" applyFill="1" applyBorder="1" applyAlignment="1" applyProtection="1">
      <alignment horizontal="left" vertical="center" wrapText="1" indent="1"/>
      <protection/>
    </xf>
    <xf numFmtId="177" fontId="40" fillId="0" borderId="27" xfId="62" applyNumberFormat="1" applyFont="1" applyFill="1" applyBorder="1" applyAlignment="1" applyProtection="1">
      <alignment horizontal="right" vertical="center" wrapText="1"/>
      <protection locked="0"/>
    </xf>
    <xf numFmtId="177" fontId="41" fillId="0" borderId="27" xfId="62" applyNumberFormat="1" applyFont="1" applyFill="1" applyBorder="1" applyAlignment="1" applyProtection="1">
      <alignment horizontal="right" vertical="center" wrapText="1"/>
      <protection locked="0"/>
    </xf>
    <xf numFmtId="177" fontId="41" fillId="0" borderId="27" xfId="62" applyNumberFormat="1" applyFont="1" applyFill="1" applyBorder="1" applyAlignment="1" applyProtection="1">
      <alignment horizontal="right" vertical="center" wrapText="1"/>
      <protection/>
    </xf>
    <xf numFmtId="0" fontId="17" fillId="0" borderId="21" xfId="62" applyFont="1" applyFill="1" applyBorder="1" applyAlignment="1" applyProtection="1">
      <alignment vertical="center" wrapText="1"/>
      <protection/>
    </xf>
    <xf numFmtId="176" fontId="13" fillId="0" borderId="28" xfId="61" applyNumberFormat="1" applyFont="1" applyFill="1" applyBorder="1" applyAlignment="1" applyProtection="1">
      <alignment horizontal="center" vertical="center"/>
      <protection/>
    </xf>
    <xf numFmtId="177" fontId="38" fillId="0" borderId="68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5" fillId="0" borderId="0" xfId="62" applyNumberFormat="1" applyFont="1" applyFill="1" applyProtection="1">
      <alignment/>
      <protection/>
    </xf>
    <xf numFmtId="3" fontId="25" fillId="0" borderId="0" xfId="62" applyNumberFormat="1" applyFont="1" applyFill="1" applyAlignment="1" applyProtection="1">
      <alignment horizontal="center"/>
      <protection/>
    </xf>
    <xf numFmtId="0" fontId="25" fillId="0" borderId="0" xfId="62" applyFont="1" applyFill="1" applyProtection="1">
      <alignment/>
      <protection/>
    </xf>
    <xf numFmtId="0" fontId="25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6" fontId="13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12" fillId="0" borderId="21" xfId="61" applyFont="1" applyFill="1" applyBorder="1" applyAlignment="1" applyProtection="1">
      <alignment horizontal="left" vertical="center" wrapText="1"/>
      <protection/>
    </xf>
    <xf numFmtId="0" fontId="25" fillId="0" borderId="0" xfId="62" applyFont="1" applyFill="1" applyAlignment="1" applyProtection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/>
      <protection/>
    </xf>
    <xf numFmtId="0" fontId="44" fillId="0" borderId="12" xfId="0" applyFont="1" applyBorder="1" applyAlignment="1" applyProtection="1">
      <alignment horizontal="left" vertical="top" wrapText="1"/>
      <protection locked="0"/>
    </xf>
    <xf numFmtId="9" fontId="44" fillId="0" borderId="12" xfId="70" applyFont="1" applyBorder="1" applyAlignment="1" applyProtection="1">
      <alignment horizontal="center" vertical="center" wrapText="1"/>
      <protection locked="0"/>
    </xf>
    <xf numFmtId="168" fontId="44" fillId="0" borderId="12" xfId="42" applyNumberFormat="1" applyFont="1" applyBorder="1" applyAlignment="1" applyProtection="1">
      <alignment horizontal="center" vertical="center" wrapText="1"/>
      <protection locked="0"/>
    </xf>
    <xf numFmtId="168" fontId="44" fillId="0" borderId="75" xfId="42" applyNumberFormat="1" applyFont="1" applyBorder="1" applyAlignment="1" applyProtection="1">
      <alignment horizontal="center" vertical="top" wrapText="1"/>
      <protection locked="0"/>
    </xf>
    <xf numFmtId="0" fontId="44" fillId="0" borderId="11" xfId="0" applyFont="1" applyBorder="1" applyAlignment="1" applyProtection="1">
      <alignment horizontal="left" vertical="top" wrapText="1"/>
      <protection locked="0"/>
    </xf>
    <xf numFmtId="9" fontId="44" fillId="0" borderId="11" xfId="70" applyFont="1" applyBorder="1" applyAlignment="1" applyProtection="1">
      <alignment horizontal="center" vertical="center" wrapText="1"/>
      <protection locked="0"/>
    </xf>
    <xf numFmtId="168" fontId="44" fillId="0" borderId="11" xfId="42" applyNumberFormat="1" applyFont="1" applyBorder="1" applyAlignment="1" applyProtection="1">
      <alignment horizontal="center" vertical="center" wrapText="1"/>
      <protection locked="0"/>
    </xf>
    <xf numFmtId="168" fontId="44" fillId="0" borderId="27" xfId="42" applyNumberFormat="1" applyFont="1" applyBorder="1" applyAlignment="1" applyProtection="1">
      <alignment horizontal="center" vertical="top" wrapText="1"/>
      <protection locked="0"/>
    </xf>
    <xf numFmtId="0" fontId="44" fillId="0" borderId="15" xfId="0" applyFont="1" applyBorder="1" applyAlignment="1" applyProtection="1">
      <alignment horizontal="left" vertical="top" wrapText="1"/>
      <protection locked="0"/>
    </xf>
    <xf numFmtId="9" fontId="44" fillId="0" borderId="15" xfId="70" applyFont="1" applyBorder="1" applyAlignment="1" applyProtection="1">
      <alignment horizontal="center" vertical="center" wrapText="1"/>
      <protection locked="0"/>
    </xf>
    <xf numFmtId="168" fontId="44" fillId="0" borderId="15" xfId="42" applyNumberFormat="1" applyFont="1" applyBorder="1" applyAlignment="1" applyProtection="1">
      <alignment horizontal="center" vertical="center" wrapText="1"/>
      <protection locked="0"/>
    </xf>
    <xf numFmtId="168" fontId="44" fillId="0" borderId="76" xfId="42" applyNumberFormat="1" applyFont="1" applyBorder="1" applyAlignment="1" applyProtection="1">
      <alignment horizontal="center" vertical="top" wrapText="1"/>
      <protection locked="0"/>
    </xf>
    <xf numFmtId="0" fontId="42" fillId="35" borderId="23" xfId="0" applyFont="1" applyFill="1" applyBorder="1" applyAlignment="1" applyProtection="1">
      <alignment horizontal="center" vertical="top" wrapText="1"/>
      <protection/>
    </xf>
    <xf numFmtId="168" fontId="44" fillId="0" borderId="23" xfId="42" applyNumberFormat="1" applyFont="1" applyBorder="1" applyAlignment="1" applyProtection="1">
      <alignment horizontal="center" vertical="center" wrapText="1"/>
      <protection/>
    </xf>
    <xf numFmtId="168" fontId="44" fillId="0" borderId="26" xfId="42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5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6" fillId="0" borderId="28" xfId="0" applyFont="1" applyFill="1" applyBorder="1" applyAlignment="1">
      <alignment horizontal="left" vertical="center" indent="5"/>
    </xf>
    <xf numFmtId="166" fontId="20" fillId="0" borderId="30" xfId="60" applyNumberFormat="1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horizontal="right" vertical="center"/>
      <protection locked="0"/>
    </xf>
    <xf numFmtId="0" fontId="6" fillId="0" borderId="28" xfId="60" applyFont="1" applyFill="1" applyBorder="1" applyAlignment="1" applyProtection="1">
      <alignment horizontal="center" vertical="center" wrapText="1"/>
      <protection locked="0"/>
    </xf>
    <xf numFmtId="0" fontId="12" fillId="0" borderId="22" xfId="60" applyFont="1" applyFill="1" applyBorder="1" applyAlignment="1" applyProtection="1">
      <alignment horizontal="center" vertical="center" wrapText="1"/>
      <protection locked="0"/>
    </xf>
    <xf numFmtId="0" fontId="12" fillId="0" borderId="23" xfId="60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center" vertical="center" wrapText="1"/>
      <protection locked="0"/>
    </xf>
    <xf numFmtId="166" fontId="6" fillId="0" borderId="73" xfId="0" applyNumberFormat="1" applyFont="1" applyFill="1" applyBorder="1" applyAlignment="1" applyProtection="1">
      <alignment horizontal="center" vertical="center"/>
      <protection locked="0"/>
    </xf>
    <xf numFmtId="166" fontId="6" fillId="0" borderId="28" xfId="0" applyNumberFormat="1" applyFont="1" applyFill="1" applyBorder="1" applyAlignment="1" applyProtection="1">
      <alignment horizontal="center" vertical="center"/>
      <protection locked="0"/>
    </xf>
    <xf numFmtId="166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6" fillId="0" borderId="78" xfId="0" applyFont="1" applyFill="1" applyBorder="1" applyAlignment="1" applyProtection="1">
      <alignment horizontal="center" vertical="center" wrapText="1"/>
      <protection locked="0"/>
    </xf>
    <xf numFmtId="0" fontId="25" fillId="0" borderId="0" xfId="62" applyFill="1" applyProtection="1">
      <alignment/>
      <protection locked="0"/>
    </xf>
    <xf numFmtId="0" fontId="35" fillId="0" borderId="0" xfId="62" applyFont="1" applyFill="1" applyProtection="1">
      <alignment/>
      <protection locked="0"/>
    </xf>
    <xf numFmtId="0" fontId="26" fillId="0" borderId="21" xfId="62" applyFont="1" applyFill="1" applyBorder="1" applyAlignment="1" applyProtection="1">
      <alignment horizontal="center" vertical="center" wrapText="1"/>
      <protection locked="0"/>
    </xf>
    <xf numFmtId="0" fontId="26" fillId="0" borderId="28" xfId="62" applyFont="1" applyFill="1" applyBorder="1" applyAlignment="1" applyProtection="1">
      <alignment horizontal="center" vertical="center" wrapText="1"/>
      <protection locked="0"/>
    </xf>
    <xf numFmtId="0" fontId="26" fillId="0" borderId="68" xfId="62" applyFont="1" applyFill="1" applyBorder="1" applyAlignment="1" applyProtection="1">
      <alignment horizontal="center" vertical="center" wrapText="1"/>
      <protection locked="0"/>
    </xf>
    <xf numFmtId="0" fontId="0" fillId="0" borderId="0" xfId="61" applyFill="1" applyAlignment="1" applyProtection="1">
      <alignment vertical="center" wrapText="1"/>
      <protection locked="0"/>
    </xf>
    <xf numFmtId="0" fontId="11" fillId="0" borderId="0" xfId="61" applyFont="1" applyFill="1" applyAlignment="1" applyProtection="1">
      <alignment horizontal="center" vertical="center"/>
      <protection locked="0"/>
    </xf>
    <xf numFmtId="0" fontId="0" fillId="0" borderId="0" xfId="61" applyFill="1" applyAlignment="1" applyProtection="1">
      <alignment vertical="center"/>
      <protection locked="0"/>
    </xf>
    <xf numFmtId="49" fontId="12" fillId="0" borderId="21" xfId="61" applyNumberFormat="1" applyFont="1" applyFill="1" applyBorder="1" applyAlignment="1" applyProtection="1">
      <alignment horizontal="center" vertical="center" wrapText="1"/>
      <protection locked="0"/>
    </xf>
    <xf numFmtId="49" fontId="12" fillId="0" borderId="28" xfId="61" applyNumberFormat="1" applyFont="1" applyFill="1" applyBorder="1" applyAlignment="1" applyProtection="1">
      <alignment horizontal="center" vertical="center"/>
      <protection locked="0"/>
    </xf>
    <xf numFmtId="49" fontId="12" fillId="0" borderId="68" xfId="61" applyNumberFormat="1" applyFont="1" applyFill="1" applyBorder="1" applyAlignment="1" applyProtection="1">
      <alignment horizontal="center" vertical="center"/>
      <protection locked="0"/>
    </xf>
    <xf numFmtId="0" fontId="47" fillId="0" borderId="18" xfId="0" applyFont="1" applyBorder="1" applyAlignment="1" applyProtection="1">
      <alignment horizontal="center" vertical="top" wrapText="1"/>
      <protection/>
    </xf>
    <xf numFmtId="0" fontId="47" fillId="0" borderId="17" xfId="0" applyFont="1" applyBorder="1" applyAlignment="1" applyProtection="1">
      <alignment horizontal="center" vertical="top" wrapText="1"/>
      <protection/>
    </xf>
    <xf numFmtId="0" fontId="47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  <xf numFmtId="0" fontId="43" fillId="0" borderId="22" xfId="0" applyFont="1" applyBorder="1" applyAlignment="1" applyProtection="1">
      <alignment horizontal="center" vertical="center" wrapText="1"/>
      <protection locked="0"/>
    </xf>
    <xf numFmtId="0" fontId="42" fillId="0" borderId="23" xfId="0" applyFont="1" applyBorder="1" applyAlignment="1" applyProtection="1">
      <alignment horizontal="center" vertical="center" wrapText="1"/>
      <protection locked="0"/>
    </xf>
    <xf numFmtId="0" fontId="42" fillId="0" borderId="26" xfId="0" applyFont="1" applyBorder="1" applyAlignment="1" applyProtection="1">
      <alignment horizontal="center" vertical="center" wrapText="1"/>
      <protection locked="0"/>
    </xf>
    <xf numFmtId="179" fontId="0" fillId="0" borderId="27" xfId="0" applyNumberFormat="1" applyFont="1" applyFill="1" applyBorder="1" applyAlignment="1" applyProtection="1">
      <alignment horizontal="right" vertical="center"/>
      <protection locked="0"/>
    </xf>
    <xf numFmtId="179" fontId="0" fillId="0" borderId="76" xfId="0" applyNumberFormat="1" applyFont="1" applyFill="1" applyBorder="1" applyAlignment="1" applyProtection="1">
      <alignment horizontal="right" vertical="center"/>
      <protection locked="0"/>
    </xf>
    <xf numFmtId="179" fontId="0" fillId="0" borderId="68" xfId="0" applyNumberFormat="1" applyFont="1" applyFill="1" applyBorder="1" applyAlignment="1" applyProtection="1">
      <alignment horizontal="right" vertical="center"/>
      <protection locked="0"/>
    </xf>
    <xf numFmtId="179" fontId="3" fillId="0" borderId="44" xfId="0" applyNumberFormat="1" applyFont="1" applyFill="1" applyBorder="1" applyAlignment="1" applyProtection="1">
      <alignment horizontal="right" vertical="center"/>
      <protection/>
    </xf>
    <xf numFmtId="0" fontId="97" fillId="0" borderId="0" xfId="0" applyFont="1" applyAlignment="1">
      <alignment/>
    </xf>
    <xf numFmtId="0" fontId="97" fillId="0" borderId="0" xfId="0" applyFont="1" applyAlignment="1">
      <alignment horizontal="justify" vertical="top" wrapText="1"/>
    </xf>
    <xf numFmtId="0" fontId="98" fillId="36" borderId="0" xfId="0" applyFont="1" applyFill="1" applyAlignment="1">
      <alignment horizontal="center" vertical="center"/>
    </xf>
    <xf numFmtId="0" fontId="98" fillId="36" borderId="0" xfId="0" applyFont="1" applyFill="1" applyAlignment="1">
      <alignment horizontal="center" vertical="top" wrapText="1"/>
    </xf>
    <xf numFmtId="0" fontId="48" fillId="0" borderId="0" xfId="0" applyFont="1" applyAlignment="1">
      <alignment/>
    </xf>
    <xf numFmtId="0" fontId="87" fillId="0" borderId="0" xfId="46" applyAlignment="1" applyProtection="1">
      <alignment/>
      <protection/>
    </xf>
    <xf numFmtId="0" fontId="0" fillId="0" borderId="0" xfId="0" applyAlignment="1">
      <alignment horizontal="right"/>
    </xf>
    <xf numFmtId="166" fontId="99" fillId="0" borderId="0" xfId="0" applyNumberFormat="1" applyFont="1" applyFill="1" applyAlignment="1" applyProtection="1">
      <alignment horizontal="right" vertical="center" wrapText="1" indent="1"/>
      <protection/>
    </xf>
    <xf numFmtId="166" fontId="100" fillId="0" borderId="0" xfId="60" applyNumberFormat="1" applyFont="1" applyFill="1" applyProtection="1">
      <alignment/>
      <protection/>
    </xf>
    <xf numFmtId="166" fontId="100" fillId="0" borderId="0" xfId="60" applyNumberFormat="1" applyFont="1" applyFill="1" applyAlignment="1" applyProtection="1">
      <alignment horizontal="right" vertical="center" indent="1"/>
      <protection/>
    </xf>
    <xf numFmtId="0" fontId="33" fillId="0" borderId="0" xfId="0" applyFont="1" applyAlignment="1" applyProtection="1">
      <alignment horizontal="right" vertical="top"/>
      <protection locked="0"/>
    </xf>
    <xf numFmtId="0" fontId="50" fillId="0" borderId="0" xfId="0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 applyProtection="1">
      <alignment horizontal="center" vertical="center" wrapText="1"/>
      <protection/>
    </xf>
    <xf numFmtId="0" fontId="15" fillId="0" borderId="67" xfId="0" applyFont="1" applyFill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2" fillId="0" borderId="42" xfId="0" applyFont="1" applyFill="1" applyBorder="1" applyAlignment="1">
      <alignment horizontal="center" vertical="center"/>
    </xf>
    <xf numFmtId="0" fontId="17" fillId="0" borderId="62" xfId="0" applyFont="1" applyFill="1" applyBorder="1" applyAlignment="1" applyProtection="1">
      <alignment horizontal="center" vertical="center" wrapText="1"/>
      <protection/>
    </xf>
    <xf numFmtId="0" fontId="17" fillId="0" borderId="42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/>
    </xf>
    <xf numFmtId="166" fontId="13" fillId="0" borderId="75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66" fontId="13" fillId="0" borderId="76" xfId="0" applyNumberFormat="1" applyFont="1" applyFill="1" applyBorder="1" applyAlignment="1" applyProtection="1">
      <alignment vertical="center" wrapText="1"/>
      <protection locked="0"/>
    </xf>
    <xf numFmtId="0" fontId="0" fillId="37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9" fontId="3" fillId="0" borderId="75" xfId="0" applyNumberFormat="1" applyFont="1" applyFill="1" applyBorder="1" applyAlignment="1" applyProtection="1">
      <alignment horizontal="right" vertical="center"/>
      <protection locked="0"/>
    </xf>
    <xf numFmtId="166" fontId="11" fillId="0" borderId="13" xfId="0" applyNumberFormat="1" applyFont="1" applyFill="1" applyBorder="1" applyAlignment="1" applyProtection="1">
      <alignment vertical="center" wrapText="1"/>
      <protection locked="0"/>
    </xf>
    <xf numFmtId="166" fontId="11" fillId="0" borderId="44" xfId="0" applyNumberFormat="1" applyFont="1" applyFill="1" applyBorder="1" applyAlignment="1" applyProtection="1">
      <alignment vertical="center" wrapText="1"/>
      <protection locked="0"/>
    </xf>
    <xf numFmtId="166" fontId="11" fillId="0" borderId="27" xfId="0" applyNumberFormat="1" applyFont="1" applyFill="1" applyBorder="1" applyAlignment="1" applyProtection="1">
      <alignment vertical="center" wrapText="1"/>
      <protection locked="0"/>
    </xf>
    <xf numFmtId="166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28" xfId="0" applyNumberFormat="1" applyFont="1" applyFill="1" applyBorder="1" applyAlignment="1" applyProtection="1">
      <alignment vertical="center" wrapText="1"/>
      <protection locked="0"/>
    </xf>
    <xf numFmtId="49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8" xfId="0" applyNumberFormat="1" applyFont="1" applyFill="1" applyBorder="1" applyAlignment="1" applyProtection="1">
      <alignment vertical="center" wrapText="1"/>
      <protection locked="0"/>
    </xf>
    <xf numFmtId="166" fontId="11" fillId="0" borderId="68" xfId="0" applyNumberFormat="1" applyFont="1" applyFill="1" applyBorder="1" applyAlignment="1" applyProtection="1">
      <alignment vertical="center" wrapText="1"/>
      <protection locked="0"/>
    </xf>
    <xf numFmtId="166" fontId="1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3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6" fontId="3" fillId="0" borderId="40" xfId="0" applyNumberFormat="1" applyFont="1" applyFill="1" applyBorder="1" applyAlignment="1" applyProtection="1">
      <alignment vertical="center" wrapText="1"/>
      <protection/>
    </xf>
    <xf numFmtId="166" fontId="0" fillId="0" borderId="11" xfId="0" applyNumberFormat="1" applyFont="1" applyFill="1" applyBorder="1" applyAlignment="1" applyProtection="1">
      <alignment vertical="center" wrapText="1"/>
      <protection locked="0"/>
    </xf>
    <xf numFmtId="166" fontId="0" fillId="0" borderId="38" xfId="0" applyNumberFormat="1" applyFont="1" applyFill="1" applyBorder="1" applyAlignment="1" applyProtection="1">
      <alignment vertical="center" wrapText="1"/>
      <protection locked="0"/>
    </xf>
    <xf numFmtId="166" fontId="0" fillId="0" borderId="40" xfId="0" applyNumberFormat="1" applyFont="1" applyFill="1" applyBorder="1" applyAlignment="1" applyProtection="1">
      <alignment vertical="center" wrapText="1"/>
      <protection/>
    </xf>
    <xf numFmtId="166" fontId="0" fillId="0" borderId="11" xfId="0" applyNumberFormat="1" applyFont="1" applyFill="1" applyBorder="1" applyAlignment="1" applyProtection="1">
      <alignment vertical="center" wrapText="1"/>
      <protection/>
    </xf>
    <xf numFmtId="166" fontId="0" fillId="0" borderId="38" xfId="0" applyNumberFormat="1" applyFont="1" applyFill="1" applyBorder="1" applyAlignment="1" applyProtection="1">
      <alignment vertical="center" wrapText="1"/>
      <protection/>
    </xf>
    <xf numFmtId="166" fontId="3" fillId="0" borderId="10" xfId="0" applyNumberFormat="1" applyFont="1" applyFill="1" applyBorder="1" applyAlignment="1" applyProtection="1">
      <alignment vertical="center" wrapText="1"/>
      <protection/>
    </xf>
    <xf numFmtId="166" fontId="3" fillId="0" borderId="42" xfId="0" applyNumberFormat="1" applyFont="1" applyFill="1" applyBorder="1" applyAlignment="1" applyProtection="1">
      <alignment vertical="center" wrapText="1"/>
      <protection/>
    </xf>
    <xf numFmtId="166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11" xfId="0" applyNumberFormat="1" applyFont="1" applyFill="1" applyBorder="1" applyAlignment="1" applyProtection="1">
      <alignment vertical="center" wrapText="1"/>
      <protection/>
    </xf>
    <xf numFmtId="166" fontId="6" fillId="0" borderId="38" xfId="0" applyNumberFormat="1" applyFont="1" applyFill="1" applyBorder="1" applyAlignment="1" applyProtection="1">
      <alignment vertical="center" wrapText="1"/>
      <protection/>
    </xf>
    <xf numFmtId="166" fontId="6" fillId="0" borderId="40" xfId="0" applyNumberFormat="1" applyFont="1" applyFill="1" applyBorder="1" applyAlignment="1" applyProtection="1">
      <alignment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166" fontId="6" fillId="0" borderId="23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80" xfId="0" applyFont="1" applyFill="1" applyBorder="1" applyAlignment="1">
      <alignment/>
    </xf>
    <xf numFmtId="0" fontId="25" fillId="0" borderId="81" xfId="0" applyFont="1" applyFill="1" applyBorder="1" applyAlignment="1" applyProtection="1">
      <alignment horizontal="left" vertical="center" wrapText="1"/>
      <protection locked="0"/>
    </xf>
    <xf numFmtId="0" fontId="25" fillId="0" borderId="82" xfId="0" applyFont="1" applyFill="1" applyBorder="1" applyAlignment="1" applyProtection="1">
      <alignment horizontal="left" vertical="center" wrapText="1"/>
      <protection locked="0"/>
    </xf>
    <xf numFmtId="0" fontId="25" fillId="0" borderId="83" xfId="0" applyFont="1" applyFill="1" applyBorder="1" applyAlignment="1" applyProtection="1">
      <alignment horizontal="left" vertical="center" wrapText="1"/>
      <protection locked="0"/>
    </xf>
    <xf numFmtId="166" fontId="25" fillId="0" borderId="8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85" xfId="0" applyFont="1" applyFill="1" applyBorder="1" applyAlignment="1">
      <alignment/>
    </xf>
    <xf numFmtId="0" fontId="25" fillId="0" borderId="86" xfId="0" applyFont="1" applyFill="1" applyBorder="1" applyAlignment="1" applyProtection="1">
      <alignment horizontal="left" vertical="center" wrapText="1"/>
      <protection locked="0"/>
    </xf>
    <xf numFmtId="0" fontId="25" fillId="0" borderId="43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vertical="center"/>
      <protection/>
    </xf>
    <xf numFmtId="0" fontId="34" fillId="0" borderId="62" xfId="0" applyFont="1" applyFill="1" applyBorder="1" applyAlignment="1" applyProtection="1">
      <alignment vertical="center" wrapText="1"/>
      <protection/>
    </xf>
    <xf numFmtId="166" fontId="34" fillId="0" borderId="42" xfId="0" applyNumberFormat="1" applyFont="1" applyFill="1" applyBorder="1" applyAlignment="1" applyProtection="1">
      <alignment vertical="center" wrapText="1"/>
      <protection/>
    </xf>
    <xf numFmtId="166" fontId="34" fillId="0" borderId="33" xfId="0" applyNumberFormat="1" applyFont="1" applyFill="1" applyBorder="1" applyAlignment="1" applyProtection="1">
      <alignment horizontal="right" vertical="center" wrapText="1"/>
      <protection/>
    </xf>
    <xf numFmtId="0" fontId="11" fillId="0" borderId="13" xfId="0" applyFont="1" applyFill="1" applyBorder="1" applyAlignment="1" applyProtection="1">
      <alignment horizontal="left" vertical="center" indent="1"/>
      <protection locked="0"/>
    </xf>
    <xf numFmtId="0" fontId="11" fillId="0" borderId="11" xfId="0" applyFont="1" applyFill="1" applyBorder="1" applyAlignment="1" applyProtection="1">
      <alignment horizontal="left" vertical="center" indent="1"/>
      <protection locked="0"/>
    </xf>
    <xf numFmtId="3" fontId="0" fillId="0" borderId="70" xfId="0" applyNumberFormat="1" applyFont="1" applyFill="1" applyBorder="1" applyAlignment="1" applyProtection="1">
      <alignment horizontal="right" vertical="center"/>
      <protection locked="0"/>
    </xf>
    <xf numFmtId="3" fontId="0" fillId="0" borderId="44" xfId="0" applyNumberFormat="1" applyFont="1" applyFill="1" applyBorder="1" applyAlignment="1" applyProtection="1">
      <alignment horizontal="right" vertical="center"/>
      <protection locked="0"/>
    </xf>
    <xf numFmtId="3" fontId="0" fillId="0" borderId="38" xfId="0" applyNumberFormat="1" applyFont="1" applyFill="1" applyBorder="1" applyAlignment="1" applyProtection="1">
      <alignment horizontal="right" vertical="center"/>
      <protection locked="0"/>
    </xf>
    <xf numFmtId="3" fontId="0" fillId="0" borderId="27" xfId="0" applyNumberFormat="1" applyFont="1" applyFill="1" applyBorder="1" applyAlignment="1" applyProtection="1">
      <alignment horizontal="right" vertical="center"/>
      <protection locked="0"/>
    </xf>
    <xf numFmtId="166" fontId="3" fillId="0" borderId="23" xfId="0" applyNumberFormat="1" applyFont="1" applyFill="1" applyBorder="1" applyAlignment="1">
      <alignment vertical="center" wrapText="1"/>
    </xf>
    <xf numFmtId="166" fontId="3" fillId="0" borderId="26" xfId="0" applyNumberFormat="1" applyFont="1" applyFill="1" applyBorder="1" applyAlignment="1">
      <alignment vertical="center" wrapText="1"/>
    </xf>
    <xf numFmtId="177" fontId="17" fillId="0" borderId="13" xfId="62" applyNumberFormat="1" applyFont="1" applyFill="1" applyBorder="1" applyAlignment="1" applyProtection="1">
      <alignment horizontal="right" vertical="center" wrapText="1"/>
      <protection locked="0"/>
    </xf>
    <xf numFmtId="177" fontId="17" fillId="0" borderId="11" xfId="62" applyNumberFormat="1" applyFont="1" applyFill="1" applyBorder="1" applyAlignment="1" applyProtection="1">
      <alignment horizontal="right" vertical="center" wrapText="1"/>
      <protection/>
    </xf>
    <xf numFmtId="177" fontId="26" fillId="0" borderId="11" xfId="62" applyNumberFormat="1" applyFont="1" applyFill="1" applyBorder="1" applyAlignment="1" applyProtection="1">
      <alignment horizontal="right" vertical="center" wrapText="1"/>
      <protection locked="0"/>
    </xf>
    <xf numFmtId="177" fontId="16" fillId="0" borderId="11" xfId="62" applyNumberFormat="1" applyFont="1" applyFill="1" applyBorder="1" applyAlignment="1" applyProtection="1">
      <alignment horizontal="right" vertical="center" wrapText="1"/>
      <protection locked="0"/>
    </xf>
    <xf numFmtId="177" fontId="16" fillId="0" borderId="11" xfId="62" applyNumberFormat="1" applyFont="1" applyFill="1" applyBorder="1" applyAlignment="1" applyProtection="1">
      <alignment horizontal="right" vertical="center" wrapText="1"/>
      <protection/>
    </xf>
    <xf numFmtId="177" fontId="17" fillId="0" borderId="28" xfId="62" applyNumberFormat="1" applyFont="1" applyFill="1" applyBorder="1" applyAlignment="1" applyProtection="1">
      <alignment horizontal="right" vertical="center" wrapText="1"/>
      <protection/>
    </xf>
    <xf numFmtId="178" fontId="11" fillId="0" borderId="75" xfId="61" applyNumberFormat="1" applyFont="1" applyFill="1" applyBorder="1" applyAlignment="1" applyProtection="1">
      <alignment vertical="center"/>
      <protection locked="0"/>
    </xf>
    <xf numFmtId="178" fontId="11" fillId="0" borderId="27" xfId="61" applyNumberFormat="1" applyFont="1" applyFill="1" applyBorder="1" applyAlignment="1" applyProtection="1">
      <alignment vertical="center"/>
      <protection locked="0"/>
    </xf>
    <xf numFmtId="178" fontId="6" fillId="0" borderId="27" xfId="61" applyNumberFormat="1" applyFont="1" applyFill="1" applyBorder="1" applyAlignment="1" applyProtection="1">
      <alignment vertical="center"/>
      <protection/>
    </xf>
    <xf numFmtId="178" fontId="6" fillId="0" borderId="27" xfId="61" applyNumberFormat="1" applyFont="1" applyFill="1" applyBorder="1" applyAlignment="1" applyProtection="1">
      <alignment vertical="center"/>
      <protection locked="0"/>
    </xf>
    <xf numFmtId="178" fontId="6" fillId="0" borderId="68" xfId="61" applyNumberFormat="1" applyFont="1" applyFill="1" applyBorder="1" applyAlignment="1" applyProtection="1">
      <alignment vertical="center"/>
      <protection/>
    </xf>
    <xf numFmtId="0" fontId="101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horizontal="center"/>
      <protection locked="0"/>
    </xf>
    <xf numFmtId="0" fontId="19" fillId="3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6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1" xfId="60" applyFont="1" applyFill="1" applyBorder="1" applyAlignment="1" applyProtection="1">
      <alignment horizontal="center" vertical="center" wrapText="1"/>
      <protection/>
    </xf>
    <xf numFmtId="0" fontId="6" fillId="0" borderId="87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6" fontId="5" fillId="0" borderId="0" xfId="60" applyNumberFormat="1" applyFont="1" applyFill="1" applyBorder="1" applyAlignment="1" applyProtection="1">
      <alignment horizontal="center" vertical="center"/>
      <protection locked="0"/>
    </xf>
    <xf numFmtId="166" fontId="5" fillId="0" borderId="0" xfId="60" applyNumberFormat="1" applyFont="1" applyFill="1" applyBorder="1" applyAlignment="1" applyProtection="1">
      <alignment horizontal="center" vertical="center"/>
      <protection/>
    </xf>
    <xf numFmtId="166" fontId="20" fillId="0" borderId="30" xfId="60" applyNumberFormat="1" applyFont="1" applyFill="1" applyBorder="1" applyAlignment="1" applyProtection="1">
      <alignment horizontal="left" vertical="center"/>
      <protection locked="0"/>
    </xf>
    <xf numFmtId="166" fontId="20" fillId="0" borderId="30" xfId="60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 locked="0"/>
    </xf>
    <xf numFmtId="166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6" fontId="102" fillId="0" borderId="63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166" fontId="5" fillId="0" borderId="0" xfId="0" applyNumberFormat="1" applyFont="1" applyFill="1" applyAlignment="1" applyProtection="1">
      <alignment horizontal="left" vertical="center" wrapText="1"/>
      <protection locked="0"/>
    </xf>
    <xf numFmtId="166" fontId="12" fillId="0" borderId="42" xfId="0" applyNumberFormat="1" applyFont="1" applyFill="1" applyBorder="1" applyAlignment="1">
      <alignment horizontal="center" vertical="center"/>
    </xf>
    <xf numFmtId="166" fontId="12" fillId="0" borderId="4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166" fontId="0" fillId="0" borderId="57" xfId="0" applyNumberFormat="1" applyFill="1" applyBorder="1" applyAlignment="1" applyProtection="1">
      <alignment horizontal="left" vertical="center" wrapText="1"/>
      <protection locked="0"/>
    </xf>
    <xf numFmtId="166" fontId="0" fillId="0" borderId="71" xfId="0" applyNumberFormat="1" applyFill="1" applyBorder="1" applyAlignment="1" applyProtection="1">
      <alignment horizontal="left" vertical="center" wrapText="1"/>
      <protection locked="0"/>
    </xf>
    <xf numFmtId="166" fontId="6" fillId="0" borderId="42" xfId="0" applyNumberFormat="1" applyFont="1" applyFill="1" applyBorder="1" applyAlignment="1">
      <alignment horizontal="center" vertical="center" wrapText="1"/>
    </xf>
    <xf numFmtId="175" fontId="26" fillId="0" borderId="63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30" xfId="0" applyNumberFormat="1" applyFont="1" applyFill="1" applyBorder="1" applyAlignment="1">
      <alignment horizontal="right" vertical="center"/>
    </xf>
    <xf numFmtId="17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textRotation="180"/>
    </xf>
    <xf numFmtId="166" fontId="4" fillId="0" borderId="30" xfId="0" applyNumberFormat="1" applyFont="1" applyFill="1" applyBorder="1" applyAlignment="1" applyProtection="1">
      <alignment horizontal="right" vertical="center"/>
      <protection locked="0"/>
    </xf>
    <xf numFmtId="166" fontId="6" fillId="0" borderId="79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6" fillId="0" borderId="55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 wrapText="1"/>
    </xf>
    <xf numFmtId="166" fontId="6" fillId="0" borderId="67" xfId="0" applyNumberFormat="1" applyFont="1" applyFill="1" applyBorder="1" applyAlignment="1">
      <alignment horizontal="center" vertical="center" wrapText="1"/>
    </xf>
    <xf numFmtId="166" fontId="6" fillId="0" borderId="43" xfId="0" applyNumberFormat="1" applyFont="1" applyFill="1" applyBorder="1" applyAlignment="1">
      <alignment horizontal="center" vertical="center" wrapText="1"/>
    </xf>
    <xf numFmtId="166" fontId="3" fillId="0" borderId="62" xfId="0" applyNumberFormat="1" applyFont="1" applyFill="1" applyBorder="1" applyAlignment="1">
      <alignment horizontal="left" vertical="center" wrapText="1" indent="2"/>
    </xf>
    <xf numFmtId="166" fontId="3" fillId="0" borderId="65" xfId="0" applyNumberFormat="1" applyFont="1" applyFill="1" applyBorder="1" applyAlignment="1">
      <alignment horizontal="left" vertical="center" wrapText="1" indent="2"/>
    </xf>
    <xf numFmtId="166" fontId="0" fillId="0" borderId="88" xfId="0" applyNumberFormat="1" applyFill="1" applyBorder="1" applyAlignment="1" applyProtection="1">
      <alignment horizontal="left" vertical="center" wrapText="1"/>
      <protection locked="0"/>
    </xf>
    <xf numFmtId="166" fontId="0" fillId="0" borderId="89" xfId="0" applyNumberFormat="1" applyFill="1" applyBorder="1" applyAlignment="1" applyProtection="1">
      <alignment horizontal="left" vertical="center" wrapText="1"/>
      <protection locked="0"/>
    </xf>
    <xf numFmtId="166" fontId="0" fillId="0" borderId="0" xfId="0" applyNumberFormat="1" applyFill="1" applyAlignment="1" applyProtection="1">
      <alignment horizontal="left" vertical="center" wrapText="1"/>
      <protection locked="0"/>
    </xf>
    <xf numFmtId="166" fontId="3" fillId="0" borderId="62" xfId="0" applyNumberFormat="1" applyFont="1" applyFill="1" applyBorder="1" applyAlignment="1">
      <alignment horizontal="center" vertical="center" wrapText="1"/>
    </xf>
    <xf numFmtId="166" fontId="3" fillId="0" borderId="65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33" fillId="0" borderId="30" xfId="0" applyFont="1" applyBorder="1" applyAlignment="1" applyProtection="1">
      <alignment horizontal="right" vertical="top"/>
      <protection locked="0"/>
    </xf>
    <xf numFmtId="0" fontId="1" fillId="0" borderId="30" xfId="0" applyFont="1" applyBorder="1" applyAlignment="1" applyProtection="1">
      <alignment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166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6" fillId="0" borderId="62" xfId="0" applyFont="1" applyFill="1" applyBorder="1" applyAlignment="1" applyProtection="1">
      <alignment horizontal="left" vertical="center" wrapText="1" inden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4" fillId="0" borderId="30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>
      <alignment/>
    </xf>
    <xf numFmtId="0" fontId="6" fillId="0" borderId="13" xfId="60" applyFont="1" applyFill="1" applyBorder="1" applyAlignment="1" applyProtection="1">
      <alignment horizontal="center" vertical="center" wrapText="1"/>
      <protection locked="0"/>
    </xf>
    <xf numFmtId="0" fontId="6" fillId="0" borderId="28" xfId="60" applyFont="1" applyFill="1" applyBorder="1" applyAlignment="1" applyProtection="1">
      <alignment horizontal="center" vertical="center" wrapText="1"/>
      <protection locked="0"/>
    </xf>
    <xf numFmtId="0" fontId="6" fillId="0" borderId="25" xfId="60" applyFont="1" applyFill="1" applyBorder="1" applyAlignment="1" applyProtection="1">
      <alignment horizontal="center" vertical="center" wrapText="1"/>
      <protection locked="0"/>
    </xf>
    <xf numFmtId="0" fontId="6" fillId="0" borderId="31" xfId="60" applyFont="1" applyFill="1" applyBorder="1" applyAlignment="1" applyProtection="1">
      <alignment horizontal="center" vertical="center" wrapText="1"/>
      <protection locked="0"/>
    </xf>
    <xf numFmtId="166" fontId="6" fillId="0" borderId="13" xfId="60" applyNumberFormat="1" applyFont="1" applyFill="1" applyBorder="1" applyAlignment="1" applyProtection="1">
      <alignment horizontal="center" vertical="center"/>
      <protection locked="0"/>
    </xf>
    <xf numFmtId="166" fontId="6" fillId="0" borderId="44" xfId="60" applyNumberFormat="1" applyFont="1" applyFill="1" applyBorder="1" applyAlignment="1" applyProtection="1">
      <alignment horizontal="center" vertical="center"/>
      <protection locked="0"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166" fontId="6" fillId="0" borderId="13" xfId="60" applyNumberFormat="1" applyFont="1" applyFill="1" applyBorder="1" applyAlignment="1" applyProtection="1">
      <alignment horizontal="center" vertical="center"/>
      <protection/>
    </xf>
    <xf numFmtId="166" fontId="6" fillId="0" borderId="44" xfId="60" applyNumberFormat="1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center" vertical="center" wrapText="1"/>
      <protection locked="0"/>
    </xf>
    <xf numFmtId="0" fontId="6" fillId="0" borderId="21" xfId="6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/>
    </xf>
    <xf numFmtId="166" fontId="6" fillId="0" borderId="37" xfId="0" applyNumberFormat="1" applyFont="1" applyFill="1" applyBorder="1" applyAlignment="1" applyProtection="1">
      <alignment horizontal="center" vertical="center" wrapText="1"/>
      <protection/>
    </xf>
    <xf numFmtId="166" fontId="6" fillId="0" borderId="25" xfId="0" applyNumberFormat="1" applyFont="1" applyFill="1" applyBorder="1" applyAlignment="1" applyProtection="1">
      <alignment horizontal="center" vertical="center" wrapText="1"/>
      <protection/>
    </xf>
    <xf numFmtId="166" fontId="6" fillId="0" borderId="31" xfId="0" applyNumberFormat="1" applyFont="1" applyFill="1" applyBorder="1" applyAlignment="1" applyProtection="1">
      <alignment horizontal="center" vertical="center"/>
      <protection/>
    </xf>
    <xf numFmtId="166" fontId="6" fillId="0" borderId="31" xfId="0" applyNumberFormat="1" applyFont="1" applyFill="1" applyBorder="1" applyAlignment="1" applyProtection="1">
      <alignment horizontal="center" vertical="center" wrapText="1"/>
      <protection/>
    </xf>
    <xf numFmtId="166" fontId="6" fillId="0" borderId="67" xfId="0" applyNumberFormat="1" applyFont="1" applyFill="1" applyBorder="1" applyAlignment="1" applyProtection="1">
      <alignment horizontal="center" vertical="center" wrapText="1"/>
      <protection/>
    </xf>
    <xf numFmtId="166" fontId="6" fillId="0" borderId="56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67" xfId="0" applyNumberFormat="1" applyFont="1" applyFill="1" applyBorder="1" applyAlignment="1" applyProtection="1">
      <alignment horizontal="center" vertical="center"/>
      <protection locked="0"/>
    </xf>
    <xf numFmtId="166" fontId="6" fillId="0" borderId="56" xfId="0" applyNumberFormat="1" applyFont="1" applyFill="1" applyBorder="1" applyAlignment="1" applyProtection="1">
      <alignment horizontal="center" vertical="center"/>
      <protection locked="0"/>
    </xf>
    <xf numFmtId="166" fontId="6" fillId="0" borderId="7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8" xfId="0" applyFont="1" applyFill="1" applyBorder="1" applyAlignment="1" applyProtection="1">
      <alignment horizontal="center" vertical="center" wrapText="1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6" fillId="0" borderId="79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 applyProtection="1">
      <alignment horizontal="left" vertical="center"/>
      <protection/>
    </xf>
    <xf numFmtId="0" fontId="12" fillId="0" borderId="32" xfId="0" applyFont="1" applyFill="1" applyBorder="1" applyAlignment="1" applyProtection="1">
      <alignment horizontal="left" vertical="center"/>
      <protection/>
    </xf>
    <xf numFmtId="0" fontId="6" fillId="0" borderId="79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6" fillId="0" borderId="46" xfId="0" applyFont="1" applyFill="1" applyBorder="1" applyAlignment="1" applyProtection="1">
      <alignment horizontal="left" vertical="center" wrapText="1"/>
      <protection/>
    </xf>
    <xf numFmtId="0" fontId="3" fillId="0" borderId="6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right"/>
      <protection locked="0"/>
    </xf>
    <xf numFmtId="0" fontId="6" fillId="0" borderId="79" xfId="0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65" xfId="0" applyFont="1" applyFill="1" applyBorder="1" applyAlignment="1" applyProtection="1">
      <alignment horizontal="center"/>
      <protection locked="0"/>
    </xf>
    <xf numFmtId="0" fontId="13" fillId="0" borderId="63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62" xfId="0" applyFont="1" applyFill="1" applyBorder="1" applyAlignment="1">
      <alignment horizontal="left" vertical="center" indent="2"/>
    </xf>
    <xf numFmtId="0" fontId="6" fillId="0" borderId="32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36" fillId="0" borderId="13" xfId="62" applyFont="1" applyFill="1" applyBorder="1" applyAlignment="1" applyProtection="1">
      <alignment horizontal="center" vertical="center" wrapText="1"/>
      <protection locked="0"/>
    </xf>
    <xf numFmtId="0" fontId="36" fillId="0" borderId="11" xfId="62" applyFont="1" applyFill="1" applyBorder="1" applyAlignment="1" applyProtection="1">
      <alignment horizontal="center" vertical="center" wrapText="1"/>
      <protection locked="0"/>
    </xf>
    <xf numFmtId="0" fontId="36" fillId="0" borderId="78" xfId="62" applyFont="1" applyFill="1" applyBorder="1" applyAlignment="1" applyProtection="1">
      <alignment horizontal="center" vertical="center" wrapText="1"/>
      <protection locked="0"/>
    </xf>
    <xf numFmtId="0" fontId="36" fillId="0" borderId="75" xfId="62" applyFont="1" applyFill="1" applyBorder="1" applyAlignment="1" applyProtection="1">
      <alignment horizontal="center" vertical="center" wrapText="1"/>
      <protection locked="0"/>
    </xf>
    <xf numFmtId="0" fontId="36" fillId="0" borderId="11" xfId="62" applyFont="1" applyFill="1" applyBorder="1" applyAlignment="1" applyProtection="1">
      <alignment horizontal="center" wrapText="1"/>
      <protection locked="0"/>
    </xf>
    <xf numFmtId="0" fontId="36" fillId="0" borderId="27" xfId="62" applyFont="1" applyFill="1" applyBorder="1" applyAlignment="1" applyProtection="1">
      <alignment horizontal="center" wrapText="1"/>
      <protection locked="0"/>
    </xf>
    <xf numFmtId="0" fontId="25" fillId="0" borderId="0" xfId="62" applyFont="1" applyFill="1" applyAlignment="1" applyProtection="1">
      <alignment horizontal="left"/>
      <protection/>
    </xf>
    <xf numFmtId="0" fontId="33" fillId="0" borderId="0" xfId="62" applyFont="1" applyFill="1" applyAlignment="1" applyProtection="1">
      <alignment horizontal="right"/>
      <protection locked="0"/>
    </xf>
    <xf numFmtId="0" fontId="34" fillId="0" borderId="0" xfId="62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4" fillId="0" borderId="0" xfId="62" applyFont="1" applyFill="1" applyAlignment="1" applyProtection="1">
      <alignment horizontal="center" vertical="center" wrapText="1"/>
      <protection locked="0"/>
    </xf>
    <xf numFmtId="0" fontId="34" fillId="0" borderId="0" xfId="62" applyFont="1" applyFill="1" applyAlignment="1" applyProtection="1">
      <alignment horizontal="center" vertical="center"/>
      <protection locked="0"/>
    </xf>
    <xf numFmtId="0" fontId="36" fillId="0" borderId="0" xfId="62" applyFont="1" applyFill="1" applyBorder="1" applyAlignment="1" applyProtection="1">
      <alignment horizontal="right"/>
      <protection locked="0"/>
    </xf>
    <xf numFmtId="0" fontId="37" fillId="0" borderId="24" xfId="62" applyFont="1" applyFill="1" applyBorder="1" applyAlignment="1" applyProtection="1">
      <alignment horizontal="center" vertical="center" wrapText="1"/>
      <protection locked="0"/>
    </xf>
    <xf numFmtId="0" fontId="37" fillId="0" borderId="16" xfId="62" applyFont="1" applyFill="1" applyBorder="1" applyAlignment="1" applyProtection="1">
      <alignment horizontal="center" vertical="center" wrapText="1"/>
      <protection locked="0"/>
    </xf>
    <xf numFmtId="0" fontId="37" fillId="0" borderId="18" xfId="62" applyFont="1" applyFill="1" applyBorder="1" applyAlignment="1" applyProtection="1">
      <alignment horizontal="center" vertical="center" wrapText="1"/>
      <protection locked="0"/>
    </xf>
    <xf numFmtId="0" fontId="20" fillId="0" borderId="25" xfId="61" applyFont="1" applyFill="1" applyBorder="1" applyAlignment="1" applyProtection="1">
      <alignment horizontal="center" vertical="center" textRotation="90"/>
      <protection locked="0"/>
    </xf>
    <xf numFmtId="0" fontId="20" fillId="0" borderId="10" xfId="61" applyFont="1" applyFill="1" applyBorder="1" applyAlignment="1" applyProtection="1">
      <alignment horizontal="center" vertical="center" textRotation="90"/>
      <protection locked="0"/>
    </xf>
    <xf numFmtId="0" fontId="20" fillId="0" borderId="12" xfId="61" applyFont="1" applyFill="1" applyBorder="1" applyAlignment="1" applyProtection="1">
      <alignment horizontal="center" vertical="center" textRotation="90"/>
      <protection locked="0"/>
    </xf>
    <xf numFmtId="0" fontId="25" fillId="0" borderId="0" xfId="62" applyFont="1" applyFill="1" applyAlignment="1" applyProtection="1">
      <alignment horizontal="center"/>
      <protection/>
    </xf>
    <xf numFmtId="0" fontId="8" fillId="0" borderId="0" xfId="61" applyFont="1" applyFill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horizontal="right" vertical="center" wrapText="1"/>
      <protection locked="0"/>
    </xf>
    <xf numFmtId="0" fontId="5" fillId="0" borderId="0" xfId="61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1" applyFont="1" applyFill="1" applyAlignment="1" applyProtection="1">
      <alignment horizontal="center" vertical="center" wrapText="1"/>
      <protection locked="0"/>
    </xf>
    <xf numFmtId="0" fontId="20" fillId="0" borderId="0" xfId="61" applyFont="1" applyFill="1" applyBorder="1" applyAlignment="1" applyProtection="1">
      <alignment horizontal="right" vertical="center"/>
      <protection locked="0"/>
    </xf>
    <xf numFmtId="0" fontId="5" fillId="0" borderId="20" xfId="61" applyFont="1" applyFill="1" applyBorder="1" applyAlignment="1" applyProtection="1">
      <alignment horizontal="center" vertical="center" wrapText="1"/>
      <protection locked="0"/>
    </xf>
    <xf numFmtId="0" fontId="5" fillId="0" borderId="17" xfId="61" applyFont="1" applyFill="1" applyBorder="1" applyAlignment="1" applyProtection="1">
      <alignment horizontal="center" vertical="center" wrapText="1"/>
      <protection locked="0"/>
    </xf>
    <xf numFmtId="0" fontId="20" fillId="0" borderId="13" xfId="61" applyFont="1" applyFill="1" applyBorder="1" applyAlignment="1" applyProtection="1">
      <alignment horizontal="center" vertical="center" textRotation="90"/>
      <protection locked="0"/>
    </xf>
    <xf numFmtId="0" fontId="20" fillId="0" borderId="11" xfId="61" applyFont="1" applyFill="1" applyBorder="1" applyAlignment="1" applyProtection="1">
      <alignment horizontal="center" vertical="center" textRotation="90"/>
      <protection locked="0"/>
    </xf>
    <xf numFmtId="0" fontId="4" fillId="0" borderId="44" xfId="61" applyFont="1" applyFill="1" applyBorder="1" applyAlignment="1" applyProtection="1">
      <alignment horizontal="center" vertical="center" wrapText="1"/>
      <protection locked="0"/>
    </xf>
    <xf numFmtId="0" fontId="4" fillId="0" borderId="27" xfId="6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textRotation="180"/>
      <protection locked="0"/>
    </xf>
    <xf numFmtId="0" fontId="42" fillId="0" borderId="22" xfId="0" applyFont="1" applyBorder="1" applyAlignment="1" applyProtection="1">
      <alignment wrapText="1"/>
      <protection/>
    </xf>
    <xf numFmtId="0" fontId="42" fillId="0" borderId="23" xfId="0" applyFont="1" applyBorder="1" applyAlignment="1" applyProtection="1">
      <alignment wrapText="1"/>
      <protection/>
    </xf>
    <xf numFmtId="0" fontId="42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zoomScale="120" zoomScaleNormal="120" zoomScalePageLayoutView="0" workbookViewId="0" topLeftCell="A10">
      <selection activeCell="A19" sqref="A19:IV19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2" spans="1:3" ht="18.75">
      <c r="A2" s="748" t="s">
        <v>783</v>
      </c>
      <c r="B2" s="748"/>
      <c r="C2" s="748"/>
    </row>
    <row r="3" spans="1:3" ht="15">
      <c r="A3" s="649"/>
      <c r="B3" s="650"/>
      <c r="C3" s="649"/>
    </row>
    <row r="4" spans="1:3" ht="14.25">
      <c r="A4" s="651" t="s">
        <v>784</v>
      </c>
      <c r="B4" s="652" t="s">
        <v>785</v>
      </c>
      <c r="C4" s="651" t="s">
        <v>786</v>
      </c>
    </row>
    <row r="5" spans="1:3" ht="12.75">
      <c r="A5" s="653"/>
      <c r="B5" s="653"/>
      <c r="C5" s="653"/>
    </row>
    <row r="6" spans="1:3" ht="18.75">
      <c r="A6" s="749" t="s">
        <v>818</v>
      </c>
      <c r="B6" s="749"/>
      <c r="C6" s="749"/>
    </row>
    <row r="7" spans="1:3" ht="12.75">
      <c r="A7" s="653" t="s">
        <v>787</v>
      </c>
      <c r="B7" s="653" t="s">
        <v>788</v>
      </c>
      <c r="C7" s="654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653" t="s">
        <v>789</v>
      </c>
      <c r="B8" s="653" t="s">
        <v>827</v>
      </c>
      <c r="C8" s="654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653" t="s">
        <v>790</v>
      </c>
      <c r="B9" s="653" t="str">
        <f>CONCATENATE(LOWER('Z_1.1.sz.mell.'!A3))</f>
        <v>2018. évi zárszámadásának pénzügyi mérlege</v>
      </c>
      <c r="C9" s="654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653" t="s">
        <v>791</v>
      </c>
      <c r="B10" s="653" t="str">
        <f>'Z_1.2.sz.mell.'!A3</f>
        <v>2018. ÉVI ZÁRSZÁMADSÁS</v>
      </c>
      <c r="C10" s="654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ht="12.75">
      <c r="A11" s="653" t="s">
        <v>792</v>
      </c>
      <c r="B11" s="653" t="str">
        <f>'Z_1.3.sz.mell.'!A3</f>
        <v>2018. ÉVI ZÁRSZÁMADSÁS</v>
      </c>
      <c r="C11" s="654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ht="12.75">
      <c r="A12" s="653" t="s">
        <v>793</v>
      </c>
      <c r="B12" s="653" t="str">
        <f>'Z_1.4.sz.mell.'!A3</f>
        <v>2018. ÉVI ZÁRSZÁMADSÁS</v>
      </c>
      <c r="C12" s="654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ht="12.75">
      <c r="A13" s="653" t="s">
        <v>524</v>
      </c>
      <c r="B13" s="653" t="s">
        <v>794</v>
      </c>
      <c r="C13" s="654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653" t="s">
        <v>428</v>
      </c>
      <c r="B14" s="653" t="s">
        <v>795</v>
      </c>
      <c r="C14" s="654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653" t="s">
        <v>796</v>
      </c>
      <c r="B15" s="653" t="s">
        <v>797</v>
      </c>
      <c r="C15" s="654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653" t="s">
        <v>798</v>
      </c>
      <c r="B16" s="653" t="s">
        <v>799</v>
      </c>
      <c r="C16" s="654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653" t="s">
        <v>800</v>
      </c>
      <c r="B17" s="653" t="s">
        <v>801</v>
      </c>
      <c r="C17" s="654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653" t="s">
        <v>802</v>
      </c>
      <c r="B18" s="653" t="str">
        <f>'Z_5.1 sz.mell.'!A2</f>
        <v>Európai uniós támogatással megvalósuló projektek</v>
      </c>
      <c r="C18" s="654" t="str">
        <f ca="1">HYPERLINK(SUBSTITUTE(CELL("address",'Z_5.1 sz.mell.'!A1),"'",""),SUBSTITUTE(MID(CELL("address",'Z_5.1 sz.mell.'!A1),SEARCH("]",CELL("address",'Z_5.1 sz.mell.'!A1),1)+1,LEN(CELL("address",'Z_5.1 sz.mell.'!A1))-SEARCH("]",CELL("address",'Z_5.1 sz.mell.'!A1),1)),"'",""))</f>
        <v>Z_5.1 sz.mell.!$A$1</v>
      </c>
    </row>
    <row r="19" spans="1:3" ht="12.75">
      <c r="A19" s="653" t="s">
        <v>533</v>
      </c>
      <c r="B19" s="653" t="s">
        <v>803</v>
      </c>
      <c r="C19" s="654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653" t="s">
        <v>463</v>
      </c>
      <c r="B20" s="653" t="s">
        <v>804</v>
      </c>
      <c r="C20" s="654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ht="12.75">
      <c r="A21" s="653" t="s">
        <v>464</v>
      </c>
      <c r="B21" s="653" t="s">
        <v>327</v>
      </c>
      <c r="C21" s="654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ht="12.75">
      <c r="A22" s="653" t="s">
        <v>805</v>
      </c>
      <c r="B22" s="653" t="s">
        <v>806</v>
      </c>
      <c r="C22" s="654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ht="12.75">
      <c r="A23" s="653" t="s">
        <v>807</v>
      </c>
      <c r="B23" s="653" t="str">
        <f>Z_ALAPADATOK!A11</f>
        <v>Besenyszögi Közös Önkormányzati Hivatal</v>
      </c>
      <c r="C23" s="654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ht="12.75">
      <c r="A24" s="653" t="s">
        <v>808</v>
      </c>
      <c r="B24" t="str">
        <f>Z_ALAPADATOK!B13</f>
        <v>Wesniczky Antal Művelődési Ház és Könyvtár</v>
      </c>
      <c r="C24" s="654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ht="12.75">
      <c r="A25" s="653" t="s">
        <v>809</v>
      </c>
      <c r="B25" t="str">
        <f>Z_ALAPADATOK!B15</f>
        <v>Besenyszög-Szászberek Óvodafenntartó Társulás</v>
      </c>
      <c r="C25" s="654" t="str">
        <f ca="1">HYPERLINK(SUBSTITUTE(CELL("address",'Z_6.4.sz.mell'!A1),"'",""),SUBSTITUTE(MID(CELL("address",'Z_6.4.sz.mell'!A1),SEARCH("]",CELL("address",'Z_6.4.sz.mell'!A1),1)+1,LEN(CELL("address",'Z_6.4.sz.mell'!A1))-SEARCH("]",CELL("address",'Z_6.4.sz.mell'!A1),1)),"'",""))</f>
        <v>Z_6.4.sz.mell!$A$1</v>
      </c>
    </row>
    <row r="26" spans="1:3" ht="12.75">
      <c r="A26" s="653" t="s">
        <v>810</v>
      </c>
      <c r="B26" t="str">
        <f>Z_ALAPADATOK!B17</f>
        <v>3 kvi név</v>
      </c>
      <c r="C26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653" t="s">
        <v>811</v>
      </c>
      <c r="B27" t="str">
        <f>Z_ALAPADATOK!B19</f>
        <v>4 kvi név</v>
      </c>
      <c r="C27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653" t="s">
        <v>812</v>
      </c>
      <c r="B28" t="str">
        <f>Z_ALAPADATOK!B21</f>
        <v>5 kvi név</v>
      </c>
      <c r="C28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653" t="s">
        <v>813</v>
      </c>
      <c r="B29" t="str">
        <f>Z_ALAPADATOK!B23</f>
        <v>6 kvi név</v>
      </c>
      <c r="C29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653" t="s">
        <v>814</v>
      </c>
      <c r="B30" t="str">
        <f>Z_ALAPADATOK!B25</f>
        <v>7 kvi név</v>
      </c>
      <c r="C30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653" t="s">
        <v>815</v>
      </c>
      <c r="B31" t="str">
        <f>Z_ALAPADATOK!B27</f>
        <v>8 kvi név</v>
      </c>
      <c r="C31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653" t="s">
        <v>816</v>
      </c>
      <c r="B32" t="str">
        <f>Z_ALAPADATOK!B29</f>
        <v>9 kvi név</v>
      </c>
      <c r="C32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653" t="s">
        <v>817</v>
      </c>
      <c r="B33" t="str">
        <f>Z_ALAPADATOK!B31</f>
        <v>10 kvi név</v>
      </c>
      <c r="C33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653" t="s">
        <v>846</v>
      </c>
      <c r="B34" t="str">
        <f>PROPER('Z_7.sz.mell'!A3)</f>
        <v>Költségvetési Szervek Maradványának Alakulása</v>
      </c>
      <c r="C34" s="654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ht="12.75">
      <c r="A35" s="653" t="s">
        <v>847</v>
      </c>
      <c r="B35" t="str">
        <f>'Z_8.sz.mell'!B1</f>
        <v>2018. évi általános működés és ágazati feladatok támogatásának alakulása jogcímenként</v>
      </c>
      <c r="C35" s="654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ht="12.75">
      <c r="A36" s="653" t="s">
        <v>762</v>
      </c>
      <c r="B36" t="str">
        <f>CONCATENATE(PROPER('Z_1.tájékoztató_t.'!A2)," ",LOWER('Z_1.tájékoztató_t.'!A3))</f>
        <v>Besenyszög Város Önkormányzata 2018. évi zárszámadásának pénzügyi mérlege</v>
      </c>
      <c r="C36" s="654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ht="12.75">
      <c r="A37" s="653" t="s">
        <v>764</v>
      </c>
      <c r="B37" t="str">
        <f>'Z_2.tájékoztató_t.'!A1</f>
        <v>Többéves kihatással járó döntésekből származó kötzelezettségek célok szerinti, évenkénti bontásban</v>
      </c>
      <c r="C37" s="654" t="str">
        <f ca="1">HYPERLINK(SUBSTITUTE(CELL("address",'Z_2.tájékoztató_t.'!A2),"'",""),SUBSTITUTE(MID(CELL("address",'Z_2.tájékoztató_t.'!A2),SEARCH("]",CELL("address",'Z_2.tájékoztató_t.'!A2),1)+1,LEN(CELL("address",'Z_2.tájékoztató_t.'!A2))-SEARCH("]",CELL("address",'Z_2.tájékoztató_t.'!A2),1)),"'",""))</f>
        <v>Z_2.tájékoztató_t.!$A$2</v>
      </c>
    </row>
    <row r="38" spans="1:3" ht="12.75">
      <c r="A38" s="653" t="s">
        <v>768</v>
      </c>
      <c r="B38" t="str">
        <f>'Z_3.tájékoztató_t.'!A1</f>
        <v>Az önkormányzat által nyújtott hitel és kölcsön alakulása lejárat és eszközök szerinti bontásban</v>
      </c>
      <c r="C38" s="654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39" spans="1:3" ht="12.75">
      <c r="A39" s="653" t="s">
        <v>769</v>
      </c>
      <c r="B39" t="str">
        <f>'Z_4.tájékoztató_t.'!A1</f>
        <v>Adósság állomány alakulása lejárat, eszközök, bel- és külföldi hitelezők szerinti bontásban
2018. december 31-én</v>
      </c>
      <c r="C39" s="654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0" spans="1:3" ht="12.75">
      <c r="A40" s="653" t="s">
        <v>770</v>
      </c>
      <c r="B40" t="str">
        <f>'Z_5.tájékoztató_t.'!A3</f>
        <v>Az önkormányzat által adott közvetett támogatások</v>
      </c>
      <c r="C40" s="654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  <row r="41" spans="1:3" ht="12.75">
      <c r="A41" s="653" t="s">
        <v>774</v>
      </c>
      <c r="B41" t="str">
        <f>CONCATENATE(PROPER('Z_6.tájékoztató_t.'!A3)," ",LOWER('Z_6.tájékoztató_t.'!A4))</f>
        <v>K I M U T A T Á S a 2018. évi céljelleggel juttatott támogatások felhasználásáról</v>
      </c>
      <c r="C41" s="654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2" spans="1:3" ht="12.75">
      <c r="A42" s="653" t="s">
        <v>776</v>
      </c>
      <c r="B42" t="str">
        <f>CONCATENATE(PROPER('Z_7.1.tájékoztató_t.'!A2)," ",'Z_7.1.tájékoztató_t.'!A3)</f>
        <v>Vagyonkimutatás a könyvviteli mérlegben értékkel szerplő eszközökről</v>
      </c>
      <c r="C42" s="654" t="str">
        <f ca="1">HYPERLINK(SUBSTITUTE(CELL("address",'Z_7.1.tájékoztató_t.'!A1),"'",""),SUBSTITUTE(MID(CELL("address",'Z_7.1.tájékoztató_t.'!A1),SEARCH("]",CELL("address",'Z_7.1.tájékoztató_t.'!A1),1)+1,LEN(CELL("address",'Z_7.1.tájékoztató_t.'!A1))-SEARCH("]",CELL("address",'Z_7.1.tájékoztató_t.'!A1),1)),"'",""))</f>
        <v>Z_7.1.tájékoztató_t.!$A$1</v>
      </c>
    </row>
    <row r="43" spans="1:3" ht="12.75">
      <c r="A43" s="653" t="s">
        <v>779</v>
      </c>
      <c r="B43" t="str">
        <f>CONCATENATE(PROPER('Z_7.2.tájékoztató_t.'!A3)," ",'Z_7.2.tájékoztató_t.'!A4)</f>
        <v>Vagyonkimutatás a könyvviteli mérlegben értékkel szereplő forrásokról</v>
      </c>
      <c r="C43" s="654" t="str">
        <f ca="1">HYPERLINK(SUBSTITUTE(CELL("address",'Z_7.2.tájékoztató_t.'!A1),"'",""),SUBSTITUTE(MID(CELL("address",'Z_7.2.tájékoztató_t.'!A1),SEARCH("]",CELL("address",'Z_7.2.tájékoztató_t.'!A1),1)+1,LEN(CELL("address",'Z_7.2.tájékoztató_t.'!A1))-SEARCH("]",CELL("address",'Z_7.2.tájékoztató_t.'!A1),1)),"'",""))</f>
        <v>Z_7.2.tájékoztató_t.!$A$1</v>
      </c>
    </row>
    <row r="44" spans="1:3" ht="12.75">
      <c r="A44" s="653" t="s">
        <v>780</v>
      </c>
      <c r="B44" t="e">
        <f>CONCATENATE(PROPER(#REF!)," ",#REF!)</f>
        <v>#REF!</v>
      </c>
      <c r="C44" s="6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5" spans="1:3" ht="12.75">
      <c r="A45" s="653" t="s">
        <v>781</v>
      </c>
      <c r="B45" t="str">
        <f>CONCATENATE('Z_8.tájékoztató_t.'!A2,'Z_8.tájékoztató_t.'!A3)</f>
        <v>Besenyszög Város Önkormányzata tulajdonában álló gazdálkodó szervezetek működéséből származókötelezettségek és részesedések alakulása 2018-ban</v>
      </c>
      <c r="C45" s="654" t="str">
        <f ca="1">HYPERLINK(SUBSTITUTE(CELL("address",'Z_8.tájékoztató_t.'!A1),"'",""),SUBSTITUTE(MID(CELL("address",'Z_8.tájékoztató_t.'!A1),SEARCH("]",CELL("address",'Z_8.tájékoztató_t.'!A1),1)+1,LEN(CELL("address",'Z_8.tájékoztató_t.'!A1))-SEARCH("]",CELL("address",'Z_8.tájékoztató_t.'!A1),1)),"'",""))</f>
        <v>Z_8.tájékoztató_t.!$A$1</v>
      </c>
    </row>
    <row r="46" spans="1:3" ht="12.75">
      <c r="A46" s="653" t="s">
        <v>782</v>
      </c>
      <c r="B46" t="s">
        <v>819</v>
      </c>
      <c r="C46" s="654" t="str">
        <f ca="1">HYPERLINK(SUBSTITUTE(CELL("address",'Z_9.tájékoztató_t.'!A1),"'",""),SUBSTITUTE(MID(CELL("address",'Z_9.tájékoztató_t.'!A1),SEARCH("]",CELL("address",'Z_9.tájékoztató_t.'!A1),1)+1,LEN(CELL("address",'Z_9.tájékoztató_t.'!A1))-SEARCH("]",CELL("address",'Z_9.tájékoztató_t.'!A1),1)),"'",""))</f>
        <v>Z_9.tájékoztató_t.!$A$1</v>
      </c>
    </row>
  </sheetData>
  <sheetProtection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J25" sqref="J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2" t="s">
        <v>528</v>
      </c>
      <c r="B1" s="79"/>
      <c r="C1" s="79"/>
      <c r="D1" s="79"/>
      <c r="E1" s="273" t="s">
        <v>105</v>
      </c>
    </row>
    <row r="2" spans="1:5" ht="12.75">
      <c r="A2" s="79"/>
      <c r="B2" s="79"/>
      <c r="C2" s="79"/>
      <c r="D2" s="79"/>
      <c r="E2" s="79"/>
    </row>
    <row r="3" spans="1:5" ht="12.75">
      <c r="A3" s="274"/>
      <c r="B3" s="275"/>
      <c r="C3" s="274"/>
      <c r="D3" s="276"/>
      <c r="E3" s="275"/>
    </row>
    <row r="4" spans="1:5" ht="15.75">
      <c r="A4" s="81" t="str">
        <f>+Z_ÖSSZEFÜGGÉSEK!A6</f>
        <v>2018. évi eredeti előirányzat BEVÉTELEK</v>
      </c>
      <c r="B4" s="277"/>
      <c r="C4" s="278"/>
      <c r="D4" s="276"/>
      <c r="E4" s="275"/>
    </row>
    <row r="5" spans="1:5" ht="12.75">
      <c r="A5" s="274"/>
      <c r="B5" s="275"/>
      <c r="C5" s="274"/>
      <c r="D5" s="276"/>
      <c r="E5" s="275"/>
    </row>
    <row r="6" spans="1:5" ht="12.75">
      <c r="A6" s="274" t="s">
        <v>468</v>
      </c>
      <c r="B6" s="275">
        <f>+'Z_1.1.sz.mell.'!C68</f>
        <v>455997348</v>
      </c>
      <c r="C6" s="274" t="s">
        <v>429</v>
      </c>
      <c r="D6" s="276">
        <f>+'Z_2.1.sz.mell'!C18+'Z_2.2.sz.mell'!C17</f>
        <v>455997348</v>
      </c>
      <c r="E6" s="275">
        <f>+B6-D6</f>
        <v>0</v>
      </c>
    </row>
    <row r="7" spans="1:5" ht="12.75">
      <c r="A7" s="274" t="s">
        <v>484</v>
      </c>
      <c r="B7" s="275">
        <f>+'Z_1.1.sz.mell.'!C92</f>
        <v>992078683</v>
      </c>
      <c r="C7" s="274" t="s">
        <v>435</v>
      </c>
      <c r="D7" s="276">
        <f>+'Z_2.1.sz.mell'!C29+'Z_2.2.sz.mell'!C30</f>
        <v>992078683</v>
      </c>
      <c r="E7" s="275">
        <f>+B7-D7</f>
        <v>0</v>
      </c>
    </row>
    <row r="8" spans="1:5" ht="12.75">
      <c r="A8" s="274" t="s">
        <v>485</v>
      </c>
      <c r="B8" s="275">
        <f>+'Z_1.1.sz.mell.'!C93</f>
        <v>1448076031</v>
      </c>
      <c r="C8" s="274" t="s">
        <v>436</v>
      </c>
      <c r="D8" s="276">
        <f>+'Z_2.1.sz.mell'!C30+'Z_2.2.sz.mell'!C31</f>
        <v>1448076031</v>
      </c>
      <c r="E8" s="275">
        <f>+B8-D8</f>
        <v>0</v>
      </c>
    </row>
    <row r="9" spans="1:5" ht="12.75">
      <c r="A9" s="274"/>
      <c r="B9" s="275"/>
      <c r="C9" s="274"/>
      <c r="D9" s="276"/>
      <c r="E9" s="275"/>
    </row>
    <row r="10" spans="1:5" ht="15.75">
      <c r="A10" s="81" t="str">
        <f>+Z_ÖSSZEFÜGGÉSEK!A13</f>
        <v>2018. évi módosított előirányzat BEVÉTELEK</v>
      </c>
      <c r="B10" s="277"/>
      <c r="C10" s="278"/>
      <c r="D10" s="276"/>
      <c r="E10" s="275"/>
    </row>
    <row r="11" spans="1:5" ht="12.75">
      <c r="A11" s="274"/>
      <c r="B11" s="275"/>
      <c r="C11" s="274"/>
      <c r="D11" s="276"/>
      <c r="E11" s="275"/>
    </row>
    <row r="12" spans="1:5" ht="12.75">
      <c r="A12" s="274" t="s">
        <v>469</v>
      </c>
      <c r="B12" s="275">
        <f>+'Z_1.1.sz.mell.'!D68</f>
        <v>667033107</v>
      </c>
      <c r="C12" s="274" t="s">
        <v>430</v>
      </c>
      <c r="D12" s="276">
        <f>+'Z_2.1.sz.mell'!D18+'Z_2.2.sz.mell'!D17</f>
        <v>667033107</v>
      </c>
      <c r="E12" s="275">
        <f>+B12-D12</f>
        <v>0</v>
      </c>
    </row>
    <row r="13" spans="1:5" ht="12.75">
      <c r="A13" s="274" t="s">
        <v>470</v>
      </c>
      <c r="B13" s="275">
        <f>+'Z_1.1.sz.mell.'!D92</f>
        <v>1057075914</v>
      </c>
      <c r="C13" s="274" t="s">
        <v>437</v>
      </c>
      <c r="D13" s="276">
        <f>+'Z_2.1.sz.mell'!D29+'Z_2.2.sz.mell'!D30</f>
        <v>1057075914</v>
      </c>
      <c r="E13" s="275">
        <f>+B13-D13</f>
        <v>0</v>
      </c>
    </row>
    <row r="14" spans="1:5" ht="12.75">
      <c r="A14" s="274" t="s">
        <v>471</v>
      </c>
      <c r="B14" s="275">
        <f>+'Z_1.1.sz.mell.'!D93</f>
        <v>1724109021</v>
      </c>
      <c r="C14" s="274" t="s">
        <v>438</v>
      </c>
      <c r="D14" s="276">
        <f>+'Z_2.1.sz.mell'!D30+'Z_2.2.sz.mell'!D31</f>
        <v>1724109021</v>
      </c>
      <c r="E14" s="275">
        <f>+B14-D14</f>
        <v>0</v>
      </c>
    </row>
    <row r="15" spans="1:5" ht="12.75">
      <c r="A15" s="274"/>
      <c r="B15" s="275"/>
      <c r="C15" s="274"/>
      <c r="D15" s="276"/>
      <c r="E15" s="275"/>
    </row>
    <row r="16" spans="1:5" ht="14.25">
      <c r="A16" s="279" t="str">
        <f>+Z_ÖSSZEFÜGGÉSEK!A19</f>
        <v>2018.évi teljesített BEVÉTELEK</v>
      </c>
      <c r="B16" s="80"/>
      <c r="C16" s="278"/>
      <c r="D16" s="276"/>
      <c r="E16" s="275"/>
    </row>
    <row r="17" spans="1:5" ht="12.75">
      <c r="A17" s="274"/>
      <c r="B17" s="275"/>
      <c r="C17" s="274"/>
      <c r="D17" s="276"/>
      <c r="E17" s="275"/>
    </row>
    <row r="18" spans="1:5" ht="12.75">
      <c r="A18" s="274" t="s">
        <v>472</v>
      </c>
      <c r="B18" s="275">
        <f>+'Z_1.1.sz.mell.'!E68</f>
        <v>762726562</v>
      </c>
      <c r="C18" s="274" t="s">
        <v>431</v>
      </c>
      <c r="D18" s="276">
        <f>+'Z_2.1.sz.mell'!E18+'Z_2.2.sz.mell'!E17</f>
        <v>762726562</v>
      </c>
      <c r="E18" s="275">
        <f>+B18-D18</f>
        <v>0</v>
      </c>
    </row>
    <row r="19" spans="1:5" ht="12.75">
      <c r="A19" s="274" t="s">
        <v>473</v>
      </c>
      <c r="B19" s="275">
        <f>+'Z_1.1.sz.mell.'!E92</f>
        <v>1053235975</v>
      </c>
      <c r="C19" s="274" t="s">
        <v>439</v>
      </c>
      <c r="D19" s="276">
        <f>+'Z_2.1.sz.mell'!E29+'Z_2.2.sz.mell'!E30</f>
        <v>1053235975</v>
      </c>
      <c r="E19" s="275">
        <f>+B19-D19</f>
        <v>0</v>
      </c>
    </row>
    <row r="20" spans="1:5" ht="12.75">
      <c r="A20" s="274" t="s">
        <v>474</v>
      </c>
      <c r="B20" s="275">
        <f>+'Z_1.1.sz.mell.'!E93</f>
        <v>1815962537</v>
      </c>
      <c r="C20" s="274" t="s">
        <v>440</v>
      </c>
      <c r="D20" s="276">
        <f>+'Z_2.1.sz.mell'!E30+'Z_2.2.sz.mell'!E31</f>
        <v>1815962537</v>
      </c>
      <c r="E20" s="275">
        <f>+B20-D20</f>
        <v>0</v>
      </c>
    </row>
    <row r="21" spans="1:5" ht="12.75">
      <c r="A21" s="274"/>
      <c r="B21" s="275"/>
      <c r="C21" s="274"/>
      <c r="D21" s="276"/>
      <c r="E21" s="275"/>
    </row>
    <row r="22" spans="1:5" ht="15.75">
      <c r="A22" s="81" t="str">
        <f>+Z_ÖSSZEFÜGGÉSEK!A25</f>
        <v>2018. évi eredeti előirányzat KIADÁSOK</v>
      </c>
      <c r="B22" s="277"/>
      <c r="C22" s="278"/>
      <c r="D22" s="276"/>
      <c r="E22" s="275"/>
    </row>
    <row r="23" spans="1:5" ht="12.75">
      <c r="A23" s="274"/>
      <c r="B23" s="275"/>
      <c r="C23" s="274"/>
      <c r="D23" s="276"/>
      <c r="E23" s="275"/>
    </row>
    <row r="24" spans="1:5" ht="12.75">
      <c r="A24" s="274" t="s">
        <v>486</v>
      </c>
      <c r="B24" s="275">
        <f>+'Z_1.1.sz.mell.'!C135</f>
        <v>1439474400</v>
      </c>
      <c r="C24" s="274" t="s">
        <v>432</v>
      </c>
      <c r="D24" s="276">
        <f>+'Z_2.1.sz.mell'!G18+'Z_2.2.sz.mell'!G17</f>
        <v>1439474400</v>
      </c>
      <c r="E24" s="275">
        <f>+B24-D24</f>
        <v>0</v>
      </c>
    </row>
    <row r="25" spans="1:5" ht="12.75">
      <c r="A25" s="274" t="s">
        <v>476</v>
      </c>
      <c r="B25" s="275">
        <f>+'Z_1.1.sz.mell.'!C160</f>
        <v>8601631</v>
      </c>
      <c r="C25" s="274" t="s">
        <v>441</v>
      </c>
      <c r="D25" s="276">
        <f>+'Z_2.1.sz.mell'!G29+'Z_2.2.sz.mell'!G30</f>
        <v>8601631</v>
      </c>
      <c r="E25" s="275">
        <f>+B25-D25</f>
        <v>0</v>
      </c>
    </row>
    <row r="26" spans="1:5" ht="12.75">
      <c r="A26" s="274" t="s">
        <v>477</v>
      </c>
      <c r="B26" s="275">
        <f>+'Z_1.1.sz.mell.'!C161</f>
        <v>1448076031</v>
      </c>
      <c r="C26" s="274" t="s">
        <v>442</v>
      </c>
      <c r="D26" s="276">
        <f>+'Z_2.1.sz.mell'!G30+'Z_2.2.sz.mell'!G31</f>
        <v>1448076031</v>
      </c>
      <c r="E26" s="275">
        <f>+B26-D26</f>
        <v>0</v>
      </c>
    </row>
    <row r="27" spans="1:5" ht="12.75">
      <c r="A27" s="274"/>
      <c r="B27" s="275"/>
      <c r="C27" s="274"/>
      <c r="D27" s="276"/>
      <c r="E27" s="275"/>
    </row>
    <row r="28" spans="1:5" ht="15.75">
      <c r="A28" s="81" t="str">
        <f>+Z_ÖSSZEFÜGGÉSEK!A31</f>
        <v>2018. évi módosított előirányzat KIADÁSOK</v>
      </c>
      <c r="B28" s="277"/>
      <c r="C28" s="278"/>
      <c r="D28" s="276"/>
      <c r="E28" s="275"/>
    </row>
    <row r="29" spans="1:5" ht="12.75">
      <c r="A29" s="274"/>
      <c r="B29" s="275"/>
      <c r="C29" s="274"/>
      <c r="D29" s="276"/>
      <c r="E29" s="275"/>
    </row>
    <row r="30" spans="1:5" ht="12.75">
      <c r="A30" s="274" t="s">
        <v>478</v>
      </c>
      <c r="B30" s="275">
        <f>+'Z_1.1.sz.mell.'!D135</f>
        <v>1665507390</v>
      </c>
      <c r="C30" s="274" t="s">
        <v>433</v>
      </c>
      <c r="D30" s="276">
        <f>+'Z_2.1.sz.mell'!H18+'Z_2.2.sz.mell'!H17</f>
        <v>1665507390</v>
      </c>
      <c r="E30" s="275">
        <f>+B30-D30</f>
        <v>0</v>
      </c>
    </row>
    <row r="31" spans="1:5" ht="12.75">
      <c r="A31" s="274" t="s">
        <v>479</v>
      </c>
      <c r="B31" s="275">
        <f>+'Z_1.1.sz.mell.'!D160</f>
        <v>58601631</v>
      </c>
      <c r="C31" s="274" t="s">
        <v>443</v>
      </c>
      <c r="D31" s="276">
        <f>+'Z_2.1.sz.mell'!H29+'Z_2.2.sz.mell'!H30</f>
        <v>58601631</v>
      </c>
      <c r="E31" s="275">
        <f>+B31-D31</f>
        <v>0</v>
      </c>
    </row>
    <row r="32" spans="1:5" ht="12.75">
      <c r="A32" s="274" t="s">
        <v>480</v>
      </c>
      <c r="B32" s="275">
        <f>+'Z_1.1.sz.mell.'!D161</f>
        <v>1724109021</v>
      </c>
      <c r="C32" s="274" t="s">
        <v>444</v>
      </c>
      <c r="D32" s="276">
        <f>+'Z_2.1.sz.mell'!H30+'Z_2.2.sz.mell'!H31</f>
        <v>1724109021</v>
      </c>
      <c r="E32" s="275">
        <f>+B32-D32</f>
        <v>0</v>
      </c>
    </row>
    <row r="33" spans="1:5" ht="12.75">
      <c r="A33" s="274"/>
      <c r="B33" s="275"/>
      <c r="C33" s="274"/>
      <c r="D33" s="276"/>
      <c r="E33" s="275"/>
    </row>
    <row r="34" spans="1:5" ht="15.75">
      <c r="A34" s="280" t="str">
        <f>+Z_ÖSSZEFÜGGÉSEK!A37</f>
        <v>2018.évi teljesített KIADÁSOK</v>
      </c>
      <c r="B34" s="277"/>
      <c r="C34" s="278"/>
      <c r="D34" s="276"/>
      <c r="E34" s="275"/>
    </row>
    <row r="35" spans="1:5" ht="12.75">
      <c r="A35" s="274"/>
      <c r="B35" s="275"/>
      <c r="C35" s="274"/>
      <c r="D35" s="276"/>
      <c r="E35" s="275"/>
    </row>
    <row r="36" spans="1:5" ht="12.75">
      <c r="A36" s="274" t="s">
        <v>481</v>
      </c>
      <c r="B36" s="275">
        <f>+'Z_1.1.sz.mell.'!E135</f>
        <v>634075580</v>
      </c>
      <c r="C36" s="274" t="s">
        <v>434</v>
      </c>
      <c r="D36" s="276">
        <f>+'Z_2.1.sz.mell'!I18+'Z_2.2.sz.mell'!I17</f>
        <v>634075580</v>
      </c>
      <c r="E36" s="275">
        <f>+B36-D36</f>
        <v>0</v>
      </c>
    </row>
    <row r="37" spans="1:5" ht="12.75">
      <c r="A37" s="274" t="s">
        <v>482</v>
      </c>
      <c r="B37" s="275">
        <f>+'Z_1.1.sz.mell.'!E160</f>
        <v>46178661</v>
      </c>
      <c r="C37" s="274" t="s">
        <v>445</v>
      </c>
      <c r="D37" s="276">
        <f>+'Z_2.1.sz.mell'!I29+'Z_2.2.sz.mell'!I30</f>
        <v>46178661</v>
      </c>
      <c r="E37" s="275">
        <f>+B37-D37</f>
        <v>0</v>
      </c>
    </row>
    <row r="38" spans="1:5" ht="12.75">
      <c r="A38" s="274" t="s">
        <v>487</v>
      </c>
      <c r="B38" s="275">
        <f>+'Z_1.1.sz.mell.'!E161</f>
        <v>680254241</v>
      </c>
      <c r="C38" s="274" t="s">
        <v>446</v>
      </c>
      <c r="D38" s="276">
        <f>+'Z_2.1.sz.mell'!I30+'Z_2.2.sz.mell'!I31</f>
        <v>680254241</v>
      </c>
      <c r="E38" s="275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9">
      <selection activeCell="F24" sqref="F7:F24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3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99"/>
      <c r="B1" s="780" t="str">
        <f>CONCATENATE("3. melléklet ",Z_ALAPADATOK!A7," ",Z_ALAPADATOK!B7," ",Z_ALAPADATOK!C7," ",Z_ALAPADATOK!D7," ",Z_ALAPADATOK!E7," ",Z_ALAPADATOK!F7," ",Z_ALAPADATOK!G7," ",Z_ALAPADATOK!H7)</f>
        <v>3. melléklet a … / 2019. ( … ) önkormányzati rendelethez</v>
      </c>
      <c r="C1" s="781"/>
      <c r="D1" s="781"/>
      <c r="E1" s="781"/>
      <c r="F1" s="781"/>
      <c r="G1" s="781"/>
    </row>
    <row r="2" spans="1:7" ht="12.75">
      <c r="A2" s="399"/>
      <c r="B2" s="400"/>
      <c r="C2" s="400"/>
      <c r="D2" s="400"/>
      <c r="E2" s="400"/>
      <c r="F2" s="400"/>
      <c r="G2" s="400"/>
    </row>
    <row r="3" spans="1:7" ht="25.5" customHeight="1">
      <c r="A3" s="779" t="s">
        <v>529</v>
      </c>
      <c r="B3" s="779"/>
      <c r="C3" s="779"/>
      <c r="D3" s="779"/>
      <c r="E3" s="779"/>
      <c r="F3" s="779"/>
      <c r="G3" s="779"/>
    </row>
    <row r="4" spans="1:7" ht="22.5" customHeight="1" thickBot="1">
      <c r="A4" s="399"/>
      <c r="B4" s="400"/>
      <c r="C4" s="400"/>
      <c r="D4" s="400"/>
      <c r="E4" s="400"/>
      <c r="F4" s="400"/>
      <c r="G4" s="401" t="str">
        <f>'Z_2.2.sz.mell'!I2</f>
        <v> Forintban!</v>
      </c>
    </row>
    <row r="5" spans="1:7" s="29" customFormat="1" ht="44.25" customHeight="1" thickBot="1">
      <c r="A5" s="402" t="s">
        <v>48</v>
      </c>
      <c r="B5" s="368" t="s">
        <v>49</v>
      </c>
      <c r="C5" s="368" t="s">
        <v>50</v>
      </c>
      <c r="D5" s="368" t="str">
        <f>+CONCATENATE("Felhasználás   ",LEFT(Z_ÖSSZEFÜGGÉSEK!A6,4)-1,". XII. 31-ig")</f>
        <v>Felhasználás   2017. XII. 31-ig</v>
      </c>
      <c r="E5" s="368" t="str">
        <f>+CONCATENATE(LEFT(Z_ÖSSZEFÜGGÉSEK!A6,4),". évi",CHAR(10),"módosított előirányzat")</f>
        <v>2018. évi
módosított előirányzat</v>
      </c>
      <c r="F5" s="368" t="str">
        <f>+CONCATENATE("Teljesítés",CHAR(10),LEFT(Z_ÖSSZEFÜGGÉSEK!A6,4),". XII. 31-ig")</f>
        <v>Teljesítés
2018. XII. 31-ig</v>
      </c>
      <c r="G5" s="369" t="str">
        <f>+CONCATENATE("Összes teljesítés",CHAR(10),LEFT(Z_ÖSSZEFÜGGÉSEK!A6,4),". XII. 31-ig")</f>
        <v>Összes teljesítés
2018. XII. 31-ig</v>
      </c>
    </row>
    <row r="6" spans="1:7" s="33" customFormat="1" ht="12" customHeight="1" thickBot="1">
      <c r="A6" s="403" t="s">
        <v>389</v>
      </c>
      <c r="B6" s="404" t="s">
        <v>390</v>
      </c>
      <c r="C6" s="404" t="s">
        <v>391</v>
      </c>
      <c r="D6" s="404" t="s">
        <v>393</v>
      </c>
      <c r="E6" s="404" t="s">
        <v>392</v>
      </c>
      <c r="F6" s="404" t="s">
        <v>394</v>
      </c>
      <c r="G6" s="405" t="s">
        <v>447</v>
      </c>
    </row>
    <row r="7" spans="1:7" ht="15.75" customHeight="1">
      <c r="A7" s="697" t="s">
        <v>878</v>
      </c>
      <c r="B7" s="689">
        <v>228753396</v>
      </c>
      <c r="C7" s="698" t="s">
        <v>879</v>
      </c>
      <c r="D7" s="689">
        <v>486049</v>
      </c>
      <c r="E7" s="689">
        <v>183589222</v>
      </c>
      <c r="F7" s="689">
        <v>9015087</v>
      </c>
      <c r="G7" s="690">
        <f>D7+F7</f>
        <v>9501136</v>
      </c>
    </row>
    <row r="8" spans="1:7" ht="15.75" customHeight="1">
      <c r="A8" s="38" t="s">
        <v>880</v>
      </c>
      <c r="B8" s="39">
        <v>210840196</v>
      </c>
      <c r="C8" s="224" t="s">
        <v>879</v>
      </c>
      <c r="D8" s="39">
        <v>275951</v>
      </c>
      <c r="E8" s="39">
        <v>116920049</v>
      </c>
      <c r="F8" s="39">
        <v>2644529</v>
      </c>
      <c r="G8" s="691">
        <f aca="true" t="shared" si="0" ref="G8:G25">D8+F8</f>
        <v>2920480</v>
      </c>
    </row>
    <row r="9" spans="1:7" ht="15.75" customHeight="1">
      <c r="A9" s="38" t="s">
        <v>881</v>
      </c>
      <c r="B9" s="39">
        <v>251093490</v>
      </c>
      <c r="C9" s="224" t="s">
        <v>879</v>
      </c>
      <c r="D9" s="39">
        <v>4635500</v>
      </c>
      <c r="E9" s="39">
        <v>167781367</v>
      </c>
      <c r="F9" s="39"/>
      <c r="G9" s="691">
        <f t="shared" si="0"/>
        <v>4635500</v>
      </c>
    </row>
    <row r="10" spans="1:7" ht="15.75" customHeight="1">
      <c r="A10" s="38" t="s">
        <v>882</v>
      </c>
      <c r="B10" s="39">
        <v>80475169</v>
      </c>
      <c r="C10" s="224" t="s">
        <v>879</v>
      </c>
      <c r="D10" s="39">
        <v>957199</v>
      </c>
      <c r="E10" s="39">
        <v>79630619</v>
      </c>
      <c r="F10" s="39">
        <v>1397000</v>
      </c>
      <c r="G10" s="691">
        <f t="shared" si="0"/>
        <v>2354199</v>
      </c>
    </row>
    <row r="11" spans="1:7" ht="15.75" customHeight="1">
      <c r="A11" s="38" t="s">
        <v>883</v>
      </c>
      <c r="B11" s="39">
        <v>110969996</v>
      </c>
      <c r="C11" s="224" t="s">
        <v>879</v>
      </c>
      <c r="D11" s="39">
        <v>2159000</v>
      </c>
      <c r="E11" s="39">
        <v>91297530</v>
      </c>
      <c r="F11" s="39">
        <v>1270000</v>
      </c>
      <c r="G11" s="691">
        <f t="shared" si="0"/>
        <v>3429000</v>
      </c>
    </row>
    <row r="12" spans="1:7" ht="15.75" customHeight="1">
      <c r="A12" s="38" t="s">
        <v>884</v>
      </c>
      <c r="B12" s="39">
        <v>100495684</v>
      </c>
      <c r="C12" s="224" t="s">
        <v>886</v>
      </c>
      <c r="D12" s="39">
        <v>1778000</v>
      </c>
      <c r="E12" s="39">
        <v>101455219</v>
      </c>
      <c r="F12" s="39">
        <v>50204367</v>
      </c>
      <c r="G12" s="691">
        <f t="shared" si="0"/>
        <v>51982367</v>
      </c>
    </row>
    <row r="13" spans="1:7" ht="15.75" customHeight="1">
      <c r="A13" s="38" t="s">
        <v>885</v>
      </c>
      <c r="B13" s="39">
        <v>92689680</v>
      </c>
      <c r="C13" s="224" t="s">
        <v>949</v>
      </c>
      <c r="D13" s="39">
        <v>0</v>
      </c>
      <c r="E13" s="39">
        <v>100387544</v>
      </c>
      <c r="F13" s="39"/>
      <c r="G13" s="691">
        <f t="shared" si="0"/>
        <v>0</v>
      </c>
    </row>
    <row r="14" spans="1:7" ht="15.75" customHeight="1">
      <c r="A14" s="38" t="s">
        <v>887</v>
      </c>
      <c r="B14" s="39">
        <v>70000</v>
      </c>
      <c r="C14" s="224" t="s">
        <v>888</v>
      </c>
      <c r="D14" s="39"/>
      <c r="E14" s="39">
        <v>1200000</v>
      </c>
      <c r="F14" s="39">
        <v>70000</v>
      </c>
      <c r="G14" s="691">
        <f t="shared" si="0"/>
        <v>70000</v>
      </c>
    </row>
    <row r="15" spans="1:7" ht="15.75" customHeight="1">
      <c r="A15" s="38" t="s">
        <v>889</v>
      </c>
      <c r="B15" s="39">
        <v>8676164</v>
      </c>
      <c r="C15" s="224" t="s">
        <v>888</v>
      </c>
      <c r="D15" s="39"/>
      <c r="E15" s="39">
        <v>8676164</v>
      </c>
      <c r="F15" s="39">
        <v>8676164</v>
      </c>
      <c r="G15" s="691">
        <f t="shared" si="0"/>
        <v>8676164</v>
      </c>
    </row>
    <row r="16" spans="1:7" ht="15.75" customHeight="1">
      <c r="A16" s="38" t="s">
        <v>890</v>
      </c>
      <c r="B16" s="39">
        <v>40730000</v>
      </c>
      <c r="C16" s="224" t="s">
        <v>888</v>
      </c>
      <c r="D16" s="39"/>
      <c r="E16" s="39">
        <v>40730000</v>
      </c>
      <c r="F16" s="39">
        <v>40730000</v>
      </c>
      <c r="G16" s="691">
        <f t="shared" si="0"/>
        <v>40730000</v>
      </c>
    </row>
    <row r="17" spans="1:7" ht="15.75" customHeight="1">
      <c r="A17" s="38" t="s">
        <v>891</v>
      </c>
      <c r="B17" s="39"/>
      <c r="C17" s="224" t="s">
        <v>888</v>
      </c>
      <c r="D17" s="39"/>
      <c r="E17" s="39">
        <v>7000000</v>
      </c>
      <c r="F17" s="39"/>
      <c r="G17" s="691">
        <f t="shared" si="0"/>
        <v>0</v>
      </c>
    </row>
    <row r="18" spans="1:7" ht="15.75" customHeight="1">
      <c r="A18" s="38" t="s">
        <v>892</v>
      </c>
      <c r="B18" s="39">
        <v>4782566</v>
      </c>
      <c r="C18" s="224" t="s">
        <v>888</v>
      </c>
      <c r="D18" s="21"/>
      <c r="E18" s="39">
        <v>4445000</v>
      </c>
      <c r="F18" s="39">
        <v>4782566</v>
      </c>
      <c r="G18" s="691">
        <f t="shared" si="0"/>
        <v>4782566</v>
      </c>
    </row>
    <row r="19" spans="1:7" ht="15.75" customHeight="1">
      <c r="A19" s="38" t="s">
        <v>893</v>
      </c>
      <c r="B19" s="39">
        <v>2349500</v>
      </c>
      <c r="C19" s="224" t="s">
        <v>894</v>
      </c>
      <c r="D19" s="21"/>
      <c r="E19" s="39">
        <v>2349500</v>
      </c>
      <c r="F19" s="39">
        <v>2349500</v>
      </c>
      <c r="G19" s="691">
        <f t="shared" si="0"/>
        <v>2349500</v>
      </c>
    </row>
    <row r="20" spans="1:7" ht="15.75" customHeight="1">
      <c r="A20" s="38" t="s">
        <v>895</v>
      </c>
      <c r="B20" s="39">
        <v>1675130</v>
      </c>
      <c r="C20" s="224" t="s">
        <v>888</v>
      </c>
      <c r="D20" s="21"/>
      <c r="E20" s="39">
        <v>1675130</v>
      </c>
      <c r="F20" s="39">
        <v>1675130</v>
      </c>
      <c r="G20" s="691">
        <f t="shared" si="0"/>
        <v>1675130</v>
      </c>
    </row>
    <row r="21" spans="1:7" ht="15.75" customHeight="1">
      <c r="A21" s="38" t="s">
        <v>896</v>
      </c>
      <c r="B21" s="39">
        <v>2207490</v>
      </c>
      <c r="C21" s="224" t="s">
        <v>888</v>
      </c>
      <c r="D21" s="21"/>
      <c r="E21" s="39">
        <v>2207490</v>
      </c>
      <c r="F21" s="39">
        <v>2207490</v>
      </c>
      <c r="G21" s="691">
        <f t="shared" si="0"/>
        <v>2207490</v>
      </c>
    </row>
    <row r="22" spans="1:7" ht="15.75" customHeight="1">
      <c r="A22" s="38" t="s">
        <v>897</v>
      </c>
      <c r="B22" s="39">
        <v>849329</v>
      </c>
      <c r="C22" s="224" t="s">
        <v>888</v>
      </c>
      <c r="D22" s="21"/>
      <c r="E22" s="39">
        <v>849329</v>
      </c>
      <c r="F22" s="39">
        <v>849329</v>
      </c>
      <c r="G22" s="691">
        <f t="shared" si="0"/>
        <v>849329</v>
      </c>
    </row>
    <row r="23" spans="1:7" ht="15.75" customHeight="1">
      <c r="A23" s="38" t="s">
        <v>900</v>
      </c>
      <c r="B23" s="39">
        <v>5000880</v>
      </c>
      <c r="C23" s="224" t="s">
        <v>888</v>
      </c>
      <c r="D23" s="21"/>
      <c r="E23" s="39">
        <v>5000880</v>
      </c>
      <c r="F23" s="39">
        <v>5000880</v>
      </c>
      <c r="G23" s="691">
        <f t="shared" si="0"/>
        <v>5000880</v>
      </c>
    </row>
    <row r="24" spans="1:7" ht="15.75" customHeight="1">
      <c r="A24" s="38" t="s">
        <v>898</v>
      </c>
      <c r="B24" s="39">
        <v>809173</v>
      </c>
      <c r="C24" s="224" t="s">
        <v>888</v>
      </c>
      <c r="D24" s="22"/>
      <c r="E24" s="39">
        <v>1274920</v>
      </c>
      <c r="F24" s="39">
        <v>1009173</v>
      </c>
      <c r="G24" s="691">
        <f t="shared" si="0"/>
        <v>1009173</v>
      </c>
    </row>
    <row r="25" spans="1:7" ht="15.75" customHeight="1" thickBot="1">
      <c r="A25" s="692" t="s">
        <v>899</v>
      </c>
      <c r="B25" s="693">
        <v>693923</v>
      </c>
      <c r="C25" s="694" t="s">
        <v>888</v>
      </c>
      <c r="D25" s="695"/>
      <c r="E25" s="693">
        <v>792568</v>
      </c>
      <c r="F25" s="693">
        <v>693923</v>
      </c>
      <c r="G25" s="696">
        <f t="shared" si="0"/>
        <v>693923</v>
      </c>
    </row>
    <row r="26" spans="1:7" s="37" customFormat="1" ht="18" customHeight="1" thickBot="1">
      <c r="A26" s="72" t="s">
        <v>47</v>
      </c>
      <c r="B26" s="35">
        <f>SUM(B7:B25)</f>
        <v>1143161766</v>
      </c>
      <c r="C26" s="53"/>
      <c r="D26" s="35">
        <f>SUM(D7:D25)</f>
        <v>10291699</v>
      </c>
      <c r="E26" s="35">
        <f>SUM(E7:E25)</f>
        <v>917262531</v>
      </c>
      <c r="F26" s="35">
        <f>SUM(F7:F25)</f>
        <v>132575138</v>
      </c>
      <c r="G26" s="36">
        <f>SUM(G7:G25)</f>
        <v>142866837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20" zoomScaleNormal="120" workbookViewId="0" topLeftCell="A1">
      <selection activeCell="E15" sqref="E15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99"/>
      <c r="B1" s="780" t="str">
        <f>CONCATENATE("4. melléklet ",Z_ALAPADATOK!A7," ",Z_ALAPADATOK!B7," ",Z_ALAPADATOK!C7," ",Z_ALAPADATOK!D7," ",Z_ALAPADATOK!E7," ",Z_ALAPADATOK!F7," ",Z_ALAPADATOK!G7," ",Z_ALAPADATOK!H7)</f>
        <v>4. melléklet a … / 2019. ( … ) önkormányzati rendelethez</v>
      </c>
      <c r="C1" s="780"/>
      <c r="D1" s="780"/>
      <c r="E1" s="780"/>
      <c r="F1" s="780"/>
      <c r="G1" s="780"/>
    </row>
    <row r="2" spans="1:7" ht="12.75">
      <c r="A2" s="399"/>
      <c r="B2" s="400"/>
      <c r="C2" s="400"/>
      <c r="D2" s="400"/>
      <c r="E2" s="400"/>
      <c r="F2" s="400"/>
      <c r="G2" s="400"/>
    </row>
    <row r="3" spans="1:7" ht="24.75" customHeight="1">
      <c r="A3" s="779" t="s">
        <v>530</v>
      </c>
      <c r="B3" s="779"/>
      <c r="C3" s="779"/>
      <c r="D3" s="779"/>
      <c r="E3" s="779"/>
      <c r="F3" s="779"/>
      <c r="G3" s="779"/>
    </row>
    <row r="4" spans="1:7" ht="23.25" customHeight="1" thickBot="1">
      <c r="A4" s="399"/>
      <c r="B4" s="400"/>
      <c r="C4" s="400"/>
      <c r="D4" s="400"/>
      <c r="E4" s="400"/>
      <c r="F4" s="400"/>
      <c r="G4" s="401" t="str">
        <f>'Z_3.sz.mell.'!G4</f>
        <v> Forintban!</v>
      </c>
    </row>
    <row r="5" spans="1:7" s="29" customFormat="1" ht="48.75" customHeight="1" thickBot="1">
      <c r="A5" s="402" t="s">
        <v>51</v>
      </c>
      <c r="B5" s="368" t="s">
        <v>49</v>
      </c>
      <c r="C5" s="368" t="s">
        <v>50</v>
      </c>
      <c r="D5" s="368" t="str">
        <f>+'Z_3.sz.mell.'!D5</f>
        <v>Felhasználás   2017. XII. 31-ig</v>
      </c>
      <c r="E5" s="368" t="str">
        <f>+CONCATENATE(LEFT(Z_ÖSSZEFÜGGÉSEK!A6,4),". évi",CHAR(10),"módosított előirányzat")</f>
        <v>2018. évi
módosított előirányzat</v>
      </c>
      <c r="F5" s="368" t="str">
        <f>+CONCATENATE("Teljesítés",CHAR(10),LEFT(Z_ÖSSZEFÜGGÉSEK!A6,4),". XII. 31-ig")</f>
        <v>Teljesítés
2018. XII. 31-ig</v>
      </c>
      <c r="G5" s="369" t="str">
        <f>+CONCATENATE("Összes teljesítés",CHAR(10),LEFT(Z_ÖSSZEFÜGGÉSEK!A6,4),". XII. 31-ig")</f>
        <v>Összes teljesítés
2018. XII. 31-ig</v>
      </c>
    </row>
    <row r="6" spans="1:7" s="33" customFormat="1" ht="15" customHeight="1" thickBot="1">
      <c r="A6" s="403" t="s">
        <v>389</v>
      </c>
      <c r="B6" s="404" t="s">
        <v>390</v>
      </c>
      <c r="C6" s="404" t="s">
        <v>391</v>
      </c>
      <c r="D6" s="404" t="s">
        <v>393</v>
      </c>
      <c r="E6" s="404" t="s">
        <v>392</v>
      </c>
      <c r="F6" s="404" t="s">
        <v>394</v>
      </c>
      <c r="G6" s="405" t="s">
        <v>447</v>
      </c>
    </row>
    <row r="7" spans="1:7" ht="15.75" customHeight="1">
      <c r="A7" s="38" t="s">
        <v>901</v>
      </c>
      <c r="B7" s="39">
        <v>130302921</v>
      </c>
      <c r="C7" s="224" t="s">
        <v>879</v>
      </c>
      <c r="D7" s="39">
        <v>2857500</v>
      </c>
      <c r="E7" s="39">
        <v>128402500</v>
      </c>
      <c r="F7" s="39">
        <v>2222500</v>
      </c>
      <c r="G7" s="40">
        <f>D7+F7</f>
        <v>5080000</v>
      </c>
    </row>
    <row r="8" spans="1:7" ht="15.75" customHeight="1">
      <c r="A8" s="38" t="s">
        <v>904</v>
      </c>
      <c r="B8" s="39">
        <v>17647058</v>
      </c>
      <c r="C8" s="224" t="s">
        <v>903</v>
      </c>
      <c r="D8" s="39"/>
      <c r="E8" s="39">
        <v>21766949</v>
      </c>
      <c r="F8" s="39">
        <v>4699000</v>
      </c>
      <c r="G8" s="40">
        <f aca="true" t="shared" si="0" ref="G8:G25">D8+F8</f>
        <v>4699000</v>
      </c>
    </row>
    <row r="9" spans="1:7" ht="15.75" customHeight="1">
      <c r="A9" s="38" t="s">
        <v>902</v>
      </c>
      <c r="B9" s="39">
        <v>335686</v>
      </c>
      <c r="C9" s="224" t="s">
        <v>948</v>
      </c>
      <c r="D9" s="39">
        <v>4635500</v>
      </c>
      <c r="E9" s="39">
        <v>1057642</v>
      </c>
      <c r="F9" s="39">
        <v>335686</v>
      </c>
      <c r="G9" s="40">
        <f t="shared" si="0"/>
        <v>4971186</v>
      </c>
    </row>
    <row r="10" spans="1:7" ht="15.75" customHeight="1">
      <c r="A10" s="38" t="s">
        <v>905</v>
      </c>
      <c r="B10" s="39">
        <v>1130000</v>
      </c>
      <c r="C10" s="224" t="s">
        <v>888</v>
      </c>
      <c r="D10" s="39"/>
      <c r="E10" s="39">
        <v>1130000</v>
      </c>
      <c r="F10" s="39">
        <v>1130000</v>
      </c>
      <c r="G10" s="40">
        <f t="shared" si="0"/>
        <v>1130000</v>
      </c>
    </row>
    <row r="11" spans="1:7" ht="15.75" customHeight="1">
      <c r="A11" s="38" t="s">
        <v>906</v>
      </c>
      <c r="B11" s="39">
        <v>31578947</v>
      </c>
      <c r="C11" s="224" t="s">
        <v>948</v>
      </c>
      <c r="D11" s="39"/>
      <c r="E11" s="39">
        <v>495300</v>
      </c>
      <c r="F11" s="39">
        <v>495300</v>
      </c>
      <c r="G11" s="40">
        <f t="shared" si="0"/>
        <v>495300</v>
      </c>
    </row>
    <row r="12" spans="1:7" ht="15.75" customHeight="1">
      <c r="A12" s="38"/>
      <c r="B12" s="39"/>
      <c r="C12" s="224"/>
      <c r="D12" s="39"/>
      <c r="E12" s="39"/>
      <c r="F12" s="39"/>
      <c r="G12" s="40">
        <f t="shared" si="0"/>
        <v>0</v>
      </c>
    </row>
    <row r="13" spans="1:7" ht="15.75" customHeight="1">
      <c r="A13" s="38"/>
      <c r="B13" s="39"/>
      <c r="C13" s="224"/>
      <c r="D13" s="39"/>
      <c r="E13" s="39"/>
      <c r="F13" s="39"/>
      <c r="G13" s="40">
        <f t="shared" si="0"/>
        <v>0</v>
      </c>
    </row>
    <row r="14" spans="1:7" ht="15.75" customHeight="1">
      <c r="A14" s="38"/>
      <c r="B14" s="39"/>
      <c r="C14" s="224"/>
      <c r="D14" s="39"/>
      <c r="E14" s="39"/>
      <c r="F14" s="39"/>
      <c r="G14" s="40">
        <f t="shared" si="0"/>
        <v>0</v>
      </c>
    </row>
    <row r="15" spans="1:7" ht="15.75" customHeight="1">
      <c r="A15" s="38"/>
      <c r="B15" s="39"/>
      <c r="C15" s="224"/>
      <c r="D15" s="39"/>
      <c r="E15" s="39"/>
      <c r="F15" s="39"/>
      <c r="G15" s="40">
        <f t="shared" si="0"/>
        <v>0</v>
      </c>
    </row>
    <row r="16" spans="1:7" ht="15.75" customHeight="1">
      <c r="A16" s="38"/>
      <c r="B16" s="39"/>
      <c r="C16" s="224"/>
      <c r="D16" s="39"/>
      <c r="E16" s="39"/>
      <c r="F16" s="39"/>
      <c r="G16" s="40">
        <f t="shared" si="0"/>
        <v>0</v>
      </c>
    </row>
    <row r="17" spans="1:7" ht="15.75" customHeight="1">
      <c r="A17" s="38"/>
      <c r="B17" s="39"/>
      <c r="C17" s="224"/>
      <c r="D17" s="39"/>
      <c r="E17" s="39"/>
      <c r="F17" s="39"/>
      <c r="G17" s="40">
        <f t="shared" si="0"/>
        <v>0</v>
      </c>
    </row>
    <row r="18" spans="1:7" ht="15.75" customHeight="1">
      <c r="A18" s="38"/>
      <c r="B18" s="39"/>
      <c r="C18" s="224"/>
      <c r="D18" s="39"/>
      <c r="E18" s="39"/>
      <c r="F18" s="39"/>
      <c r="G18" s="40">
        <f t="shared" si="0"/>
        <v>0</v>
      </c>
    </row>
    <row r="19" spans="1:7" ht="15.75" customHeight="1">
      <c r="A19" s="38"/>
      <c r="B19" s="39"/>
      <c r="C19" s="224"/>
      <c r="D19" s="39"/>
      <c r="E19" s="39"/>
      <c r="F19" s="39"/>
      <c r="G19" s="40">
        <f t="shared" si="0"/>
        <v>0</v>
      </c>
    </row>
    <row r="20" spans="1:7" ht="15.75" customHeight="1">
      <c r="A20" s="38"/>
      <c r="B20" s="39"/>
      <c r="C20" s="224"/>
      <c r="D20" s="39"/>
      <c r="E20" s="39"/>
      <c r="F20" s="39"/>
      <c r="G20" s="40">
        <f t="shared" si="0"/>
        <v>0</v>
      </c>
    </row>
    <row r="21" spans="1:7" ht="15.75" customHeight="1">
      <c r="A21" s="38"/>
      <c r="B21" s="39"/>
      <c r="C21" s="224"/>
      <c r="D21" s="39"/>
      <c r="E21" s="39"/>
      <c r="F21" s="39"/>
      <c r="G21" s="40">
        <f t="shared" si="0"/>
        <v>0</v>
      </c>
    </row>
    <row r="22" spans="1:7" ht="15.75" customHeight="1">
      <c r="A22" s="38"/>
      <c r="B22" s="39"/>
      <c r="C22" s="224"/>
      <c r="D22" s="39"/>
      <c r="E22" s="39"/>
      <c r="F22" s="39"/>
      <c r="G22" s="40">
        <f t="shared" si="0"/>
        <v>0</v>
      </c>
    </row>
    <row r="23" spans="1:7" ht="15.75" customHeight="1">
      <c r="A23" s="38"/>
      <c r="B23" s="39"/>
      <c r="C23" s="224"/>
      <c r="D23" s="39"/>
      <c r="E23" s="39"/>
      <c r="F23" s="39"/>
      <c r="G23" s="40">
        <f t="shared" si="0"/>
        <v>0</v>
      </c>
    </row>
    <row r="24" spans="1:7" ht="15.75" customHeight="1">
      <c r="A24" s="38"/>
      <c r="B24" s="39"/>
      <c r="C24" s="224"/>
      <c r="D24" s="39"/>
      <c r="E24" s="39"/>
      <c r="F24" s="39"/>
      <c r="G24" s="40">
        <f t="shared" si="0"/>
        <v>0</v>
      </c>
    </row>
    <row r="25" spans="1:7" ht="15.75" customHeight="1" thickBot="1">
      <c r="A25" s="41"/>
      <c r="B25" s="42"/>
      <c r="C25" s="224"/>
      <c r="D25" s="42"/>
      <c r="E25" s="42"/>
      <c r="F25" s="42"/>
      <c r="G25" s="40">
        <f t="shared" si="0"/>
        <v>0</v>
      </c>
    </row>
    <row r="26" spans="1:7" s="37" customFormat="1" ht="18" customHeight="1" thickBot="1">
      <c r="A26" s="72" t="s">
        <v>47</v>
      </c>
      <c r="B26" s="73">
        <f>SUM(B7:B25)</f>
        <v>180994612</v>
      </c>
      <c r="C26" s="54"/>
      <c r="D26" s="73">
        <f>SUM(D7:D25)</f>
        <v>7493000</v>
      </c>
      <c r="E26" s="73">
        <f>SUM(E7:E25)</f>
        <v>152852391</v>
      </c>
      <c r="F26" s="73">
        <f>SUM(F7:F25)</f>
        <v>8882486</v>
      </c>
      <c r="G26" s="43">
        <f>SUM(G7:G25)</f>
        <v>16375486</v>
      </c>
    </row>
  </sheetData>
  <sheetProtection sheet="1"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="120" zoomScaleNormal="120" zoomScaleSheetLayoutView="100" workbookViewId="0" topLeftCell="A1">
      <selection activeCell="B6" sqref="B6:I6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785" t="str">
        <f>CONCATENATE("5.1 melléklet ",Z_ALAPADATOK!A7," ",Z_ALAPADATOK!B7," ",Z_ALAPADATOK!C7," ",Z_ALAPADATOK!D7," ",Z_ALAPADATOK!E7," ",Z_ALAPADATOK!F7," ",Z_ALAPADATOK!G7," ",Z_ALAPADATOK!H7)</f>
        <v>5.1 melléklet a … / 2019. ( … ) önkormányzati rendelethez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</row>
    <row r="2" spans="1:13" ht="15.75">
      <c r="A2" s="786" t="s">
        <v>531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</row>
    <row r="3" spans="1:13" ht="15.75">
      <c r="A3" s="787" t="s">
        <v>532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</row>
    <row r="4" spans="1:14" ht="15.75" customHeight="1">
      <c r="A4" s="782" t="s">
        <v>937</v>
      </c>
      <c r="B4" s="782"/>
      <c r="C4" s="782"/>
      <c r="D4" s="807" t="s">
        <v>936</v>
      </c>
      <c r="E4" s="807"/>
      <c r="F4" s="807"/>
      <c r="G4" s="807"/>
      <c r="H4" s="807"/>
      <c r="I4" s="807"/>
      <c r="J4" s="807"/>
      <c r="K4" s="807"/>
      <c r="L4" s="807"/>
      <c r="M4" s="807"/>
      <c r="N4" s="795"/>
    </row>
    <row r="5" spans="1:14" ht="15.75" thickBot="1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796" t="str">
        <f>'Z_4.sz.mell.'!G4</f>
        <v> Forintban!</v>
      </c>
      <c r="M5" s="796"/>
      <c r="N5" s="795"/>
    </row>
    <row r="6" spans="1:14" ht="13.5" thickBot="1">
      <c r="A6" s="797" t="s">
        <v>84</v>
      </c>
      <c r="B6" s="800" t="s">
        <v>449</v>
      </c>
      <c r="C6" s="800"/>
      <c r="D6" s="800"/>
      <c r="E6" s="800"/>
      <c r="F6" s="800"/>
      <c r="G6" s="800"/>
      <c r="H6" s="800"/>
      <c r="I6" s="800"/>
      <c r="J6" s="801" t="s">
        <v>450</v>
      </c>
      <c r="K6" s="801"/>
      <c r="L6" s="801"/>
      <c r="M6" s="801"/>
      <c r="N6" s="795"/>
    </row>
    <row r="7" spans="1:14" ht="15" customHeight="1" thickBot="1">
      <c r="A7" s="798"/>
      <c r="B7" s="783" t="s">
        <v>451</v>
      </c>
      <c r="C7" s="784" t="s">
        <v>452</v>
      </c>
      <c r="D7" s="790" t="s">
        <v>453</v>
      </c>
      <c r="E7" s="790"/>
      <c r="F7" s="790"/>
      <c r="G7" s="790"/>
      <c r="H7" s="790"/>
      <c r="I7" s="790"/>
      <c r="J7" s="802"/>
      <c r="K7" s="802"/>
      <c r="L7" s="802"/>
      <c r="M7" s="802"/>
      <c r="N7" s="795"/>
    </row>
    <row r="8" spans="1:14" ht="21.75" thickBot="1">
      <c r="A8" s="798"/>
      <c r="B8" s="783"/>
      <c r="C8" s="784"/>
      <c r="D8" s="283" t="s">
        <v>451</v>
      </c>
      <c r="E8" s="283" t="s">
        <v>452</v>
      </c>
      <c r="F8" s="283" t="s">
        <v>451</v>
      </c>
      <c r="G8" s="283" t="s">
        <v>452</v>
      </c>
      <c r="H8" s="283" t="s">
        <v>451</v>
      </c>
      <c r="I8" s="283" t="s">
        <v>452</v>
      </c>
      <c r="J8" s="802"/>
      <c r="K8" s="802"/>
      <c r="L8" s="802"/>
      <c r="M8" s="802"/>
      <c r="N8" s="795"/>
    </row>
    <row r="9" spans="1:14" ht="32.25" thickBot="1">
      <c r="A9" s="799"/>
      <c r="B9" s="784" t="s">
        <v>454</v>
      </c>
      <c r="C9" s="784"/>
      <c r="D9" s="784" t="str">
        <f>+CONCATENATE(LEFT(Z_ÖSSZEFÜGGÉSEK!A6,4),". előtt")</f>
        <v>2018. előtt</v>
      </c>
      <c r="E9" s="784"/>
      <c r="F9" s="794" t="str">
        <f>+CONCATENATE(LEFT(Z_ÖSSZEFÜGGÉSEK!A6,4),". XII.31.")</f>
        <v>2018. XII.31.</v>
      </c>
      <c r="G9" s="794"/>
      <c r="H9" s="783" t="str">
        <f>+CONCATENATE(LEFT(Z_ÖSSZEFÜGGÉSEK!A6,4),". után")</f>
        <v>2018. után</v>
      </c>
      <c r="I9" s="783"/>
      <c r="J9" s="371" t="str">
        <f>+D9</f>
        <v>2018. előtt</v>
      </c>
      <c r="K9" s="370" t="str">
        <f>+F9</f>
        <v>2018. XII.31.</v>
      </c>
      <c r="L9" s="282" t="s">
        <v>37</v>
      </c>
      <c r="M9" s="370" t="str">
        <f>+CONCATENATE("Teljesítés %-a ",LEFT(Z_ÖSSZEFÜGGÉSEK!A6,4),". XII. 31-ig")</f>
        <v>Teljesítés %-a 2018. XII. 31-ig</v>
      </c>
      <c r="N9" s="795"/>
    </row>
    <row r="10" spans="1:14" ht="13.5" thickBot="1">
      <c r="A10" s="284" t="s">
        <v>389</v>
      </c>
      <c r="B10" s="282" t="s">
        <v>390</v>
      </c>
      <c r="C10" s="282" t="s">
        <v>391</v>
      </c>
      <c r="D10" s="285" t="s">
        <v>393</v>
      </c>
      <c r="E10" s="283" t="s">
        <v>392</v>
      </c>
      <c r="F10" s="283" t="s">
        <v>394</v>
      </c>
      <c r="G10" s="283" t="s">
        <v>395</v>
      </c>
      <c r="H10" s="282" t="s">
        <v>396</v>
      </c>
      <c r="I10" s="285" t="s">
        <v>427</v>
      </c>
      <c r="J10" s="285" t="s">
        <v>455</v>
      </c>
      <c r="K10" s="285" t="s">
        <v>456</v>
      </c>
      <c r="L10" s="285" t="s">
        <v>457</v>
      </c>
      <c r="M10" s="286" t="s">
        <v>458</v>
      </c>
      <c r="N10" s="795"/>
    </row>
    <row r="11" spans="1:14" ht="12.75">
      <c r="A11" s="287" t="s">
        <v>85</v>
      </c>
      <c r="B11" s="332">
        <v>0</v>
      </c>
      <c r="C11" s="333">
        <v>1185799</v>
      </c>
      <c r="D11" s="333">
        <v>0</v>
      </c>
      <c r="E11" s="334">
        <v>0</v>
      </c>
      <c r="F11" s="333">
        <v>0</v>
      </c>
      <c r="G11" s="333">
        <v>0</v>
      </c>
      <c r="H11" s="333">
        <v>0</v>
      </c>
      <c r="I11" s="333">
        <v>1185799</v>
      </c>
      <c r="J11" s="333">
        <v>0</v>
      </c>
      <c r="K11" s="333">
        <v>0</v>
      </c>
      <c r="L11" s="335">
        <f aca="true" t="shared" si="0" ref="L11:L17">+J11+K11</f>
        <v>0</v>
      </c>
      <c r="M11" s="336">
        <f>IF((C11&lt;&gt;0),ROUND((L11/C11)*100,1),"")</f>
        <v>0</v>
      </c>
      <c r="N11" s="795"/>
    </row>
    <row r="12" spans="1:14" ht="12.75">
      <c r="A12" s="289" t="s">
        <v>97</v>
      </c>
      <c r="B12" s="337"/>
      <c r="C12" s="338"/>
      <c r="D12" s="338"/>
      <c r="E12" s="338"/>
      <c r="F12" s="338"/>
      <c r="G12" s="338"/>
      <c r="H12" s="338"/>
      <c r="I12" s="338"/>
      <c r="J12" s="338"/>
      <c r="K12" s="338"/>
      <c r="L12" s="339">
        <f t="shared" si="0"/>
        <v>0</v>
      </c>
      <c r="M12" s="340">
        <f aca="true" t="shared" si="1" ref="M12:M17">IF((C12&lt;&gt;0),ROUND((L12/C12)*100,1),"")</f>
      </c>
      <c r="N12" s="795"/>
    </row>
    <row r="13" spans="1:14" ht="12.75">
      <c r="A13" s="290" t="s">
        <v>86</v>
      </c>
      <c r="B13" s="341">
        <v>110396273</v>
      </c>
      <c r="C13" s="348">
        <v>110396273</v>
      </c>
      <c r="D13" s="341">
        <v>110396273</v>
      </c>
      <c r="E13" s="341">
        <v>110396273</v>
      </c>
      <c r="F13" s="342"/>
      <c r="G13" s="342"/>
      <c r="H13" s="342">
        <f>B13-F13-D13</f>
        <v>0</v>
      </c>
      <c r="I13" s="342">
        <f>C13-G13-E13</f>
        <v>0</v>
      </c>
      <c r="J13" s="342">
        <v>110396273</v>
      </c>
      <c r="K13" s="342"/>
      <c r="L13" s="339">
        <f t="shared" si="0"/>
        <v>110396273</v>
      </c>
      <c r="M13" s="340">
        <f t="shared" si="1"/>
        <v>100</v>
      </c>
      <c r="N13" s="795"/>
    </row>
    <row r="14" spans="1:14" ht="12.75">
      <c r="A14" s="290" t="s">
        <v>98</v>
      </c>
      <c r="B14" s="341"/>
      <c r="C14" s="342"/>
      <c r="D14" s="342"/>
      <c r="E14" s="342"/>
      <c r="F14" s="342"/>
      <c r="G14" s="342"/>
      <c r="H14" s="342"/>
      <c r="I14" s="342"/>
      <c r="J14" s="342"/>
      <c r="K14" s="342"/>
      <c r="L14" s="339">
        <f t="shared" si="0"/>
        <v>0</v>
      </c>
      <c r="M14" s="340">
        <f t="shared" si="1"/>
      </c>
      <c r="N14" s="795"/>
    </row>
    <row r="15" spans="1:14" ht="12.75">
      <c r="A15" s="290" t="s">
        <v>87</v>
      </c>
      <c r="B15" s="341"/>
      <c r="C15" s="342"/>
      <c r="D15" s="342"/>
      <c r="E15" s="342"/>
      <c r="F15" s="342"/>
      <c r="G15" s="342"/>
      <c r="H15" s="342"/>
      <c r="I15" s="342"/>
      <c r="J15" s="342"/>
      <c r="K15" s="342"/>
      <c r="L15" s="339">
        <f t="shared" si="0"/>
        <v>0</v>
      </c>
      <c r="M15" s="340">
        <f t="shared" si="1"/>
      </c>
      <c r="N15" s="795"/>
    </row>
    <row r="16" spans="1:14" ht="12.75">
      <c r="A16" s="290" t="s">
        <v>88</v>
      </c>
      <c r="B16" s="341"/>
      <c r="C16" s="342"/>
      <c r="D16" s="342"/>
      <c r="E16" s="342"/>
      <c r="F16" s="342"/>
      <c r="G16" s="342"/>
      <c r="H16" s="342"/>
      <c r="I16" s="342"/>
      <c r="J16" s="342"/>
      <c r="K16" s="342"/>
      <c r="L16" s="339">
        <f t="shared" si="0"/>
        <v>0</v>
      </c>
      <c r="M16" s="340">
        <f t="shared" si="1"/>
      </c>
      <c r="N16" s="795"/>
    </row>
    <row r="17" spans="1:14" ht="15" customHeight="1" thickBot="1">
      <c r="A17" s="291"/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39">
        <f t="shared" si="0"/>
        <v>0</v>
      </c>
      <c r="M17" s="345">
        <f t="shared" si="1"/>
      </c>
      <c r="N17" s="795"/>
    </row>
    <row r="18" spans="1:14" ht="13.5" thickBot="1">
      <c r="A18" s="293" t="s">
        <v>90</v>
      </c>
      <c r="B18" s="346">
        <f>B11+SUM(B13:B17)</f>
        <v>110396273</v>
      </c>
      <c r="C18" s="346">
        <f aca="true" t="shared" si="2" ref="C18:L18">C11+SUM(C13:C17)</f>
        <v>111582072</v>
      </c>
      <c r="D18" s="346">
        <f t="shared" si="2"/>
        <v>110396273</v>
      </c>
      <c r="E18" s="346">
        <f t="shared" si="2"/>
        <v>110396273</v>
      </c>
      <c r="F18" s="346">
        <f t="shared" si="2"/>
        <v>0</v>
      </c>
      <c r="G18" s="346">
        <f t="shared" si="2"/>
        <v>0</v>
      </c>
      <c r="H18" s="346">
        <f t="shared" si="2"/>
        <v>0</v>
      </c>
      <c r="I18" s="346">
        <f t="shared" si="2"/>
        <v>1185799</v>
      </c>
      <c r="J18" s="346">
        <f t="shared" si="2"/>
        <v>110396273</v>
      </c>
      <c r="K18" s="346">
        <f t="shared" si="2"/>
        <v>0</v>
      </c>
      <c r="L18" s="346">
        <f t="shared" si="2"/>
        <v>110396273</v>
      </c>
      <c r="M18" s="347">
        <f>IF((C18&lt;&gt;0),ROUND((L18/C18)*100,1),"")</f>
        <v>98.9</v>
      </c>
      <c r="N18" s="795"/>
    </row>
    <row r="19" spans="1:14" ht="12.75">
      <c r="A19" s="294"/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795"/>
    </row>
    <row r="20" spans="1:14" ht="13.5" thickBot="1">
      <c r="A20" s="297" t="s">
        <v>89</v>
      </c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795"/>
    </row>
    <row r="21" spans="1:14" ht="12.75">
      <c r="A21" s="300" t="s">
        <v>93</v>
      </c>
      <c r="B21" s="349">
        <v>705300</v>
      </c>
      <c r="C21" s="350">
        <v>705300</v>
      </c>
      <c r="D21" s="350">
        <v>0</v>
      </c>
      <c r="E21" s="351">
        <v>0</v>
      </c>
      <c r="F21" s="350">
        <v>0</v>
      </c>
      <c r="G21" s="350">
        <v>0</v>
      </c>
      <c r="H21" s="350">
        <v>705300</v>
      </c>
      <c r="I21" s="350">
        <v>705300</v>
      </c>
      <c r="J21" s="350">
        <v>0</v>
      </c>
      <c r="K21" s="350">
        <v>0</v>
      </c>
      <c r="L21" s="352">
        <f>+J21+K21</f>
        <v>0</v>
      </c>
      <c r="M21" s="353">
        <f aca="true" t="shared" si="3" ref="M21:M26">IF((C21&lt;&gt;0),ROUND((L21/C21)*100,1),"")</f>
        <v>0</v>
      </c>
      <c r="N21" s="795"/>
    </row>
    <row r="22" spans="1:14" ht="12.75">
      <c r="A22" s="301" t="s">
        <v>94</v>
      </c>
      <c r="B22" s="354">
        <v>99309885</v>
      </c>
      <c r="C22" s="348">
        <v>100495684</v>
      </c>
      <c r="D22" s="348">
        <v>1778000</v>
      </c>
      <c r="E22" s="348">
        <v>1778000</v>
      </c>
      <c r="F22" s="348">
        <v>50204367</v>
      </c>
      <c r="G22" s="348">
        <v>50204367</v>
      </c>
      <c r="H22" s="348">
        <v>47327518</v>
      </c>
      <c r="I22" s="348">
        <v>48513317</v>
      </c>
      <c r="J22" s="348">
        <v>1778000</v>
      </c>
      <c r="K22" s="348">
        <v>50204367</v>
      </c>
      <c r="L22" s="355">
        <f>+J22+K22</f>
        <v>51982367</v>
      </c>
      <c r="M22" s="356">
        <f t="shared" si="3"/>
        <v>51.7</v>
      </c>
      <c r="N22" s="795"/>
    </row>
    <row r="23" spans="1:14" ht="12.75">
      <c r="A23" s="301" t="s">
        <v>95</v>
      </c>
      <c r="B23" s="357">
        <v>10381088</v>
      </c>
      <c r="C23" s="357">
        <v>10381088</v>
      </c>
      <c r="D23" s="348">
        <v>1109500</v>
      </c>
      <c r="E23" s="348">
        <v>1109500</v>
      </c>
      <c r="F23" s="348">
        <v>4635500</v>
      </c>
      <c r="G23" s="348">
        <v>4635500</v>
      </c>
      <c r="H23" s="348">
        <v>4636088</v>
      </c>
      <c r="I23" s="348">
        <v>4636088</v>
      </c>
      <c r="J23" s="348">
        <v>1109500</v>
      </c>
      <c r="K23" s="348">
        <v>4635500</v>
      </c>
      <c r="L23" s="355">
        <f>+J23+K23</f>
        <v>5745000</v>
      </c>
      <c r="M23" s="356">
        <f t="shared" si="3"/>
        <v>55.3</v>
      </c>
      <c r="N23" s="795"/>
    </row>
    <row r="24" spans="1:14" ht="12.75">
      <c r="A24" s="301" t="s">
        <v>96</v>
      </c>
      <c r="B24" s="357"/>
      <c r="C24" s="348"/>
      <c r="D24" s="348"/>
      <c r="E24" s="348"/>
      <c r="F24" s="348"/>
      <c r="G24" s="348"/>
      <c r="H24" s="348"/>
      <c r="I24" s="348"/>
      <c r="J24" s="348"/>
      <c r="K24" s="348"/>
      <c r="L24" s="355">
        <f>+J24+K24</f>
        <v>0</v>
      </c>
      <c r="M24" s="356">
        <f t="shared" si="3"/>
      </c>
      <c r="N24" s="795"/>
    </row>
    <row r="25" spans="1:14" ht="13.5" thickBot="1">
      <c r="A25" s="302"/>
      <c r="B25" s="358"/>
      <c r="C25" s="359"/>
      <c r="D25" s="359"/>
      <c r="E25" s="359"/>
      <c r="F25" s="359"/>
      <c r="G25" s="359"/>
      <c r="H25" s="359"/>
      <c r="I25" s="359"/>
      <c r="J25" s="359"/>
      <c r="K25" s="359"/>
      <c r="L25" s="355">
        <f>+J25+K25</f>
        <v>0</v>
      </c>
      <c r="M25" s="360">
        <f t="shared" si="3"/>
      </c>
      <c r="N25" s="795"/>
    </row>
    <row r="26" spans="1:14" ht="13.5" thickBot="1">
      <c r="A26" s="303" t="s">
        <v>75</v>
      </c>
      <c r="B26" s="361">
        <f aca="true" t="shared" si="4" ref="B26:L26">SUM(B21:B25)</f>
        <v>110396273</v>
      </c>
      <c r="C26" s="361">
        <f t="shared" si="4"/>
        <v>111582072</v>
      </c>
      <c r="D26" s="361">
        <f t="shared" si="4"/>
        <v>2887500</v>
      </c>
      <c r="E26" s="361">
        <f t="shared" si="4"/>
        <v>2887500</v>
      </c>
      <c r="F26" s="361">
        <f t="shared" si="4"/>
        <v>54839867</v>
      </c>
      <c r="G26" s="361">
        <f t="shared" si="4"/>
        <v>54839867</v>
      </c>
      <c r="H26" s="361">
        <f t="shared" si="4"/>
        <v>52668906</v>
      </c>
      <c r="I26" s="361">
        <f t="shared" si="4"/>
        <v>53854705</v>
      </c>
      <c r="J26" s="361">
        <f t="shared" si="4"/>
        <v>2887500</v>
      </c>
      <c r="K26" s="361">
        <f t="shared" si="4"/>
        <v>54839867</v>
      </c>
      <c r="L26" s="361">
        <f t="shared" si="4"/>
        <v>57727367</v>
      </c>
      <c r="M26" s="362">
        <f t="shared" si="3"/>
        <v>51.7</v>
      </c>
      <c r="N26" s="795"/>
    </row>
    <row r="27" spans="1:14" ht="12.75">
      <c r="A27" s="791" t="s">
        <v>526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5"/>
    </row>
    <row r="28" spans="1:14" ht="5.25" customHeigh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795"/>
    </row>
    <row r="29" spans="1:14" ht="15.75">
      <c r="A29" s="79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5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92" t="str">
        <f>L5</f>
        <v> Forintban!</v>
      </c>
      <c r="M30" s="792"/>
      <c r="N30" s="795"/>
    </row>
    <row r="31" spans="1:14" ht="21.75" thickBot="1">
      <c r="A31" s="808" t="s">
        <v>91</v>
      </c>
      <c r="B31" s="809"/>
      <c r="C31" s="809"/>
      <c r="D31" s="809"/>
      <c r="E31" s="809"/>
      <c r="F31" s="809"/>
      <c r="G31" s="809"/>
      <c r="H31" s="809"/>
      <c r="I31" s="809"/>
      <c r="J31" s="809"/>
      <c r="K31" s="305" t="s">
        <v>459</v>
      </c>
      <c r="L31" s="305" t="s">
        <v>460</v>
      </c>
      <c r="M31" s="305" t="s">
        <v>450</v>
      </c>
      <c r="N31" s="795"/>
    </row>
    <row r="32" spans="1:14" ht="12.75">
      <c r="A32" s="788"/>
      <c r="B32" s="789"/>
      <c r="C32" s="789"/>
      <c r="D32" s="789"/>
      <c r="E32" s="789"/>
      <c r="F32" s="789"/>
      <c r="G32" s="789"/>
      <c r="H32" s="789"/>
      <c r="I32" s="789"/>
      <c r="J32" s="789"/>
      <c r="K32" s="288"/>
      <c r="L32" s="306"/>
      <c r="M32" s="306"/>
      <c r="N32" s="795"/>
    </row>
    <row r="33" spans="1:14" ht="13.5" thickBot="1">
      <c r="A33" s="805"/>
      <c r="B33" s="806"/>
      <c r="C33" s="806"/>
      <c r="D33" s="806"/>
      <c r="E33" s="806"/>
      <c r="F33" s="806"/>
      <c r="G33" s="806"/>
      <c r="H33" s="806"/>
      <c r="I33" s="806"/>
      <c r="J33" s="806"/>
      <c r="K33" s="307"/>
      <c r="L33" s="292"/>
      <c r="M33" s="292"/>
      <c r="N33" s="795"/>
    </row>
    <row r="34" spans="1:14" ht="13.5" thickBot="1">
      <c r="A34" s="803" t="s">
        <v>525</v>
      </c>
      <c r="B34" s="804"/>
      <c r="C34" s="804"/>
      <c r="D34" s="804"/>
      <c r="E34" s="804"/>
      <c r="F34" s="804"/>
      <c r="G34" s="804"/>
      <c r="H34" s="804"/>
      <c r="I34" s="804"/>
      <c r="J34" s="804"/>
      <c r="K34" s="308">
        <f>SUM(K32:K33)</f>
        <v>0</v>
      </c>
      <c r="L34" s="308">
        <f>SUM(L32:L33)</f>
        <v>0</v>
      </c>
      <c r="M34" s="308">
        <f>SUM(M32:M33)</f>
        <v>0</v>
      </c>
      <c r="N34" s="795"/>
    </row>
    <row r="35" ht="12.75">
      <c r="N35" s="795"/>
    </row>
    <row r="50" ht="12.75">
      <c r="A50" s="32"/>
    </row>
  </sheetData>
  <sheetProtection/>
  <mergeCells count="24">
    <mergeCell ref="N4:N35"/>
    <mergeCell ref="L5:M5"/>
    <mergeCell ref="A6:A9"/>
    <mergeCell ref="B6:I6"/>
    <mergeCell ref="J6:M8"/>
    <mergeCell ref="A34:J34"/>
    <mergeCell ref="A33:J33"/>
    <mergeCell ref="D4:M4"/>
    <mergeCell ref="A31:J31"/>
    <mergeCell ref="H9:I9"/>
    <mergeCell ref="A32:J32"/>
    <mergeCell ref="D7:I7"/>
    <mergeCell ref="D9:E9"/>
    <mergeCell ref="A27:M27"/>
    <mergeCell ref="C7:C8"/>
    <mergeCell ref="L30:M30"/>
    <mergeCell ref="A29:M29"/>
    <mergeCell ref="F9:G9"/>
    <mergeCell ref="A4:C4"/>
    <mergeCell ref="B7:B8"/>
    <mergeCell ref="B9:C9"/>
    <mergeCell ref="A1:M1"/>
    <mergeCell ref="A2:M2"/>
    <mergeCell ref="A3:M3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="120" zoomScaleNormal="120" zoomScaleSheetLayoutView="100" workbookViewId="0" topLeftCell="A1">
      <selection activeCell="B6" sqref="B6:I6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785" t="str">
        <f>CONCATENATE("5.2 melléklet ",Z_ALAPADATOK!A7," ",Z_ALAPADATOK!B7," ",Z_ALAPADATOK!C7," ",Z_ALAPADATOK!D7," ",Z_ALAPADATOK!E7," ",Z_ALAPADATOK!F7," ",Z_ALAPADATOK!G7," ",Z_ALAPADATOK!H7)</f>
        <v>5.2 melléklet a … / 2019. ( … ) önkormányzati rendelethez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</row>
    <row r="2" spans="1:13" ht="15.75">
      <c r="A2" s="786" t="s">
        <v>531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</row>
    <row r="3" spans="1:13" ht="15.75">
      <c r="A3" s="787" t="s">
        <v>532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</row>
    <row r="4" spans="1:14" ht="15.75" customHeight="1">
      <c r="A4" s="782" t="s">
        <v>448</v>
      </c>
      <c r="B4" s="782"/>
      <c r="C4" s="782"/>
      <c r="D4" s="807" t="s">
        <v>938</v>
      </c>
      <c r="E4" s="807"/>
      <c r="F4" s="807"/>
      <c r="G4" s="807"/>
      <c r="H4" s="807"/>
      <c r="I4" s="807"/>
      <c r="J4" s="807"/>
      <c r="K4" s="807"/>
      <c r="L4" s="807"/>
      <c r="M4" s="807"/>
      <c r="N4" s="795"/>
    </row>
    <row r="5" spans="1:14" ht="15.75" thickBot="1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796" t="str">
        <f>'Z_4.sz.mell.'!G4</f>
        <v> Forintban!</v>
      </c>
      <c r="M5" s="796"/>
      <c r="N5" s="795"/>
    </row>
    <row r="6" spans="1:14" ht="13.5" thickBot="1">
      <c r="A6" s="797" t="s">
        <v>84</v>
      </c>
      <c r="B6" s="800" t="s">
        <v>449</v>
      </c>
      <c r="C6" s="800"/>
      <c r="D6" s="800"/>
      <c r="E6" s="800"/>
      <c r="F6" s="800"/>
      <c r="G6" s="800"/>
      <c r="H6" s="800"/>
      <c r="I6" s="800"/>
      <c r="J6" s="801" t="s">
        <v>450</v>
      </c>
      <c r="K6" s="801"/>
      <c r="L6" s="801"/>
      <c r="M6" s="801"/>
      <c r="N6" s="795"/>
    </row>
    <row r="7" spans="1:14" ht="15" customHeight="1" thickBot="1">
      <c r="A7" s="798"/>
      <c r="B7" s="783" t="s">
        <v>451</v>
      </c>
      <c r="C7" s="784" t="s">
        <v>452</v>
      </c>
      <c r="D7" s="790" t="s">
        <v>453</v>
      </c>
      <c r="E7" s="790"/>
      <c r="F7" s="790"/>
      <c r="G7" s="790"/>
      <c r="H7" s="790"/>
      <c r="I7" s="790"/>
      <c r="J7" s="802"/>
      <c r="K7" s="802"/>
      <c r="L7" s="802"/>
      <c r="M7" s="802"/>
      <c r="N7" s="795"/>
    </row>
    <row r="8" spans="1:14" ht="21.75" thickBot="1">
      <c r="A8" s="798"/>
      <c r="B8" s="783"/>
      <c r="C8" s="784"/>
      <c r="D8" s="283" t="s">
        <v>451</v>
      </c>
      <c r="E8" s="283" t="s">
        <v>452</v>
      </c>
      <c r="F8" s="283" t="s">
        <v>451</v>
      </c>
      <c r="G8" s="283" t="s">
        <v>452</v>
      </c>
      <c r="H8" s="283" t="s">
        <v>451</v>
      </c>
      <c r="I8" s="283" t="s">
        <v>452</v>
      </c>
      <c r="J8" s="802"/>
      <c r="K8" s="802"/>
      <c r="L8" s="802"/>
      <c r="M8" s="802"/>
      <c r="N8" s="795"/>
    </row>
    <row r="9" spans="1:14" ht="32.25" thickBot="1">
      <c r="A9" s="799"/>
      <c r="B9" s="784" t="s">
        <v>454</v>
      </c>
      <c r="C9" s="784"/>
      <c r="D9" s="784" t="str">
        <f>+CONCATENATE(LEFT(Z_ÖSSZEFÜGGÉSEK!A6,4),". előtt")</f>
        <v>2018. előtt</v>
      </c>
      <c r="E9" s="784"/>
      <c r="F9" s="794" t="str">
        <f>+CONCATENATE(LEFT(Z_ÖSSZEFÜGGÉSEK!A6,4),". XII.31.")</f>
        <v>2018. XII.31.</v>
      </c>
      <c r="G9" s="794"/>
      <c r="H9" s="783" t="str">
        <f>+CONCATENATE(LEFT(Z_ÖSSZEFÜGGÉSEK!A6,4),". után")</f>
        <v>2018. után</v>
      </c>
      <c r="I9" s="783"/>
      <c r="J9" s="371" t="str">
        <f>+D9</f>
        <v>2018. előtt</v>
      </c>
      <c r="K9" s="370" t="str">
        <f>+F9</f>
        <v>2018. XII.31.</v>
      </c>
      <c r="L9" s="282" t="s">
        <v>37</v>
      </c>
      <c r="M9" s="370" t="str">
        <f>+CONCATENATE("Teljesítés %-a ",LEFT(Z_ÖSSZEFÜGGÉSEK!A6,4),". XII. 31-ig")</f>
        <v>Teljesítés %-a 2018. XII. 31-ig</v>
      </c>
      <c r="N9" s="795"/>
    </row>
    <row r="10" spans="1:14" ht="13.5" thickBot="1">
      <c r="A10" s="284" t="s">
        <v>389</v>
      </c>
      <c r="B10" s="282" t="s">
        <v>390</v>
      </c>
      <c r="C10" s="282" t="s">
        <v>391</v>
      </c>
      <c r="D10" s="285" t="s">
        <v>393</v>
      </c>
      <c r="E10" s="283" t="s">
        <v>392</v>
      </c>
      <c r="F10" s="283" t="s">
        <v>394</v>
      </c>
      <c r="G10" s="283" t="s">
        <v>395</v>
      </c>
      <c r="H10" s="282" t="s">
        <v>396</v>
      </c>
      <c r="I10" s="285" t="s">
        <v>427</v>
      </c>
      <c r="J10" s="285" t="s">
        <v>455</v>
      </c>
      <c r="K10" s="285" t="s">
        <v>456</v>
      </c>
      <c r="L10" s="285" t="s">
        <v>457</v>
      </c>
      <c r="M10" s="286" t="s">
        <v>458</v>
      </c>
      <c r="N10" s="795"/>
    </row>
    <row r="11" spans="1:14" ht="12.75">
      <c r="A11" s="287" t="s">
        <v>85</v>
      </c>
      <c r="B11" s="332"/>
      <c r="C11" s="333"/>
      <c r="D11" s="333"/>
      <c r="E11" s="334"/>
      <c r="F11" s="333"/>
      <c r="G11" s="333"/>
      <c r="H11" s="333"/>
      <c r="I11" s="333"/>
      <c r="J11" s="333"/>
      <c r="K11" s="333"/>
      <c r="L11" s="335">
        <f aca="true" t="shared" si="0" ref="L11:L17">+J11+K11</f>
        <v>0</v>
      </c>
      <c r="M11" s="336">
        <f>IF((C11&lt;&gt;0),ROUND((L11/C11)*100,1),"")</f>
      </c>
      <c r="N11" s="795"/>
    </row>
    <row r="12" spans="1:14" ht="12.75">
      <c r="A12" s="289" t="s">
        <v>97</v>
      </c>
      <c r="B12" s="337"/>
      <c r="C12" s="338"/>
      <c r="D12" s="338"/>
      <c r="E12" s="338"/>
      <c r="F12" s="338"/>
      <c r="G12" s="338"/>
      <c r="H12" s="338"/>
      <c r="I12" s="338"/>
      <c r="J12" s="338"/>
      <c r="K12" s="338"/>
      <c r="L12" s="339">
        <f t="shared" si="0"/>
        <v>0</v>
      </c>
      <c r="M12" s="340">
        <f aca="true" t="shared" si="1" ref="M12:M17">IF((C12&lt;&gt;0),ROUND((L12/C12)*100,1),"")</f>
      </c>
      <c r="N12" s="795"/>
    </row>
    <row r="13" spans="1:14" ht="12.75">
      <c r="A13" s="290" t="s">
        <v>86</v>
      </c>
      <c r="B13" s="341">
        <v>100387544</v>
      </c>
      <c r="C13" s="348">
        <v>100387544</v>
      </c>
      <c r="D13" s="342">
        <v>0</v>
      </c>
      <c r="E13" s="342">
        <v>0</v>
      </c>
      <c r="F13" s="342">
        <v>100387544</v>
      </c>
      <c r="G13" s="342">
        <v>100387544</v>
      </c>
      <c r="H13" s="342">
        <v>0</v>
      </c>
      <c r="I13" s="342">
        <v>0</v>
      </c>
      <c r="J13" s="342">
        <v>0</v>
      </c>
      <c r="K13" s="342">
        <v>100387544</v>
      </c>
      <c r="L13" s="339">
        <f t="shared" si="0"/>
        <v>100387544</v>
      </c>
      <c r="M13" s="340">
        <f t="shared" si="1"/>
        <v>100</v>
      </c>
      <c r="N13" s="795"/>
    </row>
    <row r="14" spans="1:14" ht="12.75">
      <c r="A14" s="290" t="s">
        <v>98</v>
      </c>
      <c r="B14" s="341"/>
      <c r="C14" s="342"/>
      <c r="D14" s="342"/>
      <c r="E14" s="342"/>
      <c r="F14" s="342"/>
      <c r="G14" s="342"/>
      <c r="H14" s="342"/>
      <c r="I14" s="342"/>
      <c r="J14" s="342"/>
      <c r="K14" s="342"/>
      <c r="L14" s="339">
        <f t="shared" si="0"/>
        <v>0</v>
      </c>
      <c r="M14" s="340">
        <f t="shared" si="1"/>
      </c>
      <c r="N14" s="795"/>
    </row>
    <row r="15" spans="1:14" ht="12.75">
      <c r="A15" s="290" t="s">
        <v>87</v>
      </c>
      <c r="B15" s="341"/>
      <c r="C15" s="342"/>
      <c r="D15" s="342"/>
      <c r="E15" s="342"/>
      <c r="F15" s="342"/>
      <c r="G15" s="342"/>
      <c r="H15" s="342"/>
      <c r="I15" s="342"/>
      <c r="J15" s="342"/>
      <c r="K15" s="342"/>
      <c r="L15" s="339">
        <f t="shared" si="0"/>
        <v>0</v>
      </c>
      <c r="M15" s="340">
        <f t="shared" si="1"/>
      </c>
      <c r="N15" s="795"/>
    </row>
    <row r="16" spans="1:14" ht="12.75">
      <c r="A16" s="290" t="s">
        <v>88</v>
      </c>
      <c r="B16" s="341"/>
      <c r="C16" s="342"/>
      <c r="D16" s="342"/>
      <c r="E16" s="342"/>
      <c r="F16" s="342"/>
      <c r="G16" s="342"/>
      <c r="H16" s="342"/>
      <c r="I16" s="342"/>
      <c r="J16" s="342"/>
      <c r="K16" s="342"/>
      <c r="L16" s="339">
        <f t="shared" si="0"/>
        <v>0</v>
      </c>
      <c r="M16" s="340">
        <f t="shared" si="1"/>
      </c>
      <c r="N16" s="795"/>
    </row>
    <row r="17" spans="1:14" ht="15" customHeight="1" thickBot="1">
      <c r="A17" s="291"/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39">
        <f t="shared" si="0"/>
        <v>0</v>
      </c>
      <c r="M17" s="345">
        <f t="shared" si="1"/>
      </c>
      <c r="N17" s="795"/>
    </row>
    <row r="18" spans="1:14" ht="13.5" thickBot="1">
      <c r="A18" s="293" t="s">
        <v>90</v>
      </c>
      <c r="B18" s="346">
        <f>B11+SUM(B13:B17)</f>
        <v>100387544</v>
      </c>
      <c r="C18" s="346">
        <f aca="true" t="shared" si="2" ref="C18:L18">C11+SUM(C13:C17)</f>
        <v>100387544</v>
      </c>
      <c r="D18" s="346">
        <f t="shared" si="2"/>
        <v>0</v>
      </c>
      <c r="E18" s="346">
        <f t="shared" si="2"/>
        <v>0</v>
      </c>
      <c r="F18" s="346">
        <f t="shared" si="2"/>
        <v>100387544</v>
      </c>
      <c r="G18" s="346">
        <f t="shared" si="2"/>
        <v>100387544</v>
      </c>
      <c r="H18" s="346">
        <f t="shared" si="2"/>
        <v>0</v>
      </c>
      <c r="I18" s="346">
        <f t="shared" si="2"/>
        <v>0</v>
      </c>
      <c r="J18" s="346">
        <f t="shared" si="2"/>
        <v>0</v>
      </c>
      <c r="K18" s="346">
        <f t="shared" si="2"/>
        <v>100387544</v>
      </c>
      <c r="L18" s="346">
        <f t="shared" si="2"/>
        <v>100387544</v>
      </c>
      <c r="M18" s="347">
        <f>IF((C18&lt;&gt;0),ROUND((L18/C18)*100,1),"")</f>
        <v>100</v>
      </c>
      <c r="N18" s="795"/>
    </row>
    <row r="19" spans="1:14" ht="12.75">
      <c r="A19" s="294"/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795"/>
    </row>
    <row r="20" spans="1:14" ht="13.5" thickBot="1">
      <c r="A20" s="297" t="s">
        <v>89</v>
      </c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795"/>
    </row>
    <row r="21" spans="1:14" ht="12.75">
      <c r="A21" s="300" t="s">
        <v>93</v>
      </c>
      <c r="B21" s="349">
        <v>0</v>
      </c>
      <c r="C21" s="350">
        <v>0</v>
      </c>
      <c r="D21" s="350"/>
      <c r="E21" s="351"/>
      <c r="F21" s="350"/>
      <c r="G21" s="350"/>
      <c r="H21" s="350"/>
      <c r="I21" s="350"/>
      <c r="J21" s="350"/>
      <c r="K21" s="350"/>
      <c r="L21" s="352">
        <f>+J21+K21</f>
        <v>0</v>
      </c>
      <c r="M21" s="353">
        <f aca="true" t="shared" si="3" ref="M21:M26">IF((C21&lt;&gt;0),ROUND((L21/C21)*100,1),"")</f>
      </c>
      <c r="N21" s="795"/>
    </row>
    <row r="22" spans="1:14" ht="12.75">
      <c r="A22" s="301" t="s">
        <v>94</v>
      </c>
      <c r="B22" s="348">
        <v>92689680</v>
      </c>
      <c r="C22" s="348">
        <v>92689680</v>
      </c>
      <c r="D22" s="348">
        <v>0</v>
      </c>
      <c r="E22" s="348">
        <v>0</v>
      </c>
      <c r="F22" s="348">
        <v>0</v>
      </c>
      <c r="G22" s="348">
        <v>0</v>
      </c>
      <c r="H22" s="348">
        <f>B22</f>
        <v>92689680</v>
      </c>
      <c r="I22" s="348">
        <f>C22</f>
        <v>92689680</v>
      </c>
      <c r="J22" s="348">
        <v>0</v>
      </c>
      <c r="K22" s="348">
        <v>0</v>
      </c>
      <c r="L22" s="355">
        <f>+J22+K22</f>
        <v>0</v>
      </c>
      <c r="M22" s="356">
        <f t="shared" si="3"/>
        <v>0</v>
      </c>
      <c r="N22" s="795"/>
    </row>
    <row r="23" spans="1:14" ht="12.75">
      <c r="A23" s="301" t="s">
        <v>95</v>
      </c>
      <c r="B23" s="357">
        <v>7697864</v>
      </c>
      <c r="C23" s="357">
        <v>7697864</v>
      </c>
      <c r="D23" s="348">
        <v>0</v>
      </c>
      <c r="E23" s="348">
        <v>0</v>
      </c>
      <c r="F23" s="348">
        <v>0</v>
      </c>
      <c r="G23" s="348">
        <v>0</v>
      </c>
      <c r="H23" s="348">
        <f>B23</f>
        <v>7697864</v>
      </c>
      <c r="I23" s="348">
        <f>C23</f>
        <v>7697864</v>
      </c>
      <c r="J23" s="348">
        <v>0</v>
      </c>
      <c r="K23" s="348">
        <v>0</v>
      </c>
      <c r="L23" s="355">
        <f>+J23+K23</f>
        <v>0</v>
      </c>
      <c r="M23" s="356">
        <f t="shared" si="3"/>
        <v>0</v>
      </c>
      <c r="N23" s="795"/>
    </row>
    <row r="24" spans="1:14" ht="12.75">
      <c r="A24" s="301" t="s">
        <v>96</v>
      </c>
      <c r="B24" s="357"/>
      <c r="C24" s="348"/>
      <c r="D24" s="348"/>
      <c r="E24" s="348"/>
      <c r="F24" s="348"/>
      <c r="G24" s="348"/>
      <c r="H24" s="348"/>
      <c r="I24" s="348"/>
      <c r="J24" s="348"/>
      <c r="K24" s="348"/>
      <c r="L24" s="355">
        <f>+J24+K24</f>
        <v>0</v>
      </c>
      <c r="M24" s="356">
        <f t="shared" si="3"/>
      </c>
      <c r="N24" s="795"/>
    </row>
    <row r="25" spans="1:14" ht="13.5" thickBot="1">
      <c r="A25" s="302"/>
      <c r="B25" s="358"/>
      <c r="C25" s="359"/>
      <c r="D25" s="359"/>
      <c r="E25" s="359"/>
      <c r="F25" s="359"/>
      <c r="G25" s="359"/>
      <c r="H25" s="359"/>
      <c r="I25" s="359"/>
      <c r="J25" s="359"/>
      <c r="K25" s="359"/>
      <c r="L25" s="355">
        <f>+J25+K25</f>
        <v>0</v>
      </c>
      <c r="M25" s="360">
        <f t="shared" si="3"/>
      </c>
      <c r="N25" s="795"/>
    </row>
    <row r="26" spans="1:14" ht="13.5" thickBot="1">
      <c r="A26" s="303" t="s">
        <v>75</v>
      </c>
      <c r="B26" s="361">
        <f aca="true" t="shared" si="4" ref="B26:L26">SUM(B21:B25)</f>
        <v>100387544</v>
      </c>
      <c r="C26" s="361">
        <f t="shared" si="4"/>
        <v>100387544</v>
      </c>
      <c r="D26" s="361">
        <f t="shared" si="4"/>
        <v>0</v>
      </c>
      <c r="E26" s="361">
        <f t="shared" si="4"/>
        <v>0</v>
      </c>
      <c r="F26" s="361">
        <f t="shared" si="4"/>
        <v>0</v>
      </c>
      <c r="G26" s="361">
        <f t="shared" si="4"/>
        <v>0</v>
      </c>
      <c r="H26" s="361">
        <f t="shared" si="4"/>
        <v>100387544</v>
      </c>
      <c r="I26" s="361">
        <f t="shared" si="4"/>
        <v>100387544</v>
      </c>
      <c r="J26" s="361">
        <f t="shared" si="4"/>
        <v>0</v>
      </c>
      <c r="K26" s="361">
        <f t="shared" si="4"/>
        <v>0</v>
      </c>
      <c r="L26" s="361">
        <f t="shared" si="4"/>
        <v>0</v>
      </c>
      <c r="M26" s="362">
        <f t="shared" si="3"/>
        <v>0</v>
      </c>
      <c r="N26" s="795"/>
    </row>
    <row r="27" spans="1:14" ht="12.75">
      <c r="A27" s="791" t="s">
        <v>526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5"/>
    </row>
    <row r="28" spans="1:14" ht="5.25" customHeigh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795"/>
    </row>
    <row r="29" spans="1:14" ht="15.75">
      <c r="A29" s="79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5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92" t="str">
        <f>L5</f>
        <v> Forintban!</v>
      </c>
      <c r="M30" s="792"/>
      <c r="N30" s="795"/>
    </row>
    <row r="31" spans="1:14" ht="21.75" thickBot="1">
      <c r="A31" s="808" t="s">
        <v>91</v>
      </c>
      <c r="B31" s="809"/>
      <c r="C31" s="809"/>
      <c r="D31" s="809"/>
      <c r="E31" s="809"/>
      <c r="F31" s="809"/>
      <c r="G31" s="809"/>
      <c r="H31" s="809"/>
      <c r="I31" s="809"/>
      <c r="J31" s="809"/>
      <c r="K31" s="305" t="s">
        <v>459</v>
      </c>
      <c r="L31" s="305" t="s">
        <v>460</v>
      </c>
      <c r="M31" s="305" t="s">
        <v>450</v>
      </c>
      <c r="N31" s="795"/>
    </row>
    <row r="32" spans="1:14" ht="12.75">
      <c r="A32" s="788"/>
      <c r="B32" s="789"/>
      <c r="C32" s="789"/>
      <c r="D32" s="789"/>
      <c r="E32" s="789"/>
      <c r="F32" s="789"/>
      <c r="G32" s="789"/>
      <c r="H32" s="789"/>
      <c r="I32" s="789"/>
      <c r="J32" s="789"/>
      <c r="K32" s="288"/>
      <c r="L32" s="306"/>
      <c r="M32" s="306"/>
      <c r="N32" s="795"/>
    </row>
    <row r="33" spans="1:14" ht="13.5" thickBot="1">
      <c r="A33" s="805"/>
      <c r="B33" s="806"/>
      <c r="C33" s="806"/>
      <c r="D33" s="806"/>
      <c r="E33" s="806"/>
      <c r="F33" s="806"/>
      <c r="G33" s="806"/>
      <c r="H33" s="806"/>
      <c r="I33" s="806"/>
      <c r="J33" s="806"/>
      <c r="K33" s="307"/>
      <c r="L33" s="292"/>
      <c r="M33" s="292"/>
      <c r="N33" s="795"/>
    </row>
    <row r="34" spans="1:14" ht="13.5" thickBot="1">
      <c r="A34" s="803" t="s">
        <v>525</v>
      </c>
      <c r="B34" s="804"/>
      <c r="C34" s="804"/>
      <c r="D34" s="804"/>
      <c r="E34" s="804"/>
      <c r="F34" s="804"/>
      <c r="G34" s="804"/>
      <c r="H34" s="804"/>
      <c r="I34" s="804"/>
      <c r="J34" s="804"/>
      <c r="K34" s="308">
        <f>SUM(K32:K33)</f>
        <v>0</v>
      </c>
      <c r="L34" s="308">
        <f>SUM(L32:L33)</f>
        <v>0</v>
      </c>
      <c r="M34" s="308">
        <f>SUM(M32:M33)</f>
        <v>0</v>
      </c>
      <c r="N34" s="795"/>
    </row>
    <row r="35" ht="12.75">
      <c r="N35" s="795"/>
    </row>
    <row r="50" ht="12.75">
      <c r="A50" s="32"/>
    </row>
  </sheetData>
  <sheetProtection/>
  <mergeCells count="24">
    <mergeCell ref="A34:J34"/>
    <mergeCell ref="A27:M27"/>
    <mergeCell ref="A29:M29"/>
    <mergeCell ref="L30:M30"/>
    <mergeCell ref="A31:J31"/>
    <mergeCell ref="A32:J32"/>
    <mergeCell ref="A33:J33"/>
    <mergeCell ref="B7:B8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C4"/>
    <mergeCell ref="D4:M4"/>
    <mergeCell ref="N4:N35"/>
    <mergeCell ref="L5:M5"/>
    <mergeCell ref="A6:A9"/>
    <mergeCell ref="B6:I6"/>
    <mergeCell ref="J6:M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="120" zoomScaleNormal="120" zoomScaleSheetLayoutView="100" workbookViewId="0" topLeftCell="A1">
      <selection activeCell="F11" sqref="F11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785" t="str">
        <f>CONCATENATE("5.3 melléklet ",Z_ALAPADATOK!A7," ",Z_ALAPADATOK!B7," ",Z_ALAPADATOK!C7," ",Z_ALAPADATOK!D7," ",Z_ALAPADATOK!E7," ",Z_ALAPADATOK!F7," ",Z_ALAPADATOK!G7," ",Z_ALAPADATOK!H7)</f>
        <v>5.3 melléklet a … / 2019. ( … ) önkormányzati rendelethez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</row>
    <row r="2" spans="1:13" ht="15.75">
      <c r="A2" s="786" t="s">
        <v>531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</row>
    <row r="3" spans="1:13" ht="15.75">
      <c r="A3" s="787" t="s">
        <v>532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</row>
    <row r="4" spans="1:14" ht="15.75" customHeight="1">
      <c r="A4" s="782" t="s">
        <v>448</v>
      </c>
      <c r="B4" s="782"/>
      <c r="C4" s="782"/>
      <c r="D4" s="807" t="s">
        <v>939</v>
      </c>
      <c r="E4" s="807"/>
      <c r="F4" s="807"/>
      <c r="G4" s="807"/>
      <c r="H4" s="807"/>
      <c r="I4" s="807"/>
      <c r="J4" s="807"/>
      <c r="K4" s="807"/>
      <c r="L4" s="807"/>
      <c r="M4" s="807"/>
      <c r="N4" s="795"/>
    </row>
    <row r="5" spans="1:14" ht="15.75" thickBot="1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796" t="str">
        <f>'Z_4.sz.mell.'!G4</f>
        <v> Forintban!</v>
      </c>
      <c r="M5" s="796"/>
      <c r="N5" s="795"/>
    </row>
    <row r="6" spans="1:14" ht="13.5" thickBot="1">
      <c r="A6" s="797" t="s">
        <v>84</v>
      </c>
      <c r="B6" s="800" t="s">
        <v>449</v>
      </c>
      <c r="C6" s="800"/>
      <c r="D6" s="800"/>
      <c r="E6" s="800"/>
      <c r="F6" s="800"/>
      <c r="G6" s="800"/>
      <c r="H6" s="800"/>
      <c r="I6" s="800"/>
      <c r="J6" s="801" t="s">
        <v>450</v>
      </c>
      <c r="K6" s="801"/>
      <c r="L6" s="801"/>
      <c r="M6" s="801"/>
      <c r="N6" s="795"/>
    </row>
    <row r="7" spans="1:14" ht="15" customHeight="1" thickBot="1">
      <c r="A7" s="798"/>
      <c r="B7" s="783" t="s">
        <v>451</v>
      </c>
      <c r="C7" s="784" t="s">
        <v>452</v>
      </c>
      <c r="D7" s="790" t="s">
        <v>453</v>
      </c>
      <c r="E7" s="790"/>
      <c r="F7" s="790"/>
      <c r="G7" s="790"/>
      <c r="H7" s="790"/>
      <c r="I7" s="790"/>
      <c r="J7" s="802"/>
      <c r="K7" s="802"/>
      <c r="L7" s="802"/>
      <c r="M7" s="802"/>
      <c r="N7" s="795"/>
    </row>
    <row r="8" spans="1:14" ht="21.75" thickBot="1">
      <c r="A8" s="798"/>
      <c r="B8" s="783"/>
      <c r="C8" s="784"/>
      <c r="D8" s="283" t="s">
        <v>451</v>
      </c>
      <c r="E8" s="283" t="s">
        <v>452</v>
      </c>
      <c r="F8" s="283" t="s">
        <v>451</v>
      </c>
      <c r="G8" s="283" t="s">
        <v>452</v>
      </c>
      <c r="H8" s="283" t="s">
        <v>451</v>
      </c>
      <c r="I8" s="283" t="s">
        <v>452</v>
      </c>
      <c r="J8" s="802"/>
      <c r="K8" s="802"/>
      <c r="L8" s="802"/>
      <c r="M8" s="802"/>
      <c r="N8" s="795"/>
    </row>
    <row r="9" spans="1:14" ht="32.25" thickBot="1">
      <c r="A9" s="799"/>
      <c r="B9" s="784" t="s">
        <v>454</v>
      </c>
      <c r="C9" s="784"/>
      <c r="D9" s="784" t="str">
        <f>+CONCATENATE(LEFT(Z_ÖSSZEFÜGGÉSEK!A6,4),". előtt")</f>
        <v>2018. előtt</v>
      </c>
      <c r="E9" s="784"/>
      <c r="F9" s="794" t="str">
        <f>+CONCATENATE(LEFT(Z_ÖSSZEFÜGGÉSEK!A6,4),". XII.31.")</f>
        <v>2018. XII.31.</v>
      </c>
      <c r="G9" s="794"/>
      <c r="H9" s="783" t="str">
        <f>+CONCATENATE(LEFT(Z_ÖSSZEFÜGGÉSEK!A6,4),". után")</f>
        <v>2018. után</v>
      </c>
      <c r="I9" s="783"/>
      <c r="J9" s="371" t="str">
        <f>+D9</f>
        <v>2018. előtt</v>
      </c>
      <c r="K9" s="370" t="str">
        <f>+F9</f>
        <v>2018. XII.31.</v>
      </c>
      <c r="L9" s="282" t="s">
        <v>37</v>
      </c>
      <c r="M9" s="370" t="str">
        <f>+CONCATENATE("Teljesítés %-a ",LEFT(Z_ÖSSZEFÜGGÉSEK!A6,4),". XII. 31-ig")</f>
        <v>Teljesítés %-a 2018. XII. 31-ig</v>
      </c>
      <c r="N9" s="795"/>
    </row>
    <row r="10" spans="1:14" ht="13.5" thickBot="1">
      <c r="A10" s="284" t="s">
        <v>389</v>
      </c>
      <c r="B10" s="282" t="s">
        <v>390</v>
      </c>
      <c r="C10" s="282" t="s">
        <v>391</v>
      </c>
      <c r="D10" s="285" t="s">
        <v>393</v>
      </c>
      <c r="E10" s="283" t="s">
        <v>392</v>
      </c>
      <c r="F10" s="283" t="s">
        <v>394</v>
      </c>
      <c r="G10" s="283" t="s">
        <v>395</v>
      </c>
      <c r="H10" s="282" t="s">
        <v>396</v>
      </c>
      <c r="I10" s="285" t="s">
        <v>427</v>
      </c>
      <c r="J10" s="285" t="s">
        <v>455</v>
      </c>
      <c r="K10" s="285" t="s">
        <v>456</v>
      </c>
      <c r="L10" s="285" t="s">
        <v>457</v>
      </c>
      <c r="M10" s="286" t="s">
        <v>458</v>
      </c>
      <c r="N10" s="795"/>
    </row>
    <row r="11" spans="1:14" ht="12.75">
      <c r="A11" s="287" t="s">
        <v>85</v>
      </c>
      <c r="B11" s="332">
        <v>0</v>
      </c>
      <c r="C11" s="333">
        <v>16443546</v>
      </c>
      <c r="D11" s="333">
        <v>0</v>
      </c>
      <c r="E11" s="334">
        <v>0</v>
      </c>
      <c r="F11" s="333">
        <v>0</v>
      </c>
      <c r="G11" s="333">
        <v>0</v>
      </c>
      <c r="H11" s="333">
        <v>0</v>
      </c>
      <c r="I11" s="333">
        <v>16443546</v>
      </c>
      <c r="J11" s="333">
        <v>0</v>
      </c>
      <c r="K11" s="333">
        <v>0</v>
      </c>
      <c r="L11" s="335">
        <f aca="true" t="shared" si="0" ref="L11:L17">+J11+K11</f>
        <v>0</v>
      </c>
      <c r="M11" s="336">
        <f>IF((C11&lt;&gt;0),ROUND((L11/C11)*100,1),"")</f>
        <v>0</v>
      </c>
      <c r="N11" s="795"/>
    </row>
    <row r="12" spans="1:14" ht="12.75">
      <c r="A12" s="289" t="s">
        <v>97</v>
      </c>
      <c r="B12" s="337"/>
      <c r="C12" s="338"/>
      <c r="D12" s="338"/>
      <c r="E12" s="338"/>
      <c r="F12" s="338"/>
      <c r="G12" s="338"/>
      <c r="H12" s="338"/>
      <c r="I12" s="338"/>
      <c r="J12" s="338"/>
      <c r="K12" s="338"/>
      <c r="L12" s="339">
        <f t="shared" si="0"/>
        <v>0</v>
      </c>
      <c r="M12" s="340">
        <f aca="true" t="shared" si="1" ref="M12:M17">IF((C12&lt;&gt;0),ROUND((L12/C12)*100,1),"")</f>
      </c>
      <c r="N12" s="795"/>
    </row>
    <row r="13" spans="1:14" ht="12.75">
      <c r="A13" s="290" t="s">
        <v>86</v>
      </c>
      <c r="B13" s="341">
        <v>101913700</v>
      </c>
      <c r="C13" s="348">
        <v>101913700</v>
      </c>
      <c r="D13" s="341">
        <v>101913700</v>
      </c>
      <c r="E13" s="341">
        <v>101913700</v>
      </c>
      <c r="F13" s="342">
        <v>0</v>
      </c>
      <c r="G13" s="342">
        <v>0</v>
      </c>
      <c r="H13" s="342">
        <v>0</v>
      </c>
      <c r="I13" s="342">
        <v>0</v>
      </c>
      <c r="J13" s="342">
        <v>101913700</v>
      </c>
      <c r="K13" s="342">
        <v>0</v>
      </c>
      <c r="L13" s="339">
        <f t="shared" si="0"/>
        <v>101913700</v>
      </c>
      <c r="M13" s="340">
        <f t="shared" si="1"/>
        <v>100</v>
      </c>
      <c r="N13" s="795"/>
    </row>
    <row r="14" spans="1:14" ht="12.75">
      <c r="A14" s="290" t="s">
        <v>98</v>
      </c>
      <c r="B14" s="341"/>
      <c r="C14" s="342"/>
      <c r="D14" s="342"/>
      <c r="E14" s="342"/>
      <c r="F14" s="342"/>
      <c r="G14" s="342"/>
      <c r="H14" s="342"/>
      <c r="I14" s="342"/>
      <c r="J14" s="342"/>
      <c r="K14" s="342"/>
      <c r="L14" s="339">
        <f t="shared" si="0"/>
        <v>0</v>
      </c>
      <c r="M14" s="340">
        <f t="shared" si="1"/>
      </c>
      <c r="N14" s="795"/>
    </row>
    <row r="15" spans="1:14" ht="12.75">
      <c r="A15" s="290" t="s">
        <v>87</v>
      </c>
      <c r="B15" s="341"/>
      <c r="C15" s="342"/>
      <c r="D15" s="342"/>
      <c r="E15" s="342"/>
      <c r="F15" s="342"/>
      <c r="G15" s="342"/>
      <c r="H15" s="342"/>
      <c r="I15" s="342"/>
      <c r="J15" s="342"/>
      <c r="K15" s="342"/>
      <c r="L15" s="339">
        <f t="shared" si="0"/>
        <v>0</v>
      </c>
      <c r="M15" s="340">
        <f t="shared" si="1"/>
      </c>
      <c r="N15" s="795"/>
    </row>
    <row r="16" spans="1:14" ht="12.75">
      <c r="A16" s="290" t="s">
        <v>88</v>
      </c>
      <c r="B16" s="341"/>
      <c r="C16" s="342"/>
      <c r="D16" s="342"/>
      <c r="E16" s="342"/>
      <c r="F16" s="342"/>
      <c r="G16" s="342"/>
      <c r="H16" s="342"/>
      <c r="I16" s="342"/>
      <c r="J16" s="342"/>
      <c r="K16" s="342"/>
      <c r="L16" s="339">
        <f t="shared" si="0"/>
        <v>0</v>
      </c>
      <c r="M16" s="340">
        <f t="shared" si="1"/>
      </c>
      <c r="N16" s="795"/>
    </row>
    <row r="17" spans="1:14" ht="15" customHeight="1" thickBot="1">
      <c r="A17" s="291"/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39">
        <f t="shared" si="0"/>
        <v>0</v>
      </c>
      <c r="M17" s="345">
        <f t="shared" si="1"/>
      </c>
      <c r="N17" s="795"/>
    </row>
    <row r="18" spans="1:14" ht="13.5" thickBot="1">
      <c r="A18" s="293" t="s">
        <v>90</v>
      </c>
      <c r="B18" s="346">
        <f>B11+SUM(B13:B17)</f>
        <v>101913700</v>
      </c>
      <c r="C18" s="346">
        <f aca="true" t="shared" si="2" ref="C18:L18">C11+SUM(C13:C17)</f>
        <v>118357246</v>
      </c>
      <c r="D18" s="346">
        <f t="shared" si="2"/>
        <v>101913700</v>
      </c>
      <c r="E18" s="346">
        <f t="shared" si="2"/>
        <v>101913700</v>
      </c>
      <c r="F18" s="346">
        <f t="shared" si="2"/>
        <v>0</v>
      </c>
      <c r="G18" s="346">
        <f t="shared" si="2"/>
        <v>0</v>
      </c>
      <c r="H18" s="346">
        <f t="shared" si="2"/>
        <v>0</v>
      </c>
      <c r="I18" s="346">
        <f t="shared" si="2"/>
        <v>16443546</v>
      </c>
      <c r="J18" s="346">
        <f t="shared" si="2"/>
        <v>101913700</v>
      </c>
      <c r="K18" s="346">
        <f t="shared" si="2"/>
        <v>0</v>
      </c>
      <c r="L18" s="346">
        <f t="shared" si="2"/>
        <v>101913700</v>
      </c>
      <c r="M18" s="347">
        <f>IF((C18&lt;&gt;0),ROUND((L18/C18)*100,1),"")</f>
        <v>86.1</v>
      </c>
      <c r="N18" s="795"/>
    </row>
    <row r="19" spans="1:14" ht="12.75">
      <c r="A19" s="294"/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795"/>
    </row>
    <row r="20" spans="1:14" ht="13.5" thickBot="1">
      <c r="A20" s="297" t="s">
        <v>89</v>
      </c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795"/>
    </row>
    <row r="21" spans="1:14" ht="12.75">
      <c r="A21" s="300" t="s">
        <v>93</v>
      </c>
      <c r="B21" s="349"/>
      <c r="C21" s="350"/>
      <c r="D21" s="350"/>
      <c r="E21" s="351"/>
      <c r="F21" s="350"/>
      <c r="G21" s="350"/>
      <c r="H21" s="350"/>
      <c r="I21" s="350"/>
      <c r="J21" s="350"/>
      <c r="K21" s="350"/>
      <c r="L21" s="352">
        <f>+J21+K21</f>
        <v>0</v>
      </c>
      <c r="M21" s="353">
        <f aca="true" t="shared" si="3" ref="M21:M26">IF((C21&lt;&gt;0),ROUND((L21/C21)*100,1),"")</f>
      </c>
      <c r="N21" s="795"/>
    </row>
    <row r="22" spans="1:14" ht="12.75">
      <c r="A22" s="301" t="s">
        <v>94</v>
      </c>
      <c r="B22" s="354">
        <v>93456530</v>
      </c>
      <c r="C22" s="348">
        <v>110969996</v>
      </c>
      <c r="D22" s="348">
        <v>2159000</v>
      </c>
      <c r="E22" s="348">
        <v>2159000</v>
      </c>
      <c r="F22" s="348">
        <v>1270000</v>
      </c>
      <c r="G22" s="348">
        <v>1270000</v>
      </c>
      <c r="H22" s="348">
        <f>B22-D22-F22</f>
        <v>90027530</v>
      </c>
      <c r="I22" s="348">
        <f>C22-E22-G22</f>
        <v>107540996</v>
      </c>
      <c r="J22" s="348">
        <f>D22</f>
        <v>2159000</v>
      </c>
      <c r="K22" s="348">
        <f>F22</f>
        <v>1270000</v>
      </c>
      <c r="L22" s="355">
        <f>+J22+K22</f>
        <v>3429000</v>
      </c>
      <c r="M22" s="356">
        <f t="shared" si="3"/>
        <v>3.1</v>
      </c>
      <c r="N22" s="795"/>
    </row>
    <row r="23" spans="1:14" ht="12.75">
      <c r="A23" s="301" t="s">
        <v>95</v>
      </c>
      <c r="B23" s="357">
        <f>B18-B22</f>
        <v>8457170</v>
      </c>
      <c r="C23" s="348">
        <f>C18-C22</f>
        <v>7387250</v>
      </c>
      <c r="D23" s="348"/>
      <c r="E23" s="348"/>
      <c r="F23" s="348">
        <v>2571750</v>
      </c>
      <c r="G23" s="348">
        <v>2571750</v>
      </c>
      <c r="H23" s="348">
        <f>B23-D23-F23</f>
        <v>5885420</v>
      </c>
      <c r="I23" s="348">
        <f>C23-E23-G23</f>
        <v>4815500</v>
      </c>
      <c r="J23" s="348"/>
      <c r="K23" s="348">
        <f>F23</f>
        <v>2571750</v>
      </c>
      <c r="L23" s="355">
        <f>+J23+K23</f>
        <v>2571750</v>
      </c>
      <c r="M23" s="356">
        <f t="shared" si="3"/>
        <v>34.8</v>
      </c>
      <c r="N23" s="795"/>
    </row>
    <row r="24" spans="1:14" ht="12.75">
      <c r="A24" s="301" t="s">
        <v>96</v>
      </c>
      <c r="B24" s="357"/>
      <c r="C24" s="348"/>
      <c r="D24" s="348"/>
      <c r="E24" s="348"/>
      <c r="F24" s="348"/>
      <c r="G24" s="348"/>
      <c r="H24" s="348"/>
      <c r="I24" s="348"/>
      <c r="J24" s="348"/>
      <c r="K24" s="348"/>
      <c r="L24" s="355">
        <f>+J24+K24</f>
        <v>0</v>
      </c>
      <c r="M24" s="356">
        <f t="shared" si="3"/>
      </c>
      <c r="N24" s="795"/>
    </row>
    <row r="25" spans="1:14" ht="13.5" thickBot="1">
      <c r="A25" s="302"/>
      <c r="B25" s="358"/>
      <c r="C25" s="359"/>
      <c r="D25" s="359"/>
      <c r="E25" s="359"/>
      <c r="F25" s="359"/>
      <c r="G25" s="359"/>
      <c r="H25" s="359"/>
      <c r="I25" s="359"/>
      <c r="J25" s="359"/>
      <c r="K25" s="359"/>
      <c r="L25" s="355">
        <f>+J25+K25</f>
        <v>0</v>
      </c>
      <c r="M25" s="360">
        <f t="shared" si="3"/>
      </c>
      <c r="N25" s="795"/>
    </row>
    <row r="26" spans="1:14" ht="13.5" thickBot="1">
      <c r="A26" s="303" t="s">
        <v>75</v>
      </c>
      <c r="B26" s="361">
        <f aca="true" t="shared" si="4" ref="B26:L26">SUM(B21:B25)</f>
        <v>101913700</v>
      </c>
      <c r="C26" s="361">
        <f t="shared" si="4"/>
        <v>118357246</v>
      </c>
      <c r="D26" s="361">
        <f t="shared" si="4"/>
        <v>2159000</v>
      </c>
      <c r="E26" s="361">
        <f t="shared" si="4"/>
        <v>2159000</v>
      </c>
      <c r="F26" s="361">
        <f t="shared" si="4"/>
        <v>3841750</v>
      </c>
      <c r="G26" s="361">
        <f t="shared" si="4"/>
        <v>3841750</v>
      </c>
      <c r="H26" s="361">
        <f t="shared" si="4"/>
        <v>95912950</v>
      </c>
      <c r="I26" s="361">
        <f t="shared" si="4"/>
        <v>112356496</v>
      </c>
      <c r="J26" s="361">
        <f t="shared" si="4"/>
        <v>2159000</v>
      </c>
      <c r="K26" s="361">
        <f t="shared" si="4"/>
        <v>3841750</v>
      </c>
      <c r="L26" s="361">
        <f t="shared" si="4"/>
        <v>6000750</v>
      </c>
      <c r="M26" s="362">
        <f t="shared" si="3"/>
        <v>5.1</v>
      </c>
      <c r="N26" s="795"/>
    </row>
    <row r="27" spans="1:14" ht="12.75">
      <c r="A27" s="791" t="s">
        <v>526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5"/>
    </row>
    <row r="28" spans="1:14" ht="5.25" customHeigh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795"/>
    </row>
    <row r="29" spans="1:14" ht="15.75">
      <c r="A29" s="79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5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92" t="str">
        <f>L5</f>
        <v> Forintban!</v>
      </c>
      <c r="M30" s="792"/>
      <c r="N30" s="795"/>
    </row>
    <row r="31" spans="1:14" ht="21.75" thickBot="1">
      <c r="A31" s="808" t="s">
        <v>91</v>
      </c>
      <c r="B31" s="809"/>
      <c r="C31" s="809"/>
      <c r="D31" s="809"/>
      <c r="E31" s="809"/>
      <c r="F31" s="809"/>
      <c r="G31" s="809"/>
      <c r="H31" s="809"/>
      <c r="I31" s="809"/>
      <c r="J31" s="809"/>
      <c r="K31" s="305" t="s">
        <v>459</v>
      </c>
      <c r="L31" s="305" t="s">
        <v>460</v>
      </c>
      <c r="M31" s="305" t="s">
        <v>450</v>
      </c>
      <c r="N31" s="795"/>
    </row>
    <row r="32" spans="1:14" ht="12.75">
      <c r="A32" s="788"/>
      <c r="B32" s="789"/>
      <c r="C32" s="789"/>
      <c r="D32" s="789"/>
      <c r="E32" s="789"/>
      <c r="F32" s="789"/>
      <c r="G32" s="789"/>
      <c r="H32" s="789"/>
      <c r="I32" s="789"/>
      <c r="J32" s="789"/>
      <c r="K32" s="288"/>
      <c r="L32" s="306"/>
      <c r="M32" s="306"/>
      <c r="N32" s="795"/>
    </row>
    <row r="33" spans="1:14" ht="13.5" thickBot="1">
      <c r="A33" s="805"/>
      <c r="B33" s="806"/>
      <c r="C33" s="806"/>
      <c r="D33" s="806"/>
      <c r="E33" s="806"/>
      <c r="F33" s="806"/>
      <c r="G33" s="806"/>
      <c r="H33" s="806"/>
      <c r="I33" s="806"/>
      <c r="J33" s="806"/>
      <c r="K33" s="307"/>
      <c r="L33" s="292"/>
      <c r="M33" s="292"/>
      <c r="N33" s="795"/>
    </row>
    <row r="34" spans="1:14" ht="13.5" thickBot="1">
      <c r="A34" s="803" t="s">
        <v>525</v>
      </c>
      <c r="B34" s="804"/>
      <c r="C34" s="804"/>
      <c r="D34" s="804"/>
      <c r="E34" s="804"/>
      <c r="F34" s="804"/>
      <c r="G34" s="804"/>
      <c r="H34" s="804"/>
      <c r="I34" s="804"/>
      <c r="J34" s="804"/>
      <c r="K34" s="308">
        <f>SUM(K32:K33)</f>
        <v>0</v>
      </c>
      <c r="L34" s="308">
        <f>SUM(L32:L33)</f>
        <v>0</v>
      </c>
      <c r="M34" s="308">
        <f>SUM(M32:M33)</f>
        <v>0</v>
      </c>
      <c r="N34" s="795"/>
    </row>
    <row r="35" ht="12.75">
      <c r="N35" s="795"/>
    </row>
    <row r="50" ht="12.75">
      <c r="A50" s="32"/>
    </row>
  </sheetData>
  <sheetProtection/>
  <mergeCells count="24">
    <mergeCell ref="A34:J34"/>
    <mergeCell ref="A27:M27"/>
    <mergeCell ref="A29:M29"/>
    <mergeCell ref="L30:M30"/>
    <mergeCell ref="A31:J31"/>
    <mergeCell ref="A32:J32"/>
    <mergeCell ref="A33:J33"/>
    <mergeCell ref="B7:B8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C4"/>
    <mergeCell ref="D4:M4"/>
    <mergeCell ref="N4:N35"/>
    <mergeCell ref="L5:M5"/>
    <mergeCell ref="A6:A9"/>
    <mergeCell ref="B6:I6"/>
    <mergeCell ref="J6:M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="120" zoomScaleNormal="120" zoomScaleSheetLayoutView="100" workbookViewId="0" topLeftCell="A1">
      <selection activeCell="J10" sqref="J10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785" t="str">
        <f>CONCATENATE("5.4 melléklet ",Z_ALAPADATOK!A7," ",Z_ALAPADATOK!B7," ",Z_ALAPADATOK!C7," ",Z_ALAPADATOK!D7," ",Z_ALAPADATOK!E7," ",Z_ALAPADATOK!F7," ",Z_ALAPADATOK!G7," ",Z_ALAPADATOK!H7)</f>
        <v>5.4 melléklet a … / 2019. ( … ) önkormányzati rendelethez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</row>
    <row r="2" spans="1:13" ht="15.75">
      <c r="A2" s="786" t="s">
        <v>531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</row>
    <row r="3" spans="1:13" ht="15.75">
      <c r="A3" s="787" t="s">
        <v>532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</row>
    <row r="4" spans="1:14" ht="15.75" customHeight="1">
      <c r="A4" s="782" t="s">
        <v>448</v>
      </c>
      <c r="B4" s="782"/>
      <c r="C4" s="782"/>
      <c r="D4" s="807" t="s">
        <v>940</v>
      </c>
      <c r="E4" s="807"/>
      <c r="F4" s="807"/>
      <c r="G4" s="807"/>
      <c r="H4" s="807"/>
      <c r="I4" s="807"/>
      <c r="J4" s="807"/>
      <c r="K4" s="807"/>
      <c r="L4" s="807"/>
      <c r="M4" s="807"/>
      <c r="N4" s="795"/>
    </row>
    <row r="5" spans="1:14" ht="15.75" thickBot="1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796" t="str">
        <f>'Z_4.sz.mell.'!G4</f>
        <v> Forintban!</v>
      </c>
      <c r="M5" s="796"/>
      <c r="N5" s="795"/>
    </row>
    <row r="6" spans="1:14" ht="13.5" thickBot="1">
      <c r="A6" s="797" t="s">
        <v>84</v>
      </c>
      <c r="B6" s="800" t="s">
        <v>449</v>
      </c>
      <c r="C6" s="800"/>
      <c r="D6" s="800"/>
      <c r="E6" s="800"/>
      <c r="F6" s="800"/>
      <c r="G6" s="800"/>
      <c r="H6" s="800"/>
      <c r="I6" s="800"/>
      <c r="J6" s="801" t="s">
        <v>450</v>
      </c>
      <c r="K6" s="801"/>
      <c r="L6" s="801"/>
      <c r="M6" s="801"/>
      <c r="N6" s="795"/>
    </row>
    <row r="7" spans="1:14" ht="15" customHeight="1" thickBot="1">
      <c r="A7" s="798"/>
      <c r="B7" s="783" t="s">
        <v>451</v>
      </c>
      <c r="C7" s="784" t="s">
        <v>452</v>
      </c>
      <c r="D7" s="790" t="s">
        <v>453</v>
      </c>
      <c r="E7" s="790"/>
      <c r="F7" s="790"/>
      <c r="G7" s="790"/>
      <c r="H7" s="790"/>
      <c r="I7" s="790"/>
      <c r="J7" s="802"/>
      <c r="K7" s="802"/>
      <c r="L7" s="802"/>
      <c r="M7" s="802"/>
      <c r="N7" s="795"/>
    </row>
    <row r="8" spans="1:14" ht="21.75" thickBot="1">
      <c r="A8" s="798"/>
      <c r="B8" s="783"/>
      <c r="C8" s="784"/>
      <c r="D8" s="283" t="s">
        <v>451</v>
      </c>
      <c r="E8" s="283" t="s">
        <v>452</v>
      </c>
      <c r="F8" s="283" t="s">
        <v>451</v>
      </c>
      <c r="G8" s="283" t="s">
        <v>452</v>
      </c>
      <c r="H8" s="283" t="s">
        <v>451</v>
      </c>
      <c r="I8" s="283" t="s">
        <v>452</v>
      </c>
      <c r="J8" s="802"/>
      <c r="K8" s="802"/>
      <c r="L8" s="802"/>
      <c r="M8" s="802"/>
      <c r="N8" s="795"/>
    </row>
    <row r="9" spans="1:14" ht="32.25" thickBot="1">
      <c r="A9" s="799"/>
      <c r="B9" s="784" t="s">
        <v>454</v>
      </c>
      <c r="C9" s="784"/>
      <c r="D9" s="784" t="str">
        <f>+CONCATENATE(LEFT(Z_ÖSSZEFÜGGÉSEK!A6,4),". előtt")</f>
        <v>2018. előtt</v>
      </c>
      <c r="E9" s="784"/>
      <c r="F9" s="794" t="str">
        <f>+CONCATENATE(LEFT(Z_ÖSSZEFÜGGÉSEK!A6,4),". XII.31.")</f>
        <v>2018. XII.31.</v>
      </c>
      <c r="G9" s="794"/>
      <c r="H9" s="783" t="str">
        <f>+CONCATENATE(LEFT(Z_ÖSSZEFÜGGÉSEK!A6,4),". után")</f>
        <v>2018. után</v>
      </c>
      <c r="I9" s="783"/>
      <c r="J9" s="371" t="str">
        <f>+D9</f>
        <v>2018. előtt</v>
      </c>
      <c r="K9" s="370" t="str">
        <f>+F9</f>
        <v>2018. XII.31.</v>
      </c>
      <c r="L9" s="282" t="s">
        <v>37</v>
      </c>
      <c r="M9" s="370" t="str">
        <f>+CONCATENATE("Teljesítés %-a ",LEFT(Z_ÖSSZEFÜGGÉSEK!A6,4),". XII. 31-ig")</f>
        <v>Teljesítés %-a 2018. XII. 31-ig</v>
      </c>
      <c r="N9" s="795"/>
    </row>
    <row r="10" spans="1:14" ht="13.5" thickBot="1">
      <c r="A10" s="284" t="s">
        <v>389</v>
      </c>
      <c r="B10" s="282" t="s">
        <v>390</v>
      </c>
      <c r="C10" s="282" t="s">
        <v>391</v>
      </c>
      <c r="D10" s="285" t="s">
        <v>393</v>
      </c>
      <c r="E10" s="283" t="s">
        <v>392</v>
      </c>
      <c r="F10" s="283" t="s">
        <v>394</v>
      </c>
      <c r="G10" s="283" t="s">
        <v>395</v>
      </c>
      <c r="H10" s="282" t="s">
        <v>396</v>
      </c>
      <c r="I10" s="285" t="s">
        <v>427</v>
      </c>
      <c r="J10" s="285" t="s">
        <v>455</v>
      </c>
      <c r="K10" s="285" t="s">
        <v>456</v>
      </c>
      <c r="L10" s="285" t="s">
        <v>457</v>
      </c>
      <c r="M10" s="286" t="s">
        <v>458</v>
      </c>
      <c r="N10" s="795"/>
    </row>
    <row r="11" spans="1:14" ht="12.75">
      <c r="A11" s="287" t="s">
        <v>85</v>
      </c>
      <c r="B11" s="332">
        <v>0</v>
      </c>
      <c r="C11" s="333">
        <v>20421</v>
      </c>
      <c r="D11" s="333"/>
      <c r="E11" s="334"/>
      <c r="F11" s="333"/>
      <c r="G11" s="333"/>
      <c r="H11" s="333">
        <v>0</v>
      </c>
      <c r="I11" s="333">
        <v>20421</v>
      </c>
      <c r="J11" s="333"/>
      <c r="K11" s="333"/>
      <c r="L11" s="335">
        <f aca="true" t="shared" si="0" ref="L11:L17">+J11+K11</f>
        <v>0</v>
      </c>
      <c r="M11" s="336">
        <f>IF((C11&lt;&gt;0),ROUND((L11/C11)*100,1),"")</f>
        <v>0</v>
      </c>
      <c r="N11" s="795"/>
    </row>
    <row r="12" spans="1:14" ht="12.75">
      <c r="A12" s="289" t="s">
        <v>97</v>
      </c>
      <c r="B12" s="337"/>
      <c r="C12" s="338"/>
      <c r="D12" s="338"/>
      <c r="E12" s="338"/>
      <c r="F12" s="338"/>
      <c r="G12" s="338"/>
      <c r="H12" s="338"/>
      <c r="I12" s="338"/>
      <c r="J12" s="338"/>
      <c r="K12" s="338"/>
      <c r="L12" s="339">
        <f t="shared" si="0"/>
        <v>0</v>
      </c>
      <c r="M12" s="340">
        <f aca="true" t="shared" si="1" ref="M12:M17">IF((C12&lt;&gt;0),ROUND((L12/C12)*100,1),"")</f>
      </c>
      <c r="N12" s="795"/>
    </row>
    <row r="13" spans="1:14" ht="12.75">
      <c r="A13" s="290" t="s">
        <v>86</v>
      </c>
      <c r="B13" s="341">
        <v>140000000</v>
      </c>
      <c r="C13" s="341">
        <v>140000000</v>
      </c>
      <c r="D13" s="341">
        <v>140000000</v>
      </c>
      <c r="E13" s="341">
        <v>140000000</v>
      </c>
      <c r="F13" s="342"/>
      <c r="G13" s="342"/>
      <c r="H13" s="342"/>
      <c r="I13" s="342"/>
      <c r="J13" s="341">
        <v>140000000</v>
      </c>
      <c r="K13" s="342"/>
      <c r="L13" s="339">
        <f t="shared" si="0"/>
        <v>140000000</v>
      </c>
      <c r="M13" s="340">
        <f t="shared" si="1"/>
        <v>100</v>
      </c>
      <c r="N13" s="795"/>
    </row>
    <row r="14" spans="1:14" ht="12.75">
      <c r="A14" s="290" t="s">
        <v>98</v>
      </c>
      <c r="B14" s="341"/>
      <c r="C14" s="342"/>
      <c r="D14" s="342"/>
      <c r="E14" s="342"/>
      <c r="F14" s="342"/>
      <c r="G14" s="342"/>
      <c r="H14" s="342"/>
      <c r="I14" s="342"/>
      <c r="J14" s="342"/>
      <c r="K14" s="342"/>
      <c r="L14" s="339">
        <f t="shared" si="0"/>
        <v>0</v>
      </c>
      <c r="M14" s="340">
        <f t="shared" si="1"/>
      </c>
      <c r="N14" s="795"/>
    </row>
    <row r="15" spans="1:14" ht="12.75">
      <c r="A15" s="290" t="s">
        <v>87</v>
      </c>
      <c r="B15" s="341"/>
      <c r="C15" s="342"/>
      <c r="D15" s="342"/>
      <c r="E15" s="342"/>
      <c r="F15" s="342"/>
      <c r="G15" s="342"/>
      <c r="H15" s="342"/>
      <c r="I15" s="342"/>
      <c r="J15" s="342"/>
      <c r="K15" s="342"/>
      <c r="L15" s="339">
        <f t="shared" si="0"/>
        <v>0</v>
      </c>
      <c r="M15" s="340">
        <f t="shared" si="1"/>
      </c>
      <c r="N15" s="795"/>
    </row>
    <row r="16" spans="1:14" ht="12.75">
      <c r="A16" s="290" t="s">
        <v>88</v>
      </c>
      <c r="B16" s="341"/>
      <c r="C16" s="342"/>
      <c r="D16" s="342"/>
      <c r="E16" s="342"/>
      <c r="F16" s="342"/>
      <c r="G16" s="342"/>
      <c r="H16" s="342"/>
      <c r="I16" s="342"/>
      <c r="J16" s="342"/>
      <c r="K16" s="342"/>
      <c r="L16" s="339">
        <f t="shared" si="0"/>
        <v>0</v>
      </c>
      <c r="M16" s="340">
        <f t="shared" si="1"/>
      </c>
      <c r="N16" s="795"/>
    </row>
    <row r="17" spans="1:14" ht="15" customHeight="1" thickBot="1">
      <c r="A17" s="291"/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39">
        <f t="shared" si="0"/>
        <v>0</v>
      </c>
      <c r="M17" s="345">
        <f t="shared" si="1"/>
      </c>
      <c r="N17" s="795"/>
    </row>
    <row r="18" spans="1:14" ht="13.5" thickBot="1">
      <c r="A18" s="293" t="s">
        <v>90</v>
      </c>
      <c r="B18" s="346">
        <f>B11+SUM(B13:B17)</f>
        <v>140000000</v>
      </c>
      <c r="C18" s="346">
        <f aca="true" t="shared" si="2" ref="C18:L18">C11+SUM(C13:C17)</f>
        <v>140020421</v>
      </c>
      <c r="D18" s="346">
        <f t="shared" si="2"/>
        <v>140000000</v>
      </c>
      <c r="E18" s="346">
        <f t="shared" si="2"/>
        <v>140000000</v>
      </c>
      <c r="F18" s="346">
        <f t="shared" si="2"/>
        <v>0</v>
      </c>
      <c r="G18" s="346">
        <f t="shared" si="2"/>
        <v>0</v>
      </c>
      <c r="H18" s="346">
        <f t="shared" si="2"/>
        <v>0</v>
      </c>
      <c r="I18" s="346">
        <f t="shared" si="2"/>
        <v>20421</v>
      </c>
      <c r="J18" s="346">
        <f t="shared" si="2"/>
        <v>140000000</v>
      </c>
      <c r="K18" s="346">
        <f t="shared" si="2"/>
        <v>0</v>
      </c>
      <c r="L18" s="346">
        <f t="shared" si="2"/>
        <v>140000000</v>
      </c>
      <c r="M18" s="347">
        <f>IF((C18&lt;&gt;0),ROUND((L18/C18)*100,1),"")</f>
        <v>100</v>
      </c>
      <c r="N18" s="795"/>
    </row>
    <row r="19" spans="1:14" ht="12.75">
      <c r="A19" s="294"/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795"/>
    </row>
    <row r="20" spans="1:14" ht="13.5" thickBot="1">
      <c r="A20" s="297" t="s">
        <v>89</v>
      </c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795"/>
    </row>
    <row r="21" spans="1:14" ht="12.75">
      <c r="A21" s="300" t="s">
        <v>93</v>
      </c>
      <c r="B21" s="349"/>
      <c r="C21" s="350"/>
      <c r="D21" s="350"/>
      <c r="E21" s="351"/>
      <c r="F21" s="350"/>
      <c r="G21" s="350"/>
      <c r="H21" s="350"/>
      <c r="I21" s="350"/>
      <c r="J21" s="350"/>
      <c r="K21" s="350"/>
      <c r="L21" s="352">
        <f>+J21+K21</f>
        <v>0</v>
      </c>
      <c r="M21" s="353">
        <f aca="true" t="shared" si="3" ref="M21:M26">IF((C21&lt;&gt;0),ROUND((L21/C21)*100,1),"")</f>
      </c>
      <c r="N21" s="795"/>
    </row>
    <row r="22" spans="1:14" ht="12.75">
      <c r="A22" s="301" t="s">
        <v>94</v>
      </c>
      <c r="B22" s="354">
        <v>130282500</v>
      </c>
      <c r="C22" s="348">
        <v>130302921</v>
      </c>
      <c r="D22" s="348">
        <v>2857500</v>
      </c>
      <c r="E22" s="348">
        <v>2857500</v>
      </c>
      <c r="F22" s="348">
        <v>2222500</v>
      </c>
      <c r="G22" s="348">
        <v>2222500</v>
      </c>
      <c r="H22" s="348">
        <f aca="true" t="shared" si="4" ref="H22:I24">B22-D22-F22</f>
        <v>125202500</v>
      </c>
      <c r="I22" s="348">
        <f t="shared" si="4"/>
        <v>125222921</v>
      </c>
      <c r="J22" s="348">
        <f>D22</f>
        <v>2857500</v>
      </c>
      <c r="K22" s="348">
        <f>F22</f>
        <v>2222500</v>
      </c>
      <c r="L22" s="355">
        <f>+J22+K22</f>
        <v>5080000</v>
      </c>
      <c r="M22" s="356">
        <f t="shared" si="3"/>
        <v>3.9</v>
      </c>
      <c r="N22" s="795"/>
    </row>
    <row r="23" spans="1:14" ht="12.75">
      <c r="A23" s="301" t="s">
        <v>95</v>
      </c>
      <c r="B23" s="357">
        <f>B18-B22-B24</f>
        <v>9577500</v>
      </c>
      <c r="C23" s="348">
        <f>C18-C22-C24</f>
        <v>9577500</v>
      </c>
      <c r="D23" s="348"/>
      <c r="E23" s="348"/>
      <c r="F23" s="348">
        <v>2743200</v>
      </c>
      <c r="G23" s="348">
        <v>2743200</v>
      </c>
      <c r="H23" s="348">
        <f t="shared" si="4"/>
        <v>6834300</v>
      </c>
      <c r="I23" s="348">
        <f t="shared" si="4"/>
        <v>6834300</v>
      </c>
      <c r="J23" s="348"/>
      <c r="K23" s="348">
        <f>F23</f>
        <v>2743200</v>
      </c>
      <c r="L23" s="355">
        <f>+J23+K23</f>
        <v>2743200</v>
      </c>
      <c r="M23" s="356">
        <f t="shared" si="3"/>
        <v>28.6</v>
      </c>
      <c r="N23" s="795"/>
    </row>
    <row r="24" spans="1:14" ht="12.75">
      <c r="A24" s="301" t="s">
        <v>96</v>
      </c>
      <c r="B24" s="357">
        <v>140000</v>
      </c>
      <c r="C24" s="348">
        <v>140000</v>
      </c>
      <c r="D24" s="348"/>
      <c r="E24" s="348"/>
      <c r="F24" s="348">
        <v>140000</v>
      </c>
      <c r="G24" s="348">
        <v>140000</v>
      </c>
      <c r="H24" s="348">
        <f t="shared" si="4"/>
        <v>0</v>
      </c>
      <c r="I24" s="348">
        <f t="shared" si="4"/>
        <v>0</v>
      </c>
      <c r="J24" s="348"/>
      <c r="K24" s="348">
        <f>F24</f>
        <v>140000</v>
      </c>
      <c r="L24" s="355">
        <f>+J24+K24</f>
        <v>140000</v>
      </c>
      <c r="M24" s="356">
        <f t="shared" si="3"/>
        <v>100</v>
      </c>
      <c r="N24" s="795"/>
    </row>
    <row r="25" spans="1:14" ht="13.5" thickBot="1">
      <c r="A25" s="302"/>
      <c r="B25" s="358"/>
      <c r="C25" s="359"/>
      <c r="D25" s="359"/>
      <c r="E25" s="359"/>
      <c r="F25" s="359"/>
      <c r="G25" s="359"/>
      <c r="H25" s="359"/>
      <c r="I25" s="359"/>
      <c r="J25" s="359"/>
      <c r="K25" s="359"/>
      <c r="L25" s="355">
        <f>+J25+K25</f>
        <v>0</v>
      </c>
      <c r="M25" s="360">
        <f t="shared" si="3"/>
      </c>
      <c r="N25" s="795"/>
    </row>
    <row r="26" spans="1:14" ht="13.5" thickBot="1">
      <c r="A26" s="303" t="s">
        <v>75</v>
      </c>
      <c r="B26" s="361">
        <f aca="true" t="shared" si="5" ref="B26:L26">SUM(B21:B25)</f>
        <v>140000000</v>
      </c>
      <c r="C26" s="361">
        <f t="shared" si="5"/>
        <v>140020421</v>
      </c>
      <c r="D26" s="361">
        <f t="shared" si="5"/>
        <v>2857500</v>
      </c>
      <c r="E26" s="361">
        <f t="shared" si="5"/>
        <v>2857500</v>
      </c>
      <c r="F26" s="361">
        <f t="shared" si="5"/>
        <v>5105700</v>
      </c>
      <c r="G26" s="361">
        <f t="shared" si="5"/>
        <v>5105700</v>
      </c>
      <c r="H26" s="361">
        <f t="shared" si="5"/>
        <v>132036800</v>
      </c>
      <c r="I26" s="361">
        <f t="shared" si="5"/>
        <v>132057221</v>
      </c>
      <c r="J26" s="361">
        <f t="shared" si="5"/>
        <v>2857500</v>
      </c>
      <c r="K26" s="361">
        <f t="shared" si="5"/>
        <v>5105700</v>
      </c>
      <c r="L26" s="361">
        <f t="shared" si="5"/>
        <v>7963200</v>
      </c>
      <c r="M26" s="362">
        <f t="shared" si="3"/>
        <v>5.7</v>
      </c>
      <c r="N26" s="795"/>
    </row>
    <row r="27" spans="1:14" ht="12.75">
      <c r="A27" s="791" t="s">
        <v>526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5"/>
    </row>
    <row r="28" spans="1:14" ht="5.25" customHeigh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795"/>
    </row>
    <row r="29" spans="1:14" ht="15.75">
      <c r="A29" s="79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5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92" t="str">
        <f>L5</f>
        <v> Forintban!</v>
      </c>
      <c r="M30" s="792"/>
      <c r="N30" s="795"/>
    </row>
    <row r="31" spans="1:14" ht="21.75" thickBot="1">
      <c r="A31" s="808" t="s">
        <v>91</v>
      </c>
      <c r="B31" s="809"/>
      <c r="C31" s="809"/>
      <c r="D31" s="809"/>
      <c r="E31" s="809"/>
      <c r="F31" s="809"/>
      <c r="G31" s="809"/>
      <c r="H31" s="809"/>
      <c r="I31" s="809"/>
      <c r="J31" s="809"/>
      <c r="K31" s="305" t="s">
        <v>459</v>
      </c>
      <c r="L31" s="305" t="s">
        <v>460</v>
      </c>
      <c r="M31" s="305" t="s">
        <v>450</v>
      </c>
      <c r="N31" s="795"/>
    </row>
    <row r="32" spans="1:14" ht="12.75">
      <c r="A32" s="788"/>
      <c r="B32" s="789"/>
      <c r="C32" s="789"/>
      <c r="D32" s="789"/>
      <c r="E32" s="789"/>
      <c r="F32" s="789"/>
      <c r="G32" s="789"/>
      <c r="H32" s="789"/>
      <c r="I32" s="789"/>
      <c r="J32" s="789"/>
      <c r="K32" s="288"/>
      <c r="L32" s="306"/>
      <c r="M32" s="306"/>
      <c r="N32" s="795"/>
    </row>
    <row r="33" spans="1:14" ht="13.5" thickBot="1">
      <c r="A33" s="805"/>
      <c r="B33" s="806"/>
      <c r="C33" s="806"/>
      <c r="D33" s="806"/>
      <c r="E33" s="806"/>
      <c r="F33" s="806"/>
      <c r="G33" s="806"/>
      <c r="H33" s="806"/>
      <c r="I33" s="806"/>
      <c r="J33" s="806"/>
      <c r="K33" s="307"/>
      <c r="L33" s="292"/>
      <c r="M33" s="292"/>
      <c r="N33" s="795"/>
    </row>
    <row r="34" spans="1:14" ht="13.5" thickBot="1">
      <c r="A34" s="803" t="s">
        <v>525</v>
      </c>
      <c r="B34" s="804"/>
      <c r="C34" s="804"/>
      <c r="D34" s="804"/>
      <c r="E34" s="804"/>
      <c r="F34" s="804"/>
      <c r="G34" s="804"/>
      <c r="H34" s="804"/>
      <c r="I34" s="804"/>
      <c r="J34" s="804"/>
      <c r="K34" s="308">
        <f>SUM(K32:K33)</f>
        <v>0</v>
      </c>
      <c r="L34" s="308">
        <f>SUM(L32:L33)</f>
        <v>0</v>
      </c>
      <c r="M34" s="308">
        <f>SUM(M32:M33)</f>
        <v>0</v>
      </c>
      <c r="N34" s="795"/>
    </row>
    <row r="35" ht="12.75">
      <c r="N35" s="795"/>
    </row>
    <row r="50" ht="12.75">
      <c r="A50" s="32"/>
    </row>
  </sheetData>
  <sheetProtection/>
  <mergeCells count="24">
    <mergeCell ref="A34:J34"/>
    <mergeCell ref="A27:M27"/>
    <mergeCell ref="A29:M29"/>
    <mergeCell ref="L30:M30"/>
    <mergeCell ref="A31:J31"/>
    <mergeCell ref="A32:J32"/>
    <mergeCell ref="A33:J33"/>
    <mergeCell ref="B7:B8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C4"/>
    <mergeCell ref="D4:M4"/>
    <mergeCell ref="N4:N35"/>
    <mergeCell ref="L5:M5"/>
    <mergeCell ref="A6:A9"/>
    <mergeCell ref="B6:I6"/>
    <mergeCell ref="J6:M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="120" zoomScaleNormal="120" zoomScaleSheetLayoutView="100" workbookViewId="0" topLeftCell="A1">
      <selection activeCell="I15" sqref="I15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785" t="str">
        <f>CONCATENATE("5.5 melléklet ",Z_ALAPADATOK!A7," ",Z_ALAPADATOK!B7," ",Z_ALAPADATOK!C7," ",Z_ALAPADATOK!D7," ",Z_ALAPADATOK!E7," ",Z_ALAPADATOK!F7," ",Z_ALAPADATOK!G7," ",Z_ALAPADATOK!H7)</f>
        <v>5.5 melléklet a … / 2019. ( … ) önkormányzati rendelethez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</row>
    <row r="2" spans="1:13" ht="15.75">
      <c r="A2" s="786" t="s">
        <v>531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</row>
    <row r="3" spans="1:13" ht="15.75">
      <c r="A3" s="787" t="s">
        <v>532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</row>
    <row r="4" spans="1:14" ht="15.75" customHeight="1">
      <c r="A4" s="782" t="s">
        <v>448</v>
      </c>
      <c r="B4" s="782"/>
      <c r="C4" s="782"/>
      <c r="D4" s="807" t="s">
        <v>941</v>
      </c>
      <c r="E4" s="807"/>
      <c r="F4" s="807"/>
      <c r="G4" s="807"/>
      <c r="H4" s="807"/>
      <c r="I4" s="807"/>
      <c r="J4" s="807"/>
      <c r="K4" s="807"/>
      <c r="L4" s="807"/>
      <c r="M4" s="807"/>
      <c r="N4" s="795"/>
    </row>
    <row r="5" spans="1:14" ht="15.75" thickBot="1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796" t="str">
        <f>'Z_4.sz.mell.'!G4</f>
        <v> Forintban!</v>
      </c>
      <c r="M5" s="796"/>
      <c r="N5" s="795"/>
    </row>
    <row r="6" spans="1:14" ht="13.5" thickBot="1">
      <c r="A6" s="797" t="s">
        <v>84</v>
      </c>
      <c r="B6" s="800" t="s">
        <v>449</v>
      </c>
      <c r="C6" s="800"/>
      <c r="D6" s="800"/>
      <c r="E6" s="800"/>
      <c r="F6" s="800"/>
      <c r="G6" s="800"/>
      <c r="H6" s="800"/>
      <c r="I6" s="800"/>
      <c r="J6" s="801" t="s">
        <v>450</v>
      </c>
      <c r="K6" s="801"/>
      <c r="L6" s="801"/>
      <c r="M6" s="801"/>
      <c r="N6" s="795"/>
    </row>
    <row r="7" spans="1:14" ht="15" customHeight="1" thickBot="1">
      <c r="A7" s="798"/>
      <c r="B7" s="783" t="s">
        <v>451</v>
      </c>
      <c r="C7" s="784" t="s">
        <v>452</v>
      </c>
      <c r="D7" s="790" t="s">
        <v>453</v>
      </c>
      <c r="E7" s="790"/>
      <c r="F7" s="790"/>
      <c r="G7" s="790"/>
      <c r="H7" s="790"/>
      <c r="I7" s="790"/>
      <c r="J7" s="802"/>
      <c r="K7" s="802"/>
      <c r="L7" s="802"/>
      <c r="M7" s="802"/>
      <c r="N7" s="795"/>
    </row>
    <row r="8" spans="1:14" ht="21.75" thickBot="1">
      <c r="A8" s="798"/>
      <c r="B8" s="783"/>
      <c r="C8" s="784"/>
      <c r="D8" s="283" t="s">
        <v>451</v>
      </c>
      <c r="E8" s="283" t="s">
        <v>452</v>
      </c>
      <c r="F8" s="283" t="s">
        <v>451</v>
      </c>
      <c r="G8" s="283" t="s">
        <v>452</v>
      </c>
      <c r="H8" s="283" t="s">
        <v>451</v>
      </c>
      <c r="I8" s="283" t="s">
        <v>452</v>
      </c>
      <c r="J8" s="802"/>
      <c r="K8" s="802"/>
      <c r="L8" s="802"/>
      <c r="M8" s="802"/>
      <c r="N8" s="795"/>
    </row>
    <row r="9" spans="1:14" ht="32.25" thickBot="1">
      <c r="A9" s="799"/>
      <c r="B9" s="784" t="s">
        <v>454</v>
      </c>
      <c r="C9" s="784"/>
      <c r="D9" s="784" t="str">
        <f>+CONCATENATE(LEFT(Z_ÖSSZEFÜGGÉSEK!A6,4),". előtt")</f>
        <v>2018. előtt</v>
      </c>
      <c r="E9" s="784"/>
      <c r="F9" s="794" t="str">
        <f>+CONCATENATE(LEFT(Z_ÖSSZEFÜGGÉSEK!A6,4),". XII.31.")</f>
        <v>2018. XII.31.</v>
      </c>
      <c r="G9" s="794"/>
      <c r="H9" s="783" t="str">
        <f>+CONCATENATE(LEFT(Z_ÖSSZEFÜGGÉSEK!A6,4),". után")</f>
        <v>2018. után</v>
      </c>
      <c r="I9" s="783"/>
      <c r="J9" s="371" t="str">
        <f>+D9</f>
        <v>2018. előtt</v>
      </c>
      <c r="K9" s="370" t="str">
        <f>+F9</f>
        <v>2018. XII.31.</v>
      </c>
      <c r="L9" s="282" t="s">
        <v>37</v>
      </c>
      <c r="M9" s="370" t="str">
        <f>+CONCATENATE("Teljesítés %-a ",LEFT(Z_ÖSSZEFÜGGÉSEK!A6,4),". XII. 31-ig")</f>
        <v>Teljesítés %-a 2018. XII. 31-ig</v>
      </c>
      <c r="N9" s="795"/>
    </row>
    <row r="10" spans="1:14" ht="13.5" thickBot="1">
      <c r="A10" s="284" t="s">
        <v>389</v>
      </c>
      <c r="B10" s="282" t="s">
        <v>390</v>
      </c>
      <c r="C10" s="282" t="s">
        <v>391</v>
      </c>
      <c r="D10" s="285" t="s">
        <v>393</v>
      </c>
      <c r="E10" s="283" t="s">
        <v>392</v>
      </c>
      <c r="F10" s="283" t="s">
        <v>394</v>
      </c>
      <c r="G10" s="283" t="s">
        <v>395</v>
      </c>
      <c r="H10" s="282" t="s">
        <v>396</v>
      </c>
      <c r="I10" s="285" t="s">
        <v>427</v>
      </c>
      <c r="J10" s="285" t="s">
        <v>455</v>
      </c>
      <c r="K10" s="285" t="s">
        <v>456</v>
      </c>
      <c r="L10" s="285" t="s">
        <v>457</v>
      </c>
      <c r="M10" s="286" t="s">
        <v>458</v>
      </c>
      <c r="N10" s="795"/>
    </row>
    <row r="11" spans="1:14" ht="12.75">
      <c r="A11" s="287" t="s">
        <v>85</v>
      </c>
      <c r="B11" s="332">
        <v>0</v>
      </c>
      <c r="C11" s="333">
        <v>78932424</v>
      </c>
      <c r="D11" s="333"/>
      <c r="E11" s="334"/>
      <c r="F11" s="333"/>
      <c r="G11" s="333"/>
      <c r="H11" s="333">
        <v>0</v>
      </c>
      <c r="I11" s="333">
        <v>78932424</v>
      </c>
      <c r="J11" s="333">
        <v>0</v>
      </c>
      <c r="K11" s="333"/>
      <c r="L11" s="335">
        <f aca="true" t="shared" si="0" ref="L11:L17">+J11+K11</f>
        <v>0</v>
      </c>
      <c r="M11" s="336">
        <f>IF((C11&lt;&gt;0),ROUND((L11/C11)*100,1),"")</f>
        <v>0</v>
      </c>
      <c r="N11" s="795"/>
    </row>
    <row r="12" spans="1:14" ht="12.75">
      <c r="A12" s="289" t="s">
        <v>97</v>
      </c>
      <c r="B12" s="337"/>
      <c r="C12" s="338"/>
      <c r="D12" s="338"/>
      <c r="E12" s="338"/>
      <c r="F12" s="338"/>
      <c r="G12" s="338"/>
      <c r="H12" s="338"/>
      <c r="I12" s="338"/>
      <c r="J12" s="338"/>
      <c r="K12" s="338"/>
      <c r="L12" s="339">
        <f t="shared" si="0"/>
        <v>0</v>
      </c>
      <c r="M12" s="340">
        <f aca="true" t="shared" si="1" ref="M12:M17">IF((C12&lt;&gt;0),ROUND((L12/C12)*100,1),"")</f>
      </c>
      <c r="N12" s="795"/>
    </row>
    <row r="13" spans="1:14" ht="12.75">
      <c r="A13" s="290" t="s">
        <v>86</v>
      </c>
      <c r="B13" s="341">
        <v>183994265</v>
      </c>
      <c r="C13" s="341">
        <v>183994265</v>
      </c>
      <c r="D13" s="341">
        <v>183994265</v>
      </c>
      <c r="E13" s="341">
        <v>183994265</v>
      </c>
      <c r="F13" s="342"/>
      <c r="G13" s="342"/>
      <c r="H13" s="342"/>
      <c r="I13" s="342"/>
      <c r="J13" s="341">
        <v>183994265</v>
      </c>
      <c r="K13" s="342"/>
      <c r="L13" s="339">
        <f t="shared" si="0"/>
        <v>183994265</v>
      </c>
      <c r="M13" s="340">
        <f t="shared" si="1"/>
        <v>100</v>
      </c>
      <c r="N13" s="795"/>
    </row>
    <row r="14" spans="1:14" ht="12.75">
      <c r="A14" s="290" t="s">
        <v>98</v>
      </c>
      <c r="B14" s="341"/>
      <c r="C14" s="342"/>
      <c r="D14" s="342"/>
      <c r="E14" s="342"/>
      <c r="F14" s="342"/>
      <c r="G14" s="342"/>
      <c r="H14" s="342"/>
      <c r="I14" s="342"/>
      <c r="J14" s="342"/>
      <c r="K14" s="342"/>
      <c r="L14" s="339">
        <f t="shared" si="0"/>
        <v>0</v>
      </c>
      <c r="M14" s="340">
        <f t="shared" si="1"/>
      </c>
      <c r="N14" s="795"/>
    </row>
    <row r="15" spans="1:14" ht="12.75">
      <c r="A15" s="290" t="s">
        <v>87</v>
      </c>
      <c r="B15" s="341"/>
      <c r="C15" s="342"/>
      <c r="D15" s="342"/>
      <c r="E15" s="342"/>
      <c r="F15" s="342"/>
      <c r="G15" s="342"/>
      <c r="H15" s="342"/>
      <c r="I15" s="342"/>
      <c r="J15" s="342"/>
      <c r="K15" s="342"/>
      <c r="L15" s="339">
        <f t="shared" si="0"/>
        <v>0</v>
      </c>
      <c r="M15" s="340">
        <f t="shared" si="1"/>
      </c>
      <c r="N15" s="795"/>
    </row>
    <row r="16" spans="1:14" ht="12.75">
      <c r="A16" s="290" t="s">
        <v>88</v>
      </c>
      <c r="B16" s="341"/>
      <c r="C16" s="342"/>
      <c r="D16" s="342"/>
      <c r="E16" s="342"/>
      <c r="F16" s="342"/>
      <c r="G16" s="342"/>
      <c r="H16" s="342"/>
      <c r="I16" s="342"/>
      <c r="J16" s="342"/>
      <c r="K16" s="342"/>
      <c r="L16" s="339">
        <f t="shared" si="0"/>
        <v>0</v>
      </c>
      <c r="M16" s="340">
        <f t="shared" si="1"/>
      </c>
      <c r="N16" s="795"/>
    </row>
    <row r="17" spans="1:14" ht="15" customHeight="1" thickBot="1">
      <c r="A17" s="291"/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39">
        <f t="shared" si="0"/>
        <v>0</v>
      </c>
      <c r="M17" s="345">
        <f t="shared" si="1"/>
      </c>
      <c r="N17" s="795"/>
    </row>
    <row r="18" spans="1:14" ht="13.5" thickBot="1">
      <c r="A18" s="293" t="s">
        <v>90</v>
      </c>
      <c r="B18" s="346">
        <f>B11+SUM(B13:B17)</f>
        <v>183994265</v>
      </c>
      <c r="C18" s="346">
        <f aca="true" t="shared" si="2" ref="C18:L18">C11+SUM(C13:C17)</f>
        <v>262926689</v>
      </c>
      <c r="D18" s="346">
        <f t="shared" si="2"/>
        <v>183994265</v>
      </c>
      <c r="E18" s="346">
        <f t="shared" si="2"/>
        <v>183994265</v>
      </c>
      <c r="F18" s="346">
        <f t="shared" si="2"/>
        <v>0</v>
      </c>
      <c r="G18" s="346">
        <f t="shared" si="2"/>
        <v>0</v>
      </c>
      <c r="H18" s="346">
        <f t="shared" si="2"/>
        <v>0</v>
      </c>
      <c r="I18" s="346">
        <f t="shared" si="2"/>
        <v>78932424</v>
      </c>
      <c r="J18" s="346">
        <f t="shared" si="2"/>
        <v>183994265</v>
      </c>
      <c r="K18" s="346">
        <f t="shared" si="2"/>
        <v>0</v>
      </c>
      <c r="L18" s="346">
        <f t="shared" si="2"/>
        <v>183994265</v>
      </c>
      <c r="M18" s="347">
        <f>IF((C18&lt;&gt;0),ROUND((L18/C18)*100,1),"")</f>
        <v>70</v>
      </c>
      <c r="N18" s="795"/>
    </row>
    <row r="19" spans="1:14" ht="12.75">
      <c r="A19" s="294"/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795"/>
    </row>
    <row r="20" spans="1:14" ht="13.5" thickBot="1">
      <c r="A20" s="297" t="s">
        <v>89</v>
      </c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795"/>
    </row>
    <row r="21" spans="1:14" ht="12.75">
      <c r="A21" s="300" t="s">
        <v>93</v>
      </c>
      <c r="B21" s="349">
        <v>508000</v>
      </c>
      <c r="C21" s="350">
        <v>474700</v>
      </c>
      <c r="D21" s="350">
        <v>239600</v>
      </c>
      <c r="E21" s="350">
        <v>239600</v>
      </c>
      <c r="F21" s="350"/>
      <c r="G21" s="350"/>
      <c r="H21" s="350">
        <f aca="true" t="shared" si="3" ref="H21:I23">B21-D21-F21</f>
        <v>268400</v>
      </c>
      <c r="I21" s="350">
        <f t="shared" si="3"/>
        <v>235100</v>
      </c>
      <c r="J21" s="350">
        <f>D21</f>
        <v>239600</v>
      </c>
      <c r="K21" s="350">
        <v>0</v>
      </c>
      <c r="L21" s="352">
        <f>+J21+K21</f>
        <v>239600</v>
      </c>
      <c r="M21" s="353">
        <f aca="true" t="shared" si="4" ref="M21:M26">IF((C21&lt;&gt;0),ROUND((L21/C21)*100,1),"")</f>
        <v>50.5</v>
      </c>
      <c r="N21" s="795"/>
    </row>
    <row r="22" spans="1:14" ht="12.75">
      <c r="A22" s="301" t="s">
        <v>94</v>
      </c>
      <c r="B22" s="354">
        <v>172148467</v>
      </c>
      <c r="C22" s="348">
        <v>251093490</v>
      </c>
      <c r="D22" s="348">
        <f>2794000+1714500+127000</f>
        <v>4635500</v>
      </c>
      <c r="E22" s="348">
        <f>2794000+1714500+127000</f>
        <v>4635500</v>
      </c>
      <c r="F22" s="348"/>
      <c r="G22" s="348"/>
      <c r="H22" s="348">
        <f t="shared" si="3"/>
        <v>167512967</v>
      </c>
      <c r="I22" s="348">
        <f t="shared" si="3"/>
        <v>246457990</v>
      </c>
      <c r="J22" s="348">
        <f>D22</f>
        <v>4635500</v>
      </c>
      <c r="K22" s="348">
        <v>0</v>
      </c>
      <c r="L22" s="355">
        <f>+J22+K22</f>
        <v>4635500</v>
      </c>
      <c r="M22" s="356">
        <f t="shared" si="4"/>
        <v>1.8</v>
      </c>
      <c r="N22" s="795"/>
    </row>
    <row r="23" spans="1:14" ht="12.75">
      <c r="A23" s="301" t="s">
        <v>95</v>
      </c>
      <c r="B23" s="357">
        <v>11337798</v>
      </c>
      <c r="C23" s="348">
        <v>11358499</v>
      </c>
      <c r="D23" s="348">
        <f>160000+3175000</f>
        <v>3335000</v>
      </c>
      <c r="E23" s="348">
        <f>160000+3175000</f>
        <v>3335000</v>
      </c>
      <c r="F23" s="348">
        <v>1600200</v>
      </c>
      <c r="G23" s="348">
        <v>1600200</v>
      </c>
      <c r="H23" s="348">
        <f t="shared" si="3"/>
        <v>6402598</v>
      </c>
      <c r="I23" s="348">
        <f t="shared" si="3"/>
        <v>6423299</v>
      </c>
      <c r="J23" s="348">
        <f>D23</f>
        <v>3335000</v>
      </c>
      <c r="K23" s="348">
        <f>G23</f>
        <v>1600200</v>
      </c>
      <c r="L23" s="355">
        <f>+J23+K23</f>
        <v>4935200</v>
      </c>
      <c r="M23" s="356">
        <f t="shared" si="4"/>
        <v>43.4</v>
      </c>
      <c r="N23" s="795"/>
    </row>
    <row r="24" spans="1:14" ht="12.75">
      <c r="A24" s="301" t="s">
        <v>96</v>
      </c>
      <c r="B24" s="357"/>
      <c r="C24" s="348"/>
      <c r="D24" s="348"/>
      <c r="E24" s="348"/>
      <c r="F24" s="348"/>
      <c r="G24" s="348"/>
      <c r="H24" s="348"/>
      <c r="I24" s="348"/>
      <c r="J24" s="348"/>
      <c r="K24" s="348"/>
      <c r="L24" s="355">
        <f>+J24+K24</f>
        <v>0</v>
      </c>
      <c r="M24" s="356">
        <f t="shared" si="4"/>
      </c>
      <c r="N24" s="795"/>
    </row>
    <row r="25" spans="1:14" ht="13.5" thickBot="1">
      <c r="A25" s="302"/>
      <c r="B25" s="358"/>
      <c r="C25" s="359"/>
      <c r="D25" s="359"/>
      <c r="E25" s="359"/>
      <c r="F25" s="359"/>
      <c r="G25" s="359"/>
      <c r="H25" s="359"/>
      <c r="I25" s="359"/>
      <c r="J25" s="359"/>
      <c r="K25" s="359"/>
      <c r="L25" s="355">
        <f>+J25+K25</f>
        <v>0</v>
      </c>
      <c r="M25" s="360">
        <f t="shared" si="4"/>
      </c>
      <c r="N25" s="795"/>
    </row>
    <row r="26" spans="1:14" ht="13.5" thickBot="1">
      <c r="A26" s="303" t="s">
        <v>75</v>
      </c>
      <c r="B26" s="361">
        <f aca="true" t="shared" si="5" ref="B26:L26">SUM(B21:B25)</f>
        <v>183994265</v>
      </c>
      <c r="C26" s="361">
        <f t="shared" si="5"/>
        <v>262926689</v>
      </c>
      <c r="D26" s="361">
        <f t="shared" si="5"/>
        <v>8210100</v>
      </c>
      <c r="E26" s="361">
        <f t="shared" si="5"/>
        <v>8210100</v>
      </c>
      <c r="F26" s="361">
        <f t="shared" si="5"/>
        <v>1600200</v>
      </c>
      <c r="G26" s="361">
        <f t="shared" si="5"/>
        <v>1600200</v>
      </c>
      <c r="H26" s="361">
        <f t="shared" si="5"/>
        <v>174183965</v>
      </c>
      <c r="I26" s="361">
        <f t="shared" si="5"/>
        <v>253116389</v>
      </c>
      <c r="J26" s="361">
        <f t="shared" si="5"/>
        <v>8210100</v>
      </c>
      <c r="K26" s="361">
        <f t="shared" si="5"/>
        <v>1600200</v>
      </c>
      <c r="L26" s="361">
        <f t="shared" si="5"/>
        <v>9810300</v>
      </c>
      <c r="M26" s="362">
        <f t="shared" si="4"/>
        <v>3.7</v>
      </c>
      <c r="N26" s="795"/>
    </row>
    <row r="27" spans="1:14" ht="12.75">
      <c r="A27" s="791" t="s">
        <v>526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5"/>
    </row>
    <row r="28" spans="1:14" ht="5.25" customHeigh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795"/>
    </row>
    <row r="29" spans="1:14" ht="15.75">
      <c r="A29" s="79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5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92" t="str">
        <f>L5</f>
        <v> Forintban!</v>
      </c>
      <c r="M30" s="792"/>
      <c r="N30" s="795"/>
    </row>
    <row r="31" spans="1:14" ht="21.75" thickBot="1">
      <c r="A31" s="808" t="s">
        <v>91</v>
      </c>
      <c r="B31" s="809"/>
      <c r="C31" s="809"/>
      <c r="D31" s="809"/>
      <c r="E31" s="809"/>
      <c r="F31" s="809"/>
      <c r="G31" s="809"/>
      <c r="H31" s="809"/>
      <c r="I31" s="809"/>
      <c r="J31" s="809"/>
      <c r="K31" s="305" t="s">
        <v>459</v>
      </c>
      <c r="L31" s="305" t="s">
        <v>460</v>
      </c>
      <c r="M31" s="305" t="s">
        <v>450</v>
      </c>
      <c r="N31" s="795"/>
    </row>
    <row r="32" spans="1:14" ht="12.75">
      <c r="A32" s="788"/>
      <c r="B32" s="789"/>
      <c r="C32" s="789"/>
      <c r="D32" s="789"/>
      <c r="E32" s="789"/>
      <c r="F32" s="789"/>
      <c r="G32" s="789"/>
      <c r="H32" s="789"/>
      <c r="I32" s="789"/>
      <c r="J32" s="789"/>
      <c r="K32" s="288"/>
      <c r="L32" s="306"/>
      <c r="M32" s="306"/>
      <c r="N32" s="795"/>
    </row>
    <row r="33" spans="1:14" ht="13.5" thickBot="1">
      <c r="A33" s="805"/>
      <c r="B33" s="806"/>
      <c r="C33" s="806"/>
      <c r="D33" s="806"/>
      <c r="E33" s="806"/>
      <c r="F33" s="806"/>
      <c r="G33" s="806"/>
      <c r="H33" s="806"/>
      <c r="I33" s="806"/>
      <c r="J33" s="806"/>
      <c r="K33" s="307"/>
      <c r="L33" s="292"/>
      <c r="M33" s="292"/>
      <c r="N33" s="795"/>
    </row>
    <row r="34" spans="1:14" ht="13.5" thickBot="1">
      <c r="A34" s="803" t="s">
        <v>525</v>
      </c>
      <c r="B34" s="804"/>
      <c r="C34" s="804"/>
      <c r="D34" s="804"/>
      <c r="E34" s="804"/>
      <c r="F34" s="804"/>
      <c r="G34" s="804"/>
      <c r="H34" s="804"/>
      <c r="I34" s="804"/>
      <c r="J34" s="804"/>
      <c r="K34" s="308">
        <f>SUM(K32:K33)</f>
        <v>0</v>
      </c>
      <c r="L34" s="308">
        <f>SUM(L32:L33)</f>
        <v>0</v>
      </c>
      <c r="M34" s="308">
        <f>SUM(M32:M33)</f>
        <v>0</v>
      </c>
      <c r="N34" s="795"/>
    </row>
    <row r="35" ht="12.75">
      <c r="N35" s="795"/>
    </row>
    <row r="50" ht="12.75">
      <c r="A50" s="32"/>
    </row>
  </sheetData>
  <sheetProtection/>
  <mergeCells count="24">
    <mergeCell ref="A34:J34"/>
    <mergeCell ref="A27:M27"/>
    <mergeCell ref="A29:M29"/>
    <mergeCell ref="L30:M30"/>
    <mergeCell ref="A31:J31"/>
    <mergeCell ref="A32:J32"/>
    <mergeCell ref="A33:J33"/>
    <mergeCell ref="B7:B8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C4"/>
    <mergeCell ref="D4:M4"/>
    <mergeCell ref="N4:N35"/>
    <mergeCell ref="L5:M5"/>
    <mergeCell ref="A6:A9"/>
    <mergeCell ref="B6:I6"/>
    <mergeCell ref="J6:M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="120" zoomScaleNormal="120" zoomScaleSheetLayoutView="100" workbookViewId="0" topLeftCell="A1">
      <selection activeCell="D7" sqref="D7:I7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785" t="str">
        <f>CONCATENATE("5.6 melléklet ",Z_ALAPADATOK!A7," ",Z_ALAPADATOK!B7," ",Z_ALAPADATOK!C7," ",Z_ALAPADATOK!D7," ",Z_ALAPADATOK!E7," ",Z_ALAPADATOK!F7," ",Z_ALAPADATOK!G7," ",Z_ALAPADATOK!H7)</f>
        <v>5.6 melléklet a … / 2019. ( … ) önkormányzati rendelethez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</row>
    <row r="2" spans="1:13" ht="15.75">
      <c r="A2" s="786" t="s">
        <v>531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</row>
    <row r="3" spans="1:13" ht="15.75">
      <c r="A3" s="787" t="s">
        <v>532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</row>
    <row r="4" spans="1:14" ht="15.75" customHeight="1">
      <c r="A4" s="782" t="s">
        <v>448</v>
      </c>
      <c r="B4" s="782"/>
      <c r="C4" s="782"/>
      <c r="D4" s="807" t="s">
        <v>942</v>
      </c>
      <c r="E4" s="807"/>
      <c r="F4" s="807"/>
      <c r="G4" s="807"/>
      <c r="H4" s="807"/>
      <c r="I4" s="807"/>
      <c r="J4" s="807"/>
      <c r="K4" s="807"/>
      <c r="L4" s="807"/>
      <c r="M4" s="807"/>
      <c r="N4" s="795"/>
    </row>
    <row r="5" spans="1:14" ht="15.75" thickBot="1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796" t="str">
        <f>'Z_4.sz.mell.'!G4</f>
        <v> Forintban!</v>
      </c>
      <c r="M5" s="796"/>
      <c r="N5" s="795"/>
    </row>
    <row r="6" spans="1:14" ht="13.5" thickBot="1">
      <c r="A6" s="797" t="s">
        <v>84</v>
      </c>
      <c r="B6" s="800" t="s">
        <v>449</v>
      </c>
      <c r="C6" s="800"/>
      <c r="D6" s="800"/>
      <c r="E6" s="800"/>
      <c r="F6" s="800"/>
      <c r="G6" s="800"/>
      <c r="H6" s="800"/>
      <c r="I6" s="800"/>
      <c r="J6" s="801" t="s">
        <v>450</v>
      </c>
      <c r="K6" s="801"/>
      <c r="L6" s="801"/>
      <c r="M6" s="801"/>
      <c r="N6" s="795"/>
    </row>
    <row r="7" spans="1:14" ht="15" customHeight="1" thickBot="1">
      <c r="A7" s="798"/>
      <c r="B7" s="783" t="s">
        <v>451</v>
      </c>
      <c r="C7" s="784" t="s">
        <v>452</v>
      </c>
      <c r="D7" s="790" t="s">
        <v>453</v>
      </c>
      <c r="E7" s="790"/>
      <c r="F7" s="790"/>
      <c r="G7" s="790"/>
      <c r="H7" s="790"/>
      <c r="I7" s="790"/>
      <c r="J7" s="802"/>
      <c r="K7" s="802"/>
      <c r="L7" s="802"/>
      <c r="M7" s="802"/>
      <c r="N7" s="795"/>
    </row>
    <row r="8" spans="1:14" ht="21.75" thickBot="1">
      <c r="A8" s="798"/>
      <c r="B8" s="783"/>
      <c r="C8" s="784"/>
      <c r="D8" s="283" t="s">
        <v>451</v>
      </c>
      <c r="E8" s="283" t="s">
        <v>452</v>
      </c>
      <c r="F8" s="283" t="s">
        <v>451</v>
      </c>
      <c r="G8" s="283" t="s">
        <v>452</v>
      </c>
      <c r="H8" s="283" t="s">
        <v>451</v>
      </c>
      <c r="I8" s="283" t="s">
        <v>452</v>
      </c>
      <c r="J8" s="802"/>
      <c r="K8" s="802"/>
      <c r="L8" s="802"/>
      <c r="M8" s="802"/>
      <c r="N8" s="795"/>
    </row>
    <row r="9" spans="1:14" ht="32.25" thickBot="1">
      <c r="A9" s="799"/>
      <c r="B9" s="784" t="s">
        <v>454</v>
      </c>
      <c r="C9" s="784"/>
      <c r="D9" s="784" t="str">
        <f>+CONCATENATE(LEFT(Z_ÖSSZEFÜGGÉSEK!A6,4),". előtt")</f>
        <v>2018. előtt</v>
      </c>
      <c r="E9" s="784"/>
      <c r="F9" s="794" t="str">
        <f>+CONCATENATE(LEFT(Z_ÖSSZEFÜGGÉSEK!A6,4),". XII.31.")</f>
        <v>2018. XII.31.</v>
      </c>
      <c r="G9" s="794"/>
      <c r="H9" s="783" t="str">
        <f>+CONCATENATE(LEFT(Z_ÖSSZEFÜGGÉSEK!A6,4),". után")</f>
        <v>2018. után</v>
      </c>
      <c r="I9" s="783"/>
      <c r="J9" s="371" t="str">
        <f>+D9</f>
        <v>2018. előtt</v>
      </c>
      <c r="K9" s="370" t="str">
        <f>+F9</f>
        <v>2018. XII.31.</v>
      </c>
      <c r="L9" s="282" t="s">
        <v>37</v>
      </c>
      <c r="M9" s="370" t="str">
        <f>+CONCATENATE("Teljesítés %-a ",LEFT(Z_ÖSSZEFÜGGÉSEK!A6,4),". XII. 31-ig")</f>
        <v>Teljesítés %-a 2018. XII. 31-ig</v>
      </c>
      <c r="N9" s="795"/>
    </row>
    <row r="10" spans="1:14" ht="13.5" thickBot="1">
      <c r="A10" s="284" t="s">
        <v>389</v>
      </c>
      <c r="B10" s="282" t="s">
        <v>390</v>
      </c>
      <c r="C10" s="282" t="s">
        <v>391</v>
      </c>
      <c r="D10" s="285" t="s">
        <v>393</v>
      </c>
      <c r="E10" s="283" t="s">
        <v>392</v>
      </c>
      <c r="F10" s="283" t="s">
        <v>394</v>
      </c>
      <c r="G10" s="283" t="s">
        <v>395</v>
      </c>
      <c r="H10" s="282" t="s">
        <v>396</v>
      </c>
      <c r="I10" s="285" t="s">
        <v>427</v>
      </c>
      <c r="J10" s="285" t="s">
        <v>455</v>
      </c>
      <c r="K10" s="285" t="s">
        <v>456</v>
      </c>
      <c r="L10" s="285" t="s">
        <v>457</v>
      </c>
      <c r="M10" s="286" t="s">
        <v>458</v>
      </c>
      <c r="N10" s="795"/>
    </row>
    <row r="11" spans="1:14" ht="12.75">
      <c r="A11" s="287" t="s">
        <v>85</v>
      </c>
      <c r="B11" s="332">
        <v>0</v>
      </c>
      <c r="C11" s="333">
        <v>775335</v>
      </c>
      <c r="D11" s="333"/>
      <c r="E11" s="334"/>
      <c r="F11" s="333"/>
      <c r="G11" s="333"/>
      <c r="H11" s="333">
        <v>0</v>
      </c>
      <c r="I11" s="333">
        <v>775335</v>
      </c>
      <c r="J11" s="333"/>
      <c r="K11" s="333"/>
      <c r="L11" s="335">
        <f aca="true" t="shared" si="0" ref="L11:L17">+J11+K11</f>
        <v>0</v>
      </c>
      <c r="M11" s="336">
        <f>IF((C11&lt;&gt;0),ROUND((L11/C11)*100,1),"")</f>
        <v>0</v>
      </c>
      <c r="N11" s="795"/>
    </row>
    <row r="12" spans="1:14" ht="12.75">
      <c r="A12" s="289" t="s">
        <v>97</v>
      </c>
      <c r="B12" s="337"/>
      <c r="C12" s="338"/>
      <c r="D12" s="338"/>
      <c r="E12" s="338"/>
      <c r="F12" s="338"/>
      <c r="G12" s="338"/>
      <c r="H12" s="338"/>
      <c r="I12" s="338"/>
      <c r="J12" s="338"/>
      <c r="K12" s="338"/>
      <c r="L12" s="339">
        <f t="shared" si="0"/>
        <v>0</v>
      </c>
      <c r="M12" s="340">
        <f aca="true" t="shared" si="1" ref="M12:M17">IF((C12&lt;&gt;0),ROUND((L12/C12)*100,1),"")</f>
      </c>
      <c r="N12" s="795"/>
    </row>
    <row r="13" spans="1:14" ht="12.75">
      <c r="A13" s="290" t="s">
        <v>86</v>
      </c>
      <c r="B13" s="341">
        <v>88000000</v>
      </c>
      <c r="C13" s="348">
        <v>88000000</v>
      </c>
      <c r="D13" s="342">
        <v>88000000</v>
      </c>
      <c r="E13" s="342">
        <v>88000000</v>
      </c>
      <c r="F13" s="342"/>
      <c r="G13" s="342"/>
      <c r="H13" s="342"/>
      <c r="I13" s="342"/>
      <c r="J13" s="342">
        <v>88000000</v>
      </c>
      <c r="K13" s="342"/>
      <c r="L13" s="339">
        <f t="shared" si="0"/>
        <v>88000000</v>
      </c>
      <c r="M13" s="340">
        <f t="shared" si="1"/>
        <v>100</v>
      </c>
      <c r="N13" s="795"/>
    </row>
    <row r="14" spans="1:14" ht="12.75">
      <c r="A14" s="290" t="s">
        <v>98</v>
      </c>
      <c r="B14" s="341"/>
      <c r="C14" s="342"/>
      <c r="D14" s="342"/>
      <c r="E14" s="342"/>
      <c r="F14" s="342"/>
      <c r="G14" s="342"/>
      <c r="H14" s="342"/>
      <c r="I14" s="342"/>
      <c r="J14" s="342"/>
      <c r="K14" s="342"/>
      <c r="L14" s="339">
        <f t="shared" si="0"/>
        <v>0</v>
      </c>
      <c r="M14" s="340">
        <f t="shared" si="1"/>
      </c>
      <c r="N14" s="795"/>
    </row>
    <row r="15" spans="1:14" ht="12.75">
      <c r="A15" s="290" t="s">
        <v>87</v>
      </c>
      <c r="B15" s="341"/>
      <c r="C15" s="342"/>
      <c r="D15" s="342"/>
      <c r="E15" s="342"/>
      <c r="F15" s="342"/>
      <c r="G15" s="342"/>
      <c r="H15" s="342"/>
      <c r="I15" s="342"/>
      <c r="J15" s="342"/>
      <c r="K15" s="342"/>
      <c r="L15" s="339">
        <f t="shared" si="0"/>
        <v>0</v>
      </c>
      <c r="M15" s="340">
        <f t="shared" si="1"/>
      </c>
      <c r="N15" s="795"/>
    </row>
    <row r="16" spans="1:14" ht="12.75">
      <c r="A16" s="290" t="s">
        <v>88</v>
      </c>
      <c r="B16" s="341"/>
      <c r="C16" s="342"/>
      <c r="D16" s="342"/>
      <c r="E16" s="342"/>
      <c r="F16" s="342"/>
      <c r="G16" s="342"/>
      <c r="H16" s="342"/>
      <c r="I16" s="342"/>
      <c r="J16" s="342"/>
      <c r="K16" s="342"/>
      <c r="L16" s="339">
        <f t="shared" si="0"/>
        <v>0</v>
      </c>
      <c r="M16" s="340">
        <f t="shared" si="1"/>
      </c>
      <c r="N16" s="795"/>
    </row>
    <row r="17" spans="1:14" ht="15" customHeight="1" thickBot="1">
      <c r="A17" s="291"/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39">
        <f t="shared" si="0"/>
        <v>0</v>
      </c>
      <c r="M17" s="345">
        <f t="shared" si="1"/>
      </c>
      <c r="N17" s="795"/>
    </row>
    <row r="18" spans="1:14" ht="13.5" thickBot="1">
      <c r="A18" s="293" t="s">
        <v>90</v>
      </c>
      <c r="B18" s="346">
        <f>B11+SUM(B13:B17)</f>
        <v>88000000</v>
      </c>
      <c r="C18" s="346">
        <f aca="true" t="shared" si="2" ref="C18:L18">C11+SUM(C13:C17)</f>
        <v>88775335</v>
      </c>
      <c r="D18" s="346">
        <f t="shared" si="2"/>
        <v>88000000</v>
      </c>
      <c r="E18" s="346">
        <f t="shared" si="2"/>
        <v>88000000</v>
      </c>
      <c r="F18" s="346">
        <f t="shared" si="2"/>
        <v>0</v>
      </c>
      <c r="G18" s="346">
        <f t="shared" si="2"/>
        <v>0</v>
      </c>
      <c r="H18" s="346">
        <f t="shared" si="2"/>
        <v>0</v>
      </c>
      <c r="I18" s="346">
        <f t="shared" si="2"/>
        <v>775335</v>
      </c>
      <c r="J18" s="346">
        <f t="shared" si="2"/>
        <v>88000000</v>
      </c>
      <c r="K18" s="346">
        <f t="shared" si="2"/>
        <v>0</v>
      </c>
      <c r="L18" s="346">
        <f t="shared" si="2"/>
        <v>88000000</v>
      </c>
      <c r="M18" s="347">
        <f>IF((C18&lt;&gt;0),ROUND((L18/C18)*100,1),"")</f>
        <v>99.1</v>
      </c>
      <c r="N18" s="795"/>
    </row>
    <row r="19" spans="1:14" ht="12.75">
      <c r="A19" s="294"/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795"/>
    </row>
    <row r="20" spans="1:14" ht="13.5" thickBot="1">
      <c r="A20" s="297" t="s">
        <v>89</v>
      </c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795"/>
    </row>
    <row r="21" spans="1:14" ht="12.75">
      <c r="A21" s="300" t="s">
        <v>93</v>
      </c>
      <c r="B21" s="349"/>
      <c r="C21" s="350"/>
      <c r="D21" s="350"/>
      <c r="E21" s="351"/>
      <c r="F21" s="350"/>
      <c r="G21" s="350"/>
      <c r="H21" s="350"/>
      <c r="I21" s="350"/>
      <c r="J21" s="350"/>
      <c r="K21" s="350"/>
      <c r="L21" s="352">
        <f>+J21+K21</f>
        <v>0</v>
      </c>
      <c r="M21" s="353">
        <f aca="true" t="shared" si="3" ref="M21:M26">IF((C21&lt;&gt;0),ROUND((L21/C21)*100,1),"")</f>
      </c>
      <c r="N21" s="795"/>
    </row>
    <row r="22" spans="1:14" ht="12.75">
      <c r="A22" s="301" t="s">
        <v>94</v>
      </c>
      <c r="B22" s="354">
        <v>79699834</v>
      </c>
      <c r="C22" s="354">
        <v>80475169</v>
      </c>
      <c r="D22" s="348">
        <v>957199</v>
      </c>
      <c r="E22" s="348">
        <v>957199</v>
      </c>
      <c r="F22" s="348">
        <v>1397000</v>
      </c>
      <c r="G22" s="348">
        <v>1397000</v>
      </c>
      <c r="H22" s="348">
        <f>B22-D22-F22</f>
        <v>77345635</v>
      </c>
      <c r="I22" s="348">
        <f>C22-E22-G22</f>
        <v>78120970</v>
      </c>
      <c r="J22" s="348">
        <f>D22</f>
        <v>957199</v>
      </c>
      <c r="K22" s="348">
        <f>F22</f>
        <v>1397000</v>
      </c>
      <c r="L22" s="355">
        <f>+J22+K22</f>
        <v>2354199</v>
      </c>
      <c r="M22" s="356">
        <f t="shared" si="3"/>
        <v>2.9</v>
      </c>
      <c r="N22" s="795"/>
    </row>
    <row r="23" spans="1:14" ht="12.75">
      <c r="A23" s="301" t="s">
        <v>95</v>
      </c>
      <c r="B23" s="357">
        <v>8300166</v>
      </c>
      <c r="C23" s="357">
        <v>8300166</v>
      </c>
      <c r="D23" s="348">
        <v>382016</v>
      </c>
      <c r="E23" s="348">
        <v>382016</v>
      </c>
      <c r="F23" s="348">
        <v>2921000</v>
      </c>
      <c r="G23" s="348">
        <v>2921000</v>
      </c>
      <c r="H23" s="348">
        <f>B23-D23-F23</f>
        <v>4997150</v>
      </c>
      <c r="I23" s="348">
        <f>C23-E23-G23</f>
        <v>4997150</v>
      </c>
      <c r="J23" s="348">
        <f>D23</f>
        <v>382016</v>
      </c>
      <c r="K23" s="348">
        <f>F23</f>
        <v>2921000</v>
      </c>
      <c r="L23" s="355">
        <f>+J23+K23</f>
        <v>3303016</v>
      </c>
      <c r="M23" s="356">
        <f t="shared" si="3"/>
        <v>39.8</v>
      </c>
      <c r="N23" s="795"/>
    </row>
    <row r="24" spans="1:14" ht="12.75">
      <c r="A24" s="301" t="s">
        <v>96</v>
      </c>
      <c r="B24" s="357"/>
      <c r="C24" s="348"/>
      <c r="D24" s="348"/>
      <c r="E24" s="348"/>
      <c r="F24" s="348"/>
      <c r="G24" s="348"/>
      <c r="H24" s="348"/>
      <c r="I24" s="348"/>
      <c r="J24" s="348"/>
      <c r="K24" s="348"/>
      <c r="L24" s="355">
        <f>+J24+K24</f>
        <v>0</v>
      </c>
      <c r="M24" s="356">
        <f t="shared" si="3"/>
      </c>
      <c r="N24" s="795"/>
    </row>
    <row r="25" spans="1:14" ht="13.5" thickBot="1">
      <c r="A25" s="302"/>
      <c r="B25" s="358"/>
      <c r="C25" s="359"/>
      <c r="D25" s="359"/>
      <c r="E25" s="359"/>
      <c r="F25" s="359"/>
      <c r="G25" s="359"/>
      <c r="H25" s="359"/>
      <c r="I25" s="359"/>
      <c r="J25" s="359"/>
      <c r="K25" s="359"/>
      <c r="L25" s="355">
        <f>+J25+K25</f>
        <v>0</v>
      </c>
      <c r="M25" s="360">
        <f t="shared" si="3"/>
      </c>
      <c r="N25" s="795"/>
    </row>
    <row r="26" spans="1:14" ht="13.5" thickBot="1">
      <c r="A26" s="303" t="s">
        <v>75</v>
      </c>
      <c r="B26" s="361">
        <f aca="true" t="shared" si="4" ref="B26:L26">SUM(B21:B25)</f>
        <v>88000000</v>
      </c>
      <c r="C26" s="361">
        <f t="shared" si="4"/>
        <v>88775335</v>
      </c>
      <c r="D26" s="361">
        <f t="shared" si="4"/>
        <v>1339215</v>
      </c>
      <c r="E26" s="361">
        <f t="shared" si="4"/>
        <v>1339215</v>
      </c>
      <c r="F26" s="361">
        <f t="shared" si="4"/>
        <v>4318000</v>
      </c>
      <c r="G26" s="361">
        <f t="shared" si="4"/>
        <v>4318000</v>
      </c>
      <c r="H26" s="361">
        <f t="shared" si="4"/>
        <v>82342785</v>
      </c>
      <c r="I26" s="361">
        <f t="shared" si="4"/>
        <v>83118120</v>
      </c>
      <c r="J26" s="361">
        <f t="shared" si="4"/>
        <v>1339215</v>
      </c>
      <c r="K26" s="361">
        <f t="shared" si="4"/>
        <v>4318000</v>
      </c>
      <c r="L26" s="361">
        <f t="shared" si="4"/>
        <v>5657215</v>
      </c>
      <c r="M26" s="362">
        <f t="shared" si="3"/>
        <v>6.4</v>
      </c>
      <c r="N26" s="795"/>
    </row>
    <row r="27" spans="1:14" ht="12.75">
      <c r="A27" s="791" t="s">
        <v>526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5"/>
    </row>
    <row r="28" spans="1:14" ht="5.25" customHeigh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795"/>
    </row>
    <row r="29" spans="1:14" ht="15.75">
      <c r="A29" s="79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5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92" t="str">
        <f>L5</f>
        <v> Forintban!</v>
      </c>
      <c r="M30" s="792"/>
      <c r="N30" s="795"/>
    </row>
    <row r="31" spans="1:14" ht="21.75" thickBot="1">
      <c r="A31" s="808" t="s">
        <v>91</v>
      </c>
      <c r="B31" s="809"/>
      <c r="C31" s="809"/>
      <c r="D31" s="809"/>
      <c r="E31" s="809"/>
      <c r="F31" s="809"/>
      <c r="G31" s="809"/>
      <c r="H31" s="809"/>
      <c r="I31" s="809"/>
      <c r="J31" s="809"/>
      <c r="K31" s="305" t="s">
        <v>459</v>
      </c>
      <c r="L31" s="305" t="s">
        <v>460</v>
      </c>
      <c r="M31" s="305" t="s">
        <v>450</v>
      </c>
      <c r="N31" s="795"/>
    </row>
    <row r="32" spans="1:14" ht="12.75">
      <c r="A32" s="788"/>
      <c r="B32" s="789"/>
      <c r="C32" s="789"/>
      <c r="D32" s="789"/>
      <c r="E32" s="789"/>
      <c r="F32" s="789"/>
      <c r="G32" s="789"/>
      <c r="H32" s="789"/>
      <c r="I32" s="789"/>
      <c r="J32" s="789"/>
      <c r="K32" s="288"/>
      <c r="L32" s="306"/>
      <c r="M32" s="306"/>
      <c r="N32" s="795"/>
    </row>
    <row r="33" spans="1:14" ht="13.5" thickBot="1">
      <c r="A33" s="805"/>
      <c r="B33" s="806"/>
      <c r="C33" s="806"/>
      <c r="D33" s="806"/>
      <c r="E33" s="806"/>
      <c r="F33" s="806"/>
      <c r="G33" s="806"/>
      <c r="H33" s="806"/>
      <c r="I33" s="806"/>
      <c r="J33" s="806"/>
      <c r="K33" s="307"/>
      <c r="L33" s="292"/>
      <c r="M33" s="292"/>
      <c r="N33" s="795"/>
    </row>
    <row r="34" spans="1:14" ht="13.5" thickBot="1">
      <c r="A34" s="803" t="s">
        <v>525</v>
      </c>
      <c r="B34" s="804"/>
      <c r="C34" s="804"/>
      <c r="D34" s="804"/>
      <c r="E34" s="804"/>
      <c r="F34" s="804"/>
      <c r="G34" s="804"/>
      <c r="H34" s="804"/>
      <c r="I34" s="804"/>
      <c r="J34" s="804"/>
      <c r="K34" s="308">
        <f>SUM(K32:K33)</f>
        <v>0</v>
      </c>
      <c r="L34" s="308">
        <f>SUM(L32:L33)</f>
        <v>0</v>
      </c>
      <c r="M34" s="308">
        <f>SUM(M32:M33)</f>
        <v>0</v>
      </c>
      <c r="N34" s="795"/>
    </row>
    <row r="35" ht="12.75">
      <c r="N35" s="795"/>
    </row>
    <row r="50" ht="12.75">
      <c r="A50" s="32"/>
    </row>
  </sheetData>
  <sheetProtection/>
  <mergeCells count="24">
    <mergeCell ref="A34:J34"/>
    <mergeCell ref="A27:M27"/>
    <mergeCell ref="A29:M29"/>
    <mergeCell ref="L30:M30"/>
    <mergeCell ref="A31:J31"/>
    <mergeCell ref="A32:J32"/>
    <mergeCell ref="A33:J33"/>
    <mergeCell ref="B7:B8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C4"/>
    <mergeCell ref="D4:M4"/>
    <mergeCell ref="N4:N35"/>
    <mergeCell ref="L5:M5"/>
    <mergeCell ref="A6:A9"/>
    <mergeCell ref="B6:I6"/>
    <mergeCell ref="J6:M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="120" zoomScaleNormal="120" zoomScaleSheetLayoutView="100" workbookViewId="0" topLeftCell="A1">
      <selection activeCell="E8" sqref="E8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785" t="str">
        <f>CONCATENATE("5.7 melléklet ",Z_ALAPADATOK!A7," ",Z_ALAPADATOK!B7," ",Z_ALAPADATOK!C7," ",Z_ALAPADATOK!D7," ",Z_ALAPADATOK!E7," ",Z_ALAPADATOK!F7," ",Z_ALAPADATOK!G7," ",Z_ALAPADATOK!H7)</f>
        <v>5.7 melléklet a … / 2019. ( … ) önkormányzati rendelethez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</row>
    <row r="2" spans="1:13" ht="15.75">
      <c r="A2" s="786" t="s">
        <v>531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</row>
    <row r="3" spans="1:13" ht="15.75">
      <c r="A3" s="787" t="s">
        <v>532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</row>
    <row r="4" spans="1:14" ht="15.75" customHeight="1">
      <c r="A4" s="782" t="s">
        <v>448</v>
      </c>
      <c r="B4" s="782"/>
      <c r="C4" s="782"/>
      <c r="D4" s="807" t="s">
        <v>943</v>
      </c>
      <c r="E4" s="807"/>
      <c r="F4" s="807"/>
      <c r="G4" s="807"/>
      <c r="H4" s="807"/>
      <c r="I4" s="807"/>
      <c r="J4" s="807"/>
      <c r="K4" s="807"/>
      <c r="L4" s="807"/>
      <c r="M4" s="807"/>
      <c r="N4" s="795"/>
    </row>
    <row r="5" spans="1:14" ht="15.75" thickBot="1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796" t="str">
        <f>'Z_4.sz.mell.'!G4</f>
        <v> Forintban!</v>
      </c>
      <c r="M5" s="796"/>
      <c r="N5" s="795"/>
    </row>
    <row r="6" spans="1:14" ht="13.5" thickBot="1">
      <c r="A6" s="797" t="s">
        <v>84</v>
      </c>
      <c r="B6" s="800" t="s">
        <v>449</v>
      </c>
      <c r="C6" s="800"/>
      <c r="D6" s="800"/>
      <c r="E6" s="800"/>
      <c r="F6" s="800"/>
      <c r="G6" s="800"/>
      <c r="H6" s="800"/>
      <c r="I6" s="800"/>
      <c r="J6" s="801" t="s">
        <v>450</v>
      </c>
      <c r="K6" s="801"/>
      <c r="L6" s="801"/>
      <c r="M6" s="801"/>
      <c r="N6" s="795"/>
    </row>
    <row r="7" spans="1:14" ht="15" customHeight="1" thickBot="1">
      <c r="A7" s="798"/>
      <c r="B7" s="783" t="s">
        <v>451</v>
      </c>
      <c r="C7" s="784" t="s">
        <v>452</v>
      </c>
      <c r="D7" s="790" t="s">
        <v>453</v>
      </c>
      <c r="E7" s="790"/>
      <c r="F7" s="790"/>
      <c r="G7" s="790"/>
      <c r="H7" s="790"/>
      <c r="I7" s="790"/>
      <c r="J7" s="802"/>
      <c r="K7" s="802"/>
      <c r="L7" s="802"/>
      <c r="M7" s="802"/>
      <c r="N7" s="795"/>
    </row>
    <row r="8" spans="1:14" ht="21.75" thickBot="1">
      <c r="A8" s="798"/>
      <c r="B8" s="783"/>
      <c r="C8" s="784"/>
      <c r="D8" s="283" t="s">
        <v>451</v>
      </c>
      <c r="E8" s="283" t="s">
        <v>452</v>
      </c>
      <c r="F8" s="283" t="s">
        <v>451</v>
      </c>
      <c r="G8" s="283" t="s">
        <v>452</v>
      </c>
      <c r="H8" s="283" t="s">
        <v>451</v>
      </c>
      <c r="I8" s="283" t="s">
        <v>452</v>
      </c>
      <c r="J8" s="802"/>
      <c r="K8" s="802"/>
      <c r="L8" s="802"/>
      <c r="M8" s="802"/>
      <c r="N8" s="795"/>
    </row>
    <row r="9" spans="1:14" ht="32.25" thickBot="1">
      <c r="A9" s="799"/>
      <c r="B9" s="784" t="s">
        <v>454</v>
      </c>
      <c r="C9" s="784"/>
      <c r="D9" s="784" t="str">
        <f>+CONCATENATE(LEFT(Z_ÖSSZEFÜGGÉSEK!A6,4),". előtt")</f>
        <v>2018. előtt</v>
      </c>
      <c r="E9" s="784"/>
      <c r="F9" s="794" t="str">
        <f>+CONCATENATE(LEFT(Z_ÖSSZEFÜGGÉSEK!A6,4),". XII.31.")</f>
        <v>2018. XII.31.</v>
      </c>
      <c r="G9" s="794"/>
      <c r="H9" s="783" t="str">
        <f>+CONCATENATE(LEFT(Z_ÖSSZEFÜGGÉSEK!A6,4),". után")</f>
        <v>2018. után</v>
      </c>
      <c r="I9" s="783"/>
      <c r="J9" s="371" t="str">
        <f>+D9</f>
        <v>2018. előtt</v>
      </c>
      <c r="K9" s="370" t="str">
        <f>+F9</f>
        <v>2018. XII.31.</v>
      </c>
      <c r="L9" s="282" t="s">
        <v>37</v>
      </c>
      <c r="M9" s="370" t="str">
        <f>+CONCATENATE("Teljesítés %-a ",LEFT(Z_ÖSSZEFÜGGÉSEK!A6,4),". XII. 31-ig")</f>
        <v>Teljesítés %-a 2018. XII. 31-ig</v>
      </c>
      <c r="N9" s="795"/>
    </row>
    <row r="10" spans="1:14" ht="13.5" thickBot="1">
      <c r="A10" s="284" t="s">
        <v>389</v>
      </c>
      <c r="B10" s="282" t="s">
        <v>390</v>
      </c>
      <c r="C10" s="282" t="s">
        <v>391</v>
      </c>
      <c r="D10" s="285" t="s">
        <v>393</v>
      </c>
      <c r="E10" s="283" t="s">
        <v>392</v>
      </c>
      <c r="F10" s="283" t="s">
        <v>394</v>
      </c>
      <c r="G10" s="283" t="s">
        <v>395</v>
      </c>
      <c r="H10" s="282" t="s">
        <v>396</v>
      </c>
      <c r="I10" s="285" t="s">
        <v>427</v>
      </c>
      <c r="J10" s="285" t="s">
        <v>455</v>
      </c>
      <c r="K10" s="285" t="s">
        <v>456</v>
      </c>
      <c r="L10" s="285" t="s">
        <v>457</v>
      </c>
      <c r="M10" s="286" t="s">
        <v>458</v>
      </c>
      <c r="N10" s="795"/>
    </row>
    <row r="11" spans="1:14" ht="12.75">
      <c r="A11" s="287" t="s">
        <v>85</v>
      </c>
      <c r="B11" s="332">
        <v>0</v>
      </c>
      <c r="C11" s="333">
        <v>44679044</v>
      </c>
      <c r="D11" s="333">
        <v>0</v>
      </c>
      <c r="E11" s="334">
        <v>0</v>
      </c>
      <c r="F11" s="333">
        <v>0</v>
      </c>
      <c r="G11" s="333">
        <v>0</v>
      </c>
      <c r="H11" s="333">
        <v>0</v>
      </c>
      <c r="I11" s="333">
        <v>44679044</v>
      </c>
      <c r="J11" s="333"/>
      <c r="K11" s="333"/>
      <c r="L11" s="335">
        <f aca="true" t="shared" si="0" ref="L11:L17">+J11+K11</f>
        <v>0</v>
      </c>
      <c r="M11" s="336">
        <f>IF((C11&lt;&gt;0),ROUND((L11/C11)*100,1),"")</f>
        <v>0</v>
      </c>
      <c r="N11" s="795"/>
    </row>
    <row r="12" spans="1:14" ht="12.75">
      <c r="A12" s="289" t="s">
        <v>97</v>
      </c>
      <c r="B12" s="337"/>
      <c r="C12" s="338"/>
      <c r="D12" s="338"/>
      <c r="E12" s="338"/>
      <c r="F12" s="338"/>
      <c r="G12" s="338"/>
      <c r="H12" s="338"/>
      <c r="I12" s="338"/>
      <c r="J12" s="338"/>
      <c r="K12" s="338"/>
      <c r="L12" s="339">
        <f t="shared" si="0"/>
        <v>0</v>
      </c>
      <c r="M12" s="340">
        <f aca="true" t="shared" si="1" ref="M12:M17">IF((C12&lt;&gt;0),ROUND((L12/C12)*100,1),"")</f>
      </c>
      <c r="N12" s="795"/>
    </row>
    <row r="13" spans="1:14" ht="12.75">
      <c r="A13" s="290" t="s">
        <v>86</v>
      </c>
      <c r="B13" s="341">
        <v>200000001</v>
      </c>
      <c r="C13" s="348">
        <v>200000001</v>
      </c>
      <c r="D13" s="342">
        <v>200000001</v>
      </c>
      <c r="E13" s="342">
        <v>200000001</v>
      </c>
      <c r="F13" s="342"/>
      <c r="G13" s="342"/>
      <c r="H13" s="342"/>
      <c r="I13" s="342"/>
      <c r="J13" s="342">
        <v>200000001</v>
      </c>
      <c r="K13" s="342"/>
      <c r="L13" s="339">
        <f t="shared" si="0"/>
        <v>200000001</v>
      </c>
      <c r="M13" s="340">
        <f t="shared" si="1"/>
        <v>100</v>
      </c>
      <c r="N13" s="795"/>
    </row>
    <row r="14" spans="1:14" ht="12.75">
      <c r="A14" s="290" t="s">
        <v>98</v>
      </c>
      <c r="B14" s="341"/>
      <c r="C14" s="342"/>
      <c r="D14" s="342"/>
      <c r="E14" s="342"/>
      <c r="F14" s="342"/>
      <c r="G14" s="342"/>
      <c r="H14" s="342"/>
      <c r="I14" s="342"/>
      <c r="J14" s="342"/>
      <c r="K14" s="342"/>
      <c r="L14" s="339">
        <f t="shared" si="0"/>
        <v>0</v>
      </c>
      <c r="M14" s="340">
        <f t="shared" si="1"/>
      </c>
      <c r="N14" s="795"/>
    </row>
    <row r="15" spans="1:14" ht="12.75">
      <c r="A15" s="290" t="s">
        <v>87</v>
      </c>
      <c r="B15" s="341"/>
      <c r="C15" s="342"/>
      <c r="D15" s="342"/>
      <c r="E15" s="342"/>
      <c r="F15" s="342"/>
      <c r="G15" s="342"/>
      <c r="H15" s="342"/>
      <c r="I15" s="342"/>
      <c r="J15" s="342"/>
      <c r="K15" s="342"/>
      <c r="L15" s="339">
        <f t="shared" si="0"/>
        <v>0</v>
      </c>
      <c r="M15" s="340">
        <f t="shared" si="1"/>
      </c>
      <c r="N15" s="795"/>
    </row>
    <row r="16" spans="1:14" ht="12.75">
      <c r="A16" s="290" t="s">
        <v>88</v>
      </c>
      <c r="B16" s="341"/>
      <c r="C16" s="342"/>
      <c r="D16" s="342"/>
      <c r="E16" s="342"/>
      <c r="F16" s="342"/>
      <c r="G16" s="342"/>
      <c r="H16" s="342"/>
      <c r="I16" s="342"/>
      <c r="J16" s="342"/>
      <c r="K16" s="342"/>
      <c r="L16" s="339">
        <f t="shared" si="0"/>
        <v>0</v>
      </c>
      <c r="M16" s="340">
        <f t="shared" si="1"/>
      </c>
      <c r="N16" s="795"/>
    </row>
    <row r="17" spans="1:14" ht="15" customHeight="1" thickBot="1">
      <c r="A17" s="291"/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39">
        <f t="shared" si="0"/>
        <v>0</v>
      </c>
      <c r="M17" s="345">
        <f t="shared" si="1"/>
      </c>
      <c r="N17" s="795"/>
    </row>
    <row r="18" spans="1:14" ht="13.5" thickBot="1">
      <c r="A18" s="293" t="s">
        <v>90</v>
      </c>
      <c r="B18" s="346">
        <f>B11+SUM(B13:B17)</f>
        <v>200000001</v>
      </c>
      <c r="C18" s="346">
        <f aca="true" t="shared" si="2" ref="C18:L18">C11+SUM(C13:C17)</f>
        <v>244679045</v>
      </c>
      <c r="D18" s="346">
        <f t="shared" si="2"/>
        <v>200000001</v>
      </c>
      <c r="E18" s="346">
        <f t="shared" si="2"/>
        <v>200000001</v>
      </c>
      <c r="F18" s="346">
        <f t="shared" si="2"/>
        <v>0</v>
      </c>
      <c r="G18" s="346">
        <f t="shared" si="2"/>
        <v>0</v>
      </c>
      <c r="H18" s="346">
        <f t="shared" si="2"/>
        <v>0</v>
      </c>
      <c r="I18" s="346">
        <f t="shared" si="2"/>
        <v>44679044</v>
      </c>
      <c r="J18" s="346">
        <f t="shared" si="2"/>
        <v>200000001</v>
      </c>
      <c r="K18" s="346">
        <f t="shared" si="2"/>
        <v>0</v>
      </c>
      <c r="L18" s="346">
        <f t="shared" si="2"/>
        <v>200000001</v>
      </c>
      <c r="M18" s="347">
        <f>IF((C18&lt;&gt;0),ROUND((L18/C18)*100,1),"")</f>
        <v>81.7</v>
      </c>
      <c r="N18" s="795"/>
    </row>
    <row r="19" spans="1:14" ht="12.75">
      <c r="A19" s="294"/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795"/>
    </row>
    <row r="20" spans="1:14" ht="13.5" thickBot="1">
      <c r="A20" s="297" t="s">
        <v>89</v>
      </c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795"/>
    </row>
    <row r="21" spans="1:14" ht="12.75">
      <c r="A21" s="300" t="s">
        <v>93</v>
      </c>
      <c r="B21" s="349"/>
      <c r="C21" s="350"/>
      <c r="D21" s="350"/>
      <c r="E21" s="351"/>
      <c r="F21" s="350"/>
      <c r="G21" s="350"/>
      <c r="H21" s="350"/>
      <c r="I21" s="350"/>
      <c r="J21" s="350"/>
      <c r="K21" s="350"/>
      <c r="L21" s="352">
        <f>+J21+K21</f>
        <v>0</v>
      </c>
      <c r="M21" s="353">
        <f aca="true" t="shared" si="3" ref="M21:M26">IF((C21&lt;&gt;0),ROUND((L21/C21)*100,1),"")</f>
      </c>
      <c r="N21" s="795"/>
    </row>
    <row r="22" spans="1:14" ht="12.75">
      <c r="A22" s="301" t="s">
        <v>94</v>
      </c>
      <c r="B22" s="354">
        <v>184075271</v>
      </c>
      <c r="C22" s="348">
        <v>228753396</v>
      </c>
      <c r="D22" s="348">
        <v>486049</v>
      </c>
      <c r="E22" s="348">
        <v>486049</v>
      </c>
      <c r="F22" s="348">
        <f>1680920+2977051</f>
        <v>4657971</v>
      </c>
      <c r="G22" s="348">
        <f>1680920+2977051</f>
        <v>4657971</v>
      </c>
      <c r="H22" s="348">
        <f>B22-D22-F22</f>
        <v>178931251</v>
      </c>
      <c r="I22" s="348">
        <f>C22-E22-G22</f>
        <v>223609376</v>
      </c>
      <c r="J22" s="348">
        <f>D22</f>
        <v>486049</v>
      </c>
      <c r="K22" s="348">
        <f>F22</f>
        <v>4657971</v>
      </c>
      <c r="L22" s="355">
        <f>+J22+K22</f>
        <v>5144020</v>
      </c>
      <c r="M22" s="356">
        <f t="shared" si="3"/>
        <v>2.2</v>
      </c>
      <c r="N22" s="795"/>
    </row>
    <row r="23" spans="1:14" ht="12.75">
      <c r="A23" s="301" t="s">
        <v>95</v>
      </c>
      <c r="B23" s="357">
        <f>B18-B22</f>
        <v>15924730</v>
      </c>
      <c r="C23" s="348">
        <f>C18-C22</f>
        <v>15925649</v>
      </c>
      <c r="D23" s="348">
        <v>952500</v>
      </c>
      <c r="E23" s="348">
        <v>952500</v>
      </c>
      <c r="F23" s="348">
        <f>130000+3048000+635000</f>
        <v>3813000</v>
      </c>
      <c r="G23" s="348">
        <f>130000+3048000+635000</f>
        <v>3813000</v>
      </c>
      <c r="H23" s="348">
        <f>B23-D23-F23</f>
        <v>11159230</v>
      </c>
      <c r="I23" s="348">
        <f>C23-E23-G23</f>
        <v>11160149</v>
      </c>
      <c r="J23" s="348">
        <f>D23</f>
        <v>952500</v>
      </c>
      <c r="K23" s="348">
        <f>F23</f>
        <v>3813000</v>
      </c>
      <c r="L23" s="355">
        <f>+J23+K23</f>
        <v>4765500</v>
      </c>
      <c r="M23" s="356">
        <f t="shared" si="3"/>
        <v>29.9</v>
      </c>
      <c r="N23" s="795"/>
    </row>
    <row r="24" spans="1:14" ht="12.75">
      <c r="A24" s="301" t="s">
        <v>96</v>
      </c>
      <c r="B24" s="357"/>
      <c r="C24" s="348"/>
      <c r="D24" s="348"/>
      <c r="E24" s="348"/>
      <c r="F24" s="348"/>
      <c r="G24" s="348"/>
      <c r="H24" s="348"/>
      <c r="I24" s="348"/>
      <c r="J24" s="348"/>
      <c r="K24" s="348"/>
      <c r="L24" s="355">
        <f>+J24+K24</f>
        <v>0</v>
      </c>
      <c r="M24" s="356">
        <f t="shared" si="3"/>
      </c>
      <c r="N24" s="795"/>
    </row>
    <row r="25" spans="1:14" ht="13.5" thickBot="1">
      <c r="A25" s="302"/>
      <c r="B25" s="358"/>
      <c r="C25" s="359"/>
      <c r="D25" s="359"/>
      <c r="E25" s="359"/>
      <c r="F25" s="359"/>
      <c r="G25" s="359"/>
      <c r="H25" s="359"/>
      <c r="I25" s="359"/>
      <c r="J25" s="359"/>
      <c r="K25" s="359"/>
      <c r="L25" s="355">
        <f>+J25+K25</f>
        <v>0</v>
      </c>
      <c r="M25" s="360">
        <f t="shared" si="3"/>
      </c>
      <c r="N25" s="795"/>
    </row>
    <row r="26" spans="1:14" ht="13.5" thickBot="1">
      <c r="A26" s="303" t="s">
        <v>75</v>
      </c>
      <c r="B26" s="361">
        <f aca="true" t="shared" si="4" ref="B26:L26">SUM(B21:B25)</f>
        <v>200000001</v>
      </c>
      <c r="C26" s="361">
        <f t="shared" si="4"/>
        <v>244679045</v>
      </c>
      <c r="D26" s="361">
        <f t="shared" si="4"/>
        <v>1438549</v>
      </c>
      <c r="E26" s="361">
        <f t="shared" si="4"/>
        <v>1438549</v>
      </c>
      <c r="F26" s="361">
        <f t="shared" si="4"/>
        <v>8470971</v>
      </c>
      <c r="G26" s="361">
        <f t="shared" si="4"/>
        <v>8470971</v>
      </c>
      <c r="H26" s="361">
        <f t="shared" si="4"/>
        <v>190090481</v>
      </c>
      <c r="I26" s="361">
        <f t="shared" si="4"/>
        <v>234769525</v>
      </c>
      <c r="J26" s="361">
        <f t="shared" si="4"/>
        <v>1438549</v>
      </c>
      <c r="K26" s="361">
        <f t="shared" si="4"/>
        <v>8470971</v>
      </c>
      <c r="L26" s="361">
        <f t="shared" si="4"/>
        <v>9909520</v>
      </c>
      <c r="M26" s="362">
        <f t="shared" si="3"/>
        <v>4.1</v>
      </c>
      <c r="N26" s="795"/>
    </row>
    <row r="27" spans="1:14" ht="12.75">
      <c r="A27" s="791" t="s">
        <v>526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5"/>
    </row>
    <row r="28" spans="1:14" ht="5.25" customHeigh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795"/>
    </row>
    <row r="29" spans="1:14" ht="15.75">
      <c r="A29" s="79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5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92" t="str">
        <f>L5</f>
        <v> Forintban!</v>
      </c>
      <c r="M30" s="792"/>
      <c r="N30" s="795"/>
    </row>
    <row r="31" spans="1:14" ht="21.75" thickBot="1">
      <c r="A31" s="808" t="s">
        <v>91</v>
      </c>
      <c r="B31" s="809"/>
      <c r="C31" s="809"/>
      <c r="D31" s="809"/>
      <c r="E31" s="809"/>
      <c r="F31" s="809"/>
      <c r="G31" s="809"/>
      <c r="H31" s="809"/>
      <c r="I31" s="809"/>
      <c r="J31" s="809"/>
      <c r="K31" s="305" t="s">
        <v>459</v>
      </c>
      <c r="L31" s="305" t="s">
        <v>460</v>
      </c>
      <c r="M31" s="305" t="s">
        <v>450</v>
      </c>
      <c r="N31" s="795"/>
    </row>
    <row r="32" spans="1:14" ht="12.75">
      <c r="A32" s="788"/>
      <c r="B32" s="789"/>
      <c r="C32" s="789"/>
      <c r="D32" s="789"/>
      <c r="E32" s="789"/>
      <c r="F32" s="789"/>
      <c r="G32" s="789"/>
      <c r="H32" s="789"/>
      <c r="I32" s="789"/>
      <c r="J32" s="789"/>
      <c r="K32" s="288"/>
      <c r="L32" s="306"/>
      <c r="M32" s="306"/>
      <c r="N32" s="795"/>
    </row>
    <row r="33" spans="1:14" ht="13.5" thickBot="1">
      <c r="A33" s="805"/>
      <c r="B33" s="806"/>
      <c r="C33" s="806"/>
      <c r="D33" s="806"/>
      <c r="E33" s="806"/>
      <c r="F33" s="806"/>
      <c r="G33" s="806"/>
      <c r="H33" s="806"/>
      <c r="I33" s="806"/>
      <c r="J33" s="806"/>
      <c r="K33" s="307"/>
      <c r="L33" s="292"/>
      <c r="M33" s="292"/>
      <c r="N33" s="795"/>
    </row>
    <row r="34" spans="1:14" ht="13.5" thickBot="1">
      <c r="A34" s="803" t="s">
        <v>525</v>
      </c>
      <c r="B34" s="804"/>
      <c r="C34" s="804"/>
      <c r="D34" s="804"/>
      <c r="E34" s="804"/>
      <c r="F34" s="804"/>
      <c r="G34" s="804"/>
      <c r="H34" s="804"/>
      <c r="I34" s="804"/>
      <c r="J34" s="804"/>
      <c r="K34" s="308">
        <f>SUM(K32:K33)</f>
        <v>0</v>
      </c>
      <c r="L34" s="308">
        <f>SUM(L32:L33)</f>
        <v>0</v>
      </c>
      <c r="M34" s="308">
        <f>SUM(M32:M33)</f>
        <v>0</v>
      </c>
      <c r="N34" s="795"/>
    </row>
    <row r="35" ht="12.75">
      <c r="N35" s="795"/>
    </row>
    <row r="50" ht="12.75">
      <c r="A50" s="32"/>
    </row>
  </sheetData>
  <sheetProtection/>
  <mergeCells count="24">
    <mergeCell ref="A34:J34"/>
    <mergeCell ref="A27:M27"/>
    <mergeCell ref="A29:M29"/>
    <mergeCell ref="L30:M30"/>
    <mergeCell ref="A31:J31"/>
    <mergeCell ref="A32:J32"/>
    <mergeCell ref="A33:J33"/>
    <mergeCell ref="B7:B8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C4"/>
    <mergeCell ref="D4:M4"/>
    <mergeCell ref="N4:N35"/>
    <mergeCell ref="L5:M5"/>
    <mergeCell ref="A6:A9"/>
    <mergeCell ref="B6:I6"/>
    <mergeCell ref="J6:M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120" zoomScaleNormal="120" zoomScalePageLayoutView="0" workbookViewId="0" topLeftCell="A1">
      <selection activeCell="B38" sqref="B38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</cols>
  <sheetData>
    <row r="1" spans="2:3" ht="12.75">
      <c r="B1">
        <v>2018</v>
      </c>
      <c r="C1" t="s">
        <v>848</v>
      </c>
    </row>
    <row r="2" spans="1:6" ht="15.75">
      <c r="A2" s="750" t="s">
        <v>506</v>
      </c>
      <c r="B2" s="750"/>
      <c r="C2" s="750"/>
      <c r="D2" s="750"/>
      <c r="E2" s="750"/>
      <c r="F2" s="750"/>
    </row>
    <row r="3" spans="1:7" ht="15.75">
      <c r="A3" s="753" t="s">
        <v>872</v>
      </c>
      <c r="B3" s="753"/>
      <c r="C3" s="753"/>
      <c r="D3" s="753"/>
      <c r="E3" s="753"/>
      <c r="F3" s="753"/>
      <c r="G3" s="753"/>
    </row>
    <row r="6" ht="15">
      <c r="A6" s="373" t="s">
        <v>828</v>
      </c>
    </row>
    <row r="7" spans="1:8" ht="12.75">
      <c r="A7" s="655" t="s">
        <v>821</v>
      </c>
      <c r="B7" s="686" t="s">
        <v>822</v>
      </c>
      <c r="C7" t="s">
        <v>823</v>
      </c>
      <c r="D7" t="s">
        <v>832</v>
      </c>
      <c r="E7" t="s">
        <v>824</v>
      </c>
      <c r="F7" s="686" t="s">
        <v>822</v>
      </c>
      <c r="G7" t="s">
        <v>825</v>
      </c>
      <c r="H7" t="s">
        <v>826</v>
      </c>
    </row>
    <row r="8" spans="1:6" ht="12.75">
      <c r="A8" s="655"/>
      <c r="B8" s="426"/>
      <c r="F8" s="426"/>
    </row>
    <row r="9" spans="1:6" ht="12.75">
      <c r="A9" s="655"/>
      <c r="B9" s="426"/>
      <c r="F9" s="426"/>
    </row>
    <row r="11" spans="1:7" ht="15.75">
      <c r="A11" s="751" t="s">
        <v>873</v>
      </c>
      <c r="B11" s="752"/>
      <c r="C11" s="752"/>
      <c r="D11" s="752"/>
      <c r="E11" s="752"/>
      <c r="F11" s="752"/>
      <c r="G11" s="752"/>
    </row>
    <row r="13" spans="1:7" ht="14.25">
      <c r="A13" s="374" t="s">
        <v>507</v>
      </c>
      <c r="B13" s="754" t="s">
        <v>876</v>
      </c>
      <c r="C13" s="755"/>
      <c r="D13" s="755"/>
      <c r="E13" s="755"/>
      <c r="F13" s="755"/>
      <c r="G13" s="755"/>
    </row>
    <row r="14" spans="2:7" ht="14.25">
      <c r="B14" s="687"/>
      <c r="C14" s="640"/>
      <c r="D14" s="640"/>
      <c r="E14" s="640"/>
      <c r="F14" s="640"/>
      <c r="G14" s="640"/>
    </row>
    <row r="15" spans="1:7" ht="14.25">
      <c r="A15" s="374" t="s">
        <v>508</v>
      </c>
      <c r="B15" s="754" t="s">
        <v>907</v>
      </c>
      <c r="C15" s="755"/>
      <c r="D15" s="755"/>
      <c r="E15" s="755"/>
      <c r="F15" s="755"/>
      <c r="G15" s="755"/>
    </row>
    <row r="16" spans="2:7" ht="14.25">
      <c r="B16" s="687"/>
      <c r="C16" s="640"/>
      <c r="D16" s="640"/>
      <c r="E16" s="640"/>
      <c r="F16" s="640"/>
      <c r="G16" s="640"/>
    </row>
    <row r="17" spans="1:7" ht="14.25">
      <c r="A17" s="374" t="s">
        <v>509</v>
      </c>
      <c r="B17" s="754" t="s">
        <v>510</v>
      </c>
      <c r="C17" s="755"/>
      <c r="D17" s="755"/>
      <c r="E17" s="755"/>
      <c r="F17" s="755"/>
      <c r="G17" s="755"/>
    </row>
    <row r="18" spans="2:7" ht="14.25">
      <c r="B18" s="687"/>
      <c r="C18" s="640"/>
      <c r="D18" s="640"/>
      <c r="E18" s="640"/>
      <c r="F18" s="640"/>
      <c r="G18" s="640"/>
    </row>
    <row r="19" spans="1:7" ht="14.25">
      <c r="A19" s="374" t="s">
        <v>511</v>
      </c>
      <c r="B19" s="754" t="s">
        <v>512</v>
      </c>
      <c r="C19" s="755"/>
      <c r="D19" s="755"/>
      <c r="E19" s="755"/>
      <c r="F19" s="755"/>
      <c r="G19" s="755"/>
    </row>
    <row r="20" spans="2:7" ht="14.25">
      <c r="B20" s="687"/>
      <c r="C20" s="640"/>
      <c r="D20" s="640"/>
      <c r="E20" s="640"/>
      <c r="F20" s="640"/>
      <c r="G20" s="640"/>
    </row>
    <row r="21" spans="1:7" ht="14.25">
      <c r="A21" s="374" t="s">
        <v>513</v>
      </c>
      <c r="B21" s="754" t="s">
        <v>514</v>
      </c>
      <c r="C21" s="755"/>
      <c r="D21" s="755"/>
      <c r="E21" s="755"/>
      <c r="F21" s="755"/>
      <c r="G21" s="755"/>
    </row>
    <row r="22" spans="2:7" ht="14.25">
      <c r="B22" s="687"/>
      <c r="C22" s="640"/>
      <c r="D22" s="640"/>
      <c r="E22" s="640"/>
      <c r="F22" s="640"/>
      <c r="G22" s="640"/>
    </row>
    <row r="23" spans="1:7" ht="14.25">
      <c r="A23" s="374" t="s">
        <v>515</v>
      </c>
      <c r="B23" s="754" t="s">
        <v>516</v>
      </c>
      <c r="C23" s="755"/>
      <c r="D23" s="755"/>
      <c r="E23" s="755"/>
      <c r="F23" s="755"/>
      <c r="G23" s="755"/>
    </row>
    <row r="24" spans="2:7" ht="14.25">
      <c r="B24" s="687"/>
      <c r="C24" s="640"/>
      <c r="D24" s="640"/>
      <c r="E24" s="640"/>
      <c r="F24" s="640"/>
      <c r="G24" s="640"/>
    </row>
    <row r="25" spans="1:7" ht="14.25">
      <c r="A25" s="374" t="s">
        <v>517</v>
      </c>
      <c r="B25" s="754" t="s">
        <v>518</v>
      </c>
      <c r="C25" s="755"/>
      <c r="D25" s="755"/>
      <c r="E25" s="755"/>
      <c r="F25" s="755"/>
      <c r="G25" s="755"/>
    </row>
    <row r="26" spans="2:7" ht="14.25">
      <c r="B26" s="687"/>
      <c r="C26" s="640"/>
      <c r="D26" s="640"/>
      <c r="E26" s="640"/>
      <c r="F26" s="640"/>
      <c r="G26" s="640"/>
    </row>
    <row r="27" spans="1:7" ht="14.25">
      <c r="A27" s="374" t="s">
        <v>519</v>
      </c>
      <c r="B27" s="754" t="s">
        <v>520</v>
      </c>
      <c r="C27" s="755"/>
      <c r="D27" s="755"/>
      <c r="E27" s="755"/>
      <c r="F27" s="755"/>
      <c r="G27" s="755"/>
    </row>
    <row r="28" spans="2:7" ht="14.25">
      <c r="B28" s="687"/>
      <c r="C28" s="640"/>
      <c r="D28" s="640"/>
      <c r="E28" s="640"/>
      <c r="F28" s="640"/>
      <c r="G28" s="640"/>
    </row>
    <row r="29" spans="1:7" ht="14.25">
      <c r="A29" s="374" t="s">
        <v>519</v>
      </c>
      <c r="B29" s="754" t="s">
        <v>521</v>
      </c>
      <c r="C29" s="755"/>
      <c r="D29" s="755"/>
      <c r="E29" s="755"/>
      <c r="F29" s="755"/>
      <c r="G29" s="755"/>
    </row>
    <row r="30" spans="2:7" ht="14.25">
      <c r="B30" s="687"/>
      <c r="C30" s="640"/>
      <c r="D30" s="640"/>
      <c r="E30" s="640"/>
      <c r="F30" s="640"/>
      <c r="G30" s="640"/>
    </row>
    <row r="31" spans="1:7" ht="14.25">
      <c r="A31" s="374" t="s">
        <v>522</v>
      </c>
      <c r="B31" s="754" t="s">
        <v>523</v>
      </c>
      <c r="C31" s="755"/>
      <c r="D31" s="755"/>
      <c r="E31" s="755"/>
      <c r="F31" s="755"/>
      <c r="G31" s="755"/>
    </row>
  </sheetData>
  <sheetProtection sheet="1"/>
  <mergeCells count="13"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  <mergeCell ref="B15:G15"/>
    <mergeCell ref="B17:G17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="120" zoomScaleNormal="120" zoomScaleSheetLayoutView="100" workbookViewId="0" topLeftCell="A1">
      <selection activeCell="G15" sqref="G15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785" t="str">
        <f>CONCATENATE("5.8 melléklet ",Z_ALAPADATOK!A7," ",Z_ALAPADATOK!B7," ",Z_ALAPADATOK!C7," ",Z_ALAPADATOK!D7," ",Z_ALAPADATOK!E7," ",Z_ALAPADATOK!F7," ",Z_ALAPADATOK!G7," ",Z_ALAPADATOK!H7)</f>
        <v>5.8 melléklet a … / 2019. ( … ) önkormányzati rendelethez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</row>
    <row r="2" spans="1:13" ht="15.75">
      <c r="A2" s="786" t="s">
        <v>531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</row>
    <row r="3" spans="1:13" ht="15.75">
      <c r="A3" s="787" t="s">
        <v>532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</row>
    <row r="4" spans="1:14" ht="15.75" customHeight="1">
      <c r="A4" s="782" t="s">
        <v>448</v>
      </c>
      <c r="B4" s="782"/>
      <c r="C4" s="782"/>
      <c r="D4" s="807" t="s">
        <v>944</v>
      </c>
      <c r="E4" s="807"/>
      <c r="F4" s="807"/>
      <c r="G4" s="807"/>
      <c r="H4" s="807"/>
      <c r="I4" s="807"/>
      <c r="J4" s="807"/>
      <c r="K4" s="807"/>
      <c r="L4" s="807"/>
      <c r="M4" s="807"/>
      <c r="N4" s="795"/>
    </row>
    <row r="5" spans="1:14" ht="15.75" thickBot="1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796" t="str">
        <f>'Z_4.sz.mell.'!G4</f>
        <v> Forintban!</v>
      </c>
      <c r="M5" s="796"/>
      <c r="N5" s="795"/>
    </row>
    <row r="6" spans="1:14" ht="13.5" thickBot="1">
      <c r="A6" s="797" t="s">
        <v>84</v>
      </c>
      <c r="B6" s="800" t="s">
        <v>449</v>
      </c>
      <c r="C6" s="800"/>
      <c r="D6" s="800"/>
      <c r="E6" s="800"/>
      <c r="F6" s="800"/>
      <c r="G6" s="800"/>
      <c r="H6" s="800"/>
      <c r="I6" s="800"/>
      <c r="J6" s="801" t="s">
        <v>450</v>
      </c>
      <c r="K6" s="801"/>
      <c r="L6" s="801"/>
      <c r="M6" s="801"/>
      <c r="N6" s="795"/>
    </row>
    <row r="7" spans="1:14" ht="15" customHeight="1" thickBot="1">
      <c r="A7" s="798"/>
      <c r="B7" s="783" t="s">
        <v>451</v>
      </c>
      <c r="C7" s="784" t="s">
        <v>452</v>
      </c>
      <c r="D7" s="790" t="s">
        <v>453</v>
      </c>
      <c r="E7" s="790"/>
      <c r="F7" s="790"/>
      <c r="G7" s="790"/>
      <c r="H7" s="790"/>
      <c r="I7" s="790"/>
      <c r="J7" s="802"/>
      <c r="K7" s="802"/>
      <c r="L7" s="802"/>
      <c r="M7" s="802"/>
      <c r="N7" s="795"/>
    </row>
    <row r="8" spans="1:14" ht="21.75" thickBot="1">
      <c r="A8" s="798"/>
      <c r="B8" s="783"/>
      <c r="C8" s="784"/>
      <c r="D8" s="283" t="s">
        <v>451</v>
      </c>
      <c r="E8" s="283" t="s">
        <v>452</v>
      </c>
      <c r="F8" s="283" t="s">
        <v>451</v>
      </c>
      <c r="G8" s="283" t="s">
        <v>452</v>
      </c>
      <c r="H8" s="283" t="s">
        <v>451</v>
      </c>
      <c r="I8" s="283" t="s">
        <v>452</v>
      </c>
      <c r="J8" s="802"/>
      <c r="K8" s="802"/>
      <c r="L8" s="802"/>
      <c r="M8" s="802"/>
      <c r="N8" s="795"/>
    </row>
    <row r="9" spans="1:14" ht="32.25" thickBot="1">
      <c r="A9" s="799"/>
      <c r="B9" s="784" t="s">
        <v>454</v>
      </c>
      <c r="C9" s="784"/>
      <c r="D9" s="784" t="str">
        <f>+CONCATENATE(LEFT(Z_ÖSSZEFÜGGÉSEK!A6,4),". előtt")</f>
        <v>2018. előtt</v>
      </c>
      <c r="E9" s="784"/>
      <c r="F9" s="794" t="str">
        <f>+CONCATENATE(LEFT(Z_ÖSSZEFÜGGÉSEK!A6,4),". XII.31.")</f>
        <v>2018. XII.31.</v>
      </c>
      <c r="G9" s="794"/>
      <c r="H9" s="783" t="str">
        <f>+CONCATENATE(LEFT(Z_ÖSSZEFÜGGÉSEK!A6,4),". után")</f>
        <v>2018. után</v>
      </c>
      <c r="I9" s="783"/>
      <c r="J9" s="371" t="str">
        <f>+D9</f>
        <v>2018. előtt</v>
      </c>
      <c r="K9" s="370" t="str">
        <f>+F9</f>
        <v>2018. XII.31.</v>
      </c>
      <c r="L9" s="282" t="s">
        <v>37</v>
      </c>
      <c r="M9" s="370" t="str">
        <f>+CONCATENATE("Teljesítés %-a ",LEFT(Z_ÖSSZEFÜGGÉSEK!A6,4),". XII. 31-ig")</f>
        <v>Teljesítés %-a 2018. XII. 31-ig</v>
      </c>
      <c r="N9" s="795"/>
    </row>
    <row r="10" spans="1:14" ht="13.5" thickBot="1">
      <c r="A10" s="284" t="s">
        <v>389</v>
      </c>
      <c r="B10" s="282" t="s">
        <v>390</v>
      </c>
      <c r="C10" s="282" t="s">
        <v>391</v>
      </c>
      <c r="D10" s="285" t="s">
        <v>393</v>
      </c>
      <c r="E10" s="283" t="s">
        <v>392</v>
      </c>
      <c r="F10" s="283" t="s">
        <v>394</v>
      </c>
      <c r="G10" s="283" t="s">
        <v>395</v>
      </c>
      <c r="H10" s="282" t="s">
        <v>396</v>
      </c>
      <c r="I10" s="285" t="s">
        <v>427</v>
      </c>
      <c r="J10" s="285" t="s">
        <v>455</v>
      </c>
      <c r="K10" s="285" t="s">
        <v>456</v>
      </c>
      <c r="L10" s="285" t="s">
        <v>457</v>
      </c>
      <c r="M10" s="286" t="s">
        <v>458</v>
      </c>
      <c r="N10" s="795"/>
    </row>
    <row r="11" spans="1:14" ht="12.75">
      <c r="A11" s="287" t="s">
        <v>85</v>
      </c>
      <c r="B11" s="332">
        <v>0</v>
      </c>
      <c r="C11" s="333">
        <v>93644716</v>
      </c>
      <c r="D11" s="333"/>
      <c r="E11" s="334"/>
      <c r="F11" s="333"/>
      <c r="G11" s="333"/>
      <c r="H11" s="332">
        <v>0</v>
      </c>
      <c r="I11" s="333">
        <v>93644716</v>
      </c>
      <c r="J11" s="333"/>
      <c r="K11" s="333"/>
      <c r="L11" s="335">
        <f aca="true" t="shared" si="0" ref="L11:L17">+J11+K11</f>
        <v>0</v>
      </c>
      <c r="M11" s="336">
        <f>IF((C11&lt;&gt;0),ROUND((L11/C11)*100,1),"")</f>
        <v>0</v>
      </c>
      <c r="N11" s="795"/>
    </row>
    <row r="12" spans="1:14" ht="12.75">
      <c r="A12" s="289" t="s">
        <v>97</v>
      </c>
      <c r="B12" s="337"/>
      <c r="C12" s="338"/>
      <c r="D12" s="338"/>
      <c r="E12" s="338"/>
      <c r="F12" s="338"/>
      <c r="G12" s="338"/>
      <c r="H12" s="338"/>
      <c r="I12" s="338"/>
      <c r="J12" s="338"/>
      <c r="K12" s="338"/>
      <c r="L12" s="339">
        <f t="shared" si="0"/>
        <v>0</v>
      </c>
      <c r="M12" s="340">
        <f aca="true" t="shared" si="1" ref="M12:M17">IF((C12&lt;&gt;0),ROUND((L12/C12)*100,1),"")</f>
      </c>
      <c r="N12" s="795"/>
    </row>
    <row r="13" spans="1:14" ht="12.75">
      <c r="A13" s="290" t="s">
        <v>86</v>
      </c>
      <c r="B13" s="341">
        <v>120000000</v>
      </c>
      <c r="C13" s="348">
        <v>120000000</v>
      </c>
      <c r="D13" s="341">
        <v>120000000</v>
      </c>
      <c r="E13" s="348">
        <v>120000000</v>
      </c>
      <c r="F13" s="342"/>
      <c r="G13" s="342"/>
      <c r="H13" s="342"/>
      <c r="I13" s="342"/>
      <c r="J13" s="348">
        <v>120000000</v>
      </c>
      <c r="K13" s="342"/>
      <c r="L13" s="339">
        <f t="shared" si="0"/>
        <v>120000000</v>
      </c>
      <c r="M13" s="340">
        <f t="shared" si="1"/>
        <v>100</v>
      </c>
      <c r="N13" s="795"/>
    </row>
    <row r="14" spans="1:14" ht="12.75">
      <c r="A14" s="290" t="s">
        <v>98</v>
      </c>
      <c r="B14" s="341"/>
      <c r="C14" s="342"/>
      <c r="D14" s="342"/>
      <c r="E14" s="342"/>
      <c r="F14" s="342"/>
      <c r="G14" s="342"/>
      <c r="H14" s="342"/>
      <c r="I14" s="342"/>
      <c r="J14" s="342"/>
      <c r="K14" s="342"/>
      <c r="L14" s="339">
        <f t="shared" si="0"/>
        <v>0</v>
      </c>
      <c r="M14" s="340">
        <f t="shared" si="1"/>
      </c>
      <c r="N14" s="795"/>
    </row>
    <row r="15" spans="1:14" ht="12.75">
      <c r="A15" s="290" t="s">
        <v>87</v>
      </c>
      <c r="B15" s="341"/>
      <c r="C15" s="342"/>
      <c r="D15" s="342"/>
      <c r="E15" s="342"/>
      <c r="F15" s="342"/>
      <c r="G15" s="342"/>
      <c r="H15" s="342"/>
      <c r="I15" s="342"/>
      <c r="J15" s="342"/>
      <c r="K15" s="342"/>
      <c r="L15" s="339">
        <f t="shared" si="0"/>
        <v>0</v>
      </c>
      <c r="M15" s="340">
        <f t="shared" si="1"/>
      </c>
      <c r="N15" s="795"/>
    </row>
    <row r="16" spans="1:14" ht="12.75">
      <c r="A16" s="290" t="s">
        <v>88</v>
      </c>
      <c r="B16" s="341"/>
      <c r="C16" s="342"/>
      <c r="D16" s="342"/>
      <c r="E16" s="342"/>
      <c r="F16" s="342"/>
      <c r="G16" s="342"/>
      <c r="H16" s="342"/>
      <c r="I16" s="342"/>
      <c r="J16" s="342"/>
      <c r="K16" s="342"/>
      <c r="L16" s="339">
        <f t="shared" si="0"/>
        <v>0</v>
      </c>
      <c r="M16" s="340">
        <f t="shared" si="1"/>
      </c>
      <c r="N16" s="795"/>
    </row>
    <row r="17" spans="1:14" ht="15" customHeight="1" thickBot="1">
      <c r="A17" s="291"/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39">
        <f t="shared" si="0"/>
        <v>0</v>
      </c>
      <c r="M17" s="345">
        <f t="shared" si="1"/>
      </c>
      <c r="N17" s="795"/>
    </row>
    <row r="18" spans="1:14" ht="13.5" thickBot="1">
      <c r="A18" s="293" t="s">
        <v>90</v>
      </c>
      <c r="B18" s="346">
        <f>B11+SUM(B13:B17)</f>
        <v>120000000</v>
      </c>
      <c r="C18" s="346">
        <f aca="true" t="shared" si="2" ref="C18:L18">C11+SUM(C13:C17)</f>
        <v>213644716</v>
      </c>
      <c r="D18" s="346">
        <f t="shared" si="2"/>
        <v>120000000</v>
      </c>
      <c r="E18" s="346">
        <f t="shared" si="2"/>
        <v>120000000</v>
      </c>
      <c r="F18" s="346">
        <f t="shared" si="2"/>
        <v>0</v>
      </c>
      <c r="G18" s="346">
        <f t="shared" si="2"/>
        <v>0</v>
      </c>
      <c r="H18" s="346">
        <f t="shared" si="2"/>
        <v>0</v>
      </c>
      <c r="I18" s="346">
        <f t="shared" si="2"/>
        <v>93644716</v>
      </c>
      <c r="J18" s="346">
        <f t="shared" si="2"/>
        <v>120000000</v>
      </c>
      <c r="K18" s="346">
        <f t="shared" si="2"/>
        <v>0</v>
      </c>
      <c r="L18" s="346">
        <f t="shared" si="2"/>
        <v>120000000</v>
      </c>
      <c r="M18" s="347">
        <f>IF((C18&lt;&gt;0),ROUND((L18/C18)*100,1),"")</f>
        <v>56.2</v>
      </c>
      <c r="N18" s="795"/>
    </row>
    <row r="19" spans="1:14" ht="12.75">
      <c r="A19" s="294"/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795"/>
    </row>
    <row r="20" spans="1:14" ht="13.5" thickBot="1">
      <c r="A20" s="297" t="s">
        <v>89</v>
      </c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795"/>
    </row>
    <row r="21" spans="1:14" ht="12.75">
      <c r="A21" s="300" t="s">
        <v>93</v>
      </c>
      <c r="B21" s="349"/>
      <c r="C21" s="350"/>
      <c r="D21" s="350"/>
      <c r="E21" s="351"/>
      <c r="F21" s="350"/>
      <c r="G21" s="350"/>
      <c r="H21" s="350"/>
      <c r="I21" s="350"/>
      <c r="J21" s="350"/>
      <c r="K21" s="350"/>
      <c r="L21" s="352">
        <f>+J21+K21</f>
        <v>0</v>
      </c>
      <c r="M21" s="353">
        <f aca="true" t="shared" si="3" ref="M21:M26">IF((C21&lt;&gt;0),ROUND((L21/C21)*100,1),"")</f>
      </c>
      <c r="N21" s="795"/>
    </row>
    <row r="22" spans="1:14" ht="12.75">
      <c r="A22" s="301" t="s">
        <v>94</v>
      </c>
      <c r="B22" s="354">
        <v>117196000</v>
      </c>
      <c r="C22" s="348">
        <v>210840196</v>
      </c>
      <c r="D22" s="348">
        <v>275951</v>
      </c>
      <c r="E22" s="348">
        <v>275951</v>
      </c>
      <c r="F22" s="348">
        <f>954330+1690199</f>
        <v>2644529</v>
      </c>
      <c r="G22" s="348">
        <f>954330+1690199</f>
        <v>2644529</v>
      </c>
      <c r="H22" s="348">
        <f>B22-D22-F22</f>
        <v>114275520</v>
      </c>
      <c r="I22" s="348">
        <f>C22-E22-G22</f>
        <v>207919716</v>
      </c>
      <c r="J22" s="348">
        <f>D22</f>
        <v>275951</v>
      </c>
      <c r="K22" s="348">
        <f>F22</f>
        <v>2644529</v>
      </c>
      <c r="L22" s="355">
        <f>+J22+K22</f>
        <v>2920480</v>
      </c>
      <c r="M22" s="356">
        <f t="shared" si="3"/>
        <v>1.4</v>
      </c>
      <c r="N22" s="795"/>
    </row>
    <row r="23" spans="1:14" ht="12.75">
      <c r="A23" s="301" t="s">
        <v>95</v>
      </c>
      <c r="B23" s="357">
        <v>2804000</v>
      </c>
      <c r="C23" s="348">
        <v>2804520</v>
      </c>
      <c r="D23" s="348">
        <f>1219200+304800+10000</f>
        <v>1534000</v>
      </c>
      <c r="E23" s="348">
        <f>1219200+304800+10000</f>
        <v>1534000</v>
      </c>
      <c r="F23" s="348">
        <v>0</v>
      </c>
      <c r="G23" s="348">
        <v>0</v>
      </c>
      <c r="H23" s="348">
        <f>B23-D23-F23</f>
        <v>1270000</v>
      </c>
      <c r="I23" s="348">
        <f>C23-E23-G23</f>
        <v>1270520</v>
      </c>
      <c r="J23" s="348">
        <f>D23</f>
        <v>1534000</v>
      </c>
      <c r="K23" s="348">
        <f>F23</f>
        <v>0</v>
      </c>
      <c r="L23" s="355">
        <f>+J23+K23</f>
        <v>1534000</v>
      </c>
      <c r="M23" s="356">
        <f t="shared" si="3"/>
        <v>54.7</v>
      </c>
      <c r="N23" s="795"/>
    </row>
    <row r="24" spans="1:14" ht="12.75">
      <c r="A24" s="301" t="s">
        <v>96</v>
      </c>
      <c r="B24" s="357"/>
      <c r="C24" s="348"/>
      <c r="D24" s="348"/>
      <c r="E24" s="348"/>
      <c r="F24" s="348"/>
      <c r="G24" s="348"/>
      <c r="H24" s="348"/>
      <c r="I24" s="348"/>
      <c r="J24" s="348"/>
      <c r="K24" s="348"/>
      <c r="L24" s="355">
        <f>+J24+K24</f>
        <v>0</v>
      </c>
      <c r="M24" s="356">
        <f t="shared" si="3"/>
      </c>
      <c r="N24" s="795"/>
    </row>
    <row r="25" spans="1:14" ht="13.5" thickBot="1">
      <c r="A25" s="302"/>
      <c r="B25" s="358"/>
      <c r="C25" s="359"/>
      <c r="D25" s="359"/>
      <c r="E25" s="359"/>
      <c r="F25" s="359"/>
      <c r="G25" s="359"/>
      <c r="H25" s="359"/>
      <c r="I25" s="359"/>
      <c r="J25" s="359"/>
      <c r="K25" s="359"/>
      <c r="L25" s="355">
        <f>+J25+K25</f>
        <v>0</v>
      </c>
      <c r="M25" s="360">
        <f t="shared" si="3"/>
      </c>
      <c r="N25" s="795"/>
    </row>
    <row r="26" spans="1:14" ht="13.5" thickBot="1">
      <c r="A26" s="303" t="s">
        <v>75</v>
      </c>
      <c r="B26" s="361">
        <f aca="true" t="shared" si="4" ref="B26:L26">SUM(B21:B25)</f>
        <v>120000000</v>
      </c>
      <c r="C26" s="361">
        <f t="shared" si="4"/>
        <v>213644716</v>
      </c>
      <c r="D26" s="361">
        <f t="shared" si="4"/>
        <v>1809951</v>
      </c>
      <c r="E26" s="361">
        <f t="shared" si="4"/>
        <v>1809951</v>
      </c>
      <c r="F26" s="361">
        <f t="shared" si="4"/>
        <v>2644529</v>
      </c>
      <c r="G26" s="361">
        <f t="shared" si="4"/>
        <v>2644529</v>
      </c>
      <c r="H26" s="361">
        <f t="shared" si="4"/>
        <v>115545520</v>
      </c>
      <c r="I26" s="361">
        <f t="shared" si="4"/>
        <v>209190236</v>
      </c>
      <c r="J26" s="361">
        <f t="shared" si="4"/>
        <v>1809951</v>
      </c>
      <c r="K26" s="361">
        <f t="shared" si="4"/>
        <v>2644529</v>
      </c>
      <c r="L26" s="361">
        <f t="shared" si="4"/>
        <v>4454480</v>
      </c>
      <c r="M26" s="362">
        <f t="shared" si="3"/>
        <v>2.1</v>
      </c>
      <c r="N26" s="795"/>
    </row>
    <row r="27" spans="1:14" ht="12.75">
      <c r="A27" s="791" t="s">
        <v>526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5"/>
    </row>
    <row r="28" spans="1:14" ht="5.25" customHeigh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795"/>
    </row>
    <row r="29" spans="1:14" ht="15.75">
      <c r="A29" s="79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5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92" t="str">
        <f>L5</f>
        <v> Forintban!</v>
      </c>
      <c r="M30" s="792"/>
      <c r="N30" s="795"/>
    </row>
    <row r="31" spans="1:14" ht="21.75" thickBot="1">
      <c r="A31" s="808" t="s">
        <v>91</v>
      </c>
      <c r="B31" s="809"/>
      <c r="C31" s="809"/>
      <c r="D31" s="809"/>
      <c r="E31" s="809"/>
      <c r="F31" s="809"/>
      <c r="G31" s="809"/>
      <c r="H31" s="809"/>
      <c r="I31" s="809"/>
      <c r="J31" s="809"/>
      <c r="K31" s="305" t="s">
        <v>459</v>
      </c>
      <c r="L31" s="305" t="s">
        <v>460</v>
      </c>
      <c r="M31" s="305" t="s">
        <v>450</v>
      </c>
      <c r="N31" s="795"/>
    </row>
    <row r="32" spans="1:14" ht="12.75">
      <c r="A32" s="788"/>
      <c r="B32" s="789"/>
      <c r="C32" s="789"/>
      <c r="D32" s="789"/>
      <c r="E32" s="789"/>
      <c r="F32" s="789"/>
      <c r="G32" s="789"/>
      <c r="H32" s="789"/>
      <c r="I32" s="789"/>
      <c r="J32" s="789"/>
      <c r="K32" s="288"/>
      <c r="L32" s="306"/>
      <c r="M32" s="306"/>
      <c r="N32" s="795"/>
    </row>
    <row r="33" spans="1:14" ht="13.5" thickBot="1">
      <c r="A33" s="805"/>
      <c r="B33" s="806"/>
      <c r="C33" s="806"/>
      <c r="D33" s="806"/>
      <c r="E33" s="806"/>
      <c r="F33" s="806"/>
      <c r="G33" s="806"/>
      <c r="H33" s="806"/>
      <c r="I33" s="806"/>
      <c r="J33" s="806"/>
      <c r="K33" s="307"/>
      <c r="L33" s="292"/>
      <c r="M33" s="292"/>
      <c r="N33" s="795"/>
    </row>
    <row r="34" spans="1:14" ht="13.5" thickBot="1">
      <c r="A34" s="803" t="s">
        <v>525</v>
      </c>
      <c r="B34" s="804"/>
      <c r="C34" s="804"/>
      <c r="D34" s="804"/>
      <c r="E34" s="804"/>
      <c r="F34" s="804"/>
      <c r="G34" s="804"/>
      <c r="H34" s="804"/>
      <c r="I34" s="804"/>
      <c r="J34" s="804"/>
      <c r="K34" s="308">
        <f>SUM(K32:K33)</f>
        <v>0</v>
      </c>
      <c r="L34" s="308">
        <f>SUM(L32:L33)</f>
        <v>0</v>
      </c>
      <c r="M34" s="308">
        <f>SUM(M32:M33)</f>
        <v>0</v>
      </c>
      <c r="N34" s="795"/>
    </row>
    <row r="35" ht="12.75">
      <c r="N35" s="795"/>
    </row>
    <row r="50" ht="12.75">
      <c r="A50" s="32"/>
    </row>
  </sheetData>
  <sheetProtection/>
  <mergeCells count="24">
    <mergeCell ref="A34:J34"/>
    <mergeCell ref="A27:M27"/>
    <mergeCell ref="A29:M29"/>
    <mergeCell ref="L30:M30"/>
    <mergeCell ref="A31:J31"/>
    <mergeCell ref="A32:J32"/>
    <mergeCell ref="A33:J33"/>
    <mergeCell ref="B7:B8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C4"/>
    <mergeCell ref="D4:M4"/>
    <mergeCell ref="N4:N35"/>
    <mergeCell ref="L5:M5"/>
    <mergeCell ref="A6:A9"/>
    <mergeCell ref="B6:I6"/>
    <mergeCell ref="J6:M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="120" zoomScaleNormal="120" zoomScaleSheetLayoutView="100" workbookViewId="0" topLeftCell="A1">
      <selection activeCell="P15" sqref="P15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785" t="str">
        <f>CONCATENATE("5.9 melléklet ",Z_ALAPADATOK!A7," ",Z_ALAPADATOK!B7," ",Z_ALAPADATOK!C7," ",Z_ALAPADATOK!D7," ",Z_ALAPADATOK!E7," ",Z_ALAPADATOK!F7," ",Z_ALAPADATOK!G7," ",Z_ALAPADATOK!H7)</f>
        <v>5.9 melléklet a … / 2019. ( … ) önkormányzati rendelethez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</row>
    <row r="2" spans="1:13" ht="15.75">
      <c r="A2" s="786" t="s">
        <v>531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</row>
    <row r="3" spans="1:13" ht="15.75">
      <c r="A3" s="787" t="s">
        <v>532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</row>
    <row r="4" spans="1:14" ht="15.75" customHeight="1">
      <c r="A4" s="782" t="s">
        <v>448</v>
      </c>
      <c r="B4" s="782"/>
      <c r="C4" s="782"/>
      <c r="D4" s="807" t="s">
        <v>945</v>
      </c>
      <c r="E4" s="807"/>
      <c r="F4" s="807"/>
      <c r="G4" s="807"/>
      <c r="H4" s="807"/>
      <c r="I4" s="807"/>
      <c r="J4" s="807"/>
      <c r="K4" s="807"/>
      <c r="L4" s="807"/>
      <c r="M4" s="807"/>
      <c r="N4" s="795"/>
    </row>
    <row r="5" spans="1:14" ht="15.75" thickBot="1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796" t="str">
        <f>'Z_4.sz.mell.'!G4</f>
        <v> Forintban!</v>
      </c>
      <c r="M5" s="796"/>
      <c r="N5" s="795"/>
    </row>
    <row r="6" spans="1:14" ht="13.5" thickBot="1">
      <c r="A6" s="797" t="s">
        <v>84</v>
      </c>
      <c r="B6" s="800" t="s">
        <v>449</v>
      </c>
      <c r="C6" s="800"/>
      <c r="D6" s="800"/>
      <c r="E6" s="800"/>
      <c r="F6" s="800"/>
      <c r="G6" s="800"/>
      <c r="H6" s="800"/>
      <c r="I6" s="800"/>
      <c r="J6" s="801" t="s">
        <v>450</v>
      </c>
      <c r="K6" s="801"/>
      <c r="L6" s="801"/>
      <c r="M6" s="801"/>
      <c r="N6" s="795"/>
    </row>
    <row r="7" spans="1:14" ht="15" customHeight="1" thickBot="1">
      <c r="A7" s="798"/>
      <c r="B7" s="783" t="s">
        <v>451</v>
      </c>
      <c r="C7" s="784" t="s">
        <v>452</v>
      </c>
      <c r="D7" s="790" t="s">
        <v>453</v>
      </c>
      <c r="E7" s="790"/>
      <c r="F7" s="790"/>
      <c r="G7" s="790"/>
      <c r="H7" s="790"/>
      <c r="I7" s="790"/>
      <c r="J7" s="802"/>
      <c r="K7" s="802"/>
      <c r="L7" s="802"/>
      <c r="M7" s="802"/>
      <c r="N7" s="795"/>
    </row>
    <row r="8" spans="1:14" ht="21.75" thickBot="1">
      <c r="A8" s="798"/>
      <c r="B8" s="783"/>
      <c r="C8" s="784"/>
      <c r="D8" s="283" t="s">
        <v>451</v>
      </c>
      <c r="E8" s="283" t="s">
        <v>452</v>
      </c>
      <c r="F8" s="283" t="s">
        <v>451</v>
      </c>
      <c r="G8" s="283" t="s">
        <v>452</v>
      </c>
      <c r="H8" s="283" t="s">
        <v>451</v>
      </c>
      <c r="I8" s="283" t="s">
        <v>452</v>
      </c>
      <c r="J8" s="802"/>
      <c r="K8" s="802"/>
      <c r="L8" s="802"/>
      <c r="M8" s="802"/>
      <c r="N8" s="795"/>
    </row>
    <row r="9" spans="1:14" ht="32.25" thickBot="1">
      <c r="A9" s="799"/>
      <c r="B9" s="784" t="s">
        <v>454</v>
      </c>
      <c r="C9" s="784"/>
      <c r="D9" s="784" t="str">
        <f>+CONCATENATE(LEFT(Z_ÖSSZEFÜGGÉSEK!A6,4),". előtt")</f>
        <v>2018. előtt</v>
      </c>
      <c r="E9" s="784"/>
      <c r="F9" s="794" t="str">
        <f>+CONCATENATE(LEFT(Z_ÖSSZEFÜGGÉSEK!A6,4),". XII.31.")</f>
        <v>2018. XII.31.</v>
      </c>
      <c r="G9" s="794"/>
      <c r="H9" s="783" t="str">
        <f>+CONCATENATE(LEFT(Z_ÖSSZEFÜGGÉSEK!A6,4),". után")</f>
        <v>2018. után</v>
      </c>
      <c r="I9" s="783"/>
      <c r="J9" s="371" t="str">
        <f>+D9</f>
        <v>2018. előtt</v>
      </c>
      <c r="K9" s="370" t="str">
        <f>+F9</f>
        <v>2018. XII.31.</v>
      </c>
      <c r="L9" s="282" t="s">
        <v>37</v>
      </c>
      <c r="M9" s="370" t="str">
        <f>+CONCATENATE("Teljesítés %-a ",LEFT(Z_ÖSSZEFÜGGÉSEK!A6,4),". XII. 31-ig")</f>
        <v>Teljesítés %-a 2018. XII. 31-ig</v>
      </c>
      <c r="N9" s="795"/>
    </row>
    <row r="10" spans="1:14" ht="13.5" thickBot="1">
      <c r="A10" s="284" t="s">
        <v>389</v>
      </c>
      <c r="B10" s="282" t="s">
        <v>390</v>
      </c>
      <c r="C10" s="282" t="s">
        <v>391</v>
      </c>
      <c r="D10" s="285" t="s">
        <v>393</v>
      </c>
      <c r="E10" s="283" t="s">
        <v>392</v>
      </c>
      <c r="F10" s="283" t="s">
        <v>394</v>
      </c>
      <c r="G10" s="283" t="s">
        <v>395</v>
      </c>
      <c r="H10" s="282" t="s">
        <v>396</v>
      </c>
      <c r="I10" s="285" t="s">
        <v>427</v>
      </c>
      <c r="J10" s="285" t="s">
        <v>455</v>
      </c>
      <c r="K10" s="285" t="s">
        <v>456</v>
      </c>
      <c r="L10" s="285" t="s">
        <v>457</v>
      </c>
      <c r="M10" s="286" t="s">
        <v>458</v>
      </c>
      <c r="N10" s="795"/>
    </row>
    <row r="11" spans="1:14" ht="12.75">
      <c r="A11" s="287" t="s">
        <v>85</v>
      </c>
      <c r="B11" s="332"/>
      <c r="C11" s="333">
        <v>70000</v>
      </c>
      <c r="D11" s="333"/>
      <c r="E11" s="334"/>
      <c r="F11" s="333">
        <v>0</v>
      </c>
      <c r="G11" s="333">
        <v>70000</v>
      </c>
      <c r="H11" s="333"/>
      <c r="I11" s="333"/>
      <c r="J11" s="333"/>
      <c r="K11" s="333">
        <v>70000</v>
      </c>
      <c r="L11" s="335">
        <f aca="true" t="shared" si="0" ref="L11:L17">+J11+K11</f>
        <v>70000</v>
      </c>
      <c r="M11" s="336">
        <f>IF((C11&lt;&gt;0),ROUND((L11/C11)*100,1),"")</f>
        <v>100</v>
      </c>
      <c r="N11" s="795"/>
    </row>
    <row r="12" spans="1:14" ht="12.75">
      <c r="A12" s="289" t="s">
        <v>97</v>
      </c>
      <c r="B12" s="337"/>
      <c r="C12" s="338"/>
      <c r="D12" s="338"/>
      <c r="E12" s="338"/>
      <c r="F12" s="338"/>
      <c r="G12" s="338"/>
      <c r="H12" s="338"/>
      <c r="I12" s="338"/>
      <c r="J12" s="338"/>
      <c r="K12" s="338"/>
      <c r="L12" s="339">
        <f t="shared" si="0"/>
        <v>0</v>
      </c>
      <c r="M12" s="340">
        <f aca="true" t="shared" si="1" ref="M12:M17">IF((C12&lt;&gt;0),ROUND((L12/C12)*100,1),"")</f>
      </c>
      <c r="N12" s="795"/>
    </row>
    <row r="13" spans="1:14" ht="12.75">
      <c r="A13" s="290" t="s">
        <v>86</v>
      </c>
      <c r="B13" s="341">
        <v>150000000</v>
      </c>
      <c r="C13" s="348">
        <v>150000000</v>
      </c>
      <c r="D13" s="342">
        <v>0</v>
      </c>
      <c r="E13" s="342">
        <v>0</v>
      </c>
      <c r="F13" s="342">
        <v>58328721</v>
      </c>
      <c r="G13" s="342">
        <v>58328721</v>
      </c>
      <c r="H13" s="342">
        <f>B13-F13</f>
        <v>91671279</v>
      </c>
      <c r="I13" s="342">
        <f>C13-G13</f>
        <v>91671279</v>
      </c>
      <c r="J13" s="342">
        <v>0</v>
      </c>
      <c r="K13" s="342">
        <v>58328721</v>
      </c>
      <c r="L13" s="339">
        <f t="shared" si="0"/>
        <v>58328721</v>
      </c>
      <c r="M13" s="340">
        <f t="shared" si="1"/>
        <v>38.9</v>
      </c>
      <c r="N13" s="795"/>
    </row>
    <row r="14" spans="1:14" ht="12.75">
      <c r="A14" s="290" t="s">
        <v>98</v>
      </c>
      <c r="B14" s="341"/>
      <c r="C14" s="342"/>
      <c r="D14" s="342"/>
      <c r="E14" s="342"/>
      <c r="F14" s="342"/>
      <c r="G14" s="342"/>
      <c r="H14" s="342"/>
      <c r="I14" s="342"/>
      <c r="J14" s="342"/>
      <c r="K14" s="342"/>
      <c r="L14" s="339">
        <f t="shared" si="0"/>
        <v>0</v>
      </c>
      <c r="M14" s="340">
        <f t="shared" si="1"/>
      </c>
      <c r="N14" s="795"/>
    </row>
    <row r="15" spans="1:14" ht="12.75">
      <c r="A15" s="290" t="s">
        <v>87</v>
      </c>
      <c r="B15" s="341"/>
      <c r="C15" s="342"/>
      <c r="D15" s="342"/>
      <c r="E15" s="342"/>
      <c r="F15" s="342"/>
      <c r="G15" s="342"/>
      <c r="H15" s="342"/>
      <c r="I15" s="342"/>
      <c r="J15" s="342"/>
      <c r="K15" s="342"/>
      <c r="L15" s="339">
        <f t="shared" si="0"/>
        <v>0</v>
      </c>
      <c r="M15" s="340">
        <f t="shared" si="1"/>
      </c>
      <c r="N15" s="795"/>
    </row>
    <row r="16" spans="1:14" ht="12.75">
      <c r="A16" s="290" t="s">
        <v>88</v>
      </c>
      <c r="B16" s="341"/>
      <c r="C16" s="342"/>
      <c r="D16" s="342"/>
      <c r="E16" s="342"/>
      <c r="F16" s="342"/>
      <c r="G16" s="342"/>
      <c r="H16" s="342"/>
      <c r="I16" s="342"/>
      <c r="J16" s="342"/>
      <c r="K16" s="342"/>
      <c r="L16" s="339">
        <f t="shared" si="0"/>
        <v>0</v>
      </c>
      <c r="M16" s="340">
        <f t="shared" si="1"/>
      </c>
      <c r="N16" s="795"/>
    </row>
    <row r="17" spans="1:14" ht="15" customHeight="1" thickBot="1">
      <c r="A17" s="291"/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39">
        <f t="shared" si="0"/>
        <v>0</v>
      </c>
      <c r="M17" s="345">
        <f t="shared" si="1"/>
      </c>
      <c r="N17" s="795"/>
    </row>
    <row r="18" spans="1:14" ht="13.5" thickBot="1">
      <c r="A18" s="293" t="s">
        <v>90</v>
      </c>
      <c r="B18" s="346">
        <f>B11+SUM(B13:B17)</f>
        <v>150000000</v>
      </c>
      <c r="C18" s="346">
        <f aca="true" t="shared" si="2" ref="C18:L18">C11+SUM(C13:C17)</f>
        <v>150070000</v>
      </c>
      <c r="D18" s="346">
        <f t="shared" si="2"/>
        <v>0</v>
      </c>
      <c r="E18" s="346">
        <f t="shared" si="2"/>
        <v>0</v>
      </c>
      <c r="F18" s="346">
        <f t="shared" si="2"/>
        <v>58328721</v>
      </c>
      <c r="G18" s="346">
        <f t="shared" si="2"/>
        <v>58398721</v>
      </c>
      <c r="H18" s="346">
        <f t="shared" si="2"/>
        <v>91671279</v>
      </c>
      <c r="I18" s="346">
        <f t="shared" si="2"/>
        <v>91671279</v>
      </c>
      <c r="J18" s="346">
        <f t="shared" si="2"/>
        <v>0</v>
      </c>
      <c r="K18" s="346">
        <f t="shared" si="2"/>
        <v>58398721</v>
      </c>
      <c r="L18" s="346">
        <f t="shared" si="2"/>
        <v>58398721</v>
      </c>
      <c r="M18" s="347">
        <f>IF((C18&lt;&gt;0),ROUND((L18/C18)*100,1),"")</f>
        <v>38.9</v>
      </c>
      <c r="N18" s="795"/>
    </row>
    <row r="19" spans="1:14" ht="12.75">
      <c r="A19" s="294"/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795"/>
    </row>
    <row r="20" spans="1:14" ht="13.5" thickBot="1">
      <c r="A20" s="297" t="s">
        <v>89</v>
      </c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795"/>
    </row>
    <row r="21" spans="1:14" ht="12.75">
      <c r="A21" s="300" t="s">
        <v>93</v>
      </c>
      <c r="B21" s="349">
        <f>22982663+16800000+13200000</f>
        <v>52982663</v>
      </c>
      <c r="C21" s="350">
        <f>20632738+16800000+13200000</f>
        <v>50632738</v>
      </c>
      <c r="D21" s="67"/>
      <c r="E21" s="351"/>
      <c r="F21" s="350">
        <f>1128000+2374400+1468082+4696350</f>
        <v>9666832</v>
      </c>
      <c r="G21" s="350">
        <f>1128000+2374400+1468082+4696350</f>
        <v>9666832</v>
      </c>
      <c r="H21" s="350">
        <f aca="true" t="shared" si="3" ref="H21:I24">B21-F21</f>
        <v>43315831</v>
      </c>
      <c r="I21" s="350">
        <f t="shared" si="3"/>
        <v>40965906</v>
      </c>
      <c r="J21" s="350"/>
      <c r="K21" s="350">
        <f>G21</f>
        <v>9666832</v>
      </c>
      <c r="L21" s="352">
        <f>+J21+K21</f>
        <v>9666832</v>
      </c>
      <c r="M21" s="353">
        <f aca="true" t="shared" si="4" ref="M21:M26">IF((C21&lt;&gt;0),ROUND((L21/C21)*100,1),"")</f>
        <v>19.1</v>
      </c>
      <c r="N21" s="795"/>
    </row>
    <row r="22" spans="1:14" ht="12.75">
      <c r="A22" s="301" t="s">
        <v>94</v>
      </c>
      <c r="B22" s="354">
        <f>6191631+729187</f>
        <v>6920818</v>
      </c>
      <c r="C22" s="348">
        <f>8683826+1358854</f>
        <v>10042680</v>
      </c>
      <c r="D22" s="348"/>
      <c r="E22" s="348"/>
      <c r="F22" s="348">
        <f>1075322+4614059</f>
        <v>5689381</v>
      </c>
      <c r="G22" s="348">
        <f>1075322+4614059</f>
        <v>5689381</v>
      </c>
      <c r="H22" s="348">
        <f t="shared" si="3"/>
        <v>1231437</v>
      </c>
      <c r="I22" s="348">
        <f t="shared" si="3"/>
        <v>4353299</v>
      </c>
      <c r="J22" s="348"/>
      <c r="K22" s="348">
        <f>G22</f>
        <v>5689381</v>
      </c>
      <c r="L22" s="355">
        <f>+J22+K22</f>
        <v>5689381</v>
      </c>
      <c r="M22" s="356">
        <f t="shared" si="4"/>
        <v>56.7</v>
      </c>
      <c r="N22" s="795"/>
    </row>
    <row r="23" spans="1:14" ht="12.75">
      <c r="A23" s="301" t="s">
        <v>95</v>
      </c>
      <c r="B23" s="357">
        <f>B18-B21-B22</f>
        <v>90096519</v>
      </c>
      <c r="C23" s="348">
        <f>C18-C21-C22-C24</f>
        <v>89094582</v>
      </c>
      <c r="D23" s="348"/>
      <c r="E23" s="348"/>
      <c r="F23" s="348">
        <v>12394452</v>
      </c>
      <c r="G23" s="348">
        <v>12394452</v>
      </c>
      <c r="H23" s="348">
        <f t="shared" si="3"/>
        <v>77702067</v>
      </c>
      <c r="I23" s="348">
        <f t="shared" si="3"/>
        <v>76700130</v>
      </c>
      <c r="J23" s="348"/>
      <c r="K23" s="348">
        <f>G23</f>
        <v>12394452</v>
      </c>
      <c r="L23" s="355">
        <f>+J23+K23</f>
        <v>12394452</v>
      </c>
      <c r="M23" s="356">
        <f t="shared" si="4"/>
        <v>13.9</v>
      </c>
      <c r="N23" s="795"/>
    </row>
    <row r="24" spans="1:14" ht="12.75">
      <c r="A24" s="301" t="s">
        <v>96</v>
      </c>
      <c r="B24" s="357">
        <v>0</v>
      </c>
      <c r="C24" s="348">
        <v>300000</v>
      </c>
      <c r="D24" s="348"/>
      <c r="E24" s="348"/>
      <c r="F24" s="348">
        <v>0</v>
      </c>
      <c r="G24" s="348">
        <v>300000</v>
      </c>
      <c r="H24" s="348">
        <f t="shared" si="3"/>
        <v>0</v>
      </c>
      <c r="I24" s="348">
        <f t="shared" si="3"/>
        <v>0</v>
      </c>
      <c r="J24" s="348"/>
      <c r="K24" s="348">
        <f>G24</f>
        <v>300000</v>
      </c>
      <c r="L24" s="355">
        <f>+J24+K24</f>
        <v>300000</v>
      </c>
      <c r="M24" s="356">
        <f t="shared" si="4"/>
        <v>100</v>
      </c>
      <c r="N24" s="795"/>
    </row>
    <row r="25" spans="1:14" ht="13.5" thickBot="1">
      <c r="A25" s="302"/>
      <c r="B25" s="358"/>
      <c r="C25" s="359"/>
      <c r="D25" s="359"/>
      <c r="E25" s="359"/>
      <c r="F25" s="359"/>
      <c r="G25" s="359"/>
      <c r="H25" s="359"/>
      <c r="I25" s="359"/>
      <c r="J25" s="359"/>
      <c r="K25" s="359"/>
      <c r="L25" s="355">
        <f>+J25+K25</f>
        <v>0</v>
      </c>
      <c r="M25" s="360">
        <f t="shared" si="4"/>
      </c>
      <c r="N25" s="795"/>
    </row>
    <row r="26" spans="1:14" ht="13.5" thickBot="1">
      <c r="A26" s="303" t="s">
        <v>75</v>
      </c>
      <c r="B26" s="361">
        <f aca="true" t="shared" si="5" ref="B26:L26">SUM(B21:B25)</f>
        <v>150000000</v>
      </c>
      <c r="C26" s="361">
        <f t="shared" si="5"/>
        <v>150070000</v>
      </c>
      <c r="D26" s="361">
        <f t="shared" si="5"/>
        <v>0</v>
      </c>
      <c r="E26" s="361">
        <f t="shared" si="5"/>
        <v>0</v>
      </c>
      <c r="F26" s="361">
        <f>SUM(F21:F25)</f>
        <v>27750665</v>
      </c>
      <c r="G26" s="361">
        <f t="shared" si="5"/>
        <v>28050665</v>
      </c>
      <c r="H26" s="361">
        <f t="shared" si="5"/>
        <v>122249335</v>
      </c>
      <c r="I26" s="361">
        <f t="shared" si="5"/>
        <v>122019335</v>
      </c>
      <c r="J26" s="361">
        <f t="shared" si="5"/>
        <v>0</v>
      </c>
      <c r="K26" s="361">
        <f t="shared" si="5"/>
        <v>28050665</v>
      </c>
      <c r="L26" s="361">
        <f t="shared" si="5"/>
        <v>28050665</v>
      </c>
      <c r="M26" s="362">
        <f t="shared" si="4"/>
        <v>18.7</v>
      </c>
      <c r="N26" s="795"/>
    </row>
    <row r="27" spans="1:14" ht="12.75">
      <c r="A27" s="791" t="s">
        <v>526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5"/>
    </row>
    <row r="28" spans="1:14" ht="5.25" customHeigh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795"/>
    </row>
    <row r="29" spans="1:14" ht="15.75">
      <c r="A29" s="79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5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92" t="str">
        <f>L5</f>
        <v> Forintban!</v>
      </c>
      <c r="M30" s="792"/>
      <c r="N30" s="795"/>
    </row>
    <row r="31" spans="1:14" ht="21.75" thickBot="1">
      <c r="A31" s="808" t="s">
        <v>91</v>
      </c>
      <c r="B31" s="809"/>
      <c r="C31" s="809"/>
      <c r="D31" s="809"/>
      <c r="E31" s="809"/>
      <c r="F31" s="809"/>
      <c r="G31" s="809"/>
      <c r="H31" s="809"/>
      <c r="I31" s="809"/>
      <c r="J31" s="809"/>
      <c r="K31" s="305" t="s">
        <v>459</v>
      </c>
      <c r="L31" s="305" t="s">
        <v>460</v>
      </c>
      <c r="M31" s="305" t="s">
        <v>450</v>
      </c>
      <c r="N31" s="795"/>
    </row>
    <row r="32" spans="1:14" ht="12.75">
      <c r="A32" s="788"/>
      <c r="B32" s="789"/>
      <c r="C32" s="789"/>
      <c r="D32" s="789"/>
      <c r="E32" s="789"/>
      <c r="F32" s="789"/>
      <c r="G32" s="789"/>
      <c r="H32" s="789"/>
      <c r="I32" s="789"/>
      <c r="J32" s="789"/>
      <c r="K32" s="288"/>
      <c r="L32" s="306"/>
      <c r="M32" s="306"/>
      <c r="N32" s="795"/>
    </row>
    <row r="33" spans="1:14" ht="13.5" thickBot="1">
      <c r="A33" s="805"/>
      <c r="B33" s="806"/>
      <c r="C33" s="806"/>
      <c r="D33" s="806"/>
      <c r="E33" s="806"/>
      <c r="F33" s="806"/>
      <c r="G33" s="806"/>
      <c r="H33" s="806"/>
      <c r="I33" s="806"/>
      <c r="J33" s="806"/>
      <c r="K33" s="307"/>
      <c r="L33" s="292"/>
      <c r="M33" s="292"/>
      <c r="N33" s="795"/>
    </row>
    <row r="34" spans="1:14" ht="13.5" thickBot="1">
      <c r="A34" s="803" t="s">
        <v>525</v>
      </c>
      <c r="B34" s="804"/>
      <c r="C34" s="804"/>
      <c r="D34" s="804"/>
      <c r="E34" s="804"/>
      <c r="F34" s="804"/>
      <c r="G34" s="804"/>
      <c r="H34" s="804"/>
      <c r="I34" s="804"/>
      <c r="J34" s="804"/>
      <c r="K34" s="308">
        <f>SUM(K32:K33)</f>
        <v>0</v>
      </c>
      <c r="L34" s="308">
        <f>SUM(L32:L33)</f>
        <v>0</v>
      </c>
      <c r="M34" s="308">
        <f>SUM(M32:M33)</f>
        <v>0</v>
      </c>
      <c r="N34" s="795"/>
    </row>
    <row r="35" ht="12.75">
      <c r="N35" s="795"/>
    </row>
    <row r="50" ht="12.75">
      <c r="A50" s="32"/>
    </row>
  </sheetData>
  <sheetProtection/>
  <mergeCells count="24">
    <mergeCell ref="A34:J34"/>
    <mergeCell ref="A27:M27"/>
    <mergeCell ref="A29:M29"/>
    <mergeCell ref="L30:M30"/>
    <mergeCell ref="A31:J31"/>
    <mergeCell ref="A32:J32"/>
    <mergeCell ref="A33:J33"/>
    <mergeCell ref="B7:B8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C4"/>
    <mergeCell ref="D4:M4"/>
    <mergeCell ref="N4:N35"/>
    <mergeCell ref="L5:M5"/>
    <mergeCell ref="A6:A9"/>
    <mergeCell ref="B6:I6"/>
    <mergeCell ref="J6:M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="120" zoomScaleNormal="120" zoomScaleSheetLayoutView="100" workbookViewId="0" topLeftCell="A1">
      <selection activeCell="D10" sqref="D10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785" t="str">
        <f>CONCATENATE("5.10 melléklet ",Z_ALAPADATOK!A7," ",Z_ALAPADATOK!B7," ",Z_ALAPADATOK!C7," ",Z_ALAPADATOK!D7," ",Z_ALAPADATOK!E7," ",Z_ALAPADATOK!F7," ",Z_ALAPADATOK!G7," ",Z_ALAPADATOK!H7)</f>
        <v>5.10 melléklet a … / 2019. ( … ) önkormányzati rendelethez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</row>
    <row r="2" spans="1:13" ht="15.75">
      <c r="A2" s="786" t="s">
        <v>531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</row>
    <row r="3" spans="1:13" ht="15.75">
      <c r="A3" s="787" t="s">
        <v>532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</row>
    <row r="4" spans="1:14" ht="15.75" customHeight="1">
      <c r="A4" s="782" t="s">
        <v>448</v>
      </c>
      <c r="B4" s="782"/>
      <c r="C4" s="782"/>
      <c r="D4" s="807" t="s">
        <v>946</v>
      </c>
      <c r="E4" s="807"/>
      <c r="F4" s="807"/>
      <c r="G4" s="807"/>
      <c r="H4" s="807"/>
      <c r="I4" s="807"/>
      <c r="J4" s="807"/>
      <c r="K4" s="807"/>
      <c r="L4" s="807"/>
      <c r="M4" s="807"/>
      <c r="N4" s="795"/>
    </row>
    <row r="5" spans="1:14" ht="15.75" thickBot="1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796" t="str">
        <f>'Z_4.sz.mell.'!G4</f>
        <v> Forintban!</v>
      </c>
      <c r="M5" s="796"/>
      <c r="N5" s="795"/>
    </row>
    <row r="6" spans="1:14" ht="13.5" thickBot="1">
      <c r="A6" s="797" t="s">
        <v>84</v>
      </c>
      <c r="B6" s="800" t="s">
        <v>449</v>
      </c>
      <c r="C6" s="800"/>
      <c r="D6" s="800"/>
      <c r="E6" s="800"/>
      <c r="F6" s="800"/>
      <c r="G6" s="800"/>
      <c r="H6" s="800"/>
      <c r="I6" s="800"/>
      <c r="J6" s="801" t="s">
        <v>450</v>
      </c>
      <c r="K6" s="801"/>
      <c r="L6" s="801"/>
      <c r="M6" s="801"/>
      <c r="N6" s="795"/>
    </row>
    <row r="7" spans="1:14" ht="15" customHeight="1" thickBot="1">
      <c r="A7" s="798"/>
      <c r="B7" s="783" t="s">
        <v>451</v>
      </c>
      <c r="C7" s="784" t="s">
        <v>452</v>
      </c>
      <c r="D7" s="790" t="s">
        <v>453</v>
      </c>
      <c r="E7" s="790"/>
      <c r="F7" s="790"/>
      <c r="G7" s="790"/>
      <c r="H7" s="790"/>
      <c r="I7" s="790"/>
      <c r="J7" s="802"/>
      <c r="K7" s="802"/>
      <c r="L7" s="802"/>
      <c r="M7" s="802"/>
      <c r="N7" s="795"/>
    </row>
    <row r="8" spans="1:14" ht="21.75" thickBot="1">
      <c r="A8" s="798"/>
      <c r="B8" s="783"/>
      <c r="C8" s="784"/>
      <c r="D8" s="283" t="s">
        <v>451</v>
      </c>
      <c r="E8" s="283" t="s">
        <v>452</v>
      </c>
      <c r="F8" s="283" t="s">
        <v>451</v>
      </c>
      <c r="G8" s="283" t="s">
        <v>452</v>
      </c>
      <c r="H8" s="283" t="s">
        <v>451</v>
      </c>
      <c r="I8" s="283" t="s">
        <v>452</v>
      </c>
      <c r="J8" s="802"/>
      <c r="K8" s="802"/>
      <c r="L8" s="802"/>
      <c r="M8" s="802"/>
      <c r="N8" s="795"/>
    </row>
    <row r="9" spans="1:14" ht="32.25" thickBot="1">
      <c r="A9" s="799"/>
      <c r="B9" s="784" t="s">
        <v>454</v>
      </c>
      <c r="C9" s="784"/>
      <c r="D9" s="784" t="str">
        <f>+CONCATENATE(LEFT(Z_ÖSSZEFÜGGÉSEK!A6,4),". előtt")</f>
        <v>2018. előtt</v>
      </c>
      <c r="E9" s="784"/>
      <c r="F9" s="794" t="str">
        <f>+CONCATENATE(LEFT(Z_ÖSSZEFÜGGÉSEK!A6,4),". XII.31.")</f>
        <v>2018. XII.31.</v>
      </c>
      <c r="G9" s="794"/>
      <c r="H9" s="783" t="str">
        <f>+CONCATENATE(LEFT(Z_ÖSSZEFÜGGÉSEK!A6,4),". után")</f>
        <v>2018. után</v>
      </c>
      <c r="I9" s="783"/>
      <c r="J9" s="371" t="str">
        <f>+D9</f>
        <v>2018. előtt</v>
      </c>
      <c r="K9" s="370" t="str">
        <f>+F9</f>
        <v>2018. XII.31.</v>
      </c>
      <c r="L9" s="282" t="s">
        <v>37</v>
      </c>
      <c r="M9" s="370" t="str">
        <f>+CONCATENATE("Teljesítés %-a ",LEFT(Z_ÖSSZEFÜGGÉSEK!A6,4),". XII. 31-ig")</f>
        <v>Teljesítés %-a 2018. XII. 31-ig</v>
      </c>
      <c r="N9" s="795"/>
    </row>
    <row r="10" spans="1:14" ht="13.5" thickBot="1">
      <c r="A10" s="284" t="s">
        <v>389</v>
      </c>
      <c r="B10" s="282" t="s">
        <v>390</v>
      </c>
      <c r="C10" s="282" t="s">
        <v>391</v>
      </c>
      <c r="D10" s="285" t="s">
        <v>393</v>
      </c>
      <c r="E10" s="283" t="s">
        <v>392</v>
      </c>
      <c r="F10" s="283" t="s">
        <v>394</v>
      </c>
      <c r="G10" s="283" t="s">
        <v>395</v>
      </c>
      <c r="H10" s="282" t="s">
        <v>396</v>
      </c>
      <c r="I10" s="285" t="s">
        <v>427</v>
      </c>
      <c r="J10" s="285" t="s">
        <v>455</v>
      </c>
      <c r="K10" s="285" t="s">
        <v>456</v>
      </c>
      <c r="L10" s="285" t="s">
        <v>457</v>
      </c>
      <c r="M10" s="286" t="s">
        <v>458</v>
      </c>
      <c r="N10" s="795"/>
    </row>
    <row r="11" spans="1:14" ht="12.75">
      <c r="A11" s="287" t="s">
        <v>85</v>
      </c>
      <c r="B11" s="332"/>
      <c r="C11" s="333"/>
      <c r="D11" s="333"/>
      <c r="E11" s="334"/>
      <c r="F11" s="333"/>
      <c r="G11" s="333"/>
      <c r="H11" s="333"/>
      <c r="I11" s="333"/>
      <c r="J11" s="333"/>
      <c r="K11" s="333"/>
      <c r="L11" s="335">
        <f aca="true" t="shared" si="0" ref="L11:L17">+J11+K11</f>
        <v>0</v>
      </c>
      <c r="M11" s="336">
        <f>IF((C11&lt;&gt;0),ROUND((L11/C11)*100,1),"")</f>
      </c>
      <c r="N11" s="795"/>
    </row>
    <row r="12" spans="1:14" ht="12.75">
      <c r="A12" s="289" t="s">
        <v>97</v>
      </c>
      <c r="B12" s="337"/>
      <c r="C12" s="338"/>
      <c r="D12" s="338"/>
      <c r="E12" s="338"/>
      <c r="F12" s="338"/>
      <c r="G12" s="338"/>
      <c r="H12" s="338"/>
      <c r="I12" s="338"/>
      <c r="J12" s="338"/>
      <c r="K12" s="338"/>
      <c r="L12" s="339">
        <f t="shared" si="0"/>
        <v>0</v>
      </c>
      <c r="M12" s="340">
        <f aca="true" t="shared" si="1" ref="M12:M17">IF((C12&lt;&gt;0),ROUND((L12/C12)*100,1),"")</f>
      </c>
      <c r="N12" s="795"/>
    </row>
    <row r="13" spans="1:14" ht="12.75">
      <c r="A13" s="290" t="s">
        <v>86</v>
      </c>
      <c r="B13" s="341">
        <v>15128926</v>
      </c>
      <c r="C13" s="341">
        <v>15128926</v>
      </c>
      <c r="D13" s="342">
        <v>0</v>
      </c>
      <c r="E13" s="342">
        <v>0</v>
      </c>
      <c r="F13" s="342">
        <v>4526873</v>
      </c>
      <c r="G13" s="342">
        <v>4526873</v>
      </c>
      <c r="H13" s="342">
        <f>B13-F13</f>
        <v>10602053</v>
      </c>
      <c r="I13" s="342">
        <f>C13-G13</f>
        <v>10602053</v>
      </c>
      <c r="J13" s="342">
        <v>0</v>
      </c>
      <c r="K13" s="342">
        <v>4526873</v>
      </c>
      <c r="L13" s="339">
        <f t="shared" si="0"/>
        <v>4526873</v>
      </c>
      <c r="M13" s="340">
        <f t="shared" si="1"/>
        <v>29.9</v>
      </c>
      <c r="N13" s="795"/>
    </row>
    <row r="14" spans="1:14" ht="12.75">
      <c r="A14" s="290" t="s">
        <v>98</v>
      </c>
      <c r="B14" s="341"/>
      <c r="C14" s="342"/>
      <c r="D14" s="342"/>
      <c r="E14" s="342"/>
      <c r="F14" s="342"/>
      <c r="G14" s="342"/>
      <c r="H14" s="342"/>
      <c r="I14" s="342"/>
      <c r="J14" s="342"/>
      <c r="K14" s="342"/>
      <c r="L14" s="339">
        <f t="shared" si="0"/>
        <v>0</v>
      </c>
      <c r="M14" s="340">
        <f t="shared" si="1"/>
      </c>
      <c r="N14" s="795"/>
    </row>
    <row r="15" spans="1:14" ht="12.75">
      <c r="A15" s="290" t="s">
        <v>87</v>
      </c>
      <c r="B15" s="341"/>
      <c r="C15" s="342"/>
      <c r="D15" s="342"/>
      <c r="E15" s="342"/>
      <c r="F15" s="342"/>
      <c r="G15" s="342"/>
      <c r="H15" s="342"/>
      <c r="I15" s="342"/>
      <c r="J15" s="342"/>
      <c r="K15" s="342"/>
      <c r="L15" s="339">
        <f t="shared" si="0"/>
        <v>0</v>
      </c>
      <c r="M15" s="340">
        <f t="shared" si="1"/>
      </c>
      <c r="N15" s="795"/>
    </row>
    <row r="16" spans="1:14" ht="12.75">
      <c r="A16" s="290" t="s">
        <v>88</v>
      </c>
      <c r="B16" s="341"/>
      <c r="C16" s="342"/>
      <c r="D16" s="342"/>
      <c r="E16" s="342"/>
      <c r="F16" s="342"/>
      <c r="G16" s="342"/>
      <c r="H16" s="342"/>
      <c r="I16" s="342"/>
      <c r="J16" s="342"/>
      <c r="K16" s="342"/>
      <c r="L16" s="339">
        <f t="shared" si="0"/>
        <v>0</v>
      </c>
      <c r="M16" s="340">
        <f t="shared" si="1"/>
      </c>
      <c r="N16" s="795"/>
    </row>
    <row r="17" spans="1:14" ht="15" customHeight="1" thickBot="1">
      <c r="A17" s="291"/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39">
        <f t="shared" si="0"/>
        <v>0</v>
      </c>
      <c r="M17" s="345">
        <f t="shared" si="1"/>
      </c>
      <c r="N17" s="795"/>
    </row>
    <row r="18" spans="1:14" ht="13.5" thickBot="1">
      <c r="A18" s="293" t="s">
        <v>90</v>
      </c>
      <c r="B18" s="346">
        <f>B11+SUM(B13:B17)</f>
        <v>15128926</v>
      </c>
      <c r="C18" s="346">
        <f aca="true" t="shared" si="2" ref="C18:L18">C11+SUM(C13:C17)</f>
        <v>15128926</v>
      </c>
      <c r="D18" s="346">
        <f t="shared" si="2"/>
        <v>0</v>
      </c>
      <c r="E18" s="346">
        <f t="shared" si="2"/>
        <v>0</v>
      </c>
      <c r="F18" s="346">
        <f t="shared" si="2"/>
        <v>4526873</v>
      </c>
      <c r="G18" s="346">
        <f t="shared" si="2"/>
        <v>4526873</v>
      </c>
      <c r="H18" s="346">
        <f t="shared" si="2"/>
        <v>10602053</v>
      </c>
      <c r="I18" s="346">
        <f t="shared" si="2"/>
        <v>10602053</v>
      </c>
      <c r="J18" s="346">
        <f t="shared" si="2"/>
        <v>0</v>
      </c>
      <c r="K18" s="346">
        <f t="shared" si="2"/>
        <v>4526873</v>
      </c>
      <c r="L18" s="346">
        <f t="shared" si="2"/>
        <v>4526873</v>
      </c>
      <c r="M18" s="347">
        <f>IF((C18&lt;&gt;0),ROUND((L18/C18)*100,1),"")</f>
        <v>29.9</v>
      </c>
      <c r="N18" s="795"/>
    </row>
    <row r="19" spans="1:14" ht="12.75">
      <c r="A19" s="294"/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795"/>
    </row>
    <row r="20" spans="1:14" ht="13.5" thickBot="1">
      <c r="A20" s="297" t="s">
        <v>89</v>
      </c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795"/>
    </row>
    <row r="21" spans="1:14" ht="12.75">
      <c r="A21" s="300" t="s">
        <v>93</v>
      </c>
      <c r="B21" s="349">
        <v>8770967</v>
      </c>
      <c r="C21" s="349">
        <v>8770967</v>
      </c>
      <c r="D21" s="67"/>
      <c r="E21" s="351"/>
      <c r="F21" s="350">
        <f>420647+811107</f>
        <v>1231754</v>
      </c>
      <c r="G21" s="350">
        <f>420647+811107</f>
        <v>1231754</v>
      </c>
      <c r="H21" s="350">
        <f aca="true" t="shared" si="3" ref="H21:I23">B21-F21</f>
        <v>7539213</v>
      </c>
      <c r="I21" s="350">
        <f t="shared" si="3"/>
        <v>7539213</v>
      </c>
      <c r="J21" s="350"/>
      <c r="K21" s="350">
        <f>F21</f>
        <v>1231754</v>
      </c>
      <c r="L21" s="352">
        <f>+J21+K21</f>
        <v>1231754</v>
      </c>
      <c r="M21" s="353">
        <f aca="true" t="shared" si="4" ref="M21:M26">IF((C21&lt;&gt;0),ROUND((L21/C21)*100,1),"")</f>
        <v>14</v>
      </c>
      <c r="N21" s="795"/>
    </row>
    <row r="22" spans="1:14" ht="12.75">
      <c r="A22" s="301" t="s">
        <v>94</v>
      </c>
      <c r="B22" s="354">
        <v>4339300</v>
      </c>
      <c r="C22" s="354">
        <v>4339300</v>
      </c>
      <c r="D22" s="348"/>
      <c r="E22" s="348"/>
      <c r="F22" s="348">
        <f>243466+181733+45950+41000+480958+15747+28700+21661+179777+5940+62341+41640</f>
        <v>1348913</v>
      </c>
      <c r="G22" s="348">
        <f>243466+181733+45950+41000+480958+15747+28700+21661+179777+5940+62341+41640</f>
        <v>1348913</v>
      </c>
      <c r="H22" s="348">
        <f t="shared" si="3"/>
        <v>2990387</v>
      </c>
      <c r="I22" s="348">
        <f t="shared" si="3"/>
        <v>2990387</v>
      </c>
      <c r="J22" s="348"/>
      <c r="K22" s="348">
        <f>F22</f>
        <v>1348913</v>
      </c>
      <c r="L22" s="355">
        <f>+J22+K22</f>
        <v>1348913</v>
      </c>
      <c r="M22" s="356">
        <f t="shared" si="4"/>
        <v>31.1</v>
      </c>
      <c r="N22" s="795"/>
    </row>
    <row r="23" spans="1:14" ht="12.75">
      <c r="A23" s="301" t="s">
        <v>95</v>
      </c>
      <c r="B23" s="357">
        <f>B18-B21-B22</f>
        <v>2018659</v>
      </c>
      <c r="C23" s="357">
        <f>C18-C21-C22</f>
        <v>2018659</v>
      </c>
      <c r="D23" s="348"/>
      <c r="E23" s="348"/>
      <c r="F23" s="348">
        <f>90000+80000+130000+130000+15000+80000+60000</f>
        <v>585000</v>
      </c>
      <c r="G23" s="348">
        <f>90000+80000+130000+130000+15000+80000+60000</f>
        <v>585000</v>
      </c>
      <c r="H23" s="348">
        <f t="shared" si="3"/>
        <v>1433659</v>
      </c>
      <c r="I23" s="348">
        <f t="shared" si="3"/>
        <v>1433659</v>
      </c>
      <c r="J23" s="348"/>
      <c r="K23" s="348">
        <f>F23</f>
        <v>585000</v>
      </c>
      <c r="L23" s="355">
        <f>+J23+K23</f>
        <v>585000</v>
      </c>
      <c r="M23" s="356">
        <f t="shared" si="4"/>
        <v>29</v>
      </c>
      <c r="N23" s="795"/>
    </row>
    <row r="24" spans="1:14" ht="12.75">
      <c r="A24" s="301" t="s">
        <v>96</v>
      </c>
      <c r="B24" s="357"/>
      <c r="C24" s="348"/>
      <c r="D24" s="348"/>
      <c r="E24" s="348"/>
      <c r="F24" s="348"/>
      <c r="G24" s="348"/>
      <c r="H24" s="348"/>
      <c r="I24" s="348"/>
      <c r="J24" s="348"/>
      <c r="K24" s="348"/>
      <c r="L24" s="355">
        <f>+J24+K24</f>
        <v>0</v>
      </c>
      <c r="M24" s="356">
        <f t="shared" si="4"/>
      </c>
      <c r="N24" s="795"/>
    </row>
    <row r="25" spans="1:14" ht="13.5" thickBot="1">
      <c r="A25" s="302"/>
      <c r="B25" s="358"/>
      <c r="C25" s="359"/>
      <c r="D25" s="359"/>
      <c r="E25" s="359"/>
      <c r="F25" s="359"/>
      <c r="G25" s="359"/>
      <c r="H25" s="359"/>
      <c r="I25" s="359"/>
      <c r="J25" s="359"/>
      <c r="K25" s="359"/>
      <c r="L25" s="355">
        <f>+J25+K25</f>
        <v>0</v>
      </c>
      <c r="M25" s="360">
        <f t="shared" si="4"/>
      </c>
      <c r="N25" s="795"/>
    </row>
    <row r="26" spans="1:14" ht="13.5" thickBot="1">
      <c r="A26" s="303" t="s">
        <v>75</v>
      </c>
      <c r="B26" s="361">
        <f aca="true" t="shared" si="5" ref="B26:L26">SUM(B21:B25)</f>
        <v>15128926</v>
      </c>
      <c r="C26" s="361">
        <f t="shared" si="5"/>
        <v>15128926</v>
      </c>
      <c r="D26" s="361">
        <f t="shared" si="5"/>
        <v>0</v>
      </c>
      <c r="E26" s="361">
        <f t="shared" si="5"/>
        <v>0</v>
      </c>
      <c r="F26" s="361">
        <f>SUM(F21:F25)</f>
        <v>3165667</v>
      </c>
      <c r="G26" s="361">
        <f t="shared" si="5"/>
        <v>3165667</v>
      </c>
      <c r="H26" s="361">
        <f t="shared" si="5"/>
        <v>11963259</v>
      </c>
      <c r="I26" s="361">
        <f t="shared" si="5"/>
        <v>11963259</v>
      </c>
      <c r="J26" s="361">
        <f t="shared" si="5"/>
        <v>0</v>
      </c>
      <c r="K26" s="361">
        <f t="shared" si="5"/>
        <v>3165667</v>
      </c>
      <c r="L26" s="361">
        <f t="shared" si="5"/>
        <v>3165667</v>
      </c>
      <c r="M26" s="362">
        <f t="shared" si="4"/>
        <v>20.9</v>
      </c>
      <c r="N26" s="795"/>
    </row>
    <row r="27" spans="1:14" ht="12.75">
      <c r="A27" s="791" t="s">
        <v>526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5"/>
    </row>
    <row r="28" spans="1:14" ht="5.25" customHeigh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795"/>
    </row>
    <row r="29" spans="1:14" ht="15.75">
      <c r="A29" s="79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5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92" t="str">
        <f>L5</f>
        <v> Forintban!</v>
      </c>
      <c r="M30" s="792"/>
      <c r="N30" s="795"/>
    </row>
    <row r="31" spans="1:14" ht="21.75" thickBot="1">
      <c r="A31" s="808" t="s">
        <v>91</v>
      </c>
      <c r="B31" s="809"/>
      <c r="C31" s="809"/>
      <c r="D31" s="809"/>
      <c r="E31" s="809"/>
      <c r="F31" s="809"/>
      <c r="G31" s="809"/>
      <c r="H31" s="809"/>
      <c r="I31" s="809"/>
      <c r="J31" s="809"/>
      <c r="K31" s="305" t="s">
        <v>459</v>
      </c>
      <c r="L31" s="305" t="s">
        <v>460</v>
      </c>
      <c r="M31" s="305" t="s">
        <v>450</v>
      </c>
      <c r="N31" s="795"/>
    </row>
    <row r="32" spans="1:14" ht="12.75">
      <c r="A32" s="788"/>
      <c r="B32" s="789"/>
      <c r="C32" s="789"/>
      <c r="D32" s="789"/>
      <c r="E32" s="789"/>
      <c r="F32" s="789"/>
      <c r="G32" s="789"/>
      <c r="H32" s="789"/>
      <c r="I32" s="789"/>
      <c r="J32" s="789"/>
      <c r="K32" s="288"/>
      <c r="L32" s="306"/>
      <c r="M32" s="306"/>
      <c r="N32" s="795"/>
    </row>
    <row r="33" spans="1:14" ht="13.5" thickBot="1">
      <c r="A33" s="805"/>
      <c r="B33" s="806"/>
      <c r="C33" s="806"/>
      <c r="D33" s="806"/>
      <c r="E33" s="806"/>
      <c r="F33" s="806"/>
      <c r="G33" s="806"/>
      <c r="H33" s="806"/>
      <c r="I33" s="806"/>
      <c r="J33" s="806"/>
      <c r="K33" s="307"/>
      <c r="L33" s="292"/>
      <c r="M33" s="292"/>
      <c r="N33" s="795"/>
    </row>
    <row r="34" spans="1:14" ht="13.5" thickBot="1">
      <c r="A34" s="803" t="s">
        <v>525</v>
      </c>
      <c r="B34" s="804"/>
      <c r="C34" s="804"/>
      <c r="D34" s="804"/>
      <c r="E34" s="804"/>
      <c r="F34" s="804"/>
      <c r="G34" s="804"/>
      <c r="H34" s="804"/>
      <c r="I34" s="804"/>
      <c r="J34" s="804"/>
      <c r="K34" s="308">
        <f>SUM(K32:K33)</f>
        <v>0</v>
      </c>
      <c r="L34" s="308">
        <f>SUM(L32:L33)</f>
        <v>0</v>
      </c>
      <c r="M34" s="308">
        <f>SUM(M32:M33)</f>
        <v>0</v>
      </c>
      <c r="N34" s="795"/>
    </row>
    <row r="35" ht="12.75">
      <c r="N35" s="795"/>
    </row>
    <row r="50" ht="12.75">
      <c r="A50" s="32"/>
    </row>
  </sheetData>
  <sheetProtection/>
  <mergeCells count="24">
    <mergeCell ref="A34:J34"/>
    <mergeCell ref="A27:M27"/>
    <mergeCell ref="A29:M29"/>
    <mergeCell ref="L30:M30"/>
    <mergeCell ref="A31:J31"/>
    <mergeCell ref="A32:J32"/>
    <mergeCell ref="A33:J33"/>
    <mergeCell ref="B7:B8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C4"/>
    <mergeCell ref="D4:M4"/>
    <mergeCell ref="N4:N35"/>
    <mergeCell ref="L5:M5"/>
    <mergeCell ref="A6:A9"/>
    <mergeCell ref="B6:I6"/>
    <mergeCell ref="J6:M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="120" zoomScaleNormal="120" zoomScaleSheetLayoutView="100" workbookViewId="0" topLeftCell="A1">
      <selection activeCell="A2" sqref="A2:M2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785" t="str">
        <f>CONCATENATE("5.11 melléklet ",Z_ALAPADATOK!A7," ",Z_ALAPADATOK!B7," ",Z_ALAPADATOK!C7," ",Z_ALAPADATOK!D7," ",Z_ALAPADATOK!E7," ",Z_ALAPADATOK!F7," ",Z_ALAPADATOK!G7," ",Z_ALAPADATOK!H7)</f>
        <v>5.11 melléklet a … / 2019. ( … ) önkormányzati rendelethez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</row>
    <row r="2" spans="1:13" ht="15.75">
      <c r="A2" s="786" t="s">
        <v>531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</row>
    <row r="3" spans="1:13" ht="15.75">
      <c r="A3" s="787" t="s">
        <v>532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</row>
    <row r="4" spans="1:14" ht="15.75" customHeight="1">
      <c r="A4" s="782" t="s">
        <v>448</v>
      </c>
      <c r="B4" s="782"/>
      <c r="C4" s="782"/>
      <c r="D4" s="807" t="s">
        <v>947</v>
      </c>
      <c r="E4" s="807"/>
      <c r="F4" s="807"/>
      <c r="G4" s="807"/>
      <c r="H4" s="807"/>
      <c r="I4" s="807"/>
      <c r="J4" s="807"/>
      <c r="K4" s="807"/>
      <c r="L4" s="807"/>
      <c r="M4" s="807"/>
      <c r="N4" s="795"/>
    </row>
    <row r="5" spans="1:14" ht="15.75" thickBot="1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796" t="str">
        <f>'Z_4.sz.mell.'!G4</f>
        <v> Forintban!</v>
      </c>
      <c r="M5" s="796"/>
      <c r="N5" s="795"/>
    </row>
    <row r="6" spans="1:14" ht="13.5" thickBot="1">
      <c r="A6" s="797" t="s">
        <v>84</v>
      </c>
      <c r="B6" s="800" t="s">
        <v>449</v>
      </c>
      <c r="C6" s="800"/>
      <c r="D6" s="800"/>
      <c r="E6" s="800"/>
      <c r="F6" s="800"/>
      <c r="G6" s="800"/>
      <c r="H6" s="800"/>
      <c r="I6" s="800"/>
      <c r="J6" s="801" t="s">
        <v>450</v>
      </c>
      <c r="K6" s="801"/>
      <c r="L6" s="801"/>
      <c r="M6" s="801"/>
      <c r="N6" s="795"/>
    </row>
    <row r="7" spans="1:14" ht="15" customHeight="1" thickBot="1">
      <c r="A7" s="798"/>
      <c r="B7" s="783" t="s">
        <v>451</v>
      </c>
      <c r="C7" s="784" t="s">
        <v>452</v>
      </c>
      <c r="D7" s="790" t="s">
        <v>453</v>
      </c>
      <c r="E7" s="790"/>
      <c r="F7" s="790"/>
      <c r="G7" s="790"/>
      <c r="H7" s="790"/>
      <c r="I7" s="790"/>
      <c r="J7" s="802"/>
      <c r="K7" s="802"/>
      <c r="L7" s="802"/>
      <c r="M7" s="802"/>
      <c r="N7" s="795"/>
    </row>
    <row r="8" spans="1:14" ht="21.75" thickBot="1">
      <c r="A8" s="798"/>
      <c r="B8" s="783"/>
      <c r="C8" s="784"/>
      <c r="D8" s="283" t="s">
        <v>451</v>
      </c>
      <c r="E8" s="283" t="s">
        <v>452</v>
      </c>
      <c r="F8" s="283" t="s">
        <v>451</v>
      </c>
      <c r="G8" s="283" t="s">
        <v>452</v>
      </c>
      <c r="H8" s="283" t="s">
        <v>451</v>
      </c>
      <c r="I8" s="283" t="s">
        <v>452</v>
      </c>
      <c r="J8" s="802"/>
      <c r="K8" s="802"/>
      <c r="L8" s="802"/>
      <c r="M8" s="802"/>
      <c r="N8" s="795"/>
    </row>
    <row r="9" spans="1:14" ht="32.25" thickBot="1">
      <c r="A9" s="799"/>
      <c r="B9" s="784" t="s">
        <v>454</v>
      </c>
      <c r="C9" s="784"/>
      <c r="D9" s="784" t="str">
        <f>+CONCATENATE(LEFT(Z_ÖSSZEFÜGGÉSEK!A6,4),". előtt")</f>
        <v>2018. előtt</v>
      </c>
      <c r="E9" s="784"/>
      <c r="F9" s="794" t="str">
        <f>+CONCATENATE(LEFT(Z_ÖSSZEFÜGGÉSEK!A6,4),". XII.31.")</f>
        <v>2018. XII.31.</v>
      </c>
      <c r="G9" s="794"/>
      <c r="H9" s="783" t="str">
        <f>+CONCATENATE(LEFT(Z_ÖSSZEFÜGGÉSEK!A6,4),". után")</f>
        <v>2018. után</v>
      </c>
      <c r="I9" s="783"/>
      <c r="J9" s="371" t="str">
        <f>+D9</f>
        <v>2018. előtt</v>
      </c>
      <c r="K9" s="370" t="str">
        <f>+F9</f>
        <v>2018. XII.31.</v>
      </c>
      <c r="L9" s="282" t="s">
        <v>37</v>
      </c>
      <c r="M9" s="370" t="str">
        <f>+CONCATENATE("Teljesítés %-a ",LEFT(Z_ÖSSZEFÜGGÉSEK!A6,4),". XII. 31-ig")</f>
        <v>Teljesítés %-a 2018. XII. 31-ig</v>
      </c>
      <c r="N9" s="795"/>
    </row>
    <row r="10" spans="1:14" ht="13.5" thickBot="1">
      <c r="A10" s="284" t="s">
        <v>389</v>
      </c>
      <c r="B10" s="282" t="s">
        <v>390</v>
      </c>
      <c r="C10" s="282" t="s">
        <v>391</v>
      </c>
      <c r="D10" s="285" t="s">
        <v>393</v>
      </c>
      <c r="E10" s="283" t="s">
        <v>392</v>
      </c>
      <c r="F10" s="283" t="s">
        <v>394</v>
      </c>
      <c r="G10" s="283" t="s">
        <v>395</v>
      </c>
      <c r="H10" s="282" t="s">
        <v>396</v>
      </c>
      <c r="I10" s="285" t="s">
        <v>427</v>
      </c>
      <c r="J10" s="285" t="s">
        <v>455</v>
      </c>
      <c r="K10" s="285" t="s">
        <v>456</v>
      </c>
      <c r="L10" s="285" t="s">
        <v>457</v>
      </c>
      <c r="M10" s="286" t="s">
        <v>458</v>
      </c>
      <c r="N10" s="795"/>
    </row>
    <row r="11" spans="1:14" ht="12.75">
      <c r="A11" s="287" t="s">
        <v>85</v>
      </c>
      <c r="B11" s="332"/>
      <c r="C11" s="333"/>
      <c r="D11" s="333"/>
      <c r="E11" s="334"/>
      <c r="F11" s="333"/>
      <c r="G11" s="333"/>
      <c r="H11" s="333"/>
      <c r="I11" s="333"/>
      <c r="J11" s="333"/>
      <c r="K11" s="333"/>
      <c r="L11" s="335">
        <f aca="true" t="shared" si="0" ref="L11:L17">+J11+K11</f>
        <v>0</v>
      </c>
      <c r="M11" s="336">
        <f>IF((C11&lt;&gt;0),ROUND((L11/C11)*100,1),"")</f>
      </c>
      <c r="N11" s="795"/>
    </row>
    <row r="12" spans="1:14" ht="12.75">
      <c r="A12" s="289" t="s">
        <v>97</v>
      </c>
      <c r="B12" s="337"/>
      <c r="C12" s="338"/>
      <c r="D12" s="338"/>
      <c r="E12" s="338"/>
      <c r="F12" s="338"/>
      <c r="G12" s="338"/>
      <c r="H12" s="338"/>
      <c r="I12" s="338"/>
      <c r="J12" s="338"/>
      <c r="K12" s="338"/>
      <c r="L12" s="339">
        <f t="shared" si="0"/>
        <v>0</v>
      </c>
      <c r="M12" s="340">
        <f aca="true" t="shared" si="1" ref="M12:M17">IF((C12&lt;&gt;0),ROUND((L12/C12)*100,1),"")</f>
      </c>
      <c r="N12" s="795"/>
    </row>
    <row r="13" spans="1:14" ht="12.75">
      <c r="A13" s="290" t="s">
        <v>86</v>
      </c>
      <c r="B13" s="341">
        <v>41803800</v>
      </c>
      <c r="C13" s="341">
        <v>41803800</v>
      </c>
      <c r="D13" s="342">
        <v>0</v>
      </c>
      <c r="E13" s="342">
        <v>0</v>
      </c>
      <c r="F13" s="342">
        <v>41803800</v>
      </c>
      <c r="G13" s="342">
        <v>41803800</v>
      </c>
      <c r="H13" s="342">
        <f>B13-F13</f>
        <v>0</v>
      </c>
      <c r="I13" s="342">
        <f>C13-G13</f>
        <v>0</v>
      </c>
      <c r="J13" s="342">
        <v>0</v>
      </c>
      <c r="K13" s="342">
        <v>41803800</v>
      </c>
      <c r="L13" s="339">
        <f t="shared" si="0"/>
        <v>41803800</v>
      </c>
      <c r="M13" s="340">
        <f t="shared" si="1"/>
        <v>100</v>
      </c>
      <c r="N13" s="795"/>
    </row>
    <row r="14" spans="1:14" ht="12.75">
      <c r="A14" s="290" t="s">
        <v>98</v>
      </c>
      <c r="B14" s="341"/>
      <c r="C14" s="342"/>
      <c r="D14" s="342"/>
      <c r="E14" s="342"/>
      <c r="F14" s="342"/>
      <c r="G14" s="342"/>
      <c r="H14" s="342"/>
      <c r="I14" s="342"/>
      <c r="J14" s="342"/>
      <c r="K14" s="342"/>
      <c r="L14" s="339">
        <f t="shared" si="0"/>
        <v>0</v>
      </c>
      <c r="M14" s="340">
        <f t="shared" si="1"/>
      </c>
      <c r="N14" s="795"/>
    </row>
    <row r="15" spans="1:14" ht="12.75">
      <c r="A15" s="290" t="s">
        <v>87</v>
      </c>
      <c r="B15" s="341"/>
      <c r="C15" s="342"/>
      <c r="D15" s="342"/>
      <c r="E15" s="342"/>
      <c r="F15" s="342"/>
      <c r="G15" s="342"/>
      <c r="H15" s="342"/>
      <c r="I15" s="342"/>
      <c r="J15" s="342"/>
      <c r="K15" s="342"/>
      <c r="L15" s="339">
        <f t="shared" si="0"/>
        <v>0</v>
      </c>
      <c r="M15" s="340">
        <f t="shared" si="1"/>
      </c>
      <c r="N15" s="795"/>
    </row>
    <row r="16" spans="1:14" ht="12.75">
      <c r="A16" s="290" t="s">
        <v>88</v>
      </c>
      <c r="B16" s="341"/>
      <c r="C16" s="342"/>
      <c r="D16" s="342"/>
      <c r="E16" s="342"/>
      <c r="F16" s="342"/>
      <c r="G16" s="342"/>
      <c r="H16" s="342"/>
      <c r="I16" s="342"/>
      <c r="J16" s="342"/>
      <c r="K16" s="342"/>
      <c r="L16" s="339">
        <f t="shared" si="0"/>
        <v>0</v>
      </c>
      <c r="M16" s="340">
        <f t="shared" si="1"/>
      </c>
      <c r="N16" s="795"/>
    </row>
    <row r="17" spans="1:14" ht="15" customHeight="1" thickBot="1">
      <c r="A17" s="291"/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39">
        <f t="shared" si="0"/>
        <v>0</v>
      </c>
      <c r="M17" s="345">
        <f t="shared" si="1"/>
      </c>
      <c r="N17" s="795"/>
    </row>
    <row r="18" spans="1:14" ht="13.5" thickBot="1">
      <c r="A18" s="293" t="s">
        <v>90</v>
      </c>
      <c r="B18" s="346">
        <f>B11+SUM(B13:B17)</f>
        <v>41803800</v>
      </c>
      <c r="C18" s="346">
        <f aca="true" t="shared" si="2" ref="C18:L18">C11+SUM(C13:C17)</f>
        <v>41803800</v>
      </c>
      <c r="D18" s="346">
        <f t="shared" si="2"/>
        <v>0</v>
      </c>
      <c r="E18" s="346">
        <f t="shared" si="2"/>
        <v>0</v>
      </c>
      <c r="F18" s="346">
        <f t="shared" si="2"/>
        <v>41803800</v>
      </c>
      <c r="G18" s="346">
        <f t="shared" si="2"/>
        <v>41803800</v>
      </c>
      <c r="H18" s="346">
        <f t="shared" si="2"/>
        <v>0</v>
      </c>
      <c r="I18" s="346">
        <f t="shared" si="2"/>
        <v>0</v>
      </c>
      <c r="J18" s="346">
        <f t="shared" si="2"/>
        <v>0</v>
      </c>
      <c r="K18" s="346">
        <f t="shared" si="2"/>
        <v>41803800</v>
      </c>
      <c r="L18" s="346">
        <f t="shared" si="2"/>
        <v>41803800</v>
      </c>
      <c r="M18" s="347">
        <f>IF((C18&lt;&gt;0),ROUND((L18/C18)*100,1),"")</f>
        <v>100</v>
      </c>
      <c r="N18" s="795"/>
    </row>
    <row r="19" spans="1:14" ht="12.75">
      <c r="A19" s="294"/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795"/>
    </row>
    <row r="20" spans="1:14" ht="13.5" thickBot="1">
      <c r="A20" s="297" t="s">
        <v>89</v>
      </c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795"/>
    </row>
    <row r="21" spans="1:14" ht="12.75">
      <c r="A21" s="300" t="s">
        <v>93</v>
      </c>
      <c r="B21" s="349">
        <v>16532400</v>
      </c>
      <c r="C21" s="349">
        <v>16532400</v>
      </c>
      <c r="D21" s="67"/>
      <c r="E21" s="351"/>
      <c r="F21" s="350">
        <f>2644875+511344+58775+88163</f>
        <v>3303157</v>
      </c>
      <c r="G21" s="350">
        <f>2644875+511344+58775+88163</f>
        <v>3303157</v>
      </c>
      <c r="H21" s="350">
        <f aca="true" t="shared" si="3" ref="H21:I24">B21-F21</f>
        <v>13229243</v>
      </c>
      <c r="I21" s="350">
        <f t="shared" si="3"/>
        <v>13229243</v>
      </c>
      <c r="J21" s="350"/>
      <c r="K21" s="350">
        <f>F21</f>
        <v>3303157</v>
      </c>
      <c r="L21" s="352">
        <f>+J21+K21</f>
        <v>3303157</v>
      </c>
      <c r="M21" s="353">
        <f aca="true" t="shared" si="4" ref="M21:M26">IF((C21&lt;&gt;0),ROUND((L21/C21)*100,1),"")</f>
        <v>20</v>
      </c>
      <c r="N21" s="795"/>
    </row>
    <row r="22" spans="1:14" ht="12.75">
      <c r="A22" s="301" t="s">
        <v>94</v>
      </c>
      <c r="B22" s="354">
        <v>800000</v>
      </c>
      <c r="C22" s="354">
        <v>800000</v>
      </c>
      <c r="D22" s="348"/>
      <c r="E22" s="348"/>
      <c r="F22" s="348">
        <f>213106</f>
        <v>213106</v>
      </c>
      <c r="G22" s="348">
        <f>213106</f>
        <v>213106</v>
      </c>
      <c r="H22" s="348">
        <f t="shared" si="3"/>
        <v>586894</v>
      </c>
      <c r="I22" s="348">
        <f t="shared" si="3"/>
        <v>586894</v>
      </c>
      <c r="J22" s="348"/>
      <c r="K22" s="348">
        <f>F22</f>
        <v>213106</v>
      </c>
      <c r="L22" s="355">
        <f>+J22+K22</f>
        <v>213106</v>
      </c>
      <c r="M22" s="356">
        <f t="shared" si="4"/>
        <v>26.6</v>
      </c>
      <c r="N22" s="795"/>
    </row>
    <row r="23" spans="1:14" ht="12.75">
      <c r="A23" s="301" t="s">
        <v>95</v>
      </c>
      <c r="B23" s="357">
        <f>B18-B21-B22-B24</f>
        <v>24371400</v>
      </c>
      <c r="C23" s="357">
        <f>C18-C21-C22-C24</f>
        <v>24371400</v>
      </c>
      <c r="D23" s="348"/>
      <c r="E23" s="348"/>
      <c r="F23" s="348"/>
      <c r="G23" s="348"/>
      <c r="H23" s="348">
        <f t="shared" si="3"/>
        <v>24371400</v>
      </c>
      <c r="I23" s="348">
        <f t="shared" si="3"/>
        <v>24371400</v>
      </c>
      <c r="J23" s="348"/>
      <c r="K23" s="348"/>
      <c r="L23" s="355">
        <f>+J23+K23</f>
        <v>0</v>
      </c>
      <c r="M23" s="356">
        <f t="shared" si="4"/>
        <v>0</v>
      </c>
      <c r="N23" s="795"/>
    </row>
    <row r="24" spans="1:14" ht="12.75">
      <c r="A24" s="301" t="s">
        <v>96</v>
      </c>
      <c r="B24" s="357">
        <v>100000</v>
      </c>
      <c r="C24" s="348">
        <v>100000</v>
      </c>
      <c r="D24" s="348"/>
      <c r="E24" s="348"/>
      <c r="F24" s="348"/>
      <c r="G24" s="348"/>
      <c r="H24" s="348">
        <f t="shared" si="3"/>
        <v>100000</v>
      </c>
      <c r="I24" s="348">
        <f t="shared" si="3"/>
        <v>100000</v>
      </c>
      <c r="J24" s="348"/>
      <c r="K24" s="348"/>
      <c r="L24" s="355">
        <f>+J24+K24</f>
        <v>0</v>
      </c>
      <c r="M24" s="356">
        <f t="shared" si="4"/>
        <v>0</v>
      </c>
      <c r="N24" s="795"/>
    </row>
    <row r="25" spans="1:14" ht="13.5" thickBot="1">
      <c r="A25" s="302"/>
      <c r="B25" s="358"/>
      <c r="C25" s="359"/>
      <c r="D25" s="359"/>
      <c r="E25" s="359"/>
      <c r="F25" s="359"/>
      <c r="G25" s="359"/>
      <c r="H25" s="359"/>
      <c r="I25" s="359"/>
      <c r="J25" s="359"/>
      <c r="K25" s="359"/>
      <c r="L25" s="355">
        <f>+J25+K25</f>
        <v>0</v>
      </c>
      <c r="M25" s="360">
        <f t="shared" si="4"/>
      </c>
      <c r="N25" s="795"/>
    </row>
    <row r="26" spans="1:14" ht="13.5" thickBot="1">
      <c r="A26" s="303" t="s">
        <v>75</v>
      </c>
      <c r="B26" s="361">
        <f aca="true" t="shared" si="5" ref="B26:L26">SUM(B21:B25)</f>
        <v>41803800</v>
      </c>
      <c r="C26" s="361">
        <f t="shared" si="5"/>
        <v>41803800</v>
      </c>
      <c r="D26" s="361">
        <f t="shared" si="5"/>
        <v>0</v>
      </c>
      <c r="E26" s="361">
        <f t="shared" si="5"/>
        <v>0</v>
      </c>
      <c r="F26" s="361">
        <f>SUM(F21:F25)</f>
        <v>3516263</v>
      </c>
      <c r="G26" s="361">
        <f t="shared" si="5"/>
        <v>3516263</v>
      </c>
      <c r="H26" s="361">
        <f t="shared" si="5"/>
        <v>38287537</v>
      </c>
      <c r="I26" s="361">
        <f t="shared" si="5"/>
        <v>38287537</v>
      </c>
      <c r="J26" s="361">
        <f t="shared" si="5"/>
        <v>0</v>
      </c>
      <c r="K26" s="361">
        <f t="shared" si="5"/>
        <v>3516263</v>
      </c>
      <c r="L26" s="361">
        <f t="shared" si="5"/>
        <v>3516263</v>
      </c>
      <c r="M26" s="362">
        <f t="shared" si="4"/>
        <v>8.4</v>
      </c>
      <c r="N26" s="795"/>
    </row>
    <row r="27" spans="1:14" ht="12.75">
      <c r="A27" s="791" t="s">
        <v>526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5"/>
    </row>
    <row r="28" spans="1:14" ht="5.25" customHeigh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795"/>
    </row>
    <row r="29" spans="1:14" ht="15.75">
      <c r="A29" s="79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5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92" t="str">
        <f>L5</f>
        <v> Forintban!</v>
      </c>
      <c r="M30" s="792"/>
      <c r="N30" s="795"/>
    </row>
    <row r="31" spans="1:14" ht="21.75" thickBot="1">
      <c r="A31" s="808" t="s">
        <v>91</v>
      </c>
      <c r="B31" s="809"/>
      <c r="C31" s="809"/>
      <c r="D31" s="809"/>
      <c r="E31" s="809"/>
      <c r="F31" s="809"/>
      <c r="G31" s="809"/>
      <c r="H31" s="809"/>
      <c r="I31" s="809"/>
      <c r="J31" s="809"/>
      <c r="K31" s="305" t="s">
        <v>459</v>
      </c>
      <c r="L31" s="305" t="s">
        <v>460</v>
      </c>
      <c r="M31" s="305" t="s">
        <v>450</v>
      </c>
      <c r="N31" s="795"/>
    </row>
    <row r="32" spans="1:14" ht="12.75">
      <c r="A32" s="788"/>
      <c r="B32" s="789"/>
      <c r="C32" s="789"/>
      <c r="D32" s="789"/>
      <c r="E32" s="789"/>
      <c r="F32" s="789"/>
      <c r="G32" s="789"/>
      <c r="H32" s="789"/>
      <c r="I32" s="789"/>
      <c r="J32" s="789"/>
      <c r="K32" s="288"/>
      <c r="L32" s="306"/>
      <c r="M32" s="306"/>
      <c r="N32" s="795"/>
    </row>
    <row r="33" spans="1:14" ht="13.5" thickBot="1">
      <c r="A33" s="805"/>
      <c r="B33" s="806"/>
      <c r="C33" s="806"/>
      <c r="D33" s="806"/>
      <c r="E33" s="806"/>
      <c r="F33" s="806"/>
      <c r="G33" s="806"/>
      <c r="H33" s="806"/>
      <c r="I33" s="806"/>
      <c r="J33" s="806"/>
      <c r="K33" s="307"/>
      <c r="L33" s="292"/>
      <c r="M33" s="292"/>
      <c r="N33" s="795"/>
    </row>
    <row r="34" spans="1:14" ht="13.5" thickBot="1">
      <c r="A34" s="803" t="s">
        <v>525</v>
      </c>
      <c r="B34" s="804"/>
      <c r="C34" s="804"/>
      <c r="D34" s="804"/>
      <c r="E34" s="804"/>
      <c r="F34" s="804"/>
      <c r="G34" s="804"/>
      <c r="H34" s="804"/>
      <c r="I34" s="804"/>
      <c r="J34" s="804"/>
      <c r="K34" s="308">
        <f>SUM(K32:K33)</f>
        <v>0</v>
      </c>
      <c r="L34" s="308">
        <f>SUM(L32:L33)</f>
        <v>0</v>
      </c>
      <c r="M34" s="308">
        <f>SUM(M32:M33)</f>
        <v>0</v>
      </c>
      <c r="N34" s="795"/>
    </row>
    <row r="35" ht="12.75">
      <c r="N35" s="795"/>
    </row>
    <row r="50" ht="12.75">
      <c r="A50" s="32"/>
    </row>
  </sheetData>
  <sheetProtection/>
  <mergeCells count="24">
    <mergeCell ref="A34:J34"/>
    <mergeCell ref="A27:M27"/>
    <mergeCell ref="A29:M29"/>
    <mergeCell ref="L30:M30"/>
    <mergeCell ref="A31:J31"/>
    <mergeCell ref="A32:J32"/>
    <mergeCell ref="A33:J33"/>
    <mergeCell ref="B7:B8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C4"/>
    <mergeCell ref="D4:M4"/>
    <mergeCell ref="N4:N35"/>
    <mergeCell ref="L5:M5"/>
    <mergeCell ref="A6:A9"/>
    <mergeCell ref="B6:I6"/>
    <mergeCell ref="J6:M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85">
      <selection activeCell="D118" sqref="D118:E118"/>
    </sheetView>
  </sheetViews>
  <sheetFormatPr defaultColWidth="9.00390625" defaultRowHeight="12.75"/>
  <cols>
    <col min="1" max="1" width="16.125" style="159" customWidth="1"/>
    <col min="2" max="2" width="63.87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83"/>
      <c r="B1" s="814" t="str">
        <f>CONCATENATE("6.1. melléklet ",Z_ALAPADATOK!A7," ",Z_ALAPADATOK!B7," ",Z_ALAPADATOK!C7," ",Z_ALAPADATOK!D7," ",Z_ALAPADATOK!E7," ",Z_ALAPADATOK!F7," ",Z_ALAPADATOK!G7," ",Z_ALAPADATOK!H7)</f>
        <v>6.1. melléklet a … / 2019. ( … ) önkormányzati rendelethez</v>
      </c>
      <c r="C1" s="815"/>
      <c r="D1" s="815"/>
      <c r="E1" s="815"/>
    </row>
    <row r="2" spans="1:5" s="48" customFormat="1" ht="21" customHeight="1" thickBot="1">
      <c r="A2" s="392" t="s">
        <v>45</v>
      </c>
      <c r="B2" s="813" t="str">
        <f>CONCATENATE(Z_ALAPADATOK!A3)</f>
        <v>Besenyszög Város Önkormányzata</v>
      </c>
      <c r="C2" s="813"/>
      <c r="D2" s="813"/>
      <c r="E2" s="393" t="s">
        <v>39</v>
      </c>
    </row>
    <row r="3" spans="1:5" s="48" customFormat="1" ht="24.75" thickBot="1">
      <c r="A3" s="392" t="s">
        <v>137</v>
      </c>
      <c r="B3" s="813" t="s">
        <v>307</v>
      </c>
      <c r="C3" s="813"/>
      <c r="D3" s="813"/>
      <c r="E3" s="394" t="s">
        <v>39</v>
      </c>
    </row>
    <row r="4" spans="1:5" s="49" customFormat="1" ht="15.75" customHeight="1" thickBot="1">
      <c r="A4" s="386"/>
      <c r="B4" s="386"/>
      <c r="C4" s="387"/>
      <c r="D4" s="388"/>
      <c r="E4" s="397" t="str">
        <f>'Z_4.sz.mell.'!G4</f>
        <v> Forintban!</v>
      </c>
    </row>
    <row r="5" spans="1:5" ht="24.75" thickBot="1">
      <c r="A5" s="389" t="s">
        <v>138</v>
      </c>
      <c r="B5" s="390" t="s">
        <v>497</v>
      </c>
      <c r="C5" s="390" t="s">
        <v>461</v>
      </c>
      <c r="D5" s="391" t="s">
        <v>462</v>
      </c>
      <c r="E5" s="372" t="str">
        <f>+CONCATENATE("Teljesítés",CHAR(10),LEFT(Z_ÖSSZEFÜGGÉSEK!A6,4),". XII. 31.")</f>
        <v>Teljesítés
2018. XII. 31.</v>
      </c>
    </row>
    <row r="6" spans="1:5" s="44" customFormat="1" ht="12.75" customHeight="1" thickBot="1">
      <c r="A6" s="74" t="s">
        <v>389</v>
      </c>
      <c r="B6" s="75" t="s">
        <v>390</v>
      </c>
      <c r="C6" s="75" t="s">
        <v>391</v>
      </c>
      <c r="D6" s="309" t="s">
        <v>393</v>
      </c>
      <c r="E6" s="76" t="s">
        <v>392</v>
      </c>
    </row>
    <row r="7" spans="1:5" s="44" customFormat="1" ht="15.75" customHeight="1" thickBot="1">
      <c r="A7" s="810" t="s">
        <v>40</v>
      </c>
      <c r="B7" s="811"/>
      <c r="C7" s="811"/>
      <c r="D7" s="811"/>
      <c r="E7" s="812"/>
    </row>
    <row r="8" spans="1:5" s="44" customFormat="1" ht="12" customHeight="1" thickBot="1">
      <c r="A8" s="25" t="s">
        <v>6</v>
      </c>
      <c r="B8" s="19" t="s">
        <v>164</v>
      </c>
      <c r="C8" s="166">
        <f>+C9+C10+C11+C12+C13+C14</f>
        <v>239936688</v>
      </c>
      <c r="D8" s="249">
        <f>+D9+D10+D11+D12+D13+D14</f>
        <v>256157810</v>
      </c>
      <c r="E8" s="102">
        <f>+E9+E10+E11+E12+E13+E14</f>
        <v>256157810</v>
      </c>
    </row>
    <row r="9" spans="1:5" s="50" customFormat="1" ht="12" customHeight="1">
      <c r="A9" s="196" t="s">
        <v>64</v>
      </c>
      <c r="B9" s="179" t="s">
        <v>165</v>
      </c>
      <c r="C9" s="168">
        <v>114904910</v>
      </c>
      <c r="D9" s="250">
        <v>115073392</v>
      </c>
      <c r="E9" s="250">
        <v>115073392</v>
      </c>
    </row>
    <row r="10" spans="1:5" s="51" customFormat="1" ht="12" customHeight="1">
      <c r="A10" s="197" t="s">
        <v>65</v>
      </c>
      <c r="B10" s="180" t="s">
        <v>166</v>
      </c>
      <c r="C10" s="167">
        <v>73083700</v>
      </c>
      <c r="D10" s="251">
        <v>73095866</v>
      </c>
      <c r="E10" s="251">
        <v>73095866</v>
      </c>
    </row>
    <row r="11" spans="1:5" s="51" customFormat="1" ht="12" customHeight="1">
      <c r="A11" s="197" t="s">
        <v>66</v>
      </c>
      <c r="B11" s="180" t="s">
        <v>167</v>
      </c>
      <c r="C11" s="167">
        <v>47860698</v>
      </c>
      <c r="D11" s="251">
        <v>46820830</v>
      </c>
      <c r="E11" s="251">
        <v>46820830</v>
      </c>
    </row>
    <row r="12" spans="1:5" s="51" customFormat="1" ht="12" customHeight="1">
      <c r="A12" s="197" t="s">
        <v>67</v>
      </c>
      <c r="B12" s="180" t="s">
        <v>168</v>
      </c>
      <c r="C12" s="167">
        <v>4087380</v>
      </c>
      <c r="D12" s="251">
        <v>5163320</v>
      </c>
      <c r="E12" s="251">
        <v>5163320</v>
      </c>
    </row>
    <row r="13" spans="1:5" s="51" customFormat="1" ht="12" customHeight="1">
      <c r="A13" s="197" t="s">
        <v>99</v>
      </c>
      <c r="B13" s="180" t="s">
        <v>397</v>
      </c>
      <c r="C13" s="167"/>
      <c r="D13" s="251">
        <v>14137299</v>
      </c>
      <c r="E13" s="251">
        <v>14137299</v>
      </c>
    </row>
    <row r="14" spans="1:5" s="50" customFormat="1" ht="12" customHeight="1" thickBot="1">
      <c r="A14" s="198" t="s">
        <v>68</v>
      </c>
      <c r="B14" s="181" t="s">
        <v>338</v>
      </c>
      <c r="C14" s="167"/>
      <c r="D14" s="251">
        <v>1867103</v>
      </c>
      <c r="E14" s="251">
        <v>1867103</v>
      </c>
    </row>
    <row r="15" spans="1:5" s="50" customFormat="1" ht="12" customHeight="1" thickBot="1">
      <c r="A15" s="25" t="s">
        <v>7</v>
      </c>
      <c r="B15" s="109" t="s">
        <v>169</v>
      </c>
      <c r="C15" s="166">
        <f>+C16+C17+C18+C19+C20</f>
        <v>61046000</v>
      </c>
      <c r="D15" s="249">
        <f>+D16+D17+D18+D19+D20</f>
        <v>88495334</v>
      </c>
      <c r="E15" s="102">
        <f>+E16+E17+E18+E19+E20</f>
        <v>169900112</v>
      </c>
    </row>
    <row r="16" spans="1:5" s="50" customFormat="1" ht="12" customHeight="1">
      <c r="A16" s="196" t="s">
        <v>70</v>
      </c>
      <c r="B16" s="179" t="s">
        <v>170</v>
      </c>
      <c r="C16" s="168"/>
      <c r="D16" s="250"/>
      <c r="E16" s="104"/>
    </row>
    <row r="17" spans="1:5" s="50" customFormat="1" ht="12" customHeight="1">
      <c r="A17" s="197" t="s">
        <v>71</v>
      </c>
      <c r="B17" s="180" t="s">
        <v>171</v>
      </c>
      <c r="C17" s="167"/>
      <c r="D17" s="251"/>
      <c r="E17" s="103"/>
    </row>
    <row r="18" spans="1:5" s="50" customFormat="1" ht="12" customHeight="1">
      <c r="A18" s="197" t="s">
        <v>72</v>
      </c>
      <c r="B18" s="180" t="s">
        <v>329</v>
      </c>
      <c r="C18" s="167"/>
      <c r="D18" s="251"/>
      <c r="E18" s="103"/>
    </row>
    <row r="19" spans="1:5" s="50" customFormat="1" ht="12" customHeight="1">
      <c r="A19" s="197" t="s">
        <v>73</v>
      </c>
      <c r="B19" s="180" t="s">
        <v>330</v>
      </c>
      <c r="C19" s="167"/>
      <c r="D19" s="251"/>
      <c r="E19" s="103"/>
    </row>
    <row r="20" spans="1:5" s="50" customFormat="1" ht="12" customHeight="1">
      <c r="A20" s="197" t="s">
        <v>74</v>
      </c>
      <c r="B20" s="180" t="s">
        <v>172</v>
      </c>
      <c r="C20" s="167">
        <v>61046000</v>
      </c>
      <c r="D20" s="251">
        <v>88495334</v>
      </c>
      <c r="E20" s="103">
        <v>169900112</v>
      </c>
    </row>
    <row r="21" spans="1:5" s="51" customFormat="1" ht="12" customHeight="1" thickBot="1">
      <c r="A21" s="198" t="s">
        <v>81</v>
      </c>
      <c r="B21" s="181" t="s">
        <v>173</v>
      </c>
      <c r="C21" s="169"/>
      <c r="D21" s="169">
        <v>18280650</v>
      </c>
      <c r="E21" s="105">
        <v>104659394</v>
      </c>
    </row>
    <row r="22" spans="1:5" s="51" customFormat="1" ht="12" customHeight="1" thickBot="1">
      <c r="A22" s="25" t="s">
        <v>8</v>
      </c>
      <c r="B22" s="19" t="s">
        <v>174</v>
      </c>
      <c r="C22" s="166">
        <f>+C23+C24+C25+C26+C27</f>
        <v>15000000</v>
      </c>
      <c r="D22" s="249">
        <f>+D23+D24+D25+D26+D27</f>
        <v>147387544</v>
      </c>
      <c r="E22" s="102">
        <f>+E23+E24+E25+E26+E27</f>
        <v>153251067</v>
      </c>
    </row>
    <row r="23" spans="1:5" s="51" customFormat="1" ht="12" customHeight="1">
      <c r="A23" s="196" t="s">
        <v>53</v>
      </c>
      <c r="B23" s="179" t="s">
        <v>175</v>
      </c>
      <c r="C23" s="168">
        <v>15000000</v>
      </c>
      <c r="D23" s="250">
        <v>47000000</v>
      </c>
      <c r="E23" s="104">
        <v>47000000</v>
      </c>
    </row>
    <row r="24" spans="1:5" s="50" customFormat="1" ht="12" customHeight="1">
      <c r="A24" s="197" t="s">
        <v>54</v>
      </c>
      <c r="B24" s="180" t="s">
        <v>176</v>
      </c>
      <c r="C24" s="167"/>
      <c r="D24" s="251"/>
      <c r="E24" s="103"/>
    </row>
    <row r="25" spans="1:5" s="51" customFormat="1" ht="12" customHeight="1">
      <c r="A25" s="197" t="s">
        <v>55</v>
      </c>
      <c r="B25" s="180" t="s">
        <v>331</v>
      </c>
      <c r="C25" s="167"/>
      <c r="D25" s="251"/>
      <c r="E25" s="103"/>
    </row>
    <row r="26" spans="1:5" s="51" customFormat="1" ht="12" customHeight="1">
      <c r="A26" s="197" t="s">
        <v>56</v>
      </c>
      <c r="B26" s="180" t="s">
        <v>332</v>
      </c>
      <c r="C26" s="167"/>
      <c r="D26" s="251"/>
      <c r="E26" s="103"/>
    </row>
    <row r="27" spans="1:5" s="51" customFormat="1" ht="12" customHeight="1">
      <c r="A27" s="197" t="s">
        <v>112</v>
      </c>
      <c r="B27" s="180" t="s">
        <v>177</v>
      </c>
      <c r="C27" s="167"/>
      <c r="D27" s="251">
        <v>100387544</v>
      </c>
      <c r="E27" s="103">
        <v>106251067</v>
      </c>
    </row>
    <row r="28" spans="1:5" s="51" customFormat="1" ht="12" customHeight="1" thickBot="1">
      <c r="A28" s="198" t="s">
        <v>113</v>
      </c>
      <c r="B28" s="181" t="s">
        <v>178</v>
      </c>
      <c r="C28" s="169"/>
      <c r="D28" s="169">
        <v>100387544</v>
      </c>
      <c r="E28" s="169">
        <v>100387544</v>
      </c>
    </row>
    <row r="29" spans="1:5" s="51" customFormat="1" ht="12" customHeight="1" thickBot="1">
      <c r="A29" s="25" t="s">
        <v>114</v>
      </c>
      <c r="B29" s="19" t="s">
        <v>488</v>
      </c>
      <c r="C29" s="172">
        <f>SUM(C30:C36)</f>
        <v>75300000</v>
      </c>
      <c r="D29" s="172">
        <f>SUM(D30:D36)</f>
        <v>75300000</v>
      </c>
      <c r="E29" s="208">
        <f>SUM(E30:E36)</f>
        <v>86582279</v>
      </c>
    </row>
    <row r="30" spans="1:5" s="51" customFormat="1" ht="12" customHeight="1">
      <c r="A30" s="196" t="s">
        <v>179</v>
      </c>
      <c r="B30" s="179" t="s">
        <v>489</v>
      </c>
      <c r="C30" s="168"/>
      <c r="D30" s="168"/>
      <c r="E30" s="104"/>
    </row>
    <row r="31" spans="1:5" s="51" customFormat="1" ht="12" customHeight="1">
      <c r="A31" s="197" t="s">
        <v>180</v>
      </c>
      <c r="B31" s="180" t="s">
        <v>490</v>
      </c>
      <c r="C31" s="167"/>
      <c r="D31" s="167"/>
      <c r="E31" s="103"/>
    </row>
    <row r="32" spans="1:5" s="51" customFormat="1" ht="12" customHeight="1">
      <c r="A32" s="197" t="s">
        <v>181</v>
      </c>
      <c r="B32" s="180" t="s">
        <v>491</v>
      </c>
      <c r="C32" s="167">
        <v>67000000</v>
      </c>
      <c r="D32" s="167">
        <v>67000000</v>
      </c>
      <c r="E32" s="103">
        <v>77649972</v>
      </c>
    </row>
    <row r="33" spans="1:5" s="51" customFormat="1" ht="12" customHeight="1">
      <c r="A33" s="197" t="s">
        <v>182</v>
      </c>
      <c r="B33" s="180" t="s">
        <v>492</v>
      </c>
      <c r="C33" s="167"/>
      <c r="D33" s="167"/>
      <c r="E33" s="103"/>
    </row>
    <row r="34" spans="1:5" s="51" customFormat="1" ht="12" customHeight="1">
      <c r="A34" s="197" t="s">
        <v>493</v>
      </c>
      <c r="B34" s="180" t="s">
        <v>183</v>
      </c>
      <c r="C34" s="167">
        <v>7500000</v>
      </c>
      <c r="D34" s="167">
        <v>7500000</v>
      </c>
      <c r="E34" s="103">
        <v>8042326</v>
      </c>
    </row>
    <row r="35" spans="1:5" s="51" customFormat="1" ht="12" customHeight="1">
      <c r="A35" s="197" t="s">
        <v>494</v>
      </c>
      <c r="B35" s="180" t="s">
        <v>184</v>
      </c>
      <c r="C35" s="167">
        <v>800000</v>
      </c>
      <c r="D35" s="167"/>
      <c r="E35" s="103"/>
    </row>
    <row r="36" spans="1:5" s="51" customFormat="1" ht="12" customHeight="1" thickBot="1">
      <c r="A36" s="198" t="s">
        <v>495</v>
      </c>
      <c r="B36" s="325" t="s">
        <v>185</v>
      </c>
      <c r="C36" s="169"/>
      <c r="D36" s="169">
        <v>800000</v>
      </c>
      <c r="E36" s="105">
        <v>889981</v>
      </c>
    </row>
    <row r="37" spans="1:5" s="51" customFormat="1" ht="12" customHeight="1" thickBot="1">
      <c r="A37" s="25" t="s">
        <v>10</v>
      </c>
      <c r="B37" s="19" t="s">
        <v>339</v>
      </c>
      <c r="C37" s="166">
        <f>SUM(C38:C48)</f>
        <v>30246705</v>
      </c>
      <c r="D37" s="249">
        <f>SUM(D38:D48)</f>
        <v>30246705</v>
      </c>
      <c r="E37" s="102">
        <f>SUM(E38:E48)</f>
        <v>31312025</v>
      </c>
    </row>
    <row r="38" spans="1:5" s="51" customFormat="1" ht="12" customHeight="1">
      <c r="A38" s="196" t="s">
        <v>57</v>
      </c>
      <c r="B38" s="179" t="s">
        <v>188</v>
      </c>
      <c r="C38" s="168"/>
      <c r="D38" s="250"/>
      <c r="E38" s="104">
        <v>152783</v>
      </c>
    </row>
    <row r="39" spans="1:5" s="51" customFormat="1" ht="12" customHeight="1">
      <c r="A39" s="197" t="s">
        <v>58</v>
      </c>
      <c r="B39" s="180" t="s">
        <v>189</v>
      </c>
      <c r="C39" s="167">
        <v>10400000</v>
      </c>
      <c r="D39" s="251">
        <v>10400000</v>
      </c>
      <c r="E39" s="103">
        <v>9980617</v>
      </c>
    </row>
    <row r="40" spans="1:5" s="51" customFormat="1" ht="12" customHeight="1">
      <c r="A40" s="197" t="s">
        <v>59</v>
      </c>
      <c r="B40" s="180" t="s">
        <v>190</v>
      </c>
      <c r="C40" s="167">
        <v>2670000</v>
      </c>
      <c r="D40" s="251">
        <v>2670000</v>
      </c>
      <c r="E40" s="103">
        <v>1289984</v>
      </c>
    </row>
    <row r="41" spans="1:5" s="51" customFormat="1" ht="12" customHeight="1">
      <c r="A41" s="197" t="s">
        <v>116</v>
      </c>
      <c r="B41" s="180" t="s">
        <v>191</v>
      </c>
      <c r="C41" s="167">
        <v>7874000</v>
      </c>
      <c r="D41" s="251">
        <v>10000000</v>
      </c>
      <c r="E41" s="103">
        <v>9411190</v>
      </c>
    </row>
    <row r="42" spans="1:5" s="51" customFormat="1" ht="12" customHeight="1">
      <c r="A42" s="197" t="s">
        <v>117</v>
      </c>
      <c r="B42" s="180" t="s">
        <v>192</v>
      </c>
      <c r="C42" s="167">
        <v>5650949</v>
      </c>
      <c r="D42" s="167">
        <v>5650949</v>
      </c>
      <c r="E42" s="103">
        <v>5367037</v>
      </c>
    </row>
    <row r="43" spans="1:5" s="51" customFormat="1" ht="12" customHeight="1">
      <c r="A43" s="197" t="s">
        <v>118</v>
      </c>
      <c r="B43" s="180" t="s">
        <v>193</v>
      </c>
      <c r="C43" s="167">
        <v>3651756</v>
      </c>
      <c r="D43" s="167">
        <v>1525756</v>
      </c>
      <c r="E43" s="103">
        <v>4783832</v>
      </c>
    </row>
    <row r="44" spans="1:5" s="51" customFormat="1" ht="12" customHeight="1">
      <c r="A44" s="197" t="s">
        <v>119</v>
      </c>
      <c r="B44" s="180" t="s">
        <v>194</v>
      </c>
      <c r="C44" s="167"/>
      <c r="D44" s="251"/>
      <c r="E44" s="103"/>
    </row>
    <row r="45" spans="1:5" s="51" customFormat="1" ht="12" customHeight="1">
      <c r="A45" s="197" t="s">
        <v>120</v>
      </c>
      <c r="B45" s="180" t="s">
        <v>496</v>
      </c>
      <c r="C45" s="167"/>
      <c r="D45" s="251"/>
      <c r="E45" s="103">
        <v>23943</v>
      </c>
    </row>
    <row r="46" spans="1:5" s="51" customFormat="1" ht="12" customHeight="1">
      <c r="A46" s="197" t="s">
        <v>186</v>
      </c>
      <c r="B46" s="180" t="s">
        <v>196</v>
      </c>
      <c r="C46" s="170"/>
      <c r="D46" s="310"/>
      <c r="E46" s="106">
        <v>2801</v>
      </c>
    </row>
    <row r="47" spans="1:5" s="51" customFormat="1" ht="12" customHeight="1">
      <c r="A47" s="198" t="s">
        <v>187</v>
      </c>
      <c r="B47" s="181" t="s">
        <v>341</v>
      </c>
      <c r="C47" s="171"/>
      <c r="D47" s="311"/>
      <c r="E47" s="107"/>
    </row>
    <row r="48" spans="1:5" s="51" customFormat="1" ht="12" customHeight="1" thickBot="1">
      <c r="A48" s="198" t="s">
        <v>340</v>
      </c>
      <c r="B48" s="181" t="s">
        <v>197</v>
      </c>
      <c r="C48" s="171"/>
      <c r="D48" s="311"/>
      <c r="E48" s="107">
        <v>299838</v>
      </c>
    </row>
    <row r="49" spans="1:5" s="51" customFormat="1" ht="12" customHeight="1" thickBot="1">
      <c r="A49" s="25" t="s">
        <v>11</v>
      </c>
      <c r="B49" s="19" t="s">
        <v>198</v>
      </c>
      <c r="C49" s="166">
        <f>SUM(C50:C54)</f>
        <v>3000000</v>
      </c>
      <c r="D49" s="249">
        <f>SUM(D50:D54)</f>
        <v>37400000</v>
      </c>
      <c r="E49" s="102">
        <f>SUM(E50:E54)</f>
        <v>39429800</v>
      </c>
    </row>
    <row r="50" spans="1:5" s="51" customFormat="1" ht="12" customHeight="1">
      <c r="A50" s="196" t="s">
        <v>60</v>
      </c>
      <c r="B50" s="179" t="s">
        <v>202</v>
      </c>
      <c r="C50" s="219"/>
      <c r="D50" s="312"/>
      <c r="E50" s="108"/>
    </row>
    <row r="51" spans="1:5" s="51" customFormat="1" ht="12" customHeight="1">
      <c r="A51" s="197" t="s">
        <v>61</v>
      </c>
      <c r="B51" s="180" t="s">
        <v>203</v>
      </c>
      <c r="C51" s="170">
        <v>3000000</v>
      </c>
      <c r="D51" s="310">
        <v>37400000</v>
      </c>
      <c r="E51" s="106">
        <v>39429800</v>
      </c>
    </row>
    <row r="52" spans="1:5" s="51" customFormat="1" ht="12" customHeight="1">
      <c r="A52" s="197" t="s">
        <v>199</v>
      </c>
      <c r="B52" s="180" t="s">
        <v>204</v>
      </c>
      <c r="C52" s="170"/>
      <c r="D52" s="310"/>
      <c r="E52" s="106"/>
    </row>
    <row r="53" spans="1:5" s="51" customFormat="1" ht="12" customHeight="1">
      <c r="A53" s="197" t="s">
        <v>200</v>
      </c>
      <c r="B53" s="180" t="s">
        <v>205</v>
      </c>
      <c r="C53" s="170"/>
      <c r="D53" s="310"/>
      <c r="E53" s="106"/>
    </row>
    <row r="54" spans="1:5" s="51" customFormat="1" ht="12" customHeight="1" thickBot="1">
      <c r="A54" s="198" t="s">
        <v>201</v>
      </c>
      <c r="B54" s="181" t="s">
        <v>206</v>
      </c>
      <c r="C54" s="171"/>
      <c r="D54" s="311"/>
      <c r="E54" s="107"/>
    </row>
    <row r="55" spans="1:5" s="51" customFormat="1" ht="12" customHeight="1" thickBot="1">
      <c r="A55" s="25" t="s">
        <v>121</v>
      </c>
      <c r="B55" s="19" t="s">
        <v>207</v>
      </c>
      <c r="C55" s="166">
        <f>SUM(C56:C58)</f>
        <v>1600000</v>
      </c>
      <c r="D55" s="249">
        <f>SUM(D56:D58)</f>
        <v>1600000</v>
      </c>
      <c r="E55" s="102">
        <f>SUM(E56:E58)</f>
        <v>1810000</v>
      </c>
    </row>
    <row r="56" spans="1:5" s="51" customFormat="1" ht="12" customHeight="1">
      <c r="A56" s="196" t="s">
        <v>62</v>
      </c>
      <c r="B56" s="179" t="s">
        <v>208</v>
      </c>
      <c r="C56" s="168"/>
      <c r="D56" s="250"/>
      <c r="E56" s="104"/>
    </row>
    <row r="57" spans="1:5" s="51" customFormat="1" ht="12" customHeight="1">
      <c r="A57" s="197" t="s">
        <v>63</v>
      </c>
      <c r="B57" s="180" t="s">
        <v>333</v>
      </c>
      <c r="C57" s="167">
        <v>1600000</v>
      </c>
      <c r="D57" s="251">
        <v>1600000</v>
      </c>
      <c r="E57" s="103">
        <v>1810000</v>
      </c>
    </row>
    <row r="58" spans="1:5" s="51" customFormat="1" ht="12" customHeight="1">
      <c r="A58" s="197" t="s">
        <v>211</v>
      </c>
      <c r="B58" s="180" t="s">
        <v>209</v>
      </c>
      <c r="C58" s="167"/>
      <c r="D58" s="251"/>
      <c r="E58" s="103"/>
    </row>
    <row r="59" spans="1:5" s="51" customFormat="1" ht="12" customHeight="1" thickBot="1">
      <c r="A59" s="198" t="s">
        <v>212</v>
      </c>
      <c r="B59" s="181" t="s">
        <v>210</v>
      </c>
      <c r="C59" s="169"/>
      <c r="D59" s="252"/>
      <c r="E59" s="105"/>
    </row>
    <row r="60" spans="1:5" s="51" customFormat="1" ht="12" customHeight="1" thickBot="1">
      <c r="A60" s="25" t="s">
        <v>13</v>
      </c>
      <c r="B60" s="109" t="s">
        <v>213</v>
      </c>
      <c r="C60" s="166">
        <f>SUM(C61:C63)</f>
        <v>13500000</v>
      </c>
      <c r="D60" s="249">
        <f>SUM(D61:D63)</f>
        <v>13500000</v>
      </c>
      <c r="E60" s="102">
        <f>SUM(E61:E63)</f>
        <v>11720000</v>
      </c>
    </row>
    <row r="61" spans="1:5" s="51" customFormat="1" ht="12" customHeight="1">
      <c r="A61" s="196" t="s">
        <v>122</v>
      </c>
      <c r="B61" s="179" t="s">
        <v>215</v>
      </c>
      <c r="C61" s="170"/>
      <c r="D61" s="310"/>
      <c r="E61" s="106"/>
    </row>
    <row r="62" spans="1:5" s="51" customFormat="1" ht="12" customHeight="1">
      <c r="A62" s="197" t="s">
        <v>123</v>
      </c>
      <c r="B62" s="180" t="s">
        <v>334</v>
      </c>
      <c r="C62" s="170"/>
      <c r="D62" s="310"/>
      <c r="E62" s="106">
        <v>120000</v>
      </c>
    </row>
    <row r="63" spans="1:5" s="51" customFormat="1" ht="12" customHeight="1">
      <c r="A63" s="197" t="s">
        <v>146</v>
      </c>
      <c r="B63" s="180" t="s">
        <v>216</v>
      </c>
      <c r="C63" s="170">
        <v>13500000</v>
      </c>
      <c r="D63" s="310">
        <v>13500000</v>
      </c>
      <c r="E63" s="106">
        <v>11600000</v>
      </c>
    </row>
    <row r="64" spans="1:5" s="51" customFormat="1" ht="12" customHeight="1" thickBot="1">
      <c r="A64" s="198" t="s">
        <v>214</v>
      </c>
      <c r="B64" s="181" t="s">
        <v>217</v>
      </c>
      <c r="C64" s="170"/>
      <c r="D64" s="310"/>
      <c r="E64" s="106"/>
    </row>
    <row r="65" spans="1:5" s="51" customFormat="1" ht="12" customHeight="1" thickBot="1">
      <c r="A65" s="25" t="s">
        <v>14</v>
      </c>
      <c r="B65" s="19" t="s">
        <v>218</v>
      </c>
      <c r="C65" s="172">
        <f>+C8+C15+C22+C29+C37+C49+C55+C60</f>
        <v>439629393</v>
      </c>
      <c r="D65" s="253">
        <f>+D8+D15+D22+D29+D37+D49+D55+D60</f>
        <v>650087393</v>
      </c>
      <c r="E65" s="208">
        <f>+E8+E15+E22+E29+E37+E49+E55+E60</f>
        <v>750163093</v>
      </c>
    </row>
    <row r="66" spans="1:5" s="51" customFormat="1" ht="12" customHeight="1" thickBot="1">
      <c r="A66" s="199" t="s">
        <v>303</v>
      </c>
      <c r="B66" s="109" t="s">
        <v>220</v>
      </c>
      <c r="C66" s="166">
        <f>SUM(C67:C69)</f>
        <v>0</v>
      </c>
      <c r="D66" s="249">
        <f>SUM(D67:D69)</f>
        <v>50000000</v>
      </c>
      <c r="E66" s="102">
        <f>SUM(E67:E69)</f>
        <v>37577030</v>
      </c>
    </row>
    <row r="67" spans="1:5" s="51" customFormat="1" ht="12" customHeight="1">
      <c r="A67" s="196" t="s">
        <v>248</v>
      </c>
      <c r="B67" s="179" t="s">
        <v>221</v>
      </c>
      <c r="C67" s="170"/>
      <c r="D67" s="310"/>
      <c r="E67" s="106"/>
    </row>
    <row r="68" spans="1:5" s="51" customFormat="1" ht="12" customHeight="1">
      <c r="A68" s="197" t="s">
        <v>257</v>
      </c>
      <c r="B68" s="180" t="s">
        <v>222</v>
      </c>
      <c r="C68" s="170"/>
      <c r="D68" s="310">
        <v>50000000</v>
      </c>
      <c r="E68" s="106">
        <v>37577030</v>
      </c>
    </row>
    <row r="69" spans="1:5" s="51" customFormat="1" ht="12" customHeight="1" thickBot="1">
      <c r="A69" s="206" t="s">
        <v>258</v>
      </c>
      <c r="B69" s="380" t="s">
        <v>366</v>
      </c>
      <c r="C69" s="381"/>
      <c r="D69" s="313"/>
      <c r="E69" s="382"/>
    </row>
    <row r="70" spans="1:5" s="51" customFormat="1" ht="12" customHeight="1" thickBot="1">
      <c r="A70" s="199" t="s">
        <v>224</v>
      </c>
      <c r="B70" s="109" t="s">
        <v>225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1" customFormat="1" ht="12" customHeight="1">
      <c r="A71" s="196" t="s">
        <v>100</v>
      </c>
      <c r="B71" s="363" t="s">
        <v>226</v>
      </c>
      <c r="C71" s="170"/>
      <c r="D71" s="170"/>
      <c r="E71" s="106"/>
    </row>
    <row r="72" spans="1:5" s="51" customFormat="1" ht="12" customHeight="1">
      <c r="A72" s="197" t="s">
        <v>101</v>
      </c>
      <c r="B72" s="363" t="s">
        <v>503</v>
      </c>
      <c r="C72" s="170"/>
      <c r="D72" s="170"/>
      <c r="E72" s="106"/>
    </row>
    <row r="73" spans="1:5" s="51" customFormat="1" ht="12" customHeight="1">
      <c r="A73" s="197" t="s">
        <v>249</v>
      </c>
      <c r="B73" s="363" t="s">
        <v>227</v>
      </c>
      <c r="C73" s="170"/>
      <c r="D73" s="170"/>
      <c r="E73" s="106"/>
    </row>
    <row r="74" spans="1:5" s="51" customFormat="1" ht="12" customHeight="1" thickBot="1">
      <c r="A74" s="198" t="s">
        <v>250</v>
      </c>
      <c r="B74" s="364" t="s">
        <v>504</v>
      </c>
      <c r="C74" s="170"/>
      <c r="D74" s="170"/>
      <c r="E74" s="106"/>
    </row>
    <row r="75" spans="1:5" s="51" customFormat="1" ht="12" customHeight="1" thickBot="1">
      <c r="A75" s="199" t="s">
        <v>228</v>
      </c>
      <c r="B75" s="109" t="s">
        <v>229</v>
      </c>
      <c r="C75" s="166">
        <f>SUM(C76:C77)</f>
        <v>992078683</v>
      </c>
      <c r="D75" s="166">
        <f>SUM(D76:D77)</f>
        <v>1002621426</v>
      </c>
      <c r="E75" s="102">
        <f>SUM(E76:E77)</f>
        <v>1002621426</v>
      </c>
    </row>
    <row r="76" spans="1:5" s="51" customFormat="1" ht="12" customHeight="1">
      <c r="A76" s="196" t="s">
        <v>251</v>
      </c>
      <c r="B76" s="179" t="s">
        <v>230</v>
      </c>
      <c r="C76" s="170">
        <v>992078683</v>
      </c>
      <c r="D76" s="170">
        <v>1002621426</v>
      </c>
      <c r="E76" s="170">
        <v>1002621426</v>
      </c>
    </row>
    <row r="77" spans="1:5" s="51" customFormat="1" ht="12" customHeight="1" thickBot="1">
      <c r="A77" s="198" t="s">
        <v>252</v>
      </c>
      <c r="B77" s="181" t="s">
        <v>231</v>
      </c>
      <c r="C77" s="170"/>
      <c r="D77" s="170"/>
      <c r="E77" s="106"/>
    </row>
    <row r="78" spans="1:5" s="50" customFormat="1" ht="12" customHeight="1" thickBot="1">
      <c r="A78" s="199" t="s">
        <v>232</v>
      </c>
      <c r="B78" s="109" t="s">
        <v>233</v>
      </c>
      <c r="C78" s="166">
        <f>SUM(C79:C81)</f>
        <v>0</v>
      </c>
      <c r="D78" s="166">
        <f>SUM(D79:D81)</f>
        <v>0</v>
      </c>
      <c r="E78" s="102">
        <f>SUM(E79:E81)</f>
        <v>8583031</v>
      </c>
    </row>
    <row r="79" spans="1:5" s="51" customFormat="1" ht="12" customHeight="1">
      <c r="A79" s="196" t="s">
        <v>253</v>
      </c>
      <c r="B79" s="179" t="s">
        <v>234</v>
      </c>
      <c r="C79" s="170"/>
      <c r="D79" s="170"/>
      <c r="E79" s="106">
        <v>8583031</v>
      </c>
    </row>
    <row r="80" spans="1:5" s="51" customFormat="1" ht="12" customHeight="1">
      <c r="A80" s="197" t="s">
        <v>254</v>
      </c>
      <c r="B80" s="180" t="s">
        <v>235</v>
      </c>
      <c r="C80" s="170"/>
      <c r="D80" s="170"/>
      <c r="E80" s="106"/>
    </row>
    <row r="81" spans="1:5" s="51" customFormat="1" ht="12" customHeight="1" thickBot="1">
      <c r="A81" s="198" t="s">
        <v>255</v>
      </c>
      <c r="B81" s="181" t="s">
        <v>505</v>
      </c>
      <c r="C81" s="170"/>
      <c r="D81" s="170"/>
      <c r="E81" s="106"/>
    </row>
    <row r="82" spans="1:5" s="51" customFormat="1" ht="12" customHeight="1" thickBot="1">
      <c r="A82" s="199" t="s">
        <v>236</v>
      </c>
      <c r="B82" s="109" t="s">
        <v>256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1" customFormat="1" ht="12" customHeight="1">
      <c r="A83" s="200" t="s">
        <v>237</v>
      </c>
      <c r="B83" s="179" t="s">
        <v>238</v>
      </c>
      <c r="C83" s="170"/>
      <c r="D83" s="170"/>
      <c r="E83" s="106"/>
    </row>
    <row r="84" spans="1:5" s="51" customFormat="1" ht="12" customHeight="1">
      <c r="A84" s="201" t="s">
        <v>239</v>
      </c>
      <c r="B84" s="180" t="s">
        <v>240</v>
      </c>
      <c r="C84" s="170"/>
      <c r="D84" s="170"/>
      <c r="E84" s="106"/>
    </row>
    <row r="85" spans="1:5" s="51" customFormat="1" ht="12" customHeight="1">
      <c r="A85" s="201" t="s">
        <v>241</v>
      </c>
      <c r="B85" s="180" t="s">
        <v>242</v>
      </c>
      <c r="C85" s="170"/>
      <c r="D85" s="170"/>
      <c r="E85" s="106"/>
    </row>
    <row r="86" spans="1:5" s="50" customFormat="1" ht="12" customHeight="1" thickBot="1">
      <c r="A86" s="202" t="s">
        <v>243</v>
      </c>
      <c r="B86" s="181" t="s">
        <v>244</v>
      </c>
      <c r="C86" s="170"/>
      <c r="D86" s="170"/>
      <c r="E86" s="106"/>
    </row>
    <row r="87" spans="1:5" s="50" customFormat="1" ht="12" customHeight="1" thickBot="1">
      <c r="A87" s="199" t="s">
        <v>245</v>
      </c>
      <c r="B87" s="109" t="s">
        <v>380</v>
      </c>
      <c r="C87" s="222"/>
      <c r="D87" s="222"/>
      <c r="E87" s="223"/>
    </row>
    <row r="88" spans="1:5" s="50" customFormat="1" ht="12" customHeight="1" thickBot="1">
      <c r="A88" s="199" t="s">
        <v>398</v>
      </c>
      <c r="B88" s="109" t="s">
        <v>246</v>
      </c>
      <c r="C88" s="222"/>
      <c r="D88" s="222"/>
      <c r="E88" s="223"/>
    </row>
    <row r="89" spans="1:5" s="50" customFormat="1" ht="12" customHeight="1" thickBot="1">
      <c r="A89" s="199" t="s">
        <v>399</v>
      </c>
      <c r="B89" s="186" t="s">
        <v>383</v>
      </c>
      <c r="C89" s="172">
        <f>+C66+C70+C75+C78+C82+C88+C87</f>
        <v>992078683</v>
      </c>
      <c r="D89" s="172">
        <f>+D66+D70+D75+D78+D82+D88+D87</f>
        <v>1052621426</v>
      </c>
      <c r="E89" s="208">
        <f>+E66+E70+E75+E78+E82+E88+E87</f>
        <v>1048781487</v>
      </c>
    </row>
    <row r="90" spans="1:5" s="50" customFormat="1" ht="12" customHeight="1" thickBot="1">
      <c r="A90" s="203" t="s">
        <v>400</v>
      </c>
      <c r="B90" s="187" t="s">
        <v>401</v>
      </c>
      <c r="C90" s="172">
        <f>+C65+C89</f>
        <v>1431708076</v>
      </c>
      <c r="D90" s="172">
        <f>+D65+D89</f>
        <v>1702708819</v>
      </c>
      <c r="E90" s="208">
        <f>+E65+E89</f>
        <v>1798944580</v>
      </c>
    </row>
    <row r="91" spans="1:3" s="51" customFormat="1" ht="15" customHeight="1" thickBot="1">
      <c r="A91" s="86"/>
      <c r="B91" s="87"/>
      <c r="C91" s="148"/>
    </row>
    <row r="92" spans="1:5" s="44" customFormat="1" ht="16.5" customHeight="1" thickBot="1">
      <c r="A92" s="810" t="s">
        <v>41</v>
      </c>
      <c r="B92" s="811"/>
      <c r="C92" s="811"/>
      <c r="D92" s="811"/>
      <c r="E92" s="812"/>
    </row>
    <row r="93" spans="1:5" s="52" customFormat="1" ht="12" customHeight="1" thickBot="1">
      <c r="A93" s="173" t="s">
        <v>6</v>
      </c>
      <c r="B93" s="24" t="s">
        <v>405</v>
      </c>
      <c r="C93" s="165">
        <f>+C94+C95+C96+C97+C98+C111</f>
        <v>393489273</v>
      </c>
      <c r="D93" s="165">
        <f>+D94+D95+D96+D97+D98+D111</f>
        <v>467767403</v>
      </c>
      <c r="E93" s="232">
        <f>+E94+E95+E96+E97+E98+E111</f>
        <v>372600875</v>
      </c>
    </row>
    <row r="94" spans="1:5" ht="12" customHeight="1">
      <c r="A94" s="204" t="s">
        <v>64</v>
      </c>
      <c r="B94" s="8" t="s">
        <v>35</v>
      </c>
      <c r="C94" s="239">
        <v>103301000</v>
      </c>
      <c r="D94" s="239">
        <v>120306882</v>
      </c>
      <c r="E94" s="233">
        <v>104667797</v>
      </c>
    </row>
    <row r="95" spans="1:5" ht="12" customHeight="1">
      <c r="A95" s="197" t="s">
        <v>65</v>
      </c>
      <c r="B95" s="6" t="s">
        <v>124</v>
      </c>
      <c r="C95" s="167">
        <v>16163000</v>
      </c>
      <c r="D95" s="167">
        <v>19292350</v>
      </c>
      <c r="E95" s="103">
        <v>17012759</v>
      </c>
    </row>
    <row r="96" spans="1:5" ht="12" customHeight="1">
      <c r="A96" s="197" t="s">
        <v>66</v>
      </c>
      <c r="B96" s="6" t="s">
        <v>92</v>
      </c>
      <c r="C96" s="169">
        <v>149950934</v>
      </c>
      <c r="D96" s="167">
        <v>176569016</v>
      </c>
      <c r="E96" s="105">
        <v>125897536</v>
      </c>
    </row>
    <row r="97" spans="1:5" ht="12" customHeight="1">
      <c r="A97" s="197" t="s">
        <v>67</v>
      </c>
      <c r="B97" s="9" t="s">
        <v>125</v>
      </c>
      <c r="C97" s="169">
        <v>12068319</v>
      </c>
      <c r="D97" s="252">
        <v>12424000</v>
      </c>
      <c r="E97" s="105">
        <v>12300732</v>
      </c>
    </row>
    <row r="98" spans="1:5" ht="12" customHeight="1">
      <c r="A98" s="197" t="s">
        <v>76</v>
      </c>
      <c r="B98" s="17" t="s">
        <v>126</v>
      </c>
      <c r="C98" s="169">
        <v>112006020</v>
      </c>
      <c r="D98" s="252">
        <v>139175155</v>
      </c>
      <c r="E98" s="105">
        <v>112722051</v>
      </c>
    </row>
    <row r="99" spans="1:5" ht="12" customHeight="1">
      <c r="A99" s="197" t="s">
        <v>68</v>
      </c>
      <c r="B99" s="6" t="s">
        <v>402</v>
      </c>
      <c r="C99" s="169"/>
      <c r="D99" s="252"/>
      <c r="E99" s="105"/>
    </row>
    <row r="100" spans="1:5" ht="12" customHeight="1">
      <c r="A100" s="197" t="s">
        <v>69</v>
      </c>
      <c r="B100" s="62" t="s">
        <v>346</v>
      </c>
      <c r="C100" s="169"/>
      <c r="D100" s="252"/>
      <c r="E100" s="105"/>
    </row>
    <row r="101" spans="1:5" ht="12" customHeight="1">
      <c r="A101" s="197" t="s">
        <v>77</v>
      </c>
      <c r="B101" s="62" t="s">
        <v>345</v>
      </c>
      <c r="C101" s="169"/>
      <c r="D101" s="252">
        <v>27233</v>
      </c>
      <c r="E101" s="105">
        <v>27233</v>
      </c>
    </row>
    <row r="102" spans="1:5" ht="12" customHeight="1">
      <c r="A102" s="197" t="s">
        <v>78</v>
      </c>
      <c r="B102" s="62" t="s">
        <v>262</v>
      </c>
      <c r="C102" s="169"/>
      <c r="D102" s="252"/>
      <c r="E102" s="105"/>
    </row>
    <row r="103" spans="1:5" ht="12" customHeight="1">
      <c r="A103" s="197" t="s">
        <v>79</v>
      </c>
      <c r="B103" s="63" t="s">
        <v>263</v>
      </c>
      <c r="C103" s="169"/>
      <c r="D103" s="252"/>
      <c r="E103" s="105"/>
    </row>
    <row r="104" spans="1:5" ht="12" customHeight="1">
      <c r="A104" s="197" t="s">
        <v>80</v>
      </c>
      <c r="B104" s="63" t="s">
        <v>264</v>
      </c>
      <c r="C104" s="169"/>
      <c r="D104" s="252"/>
      <c r="E104" s="105"/>
    </row>
    <row r="105" spans="1:5" ht="12" customHeight="1">
      <c r="A105" s="197" t="s">
        <v>82</v>
      </c>
      <c r="B105" s="62" t="s">
        <v>265</v>
      </c>
      <c r="C105" s="169">
        <v>93296020</v>
      </c>
      <c r="D105" s="252">
        <v>99327181</v>
      </c>
      <c r="E105" s="105">
        <v>99187181</v>
      </c>
    </row>
    <row r="106" spans="1:5" ht="12" customHeight="1">
      <c r="A106" s="197" t="s">
        <v>127</v>
      </c>
      <c r="B106" s="62" t="s">
        <v>266</v>
      </c>
      <c r="C106" s="169"/>
      <c r="D106" s="252"/>
      <c r="E106" s="105"/>
    </row>
    <row r="107" spans="1:5" ht="12" customHeight="1">
      <c r="A107" s="197" t="s">
        <v>260</v>
      </c>
      <c r="B107" s="63" t="s">
        <v>267</v>
      </c>
      <c r="C107" s="167"/>
      <c r="D107" s="252">
        <v>10000000</v>
      </c>
      <c r="E107" s="105">
        <v>6540000</v>
      </c>
    </row>
    <row r="108" spans="1:5" ht="12" customHeight="1">
      <c r="A108" s="205" t="s">
        <v>261</v>
      </c>
      <c r="B108" s="64" t="s">
        <v>268</v>
      </c>
      <c r="C108" s="169"/>
      <c r="D108" s="252"/>
      <c r="E108" s="105"/>
    </row>
    <row r="109" spans="1:5" ht="12" customHeight="1">
      <c r="A109" s="197" t="s">
        <v>343</v>
      </c>
      <c r="B109" s="64" t="s">
        <v>269</v>
      </c>
      <c r="C109" s="169"/>
      <c r="D109" s="252"/>
      <c r="E109" s="105"/>
    </row>
    <row r="110" spans="1:5" ht="12" customHeight="1">
      <c r="A110" s="197" t="s">
        <v>344</v>
      </c>
      <c r="B110" s="63" t="s">
        <v>270</v>
      </c>
      <c r="C110" s="167">
        <v>18710000</v>
      </c>
      <c r="D110" s="251">
        <v>14710000</v>
      </c>
      <c r="E110" s="103">
        <v>6967637</v>
      </c>
    </row>
    <row r="111" spans="1:5" ht="12" customHeight="1">
      <c r="A111" s="197" t="s">
        <v>348</v>
      </c>
      <c r="B111" s="9" t="s">
        <v>36</v>
      </c>
      <c r="C111" s="167"/>
      <c r="D111" s="251"/>
      <c r="E111" s="103"/>
    </row>
    <row r="112" spans="1:5" ht="12" customHeight="1">
      <c r="A112" s="198" t="s">
        <v>349</v>
      </c>
      <c r="B112" s="6" t="s">
        <v>403</v>
      </c>
      <c r="C112" s="169"/>
      <c r="D112" s="252">
        <v>15110741</v>
      </c>
      <c r="E112" s="105"/>
    </row>
    <row r="113" spans="1:5" ht="12" customHeight="1" thickBot="1">
      <c r="A113" s="206" t="s">
        <v>350</v>
      </c>
      <c r="B113" s="65" t="s">
        <v>404</v>
      </c>
      <c r="C113" s="240"/>
      <c r="D113" s="316"/>
      <c r="E113" s="234"/>
    </row>
    <row r="114" spans="1:5" ht="12" customHeight="1" thickBot="1">
      <c r="A114" s="25" t="s">
        <v>7</v>
      </c>
      <c r="B114" s="23" t="s">
        <v>271</v>
      </c>
      <c r="C114" s="166">
        <f>+C115+C117+C119</f>
        <v>925133972</v>
      </c>
      <c r="D114" s="249">
        <f>+D115+D117+D119</f>
        <v>1069772354</v>
      </c>
      <c r="E114" s="102">
        <f>+E115+E117+E119</f>
        <v>141213701</v>
      </c>
    </row>
    <row r="115" spans="1:5" ht="12" customHeight="1">
      <c r="A115" s="196" t="s">
        <v>70</v>
      </c>
      <c r="B115" s="6" t="s">
        <v>145</v>
      </c>
      <c r="C115" s="168">
        <v>778894032</v>
      </c>
      <c r="D115" s="250">
        <v>916469963</v>
      </c>
      <c r="E115" s="104">
        <v>131881215</v>
      </c>
    </row>
    <row r="116" spans="1:5" ht="12" customHeight="1">
      <c r="A116" s="196" t="s">
        <v>71</v>
      </c>
      <c r="B116" s="10" t="s">
        <v>275</v>
      </c>
      <c r="C116" s="168">
        <v>752156457</v>
      </c>
      <c r="D116" s="250">
        <v>841061550</v>
      </c>
      <c r="E116" s="104">
        <v>64530983</v>
      </c>
    </row>
    <row r="117" spans="1:5" ht="12" customHeight="1">
      <c r="A117" s="196" t="s">
        <v>72</v>
      </c>
      <c r="B117" s="10" t="s">
        <v>128</v>
      </c>
      <c r="C117" s="167">
        <v>140239940</v>
      </c>
      <c r="D117" s="251">
        <v>152852391</v>
      </c>
      <c r="E117" s="103">
        <v>8882486</v>
      </c>
    </row>
    <row r="118" spans="1:5" ht="12" customHeight="1">
      <c r="A118" s="196" t="s">
        <v>73</v>
      </c>
      <c r="B118" s="10" t="s">
        <v>276</v>
      </c>
      <c r="C118" s="167">
        <v>133686998</v>
      </c>
      <c r="D118" s="251">
        <v>145169449</v>
      </c>
      <c r="E118" s="103">
        <v>6921500</v>
      </c>
    </row>
    <row r="119" spans="1:5" ht="12" customHeight="1">
      <c r="A119" s="196" t="s">
        <v>74</v>
      </c>
      <c r="B119" s="111" t="s">
        <v>147</v>
      </c>
      <c r="C119" s="167">
        <v>6000000</v>
      </c>
      <c r="D119" s="251">
        <v>450000</v>
      </c>
      <c r="E119" s="103">
        <v>450000</v>
      </c>
    </row>
    <row r="120" spans="1:5" ht="12" customHeight="1">
      <c r="A120" s="196" t="s">
        <v>81</v>
      </c>
      <c r="B120" s="110" t="s">
        <v>335</v>
      </c>
      <c r="C120" s="167"/>
      <c r="D120" s="251"/>
      <c r="E120" s="103"/>
    </row>
    <row r="121" spans="1:5" ht="12" customHeight="1">
      <c r="A121" s="196" t="s">
        <v>83</v>
      </c>
      <c r="B121" s="175" t="s">
        <v>281</v>
      </c>
      <c r="C121" s="167"/>
      <c r="D121" s="251"/>
      <c r="E121" s="103"/>
    </row>
    <row r="122" spans="1:5" ht="12" customHeight="1">
      <c r="A122" s="196" t="s">
        <v>129</v>
      </c>
      <c r="B122" s="63" t="s">
        <v>264</v>
      </c>
      <c r="C122" s="167"/>
      <c r="D122" s="251"/>
      <c r="E122" s="103"/>
    </row>
    <row r="123" spans="1:5" ht="12" customHeight="1">
      <c r="A123" s="196" t="s">
        <v>130</v>
      </c>
      <c r="B123" s="63" t="s">
        <v>280</v>
      </c>
      <c r="C123" s="167"/>
      <c r="D123" s="251"/>
      <c r="E123" s="103"/>
    </row>
    <row r="124" spans="1:5" ht="12" customHeight="1">
      <c r="A124" s="196" t="s">
        <v>131</v>
      </c>
      <c r="B124" s="63" t="s">
        <v>279</v>
      </c>
      <c r="C124" s="167"/>
      <c r="D124" s="251"/>
      <c r="E124" s="103"/>
    </row>
    <row r="125" spans="1:5" ht="12" customHeight="1">
      <c r="A125" s="196" t="s">
        <v>272</v>
      </c>
      <c r="B125" s="63" t="s">
        <v>267</v>
      </c>
      <c r="C125" s="167">
        <v>6000000</v>
      </c>
      <c r="D125" s="251">
        <v>450000</v>
      </c>
      <c r="E125" s="103">
        <v>450000</v>
      </c>
    </row>
    <row r="126" spans="1:5" ht="12" customHeight="1">
      <c r="A126" s="196" t="s">
        <v>273</v>
      </c>
      <c r="B126" s="63" t="s">
        <v>278</v>
      </c>
      <c r="C126" s="167"/>
      <c r="D126" s="251"/>
      <c r="E126" s="103"/>
    </row>
    <row r="127" spans="1:5" ht="12" customHeight="1" thickBot="1">
      <c r="A127" s="205" t="s">
        <v>274</v>
      </c>
      <c r="B127" s="63" t="s">
        <v>277</v>
      </c>
      <c r="C127" s="169"/>
      <c r="D127" s="252"/>
      <c r="E127" s="105"/>
    </row>
    <row r="128" spans="1:5" ht="12" customHeight="1" thickBot="1">
      <c r="A128" s="25" t="s">
        <v>8</v>
      </c>
      <c r="B128" s="56" t="s">
        <v>353</v>
      </c>
      <c r="C128" s="166">
        <f>+C93+C114</f>
        <v>1318623245</v>
      </c>
      <c r="D128" s="249">
        <f>+D93+D114</f>
        <v>1537539757</v>
      </c>
      <c r="E128" s="102">
        <f>+E93+E114</f>
        <v>513814576</v>
      </c>
    </row>
    <row r="129" spans="1:5" ht="12" customHeight="1" thickBot="1">
      <c r="A129" s="25" t="s">
        <v>9</v>
      </c>
      <c r="B129" s="56" t="s">
        <v>354</v>
      </c>
      <c r="C129" s="166">
        <f>+C130+C131+C132</f>
        <v>0</v>
      </c>
      <c r="D129" s="249">
        <f>+D130+D131+D132</f>
        <v>50000000</v>
      </c>
      <c r="E129" s="102">
        <f>+E130+E131+E132</f>
        <v>37577030</v>
      </c>
    </row>
    <row r="130" spans="1:5" s="52" customFormat="1" ht="12" customHeight="1">
      <c r="A130" s="196" t="s">
        <v>179</v>
      </c>
      <c r="B130" s="7" t="s">
        <v>408</v>
      </c>
      <c r="C130" s="167"/>
      <c r="D130" s="251"/>
      <c r="E130" s="103"/>
    </row>
    <row r="131" spans="1:5" ht="12" customHeight="1">
      <c r="A131" s="196" t="s">
        <v>180</v>
      </c>
      <c r="B131" s="7" t="s">
        <v>362</v>
      </c>
      <c r="C131" s="167"/>
      <c r="D131" s="251">
        <v>50000000</v>
      </c>
      <c r="E131" s="103">
        <v>37577030</v>
      </c>
    </row>
    <row r="132" spans="1:5" ht="12" customHeight="1" thickBot="1">
      <c r="A132" s="205" t="s">
        <v>181</v>
      </c>
      <c r="B132" s="5" t="s">
        <v>407</v>
      </c>
      <c r="C132" s="167"/>
      <c r="D132" s="251"/>
      <c r="E132" s="103"/>
    </row>
    <row r="133" spans="1:5" ht="12" customHeight="1" thickBot="1">
      <c r="A133" s="25" t="s">
        <v>10</v>
      </c>
      <c r="B133" s="56" t="s">
        <v>355</v>
      </c>
      <c r="C133" s="166">
        <f>+C134+C135+C136+C137+C138+C139</f>
        <v>0</v>
      </c>
      <c r="D133" s="249">
        <f>+D134+D135+D136+D137+D138+D139</f>
        <v>0</v>
      </c>
      <c r="E133" s="102">
        <f>+E134+E135+E136+E137+E138+E139</f>
        <v>0</v>
      </c>
    </row>
    <row r="134" spans="1:5" ht="12" customHeight="1">
      <c r="A134" s="196" t="s">
        <v>57</v>
      </c>
      <c r="B134" s="7" t="s">
        <v>364</v>
      </c>
      <c r="C134" s="167"/>
      <c r="D134" s="251"/>
      <c r="E134" s="103"/>
    </row>
    <row r="135" spans="1:5" ht="12" customHeight="1">
      <c r="A135" s="196" t="s">
        <v>58</v>
      </c>
      <c r="B135" s="7" t="s">
        <v>356</v>
      </c>
      <c r="C135" s="167"/>
      <c r="D135" s="251"/>
      <c r="E135" s="103"/>
    </row>
    <row r="136" spans="1:5" ht="12" customHeight="1">
      <c r="A136" s="196" t="s">
        <v>59</v>
      </c>
      <c r="B136" s="7" t="s">
        <v>357</v>
      </c>
      <c r="C136" s="167"/>
      <c r="D136" s="251"/>
      <c r="E136" s="103"/>
    </row>
    <row r="137" spans="1:5" ht="12" customHeight="1">
      <c r="A137" s="196" t="s">
        <v>116</v>
      </c>
      <c r="B137" s="7" t="s">
        <v>406</v>
      </c>
      <c r="C137" s="167"/>
      <c r="D137" s="251"/>
      <c r="E137" s="103"/>
    </row>
    <row r="138" spans="1:5" ht="12" customHeight="1">
      <c r="A138" s="196" t="s">
        <v>117</v>
      </c>
      <c r="B138" s="7" t="s">
        <v>359</v>
      </c>
      <c r="C138" s="167"/>
      <c r="D138" s="251"/>
      <c r="E138" s="103"/>
    </row>
    <row r="139" spans="1:5" s="52" customFormat="1" ht="12" customHeight="1" thickBot="1">
      <c r="A139" s="205" t="s">
        <v>118</v>
      </c>
      <c r="B139" s="5" t="s">
        <v>360</v>
      </c>
      <c r="C139" s="167"/>
      <c r="D139" s="251"/>
      <c r="E139" s="103"/>
    </row>
    <row r="140" spans="1:11" ht="12" customHeight="1" thickBot="1">
      <c r="A140" s="25" t="s">
        <v>11</v>
      </c>
      <c r="B140" s="56" t="s">
        <v>421</v>
      </c>
      <c r="C140" s="172">
        <f>+C141+C142+C144+C145+C143</f>
        <v>113084831</v>
      </c>
      <c r="D140" s="253">
        <f>+D141+D142+D144+D145+D143</f>
        <v>115169062</v>
      </c>
      <c r="E140" s="208">
        <f>+E141+E142+E144+E145+E143</f>
        <v>114768412</v>
      </c>
      <c r="K140" s="95"/>
    </row>
    <row r="141" spans="1:5" ht="12.75">
      <c r="A141" s="196" t="s">
        <v>60</v>
      </c>
      <c r="B141" s="7" t="s">
        <v>282</v>
      </c>
      <c r="C141" s="167"/>
      <c r="D141" s="251"/>
      <c r="E141" s="103"/>
    </row>
    <row r="142" spans="1:5" ht="12" customHeight="1">
      <c r="A142" s="196" t="s">
        <v>61</v>
      </c>
      <c r="B142" s="7" t="s">
        <v>283</v>
      </c>
      <c r="C142" s="167">
        <v>8601631</v>
      </c>
      <c r="D142" s="167">
        <v>8601631</v>
      </c>
      <c r="E142" s="167">
        <v>8601631</v>
      </c>
    </row>
    <row r="143" spans="1:5" ht="12" customHeight="1">
      <c r="A143" s="196" t="s">
        <v>199</v>
      </c>
      <c r="B143" s="7" t="s">
        <v>420</v>
      </c>
      <c r="C143" s="167">
        <v>104483200</v>
      </c>
      <c r="D143" s="251">
        <v>106567431</v>
      </c>
      <c r="E143" s="103">
        <v>106166781</v>
      </c>
    </row>
    <row r="144" spans="1:5" s="52" customFormat="1" ht="12" customHeight="1">
      <c r="A144" s="196" t="s">
        <v>200</v>
      </c>
      <c r="B144" s="7" t="s">
        <v>369</v>
      </c>
      <c r="C144" s="167"/>
      <c r="D144" s="251"/>
      <c r="E144" s="103"/>
    </row>
    <row r="145" spans="1:5" s="52" customFormat="1" ht="12" customHeight="1" thickBot="1">
      <c r="A145" s="205" t="s">
        <v>201</v>
      </c>
      <c r="B145" s="5" t="s">
        <v>299</v>
      </c>
      <c r="C145" s="167"/>
      <c r="D145" s="251"/>
      <c r="E145" s="103"/>
    </row>
    <row r="146" spans="1:5" s="52" customFormat="1" ht="12" customHeight="1" thickBot="1">
      <c r="A146" s="25" t="s">
        <v>12</v>
      </c>
      <c r="B146" s="56" t="s">
        <v>370</v>
      </c>
      <c r="C146" s="242">
        <f>+C147+C148+C149+C150+C151</f>
        <v>0</v>
      </c>
      <c r="D146" s="254">
        <f>+D147+D148+D149+D150+D151</f>
        <v>0</v>
      </c>
      <c r="E146" s="236">
        <f>+E147+E148+E149+E150+E151</f>
        <v>0</v>
      </c>
    </row>
    <row r="147" spans="1:5" s="52" customFormat="1" ht="12" customHeight="1">
      <c r="A147" s="196" t="s">
        <v>62</v>
      </c>
      <c r="B147" s="7" t="s">
        <v>365</v>
      </c>
      <c r="C147" s="167"/>
      <c r="D147" s="251"/>
      <c r="E147" s="103"/>
    </row>
    <row r="148" spans="1:5" s="52" customFormat="1" ht="12" customHeight="1">
      <c r="A148" s="196" t="s">
        <v>63</v>
      </c>
      <c r="B148" s="7" t="s">
        <v>372</v>
      </c>
      <c r="C148" s="167"/>
      <c r="D148" s="251"/>
      <c r="E148" s="103"/>
    </row>
    <row r="149" spans="1:5" s="52" customFormat="1" ht="12" customHeight="1">
      <c r="A149" s="196" t="s">
        <v>211</v>
      </c>
      <c r="B149" s="7" t="s">
        <v>367</v>
      </c>
      <c r="C149" s="167"/>
      <c r="D149" s="251"/>
      <c r="E149" s="103"/>
    </row>
    <row r="150" spans="1:5" s="52" customFormat="1" ht="12" customHeight="1">
      <c r="A150" s="196" t="s">
        <v>212</v>
      </c>
      <c r="B150" s="7" t="s">
        <v>409</v>
      </c>
      <c r="C150" s="167"/>
      <c r="D150" s="251"/>
      <c r="E150" s="103"/>
    </row>
    <row r="151" spans="1:5" ht="12.75" customHeight="1" thickBot="1">
      <c r="A151" s="205" t="s">
        <v>371</v>
      </c>
      <c r="B151" s="5" t="s">
        <v>374</v>
      </c>
      <c r="C151" s="169"/>
      <c r="D151" s="252"/>
      <c r="E151" s="105"/>
    </row>
    <row r="152" spans="1:5" ht="12.75" customHeight="1" thickBot="1">
      <c r="A152" s="231" t="s">
        <v>13</v>
      </c>
      <c r="B152" s="56" t="s">
        <v>375</v>
      </c>
      <c r="C152" s="242"/>
      <c r="D152" s="254"/>
      <c r="E152" s="236"/>
    </row>
    <row r="153" spans="1:5" ht="12.75" customHeight="1" thickBot="1">
      <c r="A153" s="231" t="s">
        <v>14</v>
      </c>
      <c r="B153" s="56" t="s">
        <v>376</v>
      </c>
      <c r="C153" s="242"/>
      <c r="D153" s="254"/>
      <c r="E153" s="236"/>
    </row>
    <row r="154" spans="1:5" ht="12" customHeight="1" thickBot="1">
      <c r="A154" s="25" t="s">
        <v>15</v>
      </c>
      <c r="B154" s="56" t="s">
        <v>378</v>
      </c>
      <c r="C154" s="244">
        <f>+C129+C133+C140+C146+C152+C153</f>
        <v>113084831</v>
      </c>
      <c r="D154" s="256">
        <f>+D129+D133+D140+D146+D152+D153</f>
        <v>165169062</v>
      </c>
      <c r="E154" s="238">
        <f>+E129+E133+E140+E146+E152+E153</f>
        <v>152345442</v>
      </c>
    </row>
    <row r="155" spans="1:5" ht="15" customHeight="1" thickBot="1">
      <c r="A155" s="207" t="s">
        <v>16</v>
      </c>
      <c r="B155" s="153" t="s">
        <v>377</v>
      </c>
      <c r="C155" s="244">
        <f>+C128+C154</f>
        <v>1431708076</v>
      </c>
      <c r="D155" s="256">
        <f>+D128+D154</f>
        <v>1702708819</v>
      </c>
      <c r="E155" s="238">
        <f>+E128+E154</f>
        <v>666160018</v>
      </c>
    </row>
    <row r="156" spans="1:5" ht="13.5" thickBot="1">
      <c r="A156" s="156"/>
      <c r="B156" s="157"/>
      <c r="C156" s="656">
        <f>C90-C155</f>
        <v>0</v>
      </c>
      <c r="D156" s="656">
        <f>D90-D155</f>
        <v>0</v>
      </c>
      <c r="E156" s="158"/>
    </row>
    <row r="157" spans="1:5" ht="15" customHeight="1" thickBot="1">
      <c r="A157" s="93" t="s">
        <v>498</v>
      </c>
      <c r="B157" s="94"/>
      <c r="C157" s="315">
        <v>64</v>
      </c>
      <c r="D157" s="315">
        <v>64</v>
      </c>
      <c r="E157" s="314">
        <v>51</v>
      </c>
    </row>
    <row r="158" spans="1:5" ht="14.25" customHeight="1" thickBot="1">
      <c r="A158" s="93" t="s">
        <v>499</v>
      </c>
      <c r="B158" s="94"/>
      <c r="C158" s="315">
        <v>50</v>
      </c>
      <c r="D158" s="315">
        <v>50</v>
      </c>
      <c r="E158" s="314">
        <v>37</v>
      </c>
    </row>
  </sheetData>
  <sheetProtection sheet="1"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3">
      <selection activeCell="D28" sqref="D28:E28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83"/>
      <c r="B1" s="814" t="str">
        <f>CONCATENATE("6.1.1. melléklet ",Z_ALAPADATOK!A7," ",Z_ALAPADATOK!B7," ",Z_ALAPADATOK!C7," ",Z_ALAPADATOK!D7," ",Z_ALAPADATOK!E7," ",Z_ALAPADATOK!F7," ",Z_ALAPADATOK!G7," ",Z_ALAPADATOK!H7)</f>
        <v>6.1.1. melléklet a … / 2019. ( … ) önkormányzati rendelethez</v>
      </c>
      <c r="C1" s="815"/>
      <c r="D1" s="815"/>
      <c r="E1" s="815"/>
    </row>
    <row r="2" spans="1:5" s="48" customFormat="1" ht="21" customHeight="1" thickBot="1">
      <c r="A2" s="392" t="s">
        <v>45</v>
      </c>
      <c r="B2" s="813" t="str">
        <f>CONCATENATE(Z_ALAPADATOK!A3)</f>
        <v>Besenyszög Város Önkormányzata</v>
      </c>
      <c r="C2" s="813"/>
      <c r="D2" s="813"/>
      <c r="E2" s="393" t="s">
        <v>39</v>
      </c>
    </row>
    <row r="3" spans="1:5" s="48" customFormat="1" ht="24.75" thickBot="1">
      <c r="A3" s="392" t="s">
        <v>137</v>
      </c>
      <c r="B3" s="813" t="s">
        <v>326</v>
      </c>
      <c r="C3" s="813"/>
      <c r="D3" s="813"/>
      <c r="E3" s="394" t="s">
        <v>43</v>
      </c>
    </row>
    <row r="4" spans="1:5" s="49" customFormat="1" ht="15.75" customHeight="1" thickBot="1">
      <c r="A4" s="386"/>
      <c r="B4" s="386"/>
      <c r="C4" s="387"/>
      <c r="D4" s="388"/>
      <c r="E4" s="387" t="str">
        <f>'Z_6.1.sz.mell'!E4</f>
        <v> Forintban!</v>
      </c>
    </row>
    <row r="5" spans="1:5" ht="24.75" thickBot="1">
      <c r="A5" s="389" t="s">
        <v>138</v>
      </c>
      <c r="B5" s="390" t="s">
        <v>497</v>
      </c>
      <c r="C5" s="390" t="s">
        <v>461</v>
      </c>
      <c r="D5" s="391" t="s">
        <v>462</v>
      </c>
      <c r="E5" s="372" t="str">
        <f>CONCATENATE('Z_6.1.sz.mell'!E5)</f>
        <v>Teljesítés
2018. XII. 31.</v>
      </c>
    </row>
    <row r="6" spans="1:5" s="44" customFormat="1" ht="12.75" customHeight="1" thickBot="1">
      <c r="A6" s="74" t="s">
        <v>389</v>
      </c>
      <c r="B6" s="75" t="s">
        <v>390</v>
      </c>
      <c r="C6" s="75" t="s">
        <v>391</v>
      </c>
      <c r="D6" s="309" t="s">
        <v>393</v>
      </c>
      <c r="E6" s="76" t="s">
        <v>392</v>
      </c>
    </row>
    <row r="7" spans="1:5" s="44" customFormat="1" ht="15.75" customHeight="1" thickBot="1">
      <c r="A7" s="810" t="s">
        <v>40</v>
      </c>
      <c r="B7" s="811"/>
      <c r="C7" s="811"/>
      <c r="D7" s="811"/>
      <c r="E7" s="812"/>
    </row>
    <row r="8" spans="1:5" s="44" customFormat="1" ht="12" customHeight="1" thickBot="1">
      <c r="A8" s="25" t="s">
        <v>6</v>
      </c>
      <c r="B8" s="19" t="s">
        <v>164</v>
      </c>
      <c r="C8" s="166">
        <f>+C9+C10+C11+C12+C13+C14</f>
        <v>196597588</v>
      </c>
      <c r="D8" s="249">
        <f>+D9+D10+D11+D12+D13+D14</f>
        <v>212350360</v>
      </c>
      <c r="E8" s="102">
        <f>+E9+E10+E11+E12+E13+E14</f>
        <v>211252920</v>
      </c>
    </row>
    <row r="9" spans="1:5" s="50" customFormat="1" ht="12" customHeight="1">
      <c r="A9" s="196" t="s">
        <v>64</v>
      </c>
      <c r="B9" s="179" t="s">
        <v>165</v>
      </c>
      <c r="C9" s="168">
        <v>71565810</v>
      </c>
      <c r="D9" s="250">
        <v>71265942</v>
      </c>
      <c r="E9" s="104">
        <v>70168502</v>
      </c>
    </row>
    <row r="10" spans="1:5" s="51" customFormat="1" ht="12" customHeight="1">
      <c r="A10" s="197" t="s">
        <v>65</v>
      </c>
      <c r="B10" s="180" t="s">
        <v>166</v>
      </c>
      <c r="C10" s="167">
        <v>73083700</v>
      </c>
      <c r="D10" s="251">
        <v>73095866</v>
      </c>
      <c r="E10" s="251">
        <v>73095866</v>
      </c>
    </row>
    <row r="11" spans="1:5" s="51" customFormat="1" ht="12" customHeight="1">
      <c r="A11" s="197" t="s">
        <v>66</v>
      </c>
      <c r="B11" s="180" t="s">
        <v>167</v>
      </c>
      <c r="C11" s="167">
        <v>47860698</v>
      </c>
      <c r="D11" s="251">
        <v>46820830</v>
      </c>
      <c r="E11" s="251">
        <v>46820830</v>
      </c>
    </row>
    <row r="12" spans="1:5" s="51" customFormat="1" ht="12" customHeight="1">
      <c r="A12" s="197" t="s">
        <v>67</v>
      </c>
      <c r="B12" s="180" t="s">
        <v>168</v>
      </c>
      <c r="C12" s="167">
        <v>4087380</v>
      </c>
      <c r="D12" s="251">
        <v>5163320</v>
      </c>
      <c r="E12" s="251">
        <v>5163320</v>
      </c>
    </row>
    <row r="13" spans="1:5" s="51" customFormat="1" ht="12" customHeight="1">
      <c r="A13" s="197" t="s">
        <v>99</v>
      </c>
      <c r="B13" s="180" t="s">
        <v>397</v>
      </c>
      <c r="C13" s="167"/>
      <c r="D13" s="251">
        <v>14137299</v>
      </c>
      <c r="E13" s="251">
        <v>14137299</v>
      </c>
    </row>
    <row r="14" spans="1:5" s="50" customFormat="1" ht="12" customHeight="1" thickBot="1">
      <c r="A14" s="198" t="s">
        <v>68</v>
      </c>
      <c r="B14" s="181" t="s">
        <v>338</v>
      </c>
      <c r="C14" s="167"/>
      <c r="D14" s="251">
        <v>1867103</v>
      </c>
      <c r="E14" s="251">
        <v>1867103</v>
      </c>
    </row>
    <row r="15" spans="1:5" s="50" customFormat="1" ht="12" customHeight="1" thickBot="1">
      <c r="A15" s="25" t="s">
        <v>7</v>
      </c>
      <c r="B15" s="109" t="s">
        <v>169</v>
      </c>
      <c r="C15" s="166">
        <f>+C16+C17+C18+C19+C20</f>
        <v>61046000</v>
      </c>
      <c r="D15" s="249">
        <f>+D16+D17+D18+D19+D20</f>
        <v>88495334</v>
      </c>
      <c r="E15" s="102">
        <f>+E16+E17+E18+E19+E20</f>
        <v>169900112</v>
      </c>
    </row>
    <row r="16" spans="1:5" s="50" customFormat="1" ht="12" customHeight="1">
      <c r="A16" s="196" t="s">
        <v>70</v>
      </c>
      <c r="B16" s="179" t="s">
        <v>170</v>
      </c>
      <c r="C16" s="168"/>
      <c r="D16" s="250"/>
      <c r="E16" s="104"/>
    </row>
    <row r="17" spans="1:5" s="50" customFormat="1" ht="12" customHeight="1">
      <c r="A17" s="197" t="s">
        <v>71</v>
      </c>
      <c r="B17" s="180" t="s">
        <v>171</v>
      </c>
      <c r="C17" s="167"/>
      <c r="D17" s="251"/>
      <c r="E17" s="103"/>
    </row>
    <row r="18" spans="1:5" s="50" customFormat="1" ht="12" customHeight="1">
      <c r="A18" s="197" t="s">
        <v>72</v>
      </c>
      <c r="B18" s="180" t="s">
        <v>329</v>
      </c>
      <c r="C18" s="167"/>
      <c r="D18" s="251"/>
      <c r="E18" s="103"/>
    </row>
    <row r="19" spans="1:5" s="50" customFormat="1" ht="12" customHeight="1">
      <c r="A19" s="197" t="s">
        <v>73</v>
      </c>
      <c r="B19" s="180" t="s">
        <v>330</v>
      </c>
      <c r="C19" s="167"/>
      <c r="D19" s="251"/>
      <c r="E19" s="103"/>
    </row>
    <row r="20" spans="1:5" s="50" customFormat="1" ht="12" customHeight="1">
      <c r="A20" s="197" t="s">
        <v>74</v>
      </c>
      <c r="B20" s="180" t="s">
        <v>172</v>
      </c>
      <c r="C20" s="167">
        <v>61046000</v>
      </c>
      <c r="D20" s="251">
        <v>88495334</v>
      </c>
      <c r="E20" s="103">
        <v>169900112</v>
      </c>
    </row>
    <row r="21" spans="1:5" s="51" customFormat="1" ht="12" customHeight="1" thickBot="1">
      <c r="A21" s="198" t="s">
        <v>81</v>
      </c>
      <c r="B21" s="181" t="s">
        <v>173</v>
      </c>
      <c r="C21" s="169"/>
      <c r="D21" s="169">
        <v>18280650</v>
      </c>
      <c r="E21" s="105">
        <v>104659394</v>
      </c>
    </row>
    <row r="22" spans="1:5" s="51" customFormat="1" ht="12" customHeight="1" thickBot="1">
      <c r="A22" s="25" t="s">
        <v>8</v>
      </c>
      <c r="B22" s="19" t="s">
        <v>174</v>
      </c>
      <c r="C22" s="166">
        <f>+C23+C24+C25+C26+C27</f>
        <v>15000000</v>
      </c>
      <c r="D22" s="249">
        <f>+D23+D24+D25+D26+D27</f>
        <v>147387544</v>
      </c>
      <c r="E22" s="102">
        <f>+E23+E24+E25+E26+E27</f>
        <v>153251067</v>
      </c>
    </row>
    <row r="23" spans="1:5" s="51" customFormat="1" ht="12" customHeight="1">
      <c r="A23" s="196" t="s">
        <v>53</v>
      </c>
      <c r="B23" s="179" t="s">
        <v>175</v>
      </c>
      <c r="C23" s="168">
        <v>15000000</v>
      </c>
      <c r="D23" s="250">
        <v>47000000</v>
      </c>
      <c r="E23" s="104">
        <v>47000000</v>
      </c>
    </row>
    <row r="24" spans="1:5" s="50" customFormat="1" ht="12" customHeight="1">
      <c r="A24" s="197" t="s">
        <v>54</v>
      </c>
      <c r="B24" s="180" t="s">
        <v>176</v>
      </c>
      <c r="C24" s="167"/>
      <c r="D24" s="251"/>
      <c r="E24" s="103"/>
    </row>
    <row r="25" spans="1:5" s="51" customFormat="1" ht="12" customHeight="1">
      <c r="A25" s="197" t="s">
        <v>55</v>
      </c>
      <c r="B25" s="180" t="s">
        <v>331</v>
      </c>
      <c r="C25" s="167"/>
      <c r="D25" s="251"/>
      <c r="E25" s="103"/>
    </row>
    <row r="26" spans="1:5" s="51" customFormat="1" ht="12" customHeight="1">
      <c r="A26" s="197" t="s">
        <v>56</v>
      </c>
      <c r="B26" s="180" t="s">
        <v>332</v>
      </c>
      <c r="C26" s="167"/>
      <c r="D26" s="251"/>
      <c r="E26" s="103"/>
    </row>
    <row r="27" spans="1:5" s="51" customFormat="1" ht="12" customHeight="1">
      <c r="A27" s="197" t="s">
        <v>112</v>
      </c>
      <c r="B27" s="180" t="s">
        <v>177</v>
      </c>
      <c r="C27" s="167"/>
      <c r="D27" s="251">
        <v>100387544</v>
      </c>
      <c r="E27" s="103">
        <v>106251067</v>
      </c>
    </row>
    <row r="28" spans="1:5" s="51" customFormat="1" ht="12" customHeight="1" thickBot="1">
      <c r="A28" s="198" t="s">
        <v>113</v>
      </c>
      <c r="B28" s="181" t="s">
        <v>178</v>
      </c>
      <c r="C28" s="169"/>
      <c r="D28" s="169">
        <v>100387544</v>
      </c>
      <c r="E28" s="169">
        <v>100387544</v>
      </c>
    </row>
    <row r="29" spans="1:5" s="51" customFormat="1" ht="12" customHeight="1" thickBot="1">
      <c r="A29" s="25" t="s">
        <v>114</v>
      </c>
      <c r="B29" s="19" t="s">
        <v>488</v>
      </c>
      <c r="C29" s="172">
        <f>SUM(C30:C36)</f>
        <v>65690000</v>
      </c>
      <c r="D29" s="172">
        <f>SUM(D30:D36)</f>
        <v>65240000</v>
      </c>
      <c r="E29" s="208">
        <f>SUM(E30:E36)</f>
        <v>86154642</v>
      </c>
    </row>
    <row r="30" spans="1:5" s="51" customFormat="1" ht="12" customHeight="1">
      <c r="A30" s="196" t="s">
        <v>179</v>
      </c>
      <c r="B30" s="179" t="s">
        <v>489</v>
      </c>
      <c r="C30" s="168"/>
      <c r="D30" s="168"/>
      <c r="E30" s="168"/>
    </row>
    <row r="31" spans="1:5" s="51" customFormat="1" ht="12" customHeight="1">
      <c r="A31" s="197" t="s">
        <v>180</v>
      </c>
      <c r="B31" s="180" t="s">
        <v>490</v>
      </c>
      <c r="C31" s="167"/>
      <c r="D31" s="167"/>
      <c r="E31" s="103"/>
    </row>
    <row r="32" spans="1:5" s="51" customFormat="1" ht="12" customHeight="1">
      <c r="A32" s="197" t="s">
        <v>181</v>
      </c>
      <c r="B32" s="180" t="s">
        <v>491</v>
      </c>
      <c r="C32" s="167">
        <v>57390000</v>
      </c>
      <c r="D32" s="167">
        <v>56940000</v>
      </c>
      <c r="E32" s="103">
        <v>77222335</v>
      </c>
    </row>
    <row r="33" spans="1:5" s="51" customFormat="1" ht="12" customHeight="1">
      <c r="A33" s="197" t="s">
        <v>182</v>
      </c>
      <c r="B33" s="180" t="s">
        <v>492</v>
      </c>
      <c r="C33" s="167"/>
      <c r="D33" s="167"/>
      <c r="E33" s="103"/>
    </row>
    <row r="34" spans="1:5" s="51" customFormat="1" ht="12" customHeight="1">
      <c r="A34" s="197" t="s">
        <v>493</v>
      </c>
      <c r="B34" s="180" t="s">
        <v>183</v>
      </c>
      <c r="C34" s="167">
        <v>7500000</v>
      </c>
      <c r="D34" s="167">
        <v>7500000</v>
      </c>
      <c r="E34" s="103">
        <v>8042326</v>
      </c>
    </row>
    <row r="35" spans="1:5" s="51" customFormat="1" ht="12" customHeight="1">
      <c r="A35" s="197" t="s">
        <v>494</v>
      </c>
      <c r="B35" s="180" t="s">
        <v>184</v>
      </c>
      <c r="C35" s="167">
        <v>800000</v>
      </c>
      <c r="D35" s="167"/>
      <c r="E35" s="103"/>
    </row>
    <row r="36" spans="1:5" s="51" customFormat="1" ht="12" customHeight="1" thickBot="1">
      <c r="A36" s="198" t="s">
        <v>495</v>
      </c>
      <c r="B36" s="325" t="s">
        <v>185</v>
      </c>
      <c r="C36" s="169"/>
      <c r="D36" s="169">
        <v>800000</v>
      </c>
      <c r="E36" s="105">
        <v>889981</v>
      </c>
    </row>
    <row r="37" spans="1:5" s="51" customFormat="1" ht="12" customHeight="1" thickBot="1">
      <c r="A37" s="25" t="s">
        <v>10</v>
      </c>
      <c r="B37" s="19" t="s">
        <v>339</v>
      </c>
      <c r="C37" s="166">
        <f>SUM(C38:C48)</f>
        <v>30246705</v>
      </c>
      <c r="D37" s="249">
        <f>SUM(D38:D48)</f>
        <v>30246705</v>
      </c>
      <c r="E37" s="102">
        <f>SUM(E38:E48)</f>
        <v>31312025</v>
      </c>
    </row>
    <row r="38" spans="1:5" s="51" customFormat="1" ht="12" customHeight="1">
      <c r="A38" s="196" t="s">
        <v>57</v>
      </c>
      <c r="B38" s="179" t="s">
        <v>188</v>
      </c>
      <c r="C38" s="168"/>
      <c r="D38" s="250"/>
      <c r="E38" s="104">
        <v>152783</v>
      </c>
    </row>
    <row r="39" spans="1:5" s="51" customFormat="1" ht="12" customHeight="1">
      <c r="A39" s="197" t="s">
        <v>58</v>
      </c>
      <c r="B39" s="180" t="s">
        <v>189</v>
      </c>
      <c r="C39" s="167">
        <v>10400000</v>
      </c>
      <c r="D39" s="167">
        <v>10400000</v>
      </c>
      <c r="E39" s="103">
        <v>9980617</v>
      </c>
    </row>
    <row r="40" spans="1:5" s="51" customFormat="1" ht="12" customHeight="1">
      <c r="A40" s="197" t="s">
        <v>59</v>
      </c>
      <c r="B40" s="180" t="s">
        <v>190</v>
      </c>
      <c r="C40" s="167">
        <v>2670000</v>
      </c>
      <c r="D40" s="167">
        <v>2670000</v>
      </c>
      <c r="E40" s="103">
        <v>1289984</v>
      </c>
    </row>
    <row r="41" spans="1:5" s="51" customFormat="1" ht="12" customHeight="1">
      <c r="A41" s="197" t="s">
        <v>116</v>
      </c>
      <c r="B41" s="180" t="s">
        <v>191</v>
      </c>
      <c r="C41" s="167">
        <v>7874000</v>
      </c>
      <c r="D41" s="167">
        <v>10000000</v>
      </c>
      <c r="E41" s="103">
        <v>9411190</v>
      </c>
    </row>
    <row r="42" spans="1:5" s="51" customFormat="1" ht="12" customHeight="1">
      <c r="A42" s="197" t="s">
        <v>117</v>
      </c>
      <c r="B42" s="180" t="s">
        <v>192</v>
      </c>
      <c r="C42" s="167">
        <v>5650949</v>
      </c>
      <c r="D42" s="167">
        <v>5650949</v>
      </c>
      <c r="E42" s="103">
        <v>5367037</v>
      </c>
    </row>
    <row r="43" spans="1:5" s="51" customFormat="1" ht="12" customHeight="1">
      <c r="A43" s="197" t="s">
        <v>118</v>
      </c>
      <c r="B43" s="180" t="s">
        <v>193</v>
      </c>
      <c r="C43" s="167">
        <v>3651756</v>
      </c>
      <c r="D43" s="251">
        <v>1525756</v>
      </c>
      <c r="E43" s="103">
        <v>4783832</v>
      </c>
    </row>
    <row r="44" spans="1:5" s="51" customFormat="1" ht="12" customHeight="1">
      <c r="A44" s="197" t="s">
        <v>119</v>
      </c>
      <c r="B44" s="180" t="s">
        <v>194</v>
      </c>
      <c r="C44" s="167"/>
      <c r="D44" s="251"/>
      <c r="E44" s="103"/>
    </row>
    <row r="45" spans="1:5" s="51" customFormat="1" ht="12" customHeight="1">
      <c r="A45" s="197" t="s">
        <v>120</v>
      </c>
      <c r="B45" s="180" t="s">
        <v>496</v>
      </c>
      <c r="C45" s="167"/>
      <c r="D45" s="251"/>
      <c r="E45" s="103">
        <v>23943</v>
      </c>
    </row>
    <row r="46" spans="1:5" s="51" customFormat="1" ht="12" customHeight="1">
      <c r="A46" s="197" t="s">
        <v>186</v>
      </c>
      <c r="B46" s="180" t="s">
        <v>196</v>
      </c>
      <c r="C46" s="170"/>
      <c r="D46" s="310"/>
      <c r="E46" s="106">
        <v>2801</v>
      </c>
    </row>
    <row r="47" spans="1:5" s="51" customFormat="1" ht="12" customHeight="1">
      <c r="A47" s="198" t="s">
        <v>187</v>
      </c>
      <c r="B47" s="181" t="s">
        <v>341</v>
      </c>
      <c r="C47" s="171"/>
      <c r="D47" s="311"/>
      <c r="E47" s="107"/>
    </row>
    <row r="48" spans="1:5" s="51" customFormat="1" ht="12" customHeight="1" thickBot="1">
      <c r="A48" s="198" t="s">
        <v>340</v>
      </c>
      <c r="B48" s="181" t="s">
        <v>197</v>
      </c>
      <c r="C48" s="171"/>
      <c r="D48" s="311"/>
      <c r="E48" s="107">
        <v>299838</v>
      </c>
    </row>
    <row r="49" spans="1:5" s="51" customFormat="1" ht="12" customHeight="1" thickBot="1">
      <c r="A49" s="25" t="s">
        <v>11</v>
      </c>
      <c r="B49" s="19" t="s">
        <v>198</v>
      </c>
      <c r="C49" s="166">
        <f>SUM(C50:C54)</f>
        <v>3000000</v>
      </c>
      <c r="D49" s="249">
        <f>SUM(D50:D54)</f>
        <v>37400000</v>
      </c>
      <c r="E49" s="102">
        <f>SUM(E50:E54)</f>
        <v>39429800</v>
      </c>
    </row>
    <row r="50" spans="1:5" s="51" customFormat="1" ht="12" customHeight="1">
      <c r="A50" s="196" t="s">
        <v>60</v>
      </c>
      <c r="B50" s="179" t="s">
        <v>202</v>
      </c>
      <c r="C50" s="219"/>
      <c r="D50" s="312"/>
      <c r="E50" s="108"/>
    </row>
    <row r="51" spans="1:5" s="51" customFormat="1" ht="12" customHeight="1">
      <c r="A51" s="197" t="s">
        <v>61</v>
      </c>
      <c r="B51" s="180" t="s">
        <v>203</v>
      </c>
      <c r="C51" s="170">
        <v>3000000</v>
      </c>
      <c r="D51" s="310">
        <v>37400000</v>
      </c>
      <c r="E51" s="106">
        <v>39429800</v>
      </c>
    </row>
    <row r="52" spans="1:5" s="51" customFormat="1" ht="12" customHeight="1">
      <c r="A52" s="197" t="s">
        <v>199</v>
      </c>
      <c r="B52" s="180" t="s">
        <v>204</v>
      </c>
      <c r="C52" s="170"/>
      <c r="D52" s="310"/>
      <c r="E52" s="106"/>
    </row>
    <row r="53" spans="1:5" s="51" customFormat="1" ht="12" customHeight="1">
      <c r="A53" s="197" t="s">
        <v>200</v>
      </c>
      <c r="B53" s="180" t="s">
        <v>205</v>
      </c>
      <c r="C53" s="170"/>
      <c r="D53" s="310"/>
      <c r="E53" s="106"/>
    </row>
    <row r="54" spans="1:5" s="51" customFormat="1" ht="12" customHeight="1" thickBot="1">
      <c r="A54" s="198" t="s">
        <v>201</v>
      </c>
      <c r="B54" s="181" t="s">
        <v>206</v>
      </c>
      <c r="C54" s="171"/>
      <c r="D54" s="311"/>
      <c r="E54" s="107"/>
    </row>
    <row r="55" spans="1:5" s="51" customFormat="1" ht="12" customHeight="1" thickBot="1">
      <c r="A55" s="25" t="s">
        <v>121</v>
      </c>
      <c r="B55" s="19" t="s">
        <v>207</v>
      </c>
      <c r="C55" s="166">
        <f>SUM(C56:C58)</f>
        <v>0</v>
      </c>
      <c r="D55" s="249">
        <f>SUM(D56:D58)</f>
        <v>0</v>
      </c>
      <c r="E55" s="102">
        <f>SUM(E56:E58)</f>
        <v>0</v>
      </c>
    </row>
    <row r="56" spans="1:5" s="51" customFormat="1" ht="12" customHeight="1">
      <c r="A56" s="196" t="s">
        <v>62</v>
      </c>
      <c r="B56" s="179" t="s">
        <v>208</v>
      </c>
      <c r="C56" s="168"/>
      <c r="D56" s="250"/>
      <c r="E56" s="104"/>
    </row>
    <row r="57" spans="1:5" s="51" customFormat="1" ht="12" customHeight="1">
      <c r="A57" s="197" t="s">
        <v>63</v>
      </c>
      <c r="B57" s="180" t="s">
        <v>333</v>
      </c>
      <c r="C57" s="167"/>
      <c r="D57" s="251"/>
      <c r="E57" s="103"/>
    </row>
    <row r="58" spans="1:5" s="51" customFormat="1" ht="12" customHeight="1">
      <c r="A58" s="197" t="s">
        <v>211</v>
      </c>
      <c r="B58" s="180" t="s">
        <v>209</v>
      </c>
      <c r="C58" s="167"/>
      <c r="D58" s="251"/>
      <c r="E58" s="103"/>
    </row>
    <row r="59" spans="1:5" s="51" customFormat="1" ht="12" customHeight="1" thickBot="1">
      <c r="A59" s="198" t="s">
        <v>212</v>
      </c>
      <c r="B59" s="181" t="s">
        <v>210</v>
      </c>
      <c r="C59" s="169"/>
      <c r="D59" s="252"/>
      <c r="E59" s="105"/>
    </row>
    <row r="60" spans="1:5" s="51" customFormat="1" ht="12" customHeight="1" thickBot="1">
      <c r="A60" s="25" t="s">
        <v>13</v>
      </c>
      <c r="B60" s="109" t="s">
        <v>213</v>
      </c>
      <c r="C60" s="166">
        <f>SUM(C61:C63)</f>
        <v>0</v>
      </c>
      <c r="D60" s="249">
        <f>SUM(D61:D63)</f>
        <v>0</v>
      </c>
      <c r="E60" s="102">
        <f>SUM(E61:E63)</f>
        <v>0</v>
      </c>
    </row>
    <row r="61" spans="1:5" s="51" customFormat="1" ht="12" customHeight="1">
      <c r="A61" s="196" t="s">
        <v>122</v>
      </c>
      <c r="B61" s="179" t="s">
        <v>215</v>
      </c>
      <c r="C61" s="170"/>
      <c r="D61" s="310"/>
      <c r="E61" s="106"/>
    </row>
    <row r="62" spans="1:5" s="51" customFormat="1" ht="12" customHeight="1">
      <c r="A62" s="197" t="s">
        <v>123</v>
      </c>
      <c r="B62" s="180" t="s">
        <v>334</v>
      </c>
      <c r="C62" s="170"/>
      <c r="D62" s="310"/>
      <c r="E62" s="106"/>
    </row>
    <row r="63" spans="1:5" s="51" customFormat="1" ht="12" customHeight="1">
      <c r="A63" s="197" t="s">
        <v>146</v>
      </c>
      <c r="B63" s="180" t="s">
        <v>216</v>
      </c>
      <c r="C63" s="170"/>
      <c r="D63" s="310"/>
      <c r="E63" s="106"/>
    </row>
    <row r="64" spans="1:5" s="51" customFormat="1" ht="12" customHeight="1" thickBot="1">
      <c r="A64" s="198" t="s">
        <v>214</v>
      </c>
      <c r="B64" s="181" t="s">
        <v>217</v>
      </c>
      <c r="C64" s="170"/>
      <c r="D64" s="310"/>
      <c r="E64" s="106"/>
    </row>
    <row r="65" spans="1:5" s="51" customFormat="1" ht="12" customHeight="1" thickBot="1">
      <c r="A65" s="25" t="s">
        <v>14</v>
      </c>
      <c r="B65" s="19" t="s">
        <v>218</v>
      </c>
      <c r="C65" s="172">
        <f>+C8+C15+C22+C29+C37+C49+C55+C60</f>
        <v>371580293</v>
      </c>
      <c r="D65" s="253">
        <f>+D8+D15+D22+D29+D37+D49+D55+D60</f>
        <v>581119943</v>
      </c>
      <c r="E65" s="208">
        <f>+E8+E15+E22+E29+E37+E49+E55+E60</f>
        <v>691300566</v>
      </c>
    </row>
    <row r="66" spans="1:5" s="51" customFormat="1" ht="12" customHeight="1" thickBot="1">
      <c r="A66" s="199" t="s">
        <v>303</v>
      </c>
      <c r="B66" s="109" t="s">
        <v>220</v>
      </c>
      <c r="C66" s="166">
        <f>SUM(C67:C69)</f>
        <v>0</v>
      </c>
      <c r="D66" s="249">
        <f>SUM(D67:D69)</f>
        <v>50000000</v>
      </c>
      <c r="E66" s="102">
        <f>SUM(E67:E69)</f>
        <v>37577030</v>
      </c>
    </row>
    <row r="67" spans="1:5" s="51" customFormat="1" ht="12" customHeight="1">
      <c r="A67" s="196" t="s">
        <v>248</v>
      </c>
      <c r="B67" s="179" t="s">
        <v>221</v>
      </c>
      <c r="C67" s="170"/>
      <c r="D67" s="310"/>
      <c r="E67" s="106"/>
    </row>
    <row r="68" spans="1:5" s="51" customFormat="1" ht="12" customHeight="1">
      <c r="A68" s="197" t="s">
        <v>257</v>
      </c>
      <c r="B68" s="180" t="s">
        <v>222</v>
      </c>
      <c r="C68" s="170"/>
      <c r="D68" s="310">
        <v>50000000</v>
      </c>
      <c r="E68" s="106">
        <v>37577030</v>
      </c>
    </row>
    <row r="69" spans="1:5" s="51" customFormat="1" ht="12" customHeight="1" thickBot="1">
      <c r="A69" s="206" t="s">
        <v>258</v>
      </c>
      <c r="B69" s="380" t="s">
        <v>223</v>
      </c>
      <c r="C69" s="381"/>
      <c r="D69" s="313"/>
      <c r="E69" s="382"/>
    </row>
    <row r="70" spans="1:5" s="51" customFormat="1" ht="12" customHeight="1" thickBot="1">
      <c r="A70" s="199" t="s">
        <v>224</v>
      </c>
      <c r="B70" s="109" t="s">
        <v>225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1" customFormat="1" ht="12" customHeight="1">
      <c r="A71" s="196" t="s">
        <v>100</v>
      </c>
      <c r="B71" s="363" t="s">
        <v>226</v>
      </c>
      <c r="C71" s="170"/>
      <c r="D71" s="170"/>
      <c r="E71" s="106"/>
    </row>
    <row r="72" spans="1:5" s="51" customFormat="1" ht="12" customHeight="1">
      <c r="A72" s="197" t="s">
        <v>101</v>
      </c>
      <c r="B72" s="363" t="s">
        <v>503</v>
      </c>
      <c r="C72" s="170"/>
      <c r="D72" s="170"/>
      <c r="E72" s="106"/>
    </row>
    <row r="73" spans="1:5" s="51" customFormat="1" ht="12" customHeight="1">
      <c r="A73" s="197" t="s">
        <v>249</v>
      </c>
      <c r="B73" s="363" t="s">
        <v>227</v>
      </c>
      <c r="C73" s="170"/>
      <c r="D73" s="170"/>
      <c r="E73" s="106"/>
    </row>
    <row r="74" spans="1:5" s="51" customFormat="1" ht="12" customHeight="1" thickBot="1">
      <c r="A74" s="198" t="s">
        <v>250</v>
      </c>
      <c r="B74" s="364" t="s">
        <v>504</v>
      </c>
      <c r="C74" s="170"/>
      <c r="D74" s="170"/>
      <c r="E74" s="106"/>
    </row>
    <row r="75" spans="1:5" s="51" customFormat="1" ht="12" customHeight="1" thickBot="1">
      <c r="A75" s="199" t="s">
        <v>228</v>
      </c>
      <c r="B75" s="109" t="s">
        <v>229</v>
      </c>
      <c r="C75" s="166">
        <f>SUM(C76:C77)</f>
        <v>992078683</v>
      </c>
      <c r="D75" s="166">
        <f>SUM(D76:D77)</f>
        <v>1002621426</v>
      </c>
      <c r="E75" s="102">
        <f>SUM(E76:E77)</f>
        <v>1002621426</v>
      </c>
    </row>
    <row r="76" spans="1:5" s="51" customFormat="1" ht="12" customHeight="1">
      <c r="A76" s="196" t="s">
        <v>251</v>
      </c>
      <c r="B76" s="179" t="s">
        <v>230</v>
      </c>
      <c r="C76" s="170">
        <v>992078683</v>
      </c>
      <c r="D76" s="170">
        <v>1002621426</v>
      </c>
      <c r="E76" s="170">
        <v>1002621426</v>
      </c>
    </row>
    <row r="77" spans="1:5" s="51" customFormat="1" ht="12" customHeight="1" thickBot="1">
      <c r="A77" s="198" t="s">
        <v>252</v>
      </c>
      <c r="B77" s="181" t="s">
        <v>231</v>
      </c>
      <c r="C77" s="170"/>
      <c r="D77" s="170"/>
      <c r="E77" s="106"/>
    </row>
    <row r="78" spans="1:5" s="50" customFormat="1" ht="12" customHeight="1" thickBot="1">
      <c r="A78" s="199" t="s">
        <v>232</v>
      </c>
      <c r="B78" s="109" t="s">
        <v>233</v>
      </c>
      <c r="C78" s="166">
        <f>SUM(C79:C81)</f>
        <v>0</v>
      </c>
      <c r="D78" s="166">
        <f>SUM(D79:D81)</f>
        <v>0</v>
      </c>
      <c r="E78" s="102">
        <f>SUM(E79:E81)</f>
        <v>8583031</v>
      </c>
    </row>
    <row r="79" spans="1:5" s="51" customFormat="1" ht="12" customHeight="1">
      <c r="A79" s="196" t="s">
        <v>253</v>
      </c>
      <c r="B79" s="179" t="s">
        <v>234</v>
      </c>
      <c r="C79" s="170"/>
      <c r="D79" s="170"/>
      <c r="E79" s="106">
        <v>8583031</v>
      </c>
    </row>
    <row r="80" spans="1:5" s="51" customFormat="1" ht="12" customHeight="1">
      <c r="A80" s="197" t="s">
        <v>254</v>
      </c>
      <c r="B80" s="180" t="s">
        <v>235</v>
      </c>
      <c r="C80" s="170"/>
      <c r="D80" s="170"/>
      <c r="E80" s="106"/>
    </row>
    <row r="81" spans="1:5" s="51" customFormat="1" ht="12" customHeight="1" thickBot="1">
      <c r="A81" s="198" t="s">
        <v>255</v>
      </c>
      <c r="B81" s="181" t="s">
        <v>505</v>
      </c>
      <c r="C81" s="170"/>
      <c r="D81" s="170"/>
      <c r="E81" s="106"/>
    </row>
    <row r="82" spans="1:5" s="51" customFormat="1" ht="12" customHeight="1" thickBot="1">
      <c r="A82" s="199" t="s">
        <v>236</v>
      </c>
      <c r="B82" s="109" t="s">
        <v>256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1" customFormat="1" ht="12" customHeight="1">
      <c r="A83" s="200" t="s">
        <v>237</v>
      </c>
      <c r="B83" s="179" t="s">
        <v>238</v>
      </c>
      <c r="C83" s="170"/>
      <c r="D83" s="170"/>
      <c r="E83" s="106"/>
    </row>
    <row r="84" spans="1:5" s="51" customFormat="1" ht="12" customHeight="1">
      <c r="A84" s="201" t="s">
        <v>239</v>
      </c>
      <c r="B84" s="180" t="s">
        <v>240</v>
      </c>
      <c r="C84" s="170"/>
      <c r="D84" s="170"/>
      <c r="E84" s="106"/>
    </row>
    <row r="85" spans="1:5" s="51" customFormat="1" ht="12" customHeight="1">
      <c r="A85" s="201" t="s">
        <v>241</v>
      </c>
      <c r="B85" s="180" t="s">
        <v>242</v>
      </c>
      <c r="C85" s="170"/>
      <c r="D85" s="170"/>
      <c r="E85" s="106"/>
    </row>
    <row r="86" spans="1:5" s="50" customFormat="1" ht="12" customHeight="1" thickBot="1">
      <c r="A86" s="202" t="s">
        <v>243</v>
      </c>
      <c r="B86" s="181" t="s">
        <v>244</v>
      </c>
      <c r="C86" s="170"/>
      <c r="D86" s="170"/>
      <c r="E86" s="106"/>
    </row>
    <row r="87" spans="1:5" s="50" customFormat="1" ht="12" customHeight="1" thickBot="1">
      <c r="A87" s="199" t="s">
        <v>245</v>
      </c>
      <c r="B87" s="109" t="s">
        <v>380</v>
      </c>
      <c r="C87" s="222"/>
      <c r="D87" s="222"/>
      <c r="E87" s="223"/>
    </row>
    <row r="88" spans="1:5" s="50" customFormat="1" ht="12" customHeight="1" thickBot="1">
      <c r="A88" s="199" t="s">
        <v>398</v>
      </c>
      <c r="B88" s="109" t="s">
        <v>246</v>
      </c>
      <c r="C88" s="222"/>
      <c r="D88" s="222"/>
      <c r="E88" s="223"/>
    </row>
    <row r="89" spans="1:5" s="50" customFormat="1" ht="12" customHeight="1" thickBot="1">
      <c r="A89" s="199" t="s">
        <v>399</v>
      </c>
      <c r="B89" s="186" t="s">
        <v>383</v>
      </c>
      <c r="C89" s="172">
        <f>+C66+C70+C75+C78+C82+C88+C87</f>
        <v>992078683</v>
      </c>
      <c r="D89" s="172">
        <f>+D66+D70+D75+D78+D82+D88+D87</f>
        <v>1052621426</v>
      </c>
      <c r="E89" s="208">
        <f>+E66+E70+E75+E78+E82+E88+E87</f>
        <v>1048781487</v>
      </c>
    </row>
    <row r="90" spans="1:5" s="50" customFormat="1" ht="12" customHeight="1" thickBot="1">
      <c r="A90" s="203" t="s">
        <v>400</v>
      </c>
      <c r="B90" s="187" t="s">
        <v>401</v>
      </c>
      <c r="C90" s="172">
        <f>+C65+C89</f>
        <v>1363658976</v>
      </c>
      <c r="D90" s="172">
        <f>+D65+D89</f>
        <v>1633741369</v>
      </c>
      <c r="E90" s="208">
        <f>+E65+E89</f>
        <v>1740082053</v>
      </c>
    </row>
    <row r="91" spans="1:3" s="51" customFormat="1" ht="15" customHeight="1" thickBot="1">
      <c r="A91" s="86"/>
      <c r="B91" s="87"/>
      <c r="C91" s="148"/>
    </row>
    <row r="92" spans="1:5" s="44" customFormat="1" ht="16.5" customHeight="1" thickBot="1">
      <c r="A92" s="810" t="s">
        <v>41</v>
      </c>
      <c r="B92" s="811"/>
      <c r="C92" s="811"/>
      <c r="D92" s="811"/>
      <c r="E92" s="812"/>
    </row>
    <row r="93" spans="1:5" s="52" customFormat="1" ht="12" customHeight="1" thickBot="1">
      <c r="A93" s="173" t="s">
        <v>6</v>
      </c>
      <c r="B93" s="24" t="s">
        <v>405</v>
      </c>
      <c r="C93" s="165">
        <f>+C94+C95+C96+C97+C98+C111</f>
        <v>374779273</v>
      </c>
      <c r="D93" s="165">
        <f>+D94+D95+D96+D97+D98+D111</f>
        <v>443057403</v>
      </c>
      <c r="E93" s="232">
        <f>+E94+E95+E96+E97+E98+E111</f>
        <v>359093238</v>
      </c>
    </row>
    <row r="94" spans="1:5" ht="12" customHeight="1">
      <c r="A94" s="204" t="s">
        <v>64</v>
      </c>
      <c r="B94" s="8" t="s">
        <v>35</v>
      </c>
      <c r="C94" s="239">
        <v>103301000</v>
      </c>
      <c r="D94" s="239">
        <v>120306882</v>
      </c>
      <c r="E94" s="233">
        <v>104667797</v>
      </c>
    </row>
    <row r="95" spans="1:5" ht="12" customHeight="1">
      <c r="A95" s="197" t="s">
        <v>65</v>
      </c>
      <c r="B95" s="6" t="s">
        <v>124</v>
      </c>
      <c r="C95" s="167">
        <v>16163000</v>
      </c>
      <c r="D95" s="167">
        <v>19292350</v>
      </c>
      <c r="E95" s="103">
        <v>17012759</v>
      </c>
    </row>
    <row r="96" spans="1:5" ht="12" customHeight="1">
      <c r="A96" s="197" t="s">
        <v>66</v>
      </c>
      <c r="B96" s="6" t="s">
        <v>92</v>
      </c>
      <c r="C96" s="169">
        <v>149950934</v>
      </c>
      <c r="D96" s="167">
        <v>176569016</v>
      </c>
      <c r="E96" s="105">
        <v>125897536</v>
      </c>
    </row>
    <row r="97" spans="1:5" ht="12" customHeight="1">
      <c r="A97" s="197" t="s">
        <v>67</v>
      </c>
      <c r="B97" s="9" t="s">
        <v>125</v>
      </c>
      <c r="C97" s="169">
        <v>12068319</v>
      </c>
      <c r="D97" s="252">
        <v>12424000</v>
      </c>
      <c r="E97" s="105">
        <v>12300732</v>
      </c>
    </row>
    <row r="98" spans="1:5" ht="12" customHeight="1">
      <c r="A98" s="197" t="s">
        <v>76</v>
      </c>
      <c r="B98" s="17" t="s">
        <v>126</v>
      </c>
      <c r="C98" s="169">
        <v>93296020</v>
      </c>
      <c r="D98" s="252">
        <v>99354414</v>
      </c>
      <c r="E98" s="105">
        <v>99214414</v>
      </c>
    </row>
    <row r="99" spans="1:5" ht="12" customHeight="1">
      <c r="A99" s="197" t="s">
        <v>68</v>
      </c>
      <c r="B99" s="6" t="s">
        <v>402</v>
      </c>
      <c r="C99" s="169"/>
      <c r="D99" s="252"/>
      <c r="E99" s="105"/>
    </row>
    <row r="100" spans="1:5" ht="12" customHeight="1">
      <c r="A100" s="197" t="s">
        <v>69</v>
      </c>
      <c r="B100" s="62" t="s">
        <v>346</v>
      </c>
      <c r="C100" s="169"/>
      <c r="D100" s="252"/>
      <c r="E100" s="105"/>
    </row>
    <row r="101" spans="1:5" ht="12" customHeight="1">
      <c r="A101" s="197" t="s">
        <v>77</v>
      </c>
      <c r="B101" s="62" t="s">
        <v>345</v>
      </c>
      <c r="C101" s="169"/>
      <c r="D101" s="252">
        <v>27233</v>
      </c>
      <c r="E101" s="252">
        <v>27233</v>
      </c>
    </row>
    <row r="102" spans="1:5" ht="12" customHeight="1">
      <c r="A102" s="197" t="s">
        <v>78</v>
      </c>
      <c r="B102" s="62" t="s">
        <v>262</v>
      </c>
      <c r="C102" s="169"/>
      <c r="D102" s="252"/>
      <c r="E102" s="105"/>
    </row>
    <row r="103" spans="1:5" ht="12" customHeight="1">
      <c r="A103" s="197" t="s">
        <v>79</v>
      </c>
      <c r="B103" s="63" t="s">
        <v>263</v>
      </c>
      <c r="C103" s="169"/>
      <c r="D103" s="252"/>
      <c r="E103" s="105"/>
    </row>
    <row r="104" spans="1:5" ht="12" customHeight="1">
      <c r="A104" s="197" t="s">
        <v>80</v>
      </c>
      <c r="B104" s="63" t="s">
        <v>264</v>
      </c>
      <c r="C104" s="169"/>
      <c r="D104" s="252"/>
      <c r="E104" s="105"/>
    </row>
    <row r="105" spans="1:5" ht="12" customHeight="1">
      <c r="A105" s="197" t="s">
        <v>82</v>
      </c>
      <c r="B105" s="62" t="s">
        <v>265</v>
      </c>
      <c r="C105" s="169">
        <v>93296020</v>
      </c>
      <c r="D105" s="252">
        <v>99327181</v>
      </c>
      <c r="E105" s="105">
        <v>99187181</v>
      </c>
    </row>
    <row r="106" spans="1:5" ht="12" customHeight="1">
      <c r="A106" s="197" t="s">
        <v>127</v>
      </c>
      <c r="B106" s="62" t="s">
        <v>266</v>
      </c>
      <c r="C106" s="169"/>
      <c r="D106" s="252"/>
      <c r="E106" s="105"/>
    </row>
    <row r="107" spans="1:5" ht="12" customHeight="1">
      <c r="A107" s="197" t="s">
        <v>260</v>
      </c>
      <c r="B107" s="63" t="s">
        <v>267</v>
      </c>
      <c r="C107" s="167"/>
      <c r="D107" s="252"/>
      <c r="E107" s="105"/>
    </row>
    <row r="108" spans="1:5" ht="12" customHeight="1">
      <c r="A108" s="205" t="s">
        <v>261</v>
      </c>
      <c r="B108" s="64" t="s">
        <v>268</v>
      </c>
      <c r="C108" s="169"/>
      <c r="D108" s="252"/>
      <c r="E108" s="105"/>
    </row>
    <row r="109" spans="1:5" ht="12" customHeight="1">
      <c r="A109" s="197" t="s">
        <v>343</v>
      </c>
      <c r="B109" s="64" t="s">
        <v>269</v>
      </c>
      <c r="C109" s="169"/>
      <c r="D109" s="252"/>
      <c r="E109" s="105"/>
    </row>
    <row r="110" spans="1:5" ht="12" customHeight="1">
      <c r="A110" s="197" t="s">
        <v>344</v>
      </c>
      <c r="B110" s="63" t="s">
        <v>270</v>
      </c>
      <c r="C110" s="167"/>
      <c r="D110" s="251"/>
      <c r="E110" s="103"/>
    </row>
    <row r="111" spans="1:5" ht="12" customHeight="1">
      <c r="A111" s="197" t="s">
        <v>348</v>
      </c>
      <c r="B111" s="9" t="s">
        <v>36</v>
      </c>
      <c r="C111" s="167"/>
      <c r="D111" s="251">
        <v>15110741</v>
      </c>
      <c r="E111" s="103"/>
    </row>
    <row r="112" spans="1:5" ht="12" customHeight="1">
      <c r="A112" s="198" t="s">
        <v>349</v>
      </c>
      <c r="B112" s="6" t="s">
        <v>403</v>
      </c>
      <c r="C112" s="169"/>
      <c r="D112" s="252">
        <v>15110741</v>
      </c>
      <c r="E112" s="105"/>
    </row>
    <row r="113" spans="1:5" ht="12" customHeight="1" thickBot="1">
      <c r="A113" s="206" t="s">
        <v>350</v>
      </c>
      <c r="B113" s="65" t="s">
        <v>404</v>
      </c>
      <c r="C113" s="240"/>
      <c r="D113" s="316"/>
      <c r="E113" s="234"/>
    </row>
    <row r="114" spans="1:5" ht="12" customHeight="1" thickBot="1">
      <c r="A114" s="25" t="s">
        <v>7</v>
      </c>
      <c r="B114" s="23" t="s">
        <v>271</v>
      </c>
      <c r="C114" s="166">
        <f>+C115+C117+C119</f>
        <v>919133972</v>
      </c>
      <c r="D114" s="249">
        <f>+D115+D117+D119</f>
        <v>1069322354</v>
      </c>
      <c r="E114" s="102">
        <f>+E115+E117+E119</f>
        <v>140763701</v>
      </c>
    </row>
    <row r="115" spans="1:5" ht="12" customHeight="1">
      <c r="A115" s="196" t="s">
        <v>70</v>
      </c>
      <c r="B115" s="6" t="s">
        <v>145</v>
      </c>
      <c r="C115" s="168">
        <v>778894032</v>
      </c>
      <c r="D115" s="250">
        <v>916469963</v>
      </c>
      <c r="E115" s="104">
        <v>131881215</v>
      </c>
    </row>
    <row r="116" spans="1:5" ht="12" customHeight="1">
      <c r="A116" s="196" t="s">
        <v>71</v>
      </c>
      <c r="B116" s="10" t="s">
        <v>275</v>
      </c>
      <c r="C116" s="168">
        <v>752156457</v>
      </c>
      <c r="D116" s="250">
        <v>841061550</v>
      </c>
      <c r="E116" s="104">
        <v>64530983</v>
      </c>
    </row>
    <row r="117" spans="1:5" ht="12" customHeight="1">
      <c r="A117" s="196" t="s">
        <v>72</v>
      </c>
      <c r="B117" s="10" t="s">
        <v>128</v>
      </c>
      <c r="C117" s="167">
        <v>140239940</v>
      </c>
      <c r="D117" s="251">
        <v>152852391</v>
      </c>
      <c r="E117" s="103">
        <v>8882486</v>
      </c>
    </row>
    <row r="118" spans="1:5" ht="12" customHeight="1">
      <c r="A118" s="196" t="s">
        <v>73</v>
      </c>
      <c r="B118" s="10" t="s">
        <v>276</v>
      </c>
      <c r="C118" s="167">
        <v>133686998</v>
      </c>
      <c r="D118" s="251">
        <v>145169449</v>
      </c>
      <c r="E118" s="103">
        <v>6921500</v>
      </c>
    </row>
    <row r="119" spans="1:5" ht="12" customHeight="1">
      <c r="A119" s="196" t="s">
        <v>74</v>
      </c>
      <c r="B119" s="111" t="s">
        <v>147</v>
      </c>
      <c r="C119" s="167"/>
      <c r="D119" s="251"/>
      <c r="E119" s="103"/>
    </row>
    <row r="120" spans="1:5" ht="12" customHeight="1">
      <c r="A120" s="196" t="s">
        <v>81</v>
      </c>
      <c r="B120" s="110" t="s">
        <v>335</v>
      </c>
      <c r="C120" s="167"/>
      <c r="D120" s="251"/>
      <c r="E120" s="103"/>
    </row>
    <row r="121" spans="1:5" ht="12" customHeight="1">
      <c r="A121" s="196" t="s">
        <v>83</v>
      </c>
      <c r="B121" s="175" t="s">
        <v>281</v>
      </c>
      <c r="C121" s="167"/>
      <c r="D121" s="251"/>
      <c r="E121" s="103"/>
    </row>
    <row r="122" spans="1:5" ht="12" customHeight="1">
      <c r="A122" s="196" t="s">
        <v>129</v>
      </c>
      <c r="B122" s="63" t="s">
        <v>264</v>
      </c>
      <c r="C122" s="167"/>
      <c r="D122" s="251"/>
      <c r="E122" s="103"/>
    </row>
    <row r="123" spans="1:5" ht="12" customHeight="1">
      <c r="A123" s="196" t="s">
        <v>130</v>
      </c>
      <c r="B123" s="63" t="s">
        <v>280</v>
      </c>
      <c r="C123" s="167"/>
      <c r="D123" s="251"/>
      <c r="E123" s="103"/>
    </row>
    <row r="124" spans="1:5" ht="12" customHeight="1">
      <c r="A124" s="196" t="s">
        <v>131</v>
      </c>
      <c r="B124" s="63" t="s">
        <v>279</v>
      </c>
      <c r="C124" s="167"/>
      <c r="D124" s="251"/>
      <c r="E124" s="103"/>
    </row>
    <row r="125" spans="1:5" ht="12" customHeight="1">
      <c r="A125" s="196" t="s">
        <v>272</v>
      </c>
      <c r="B125" s="63" t="s">
        <v>267</v>
      </c>
      <c r="C125" s="167"/>
      <c r="D125" s="251"/>
      <c r="E125" s="103"/>
    </row>
    <row r="126" spans="1:5" ht="12" customHeight="1">
      <c r="A126" s="196" t="s">
        <v>273</v>
      </c>
      <c r="B126" s="63" t="s">
        <v>278</v>
      </c>
      <c r="C126" s="167"/>
      <c r="D126" s="251"/>
      <c r="E126" s="103"/>
    </row>
    <row r="127" spans="1:5" ht="12" customHeight="1" thickBot="1">
      <c r="A127" s="205" t="s">
        <v>274</v>
      </c>
      <c r="B127" s="63" t="s">
        <v>277</v>
      </c>
      <c r="C127" s="169"/>
      <c r="D127" s="252"/>
      <c r="E127" s="105"/>
    </row>
    <row r="128" spans="1:5" ht="12" customHeight="1" thickBot="1">
      <c r="A128" s="25" t="s">
        <v>8</v>
      </c>
      <c r="B128" s="56" t="s">
        <v>353</v>
      </c>
      <c r="C128" s="166">
        <f>+C93+C114</f>
        <v>1293913245</v>
      </c>
      <c r="D128" s="249">
        <f>+D93+D114</f>
        <v>1512379757</v>
      </c>
      <c r="E128" s="102">
        <f>+E93+E114</f>
        <v>499856939</v>
      </c>
    </row>
    <row r="129" spans="1:5" ht="12" customHeight="1" thickBot="1">
      <c r="A129" s="25" t="s">
        <v>9</v>
      </c>
      <c r="B129" s="56" t="s">
        <v>354</v>
      </c>
      <c r="C129" s="166">
        <f>+C130+C131+C132</f>
        <v>0</v>
      </c>
      <c r="D129" s="249">
        <f>+D130+D131+D132</f>
        <v>50000000</v>
      </c>
      <c r="E129" s="102">
        <f>+E130+E131+E132</f>
        <v>37577030</v>
      </c>
    </row>
    <row r="130" spans="1:5" s="52" customFormat="1" ht="12" customHeight="1">
      <c r="A130" s="196" t="s">
        <v>179</v>
      </c>
      <c r="B130" s="7" t="s">
        <v>408</v>
      </c>
      <c r="C130" s="167"/>
      <c r="D130" s="251"/>
      <c r="E130" s="103"/>
    </row>
    <row r="131" spans="1:5" ht="12" customHeight="1">
      <c r="A131" s="196" t="s">
        <v>180</v>
      </c>
      <c r="B131" s="7" t="s">
        <v>362</v>
      </c>
      <c r="C131" s="167"/>
      <c r="D131" s="251">
        <v>50000000</v>
      </c>
      <c r="E131" s="103">
        <v>37577030</v>
      </c>
    </row>
    <row r="132" spans="1:5" ht="12" customHeight="1" thickBot="1">
      <c r="A132" s="205" t="s">
        <v>181</v>
      </c>
      <c r="B132" s="5" t="s">
        <v>407</v>
      </c>
      <c r="C132" s="167"/>
      <c r="D132" s="251"/>
      <c r="E132" s="103"/>
    </row>
    <row r="133" spans="1:5" ht="12" customHeight="1" thickBot="1">
      <c r="A133" s="25" t="s">
        <v>10</v>
      </c>
      <c r="B133" s="56" t="s">
        <v>355</v>
      </c>
      <c r="C133" s="166">
        <f>+C134+C135+C136+C137+C138+C139</f>
        <v>0</v>
      </c>
      <c r="D133" s="249">
        <f>+D134+D135+D136+D137+D138+D139</f>
        <v>0</v>
      </c>
      <c r="E133" s="102">
        <f>+E134+E135+E136+E137+E138+E139</f>
        <v>0</v>
      </c>
    </row>
    <row r="134" spans="1:5" ht="12" customHeight="1">
      <c r="A134" s="196" t="s">
        <v>57</v>
      </c>
      <c r="B134" s="7" t="s">
        <v>364</v>
      </c>
      <c r="C134" s="167"/>
      <c r="D134" s="251"/>
      <c r="E134" s="103"/>
    </row>
    <row r="135" spans="1:5" ht="12" customHeight="1">
      <c r="A135" s="196" t="s">
        <v>58</v>
      </c>
      <c r="B135" s="7" t="s">
        <v>356</v>
      </c>
      <c r="C135" s="167"/>
      <c r="D135" s="251"/>
      <c r="E135" s="103"/>
    </row>
    <row r="136" spans="1:5" ht="12" customHeight="1">
      <c r="A136" s="196" t="s">
        <v>59</v>
      </c>
      <c r="B136" s="7" t="s">
        <v>357</v>
      </c>
      <c r="C136" s="167"/>
      <c r="D136" s="251"/>
      <c r="E136" s="103"/>
    </row>
    <row r="137" spans="1:5" ht="12" customHeight="1">
      <c r="A137" s="196" t="s">
        <v>116</v>
      </c>
      <c r="B137" s="7" t="s">
        <v>406</v>
      </c>
      <c r="C137" s="167"/>
      <c r="D137" s="251"/>
      <c r="E137" s="103"/>
    </row>
    <row r="138" spans="1:5" ht="12" customHeight="1">
      <c r="A138" s="196" t="s">
        <v>117</v>
      </c>
      <c r="B138" s="7" t="s">
        <v>359</v>
      </c>
      <c r="C138" s="167"/>
      <c r="D138" s="251"/>
      <c r="E138" s="103"/>
    </row>
    <row r="139" spans="1:5" s="52" customFormat="1" ht="12" customHeight="1" thickBot="1">
      <c r="A139" s="205" t="s">
        <v>118</v>
      </c>
      <c r="B139" s="5" t="s">
        <v>360</v>
      </c>
      <c r="C139" s="167"/>
      <c r="D139" s="251"/>
      <c r="E139" s="103"/>
    </row>
    <row r="140" spans="1:11" ht="12" customHeight="1" thickBot="1">
      <c r="A140" s="25" t="s">
        <v>11</v>
      </c>
      <c r="B140" s="56" t="s">
        <v>421</v>
      </c>
      <c r="C140" s="172">
        <f>+C141+C142+C144+C145+C143</f>
        <v>69745731</v>
      </c>
      <c r="D140" s="253">
        <f>+D141+D142+D144+D145+D143</f>
        <v>71361612</v>
      </c>
      <c r="E140" s="208">
        <f>+E141+E142+E144+E145+E143</f>
        <v>69863522</v>
      </c>
      <c r="K140" s="95"/>
    </row>
    <row r="141" spans="1:5" ht="12.75">
      <c r="A141" s="196" t="s">
        <v>60</v>
      </c>
      <c r="B141" s="7" t="s">
        <v>282</v>
      </c>
      <c r="C141" s="167"/>
      <c r="D141" s="251"/>
      <c r="E141" s="103"/>
    </row>
    <row r="142" spans="1:5" ht="12" customHeight="1">
      <c r="A142" s="196" t="s">
        <v>61</v>
      </c>
      <c r="B142" s="7" t="s">
        <v>283</v>
      </c>
      <c r="C142" s="167">
        <v>8601631</v>
      </c>
      <c r="D142" s="167">
        <v>8601631</v>
      </c>
      <c r="E142" s="167">
        <v>8601631</v>
      </c>
    </row>
    <row r="143" spans="1:5" ht="12" customHeight="1">
      <c r="A143" s="196" t="s">
        <v>199</v>
      </c>
      <c r="B143" s="7" t="s">
        <v>420</v>
      </c>
      <c r="C143" s="167">
        <v>61144100</v>
      </c>
      <c r="D143" s="251">
        <v>62759981</v>
      </c>
      <c r="E143" s="103">
        <v>61261891</v>
      </c>
    </row>
    <row r="144" spans="1:5" s="52" customFormat="1" ht="12" customHeight="1">
      <c r="A144" s="196" t="s">
        <v>200</v>
      </c>
      <c r="B144" s="7" t="s">
        <v>369</v>
      </c>
      <c r="C144" s="167"/>
      <c r="D144" s="251"/>
      <c r="E144" s="103"/>
    </row>
    <row r="145" spans="1:5" s="52" customFormat="1" ht="12" customHeight="1" thickBot="1">
      <c r="A145" s="205" t="s">
        <v>201</v>
      </c>
      <c r="B145" s="5" t="s">
        <v>299</v>
      </c>
      <c r="C145" s="167"/>
      <c r="D145" s="251"/>
      <c r="E145" s="103"/>
    </row>
    <row r="146" spans="1:5" s="52" customFormat="1" ht="12" customHeight="1" thickBot="1">
      <c r="A146" s="25" t="s">
        <v>12</v>
      </c>
      <c r="B146" s="56" t="s">
        <v>370</v>
      </c>
      <c r="C146" s="242">
        <f>+C147+C148+C149+C150+C151</f>
        <v>0</v>
      </c>
      <c r="D146" s="254">
        <f>+D147+D148+D149+D150+D151</f>
        <v>0</v>
      </c>
      <c r="E146" s="236">
        <f>+E147+E148+E149+E150+E151</f>
        <v>0</v>
      </c>
    </row>
    <row r="147" spans="1:5" s="52" customFormat="1" ht="12" customHeight="1">
      <c r="A147" s="196" t="s">
        <v>62</v>
      </c>
      <c r="B147" s="7" t="s">
        <v>365</v>
      </c>
      <c r="C147" s="167"/>
      <c r="D147" s="251"/>
      <c r="E147" s="103"/>
    </row>
    <row r="148" spans="1:5" s="52" customFormat="1" ht="12" customHeight="1">
      <c r="A148" s="196" t="s">
        <v>63</v>
      </c>
      <c r="B148" s="7" t="s">
        <v>372</v>
      </c>
      <c r="C148" s="167"/>
      <c r="D148" s="251"/>
      <c r="E148" s="103"/>
    </row>
    <row r="149" spans="1:5" s="52" customFormat="1" ht="12" customHeight="1">
      <c r="A149" s="196" t="s">
        <v>211</v>
      </c>
      <c r="B149" s="7" t="s">
        <v>367</v>
      </c>
      <c r="C149" s="167"/>
      <c r="D149" s="251"/>
      <c r="E149" s="103"/>
    </row>
    <row r="150" spans="1:5" s="52" customFormat="1" ht="12" customHeight="1">
      <c r="A150" s="196" t="s">
        <v>212</v>
      </c>
      <c r="B150" s="7" t="s">
        <v>409</v>
      </c>
      <c r="C150" s="167"/>
      <c r="D150" s="251"/>
      <c r="E150" s="103"/>
    </row>
    <row r="151" spans="1:5" ht="12.75" customHeight="1" thickBot="1">
      <c r="A151" s="205" t="s">
        <v>371</v>
      </c>
      <c r="B151" s="5" t="s">
        <v>374</v>
      </c>
      <c r="C151" s="169"/>
      <c r="D151" s="252"/>
      <c r="E151" s="105"/>
    </row>
    <row r="152" spans="1:5" ht="12.75" customHeight="1" thickBot="1">
      <c r="A152" s="231" t="s">
        <v>13</v>
      </c>
      <c r="B152" s="56" t="s">
        <v>375</v>
      </c>
      <c r="C152" s="242"/>
      <c r="D152" s="254"/>
      <c r="E152" s="236"/>
    </row>
    <row r="153" spans="1:5" ht="12.75" customHeight="1" thickBot="1">
      <c r="A153" s="231" t="s">
        <v>14</v>
      </c>
      <c r="B153" s="56" t="s">
        <v>376</v>
      </c>
      <c r="C153" s="242"/>
      <c r="D153" s="254"/>
      <c r="E153" s="236"/>
    </row>
    <row r="154" spans="1:5" ht="12" customHeight="1" thickBot="1">
      <c r="A154" s="25" t="s">
        <v>15</v>
      </c>
      <c r="B154" s="56" t="s">
        <v>378</v>
      </c>
      <c r="C154" s="244">
        <f>+C129+C133+C140+C146+C152+C153</f>
        <v>69745731</v>
      </c>
      <c r="D154" s="256">
        <f>+D129+D133+D140+D146+D152+D153</f>
        <v>121361612</v>
      </c>
      <c r="E154" s="238">
        <f>+E129+E133+E140+E146+E152+E153</f>
        <v>107440552</v>
      </c>
    </row>
    <row r="155" spans="1:5" ht="15" customHeight="1" thickBot="1">
      <c r="A155" s="207" t="s">
        <v>16</v>
      </c>
      <c r="B155" s="153" t="s">
        <v>377</v>
      </c>
      <c r="C155" s="244">
        <f>+C128+C154</f>
        <v>1363658976</v>
      </c>
      <c r="D155" s="256">
        <f>+D128+D154</f>
        <v>1633741369</v>
      </c>
      <c r="E155" s="238">
        <f>+E128+E154</f>
        <v>607297491</v>
      </c>
    </row>
    <row r="156" spans="1:5" ht="13.5" thickBot="1">
      <c r="A156" s="156"/>
      <c r="B156" s="157"/>
      <c r="C156" s="656">
        <f>C90-C155</f>
        <v>0</v>
      </c>
      <c r="D156" s="656">
        <f>D90-D155</f>
        <v>0</v>
      </c>
      <c r="E156" s="158"/>
    </row>
    <row r="157" spans="1:5" ht="15" customHeight="1" thickBot="1">
      <c r="A157" s="326" t="s">
        <v>498</v>
      </c>
      <c r="B157" s="327"/>
      <c r="C157" s="315">
        <v>64</v>
      </c>
      <c r="D157" s="315">
        <v>64</v>
      </c>
      <c r="E157" s="314">
        <v>51</v>
      </c>
    </row>
    <row r="158" spans="1:5" ht="14.25" customHeight="1" thickBot="1">
      <c r="A158" s="328" t="s">
        <v>499</v>
      </c>
      <c r="B158" s="329"/>
      <c r="C158" s="315">
        <v>50</v>
      </c>
      <c r="D158" s="315">
        <v>50</v>
      </c>
      <c r="E158" s="314">
        <v>37</v>
      </c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31">
      <selection activeCell="G35" sqref="G35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83"/>
      <c r="B1" s="395"/>
      <c r="C1" s="396"/>
      <c r="D1" s="396"/>
      <c r="E1" s="659" t="str">
        <f>CONCATENATE("6.1.2. melléklet ",Z_ALAPADATOK!A7," ",Z_ALAPADATOK!B7," ",Z_ALAPADATOK!C7," ",Z_ALAPADATOK!D7," ",Z_ALAPADATOK!E7," ",Z_ALAPADATOK!F7," ",Z_ALAPADATOK!G7," ",Z_ALAPADATOK!H7)</f>
        <v>6.1.2. melléklet a … / 2019. ( … ) önkormányzati rendelethez</v>
      </c>
    </row>
    <row r="2" spans="1:5" s="48" customFormat="1" ht="21" customHeight="1" thickBot="1">
      <c r="A2" s="392" t="s">
        <v>45</v>
      </c>
      <c r="B2" s="813" t="str">
        <f>CONCATENATE(Z_ALAPADATOK!A3)</f>
        <v>Besenyszög Város Önkormányzata</v>
      </c>
      <c r="C2" s="813"/>
      <c r="D2" s="813"/>
      <c r="E2" s="393" t="s">
        <v>39</v>
      </c>
    </row>
    <row r="3" spans="1:5" s="48" customFormat="1" ht="24.75" thickBot="1">
      <c r="A3" s="392" t="s">
        <v>137</v>
      </c>
      <c r="B3" s="813" t="s">
        <v>327</v>
      </c>
      <c r="C3" s="813"/>
      <c r="D3" s="813"/>
      <c r="E3" s="394" t="s">
        <v>43</v>
      </c>
    </row>
    <row r="4" spans="1:5" s="49" customFormat="1" ht="15.75" customHeight="1" thickBot="1">
      <c r="A4" s="386"/>
      <c r="B4" s="386"/>
      <c r="C4" s="387"/>
      <c r="D4" s="388"/>
      <c r="E4" s="387" t="str">
        <f>'Z_6.1.1.sz.mell'!E4</f>
        <v> Forintban!</v>
      </c>
    </row>
    <row r="5" spans="1:5" ht="24.75" thickBot="1">
      <c r="A5" s="389" t="s">
        <v>138</v>
      </c>
      <c r="B5" s="390" t="s">
        <v>497</v>
      </c>
      <c r="C5" s="390" t="s">
        <v>461</v>
      </c>
      <c r="D5" s="391" t="s">
        <v>462</v>
      </c>
      <c r="E5" s="372" t="str">
        <f>CONCATENATE('Z_6.1.1.sz.mell'!E5)</f>
        <v>Teljesítés
2018. XII. 31.</v>
      </c>
    </row>
    <row r="6" spans="1:5" s="44" customFormat="1" ht="12.75" customHeight="1" thickBot="1">
      <c r="A6" s="74" t="s">
        <v>389</v>
      </c>
      <c r="B6" s="75" t="s">
        <v>390</v>
      </c>
      <c r="C6" s="75" t="s">
        <v>391</v>
      </c>
      <c r="D6" s="309" t="s">
        <v>393</v>
      </c>
      <c r="E6" s="76" t="s">
        <v>392</v>
      </c>
    </row>
    <row r="7" spans="1:5" s="44" customFormat="1" ht="15.75" customHeight="1" thickBot="1">
      <c r="A7" s="810" t="s">
        <v>40</v>
      </c>
      <c r="B7" s="811"/>
      <c r="C7" s="811"/>
      <c r="D7" s="811"/>
      <c r="E7" s="812"/>
    </row>
    <row r="8" spans="1:5" s="44" customFormat="1" ht="12" customHeight="1" thickBot="1">
      <c r="A8" s="25" t="s">
        <v>6</v>
      </c>
      <c r="B8" s="19" t="s">
        <v>164</v>
      </c>
      <c r="C8" s="166">
        <f>+C9+C10+C11+C12+C13+C14</f>
        <v>0</v>
      </c>
      <c r="D8" s="249">
        <f>+D9+D10+D11+D12+D13+D14</f>
        <v>0</v>
      </c>
      <c r="E8" s="102">
        <f>+E9+E10+E11+E12+E13+E14</f>
        <v>0</v>
      </c>
    </row>
    <row r="9" spans="1:5" s="50" customFormat="1" ht="12" customHeight="1">
      <c r="A9" s="196" t="s">
        <v>64</v>
      </c>
      <c r="B9" s="179" t="s">
        <v>165</v>
      </c>
      <c r="C9" s="168"/>
      <c r="D9" s="250"/>
      <c r="E9" s="104"/>
    </row>
    <row r="10" spans="1:5" s="51" customFormat="1" ht="12" customHeight="1">
      <c r="A10" s="197" t="s">
        <v>65</v>
      </c>
      <c r="B10" s="180" t="s">
        <v>166</v>
      </c>
      <c r="C10" s="167"/>
      <c r="D10" s="251"/>
      <c r="E10" s="103"/>
    </row>
    <row r="11" spans="1:5" s="51" customFormat="1" ht="12" customHeight="1">
      <c r="A11" s="197" t="s">
        <v>66</v>
      </c>
      <c r="B11" s="180" t="s">
        <v>167</v>
      </c>
      <c r="C11" s="167"/>
      <c r="D11" s="251"/>
      <c r="E11" s="103"/>
    </row>
    <row r="12" spans="1:5" s="51" customFormat="1" ht="12" customHeight="1">
      <c r="A12" s="197" t="s">
        <v>67</v>
      </c>
      <c r="B12" s="180" t="s">
        <v>168</v>
      </c>
      <c r="C12" s="167"/>
      <c r="D12" s="251"/>
      <c r="E12" s="103"/>
    </row>
    <row r="13" spans="1:5" s="51" customFormat="1" ht="12" customHeight="1">
      <c r="A13" s="197" t="s">
        <v>99</v>
      </c>
      <c r="B13" s="180" t="s">
        <v>397</v>
      </c>
      <c r="C13" s="167"/>
      <c r="D13" s="251"/>
      <c r="E13" s="103"/>
    </row>
    <row r="14" spans="1:5" s="50" customFormat="1" ht="12" customHeight="1" thickBot="1">
      <c r="A14" s="198" t="s">
        <v>68</v>
      </c>
      <c r="B14" s="181" t="s">
        <v>338</v>
      </c>
      <c r="C14" s="167"/>
      <c r="D14" s="251"/>
      <c r="E14" s="103"/>
    </row>
    <row r="15" spans="1:5" s="50" customFormat="1" ht="12" customHeight="1" thickBot="1">
      <c r="A15" s="25" t="s">
        <v>7</v>
      </c>
      <c r="B15" s="109" t="s">
        <v>169</v>
      </c>
      <c r="C15" s="166">
        <f>+C16+C17+C18+C19+C20</f>
        <v>0</v>
      </c>
      <c r="D15" s="249">
        <f>+D16+D17+D18+D19+D20</f>
        <v>0</v>
      </c>
      <c r="E15" s="102">
        <f>+E16+E17+E18+E19+E20</f>
        <v>0</v>
      </c>
    </row>
    <row r="16" spans="1:5" s="50" customFormat="1" ht="12" customHeight="1">
      <c r="A16" s="196" t="s">
        <v>70</v>
      </c>
      <c r="B16" s="179" t="s">
        <v>170</v>
      </c>
      <c r="C16" s="168"/>
      <c r="D16" s="250"/>
      <c r="E16" s="104"/>
    </row>
    <row r="17" spans="1:5" s="50" customFormat="1" ht="12" customHeight="1">
      <c r="A17" s="197" t="s">
        <v>71</v>
      </c>
      <c r="B17" s="180" t="s">
        <v>171</v>
      </c>
      <c r="C17" s="167"/>
      <c r="D17" s="251"/>
      <c r="E17" s="103"/>
    </row>
    <row r="18" spans="1:5" s="50" customFormat="1" ht="12" customHeight="1">
      <c r="A18" s="197" t="s">
        <v>72</v>
      </c>
      <c r="B18" s="180" t="s">
        <v>329</v>
      </c>
      <c r="C18" s="167"/>
      <c r="D18" s="251"/>
      <c r="E18" s="103"/>
    </row>
    <row r="19" spans="1:5" s="50" customFormat="1" ht="12" customHeight="1">
      <c r="A19" s="197" t="s">
        <v>73</v>
      </c>
      <c r="B19" s="180" t="s">
        <v>330</v>
      </c>
      <c r="C19" s="167"/>
      <c r="D19" s="251"/>
      <c r="E19" s="103"/>
    </row>
    <row r="20" spans="1:5" s="50" customFormat="1" ht="12" customHeight="1">
      <c r="A20" s="197" t="s">
        <v>74</v>
      </c>
      <c r="B20" s="180" t="s">
        <v>172</v>
      </c>
      <c r="C20" s="167"/>
      <c r="D20" s="251"/>
      <c r="E20" s="103"/>
    </row>
    <row r="21" spans="1:5" s="51" customFormat="1" ht="12" customHeight="1" thickBot="1">
      <c r="A21" s="198" t="s">
        <v>81</v>
      </c>
      <c r="B21" s="181" t="s">
        <v>173</v>
      </c>
      <c r="C21" s="169"/>
      <c r="D21" s="252"/>
      <c r="E21" s="105"/>
    </row>
    <row r="22" spans="1:5" s="51" customFormat="1" ht="12" customHeight="1" thickBot="1">
      <c r="A22" s="25" t="s">
        <v>8</v>
      </c>
      <c r="B22" s="19" t="s">
        <v>174</v>
      </c>
      <c r="C22" s="166">
        <f>+C23+C24+C25+C26+C27</f>
        <v>0</v>
      </c>
      <c r="D22" s="249">
        <f>+D23+D24+D25+D26+D27</f>
        <v>0</v>
      </c>
      <c r="E22" s="102">
        <f>+E23+E24+E25+E26+E27</f>
        <v>0</v>
      </c>
    </row>
    <row r="23" spans="1:5" s="51" customFormat="1" ht="12" customHeight="1">
      <c r="A23" s="196" t="s">
        <v>53</v>
      </c>
      <c r="B23" s="179" t="s">
        <v>175</v>
      </c>
      <c r="C23" s="168"/>
      <c r="D23" s="250"/>
      <c r="E23" s="104"/>
    </row>
    <row r="24" spans="1:5" s="50" customFormat="1" ht="12" customHeight="1">
      <c r="A24" s="197" t="s">
        <v>54</v>
      </c>
      <c r="B24" s="180" t="s">
        <v>176</v>
      </c>
      <c r="C24" s="167"/>
      <c r="D24" s="251"/>
      <c r="E24" s="103"/>
    </row>
    <row r="25" spans="1:5" s="51" customFormat="1" ht="12" customHeight="1">
      <c r="A25" s="197" t="s">
        <v>55</v>
      </c>
      <c r="B25" s="180" t="s">
        <v>331</v>
      </c>
      <c r="C25" s="167"/>
      <c r="D25" s="251"/>
      <c r="E25" s="103"/>
    </row>
    <row r="26" spans="1:5" s="51" customFormat="1" ht="12" customHeight="1">
      <c r="A26" s="197" t="s">
        <v>56</v>
      </c>
      <c r="B26" s="180" t="s">
        <v>332</v>
      </c>
      <c r="C26" s="167"/>
      <c r="D26" s="251"/>
      <c r="E26" s="103"/>
    </row>
    <row r="27" spans="1:5" s="51" customFormat="1" ht="12" customHeight="1">
      <c r="A27" s="197" t="s">
        <v>112</v>
      </c>
      <c r="B27" s="180" t="s">
        <v>177</v>
      </c>
      <c r="C27" s="167"/>
      <c r="D27" s="251"/>
      <c r="E27" s="103"/>
    </row>
    <row r="28" spans="1:5" s="51" customFormat="1" ht="12" customHeight="1" thickBot="1">
      <c r="A28" s="198" t="s">
        <v>113</v>
      </c>
      <c r="B28" s="181" t="s">
        <v>178</v>
      </c>
      <c r="C28" s="169"/>
      <c r="D28" s="252"/>
      <c r="E28" s="105"/>
    </row>
    <row r="29" spans="1:5" s="51" customFormat="1" ht="12" customHeight="1" thickBot="1">
      <c r="A29" s="25" t="s">
        <v>114</v>
      </c>
      <c r="B29" s="19" t="s">
        <v>488</v>
      </c>
      <c r="C29" s="172">
        <f>SUM(C30:C36)</f>
        <v>9610000</v>
      </c>
      <c r="D29" s="172">
        <f>SUM(D30:D36)</f>
        <v>10060000</v>
      </c>
      <c r="E29" s="208">
        <f>SUM(E30:E36)</f>
        <v>427637</v>
      </c>
    </row>
    <row r="30" spans="1:5" s="51" customFormat="1" ht="12" customHeight="1">
      <c r="A30" s="196" t="s">
        <v>179</v>
      </c>
      <c r="B30" s="179" t="s">
        <v>489</v>
      </c>
      <c r="C30" s="168"/>
      <c r="D30" s="168"/>
      <c r="E30" s="168"/>
    </row>
    <row r="31" spans="1:5" s="51" customFormat="1" ht="12" customHeight="1">
      <c r="A31" s="197" t="s">
        <v>180</v>
      </c>
      <c r="B31" s="180" t="s">
        <v>490</v>
      </c>
      <c r="C31" s="167"/>
      <c r="D31" s="167"/>
      <c r="E31" s="103"/>
    </row>
    <row r="32" spans="1:5" s="51" customFormat="1" ht="12" customHeight="1">
      <c r="A32" s="197" t="s">
        <v>181</v>
      </c>
      <c r="B32" s="180" t="s">
        <v>491</v>
      </c>
      <c r="C32" s="167">
        <v>9610000</v>
      </c>
      <c r="D32" s="167">
        <v>10060000</v>
      </c>
      <c r="E32" s="103">
        <v>427637</v>
      </c>
    </row>
    <row r="33" spans="1:5" s="51" customFormat="1" ht="12" customHeight="1">
      <c r="A33" s="197" t="s">
        <v>182</v>
      </c>
      <c r="B33" s="180" t="s">
        <v>492</v>
      </c>
      <c r="C33" s="167"/>
      <c r="D33" s="167"/>
      <c r="E33" s="103"/>
    </row>
    <row r="34" spans="1:5" s="51" customFormat="1" ht="12" customHeight="1">
      <c r="A34" s="197" t="s">
        <v>493</v>
      </c>
      <c r="B34" s="180" t="s">
        <v>183</v>
      </c>
      <c r="C34" s="167"/>
      <c r="D34" s="167"/>
      <c r="E34" s="103"/>
    </row>
    <row r="35" spans="1:5" s="51" customFormat="1" ht="12" customHeight="1">
      <c r="A35" s="197" t="s">
        <v>494</v>
      </c>
      <c r="B35" s="180" t="s">
        <v>184</v>
      </c>
      <c r="C35" s="167"/>
      <c r="D35" s="167"/>
      <c r="E35" s="103"/>
    </row>
    <row r="36" spans="1:5" s="51" customFormat="1" ht="12" customHeight="1" thickBot="1">
      <c r="A36" s="198" t="s">
        <v>495</v>
      </c>
      <c r="B36" s="325" t="s">
        <v>185</v>
      </c>
      <c r="C36" s="169"/>
      <c r="D36" s="169"/>
      <c r="E36" s="105"/>
    </row>
    <row r="37" spans="1:5" s="51" customFormat="1" ht="12" customHeight="1" thickBot="1">
      <c r="A37" s="25" t="s">
        <v>10</v>
      </c>
      <c r="B37" s="19" t="s">
        <v>339</v>
      </c>
      <c r="C37" s="166">
        <f>SUM(C38:C48)</f>
        <v>0</v>
      </c>
      <c r="D37" s="249">
        <f>SUM(D38:D48)</f>
        <v>0</v>
      </c>
      <c r="E37" s="102">
        <f>SUM(E38:E48)</f>
        <v>0</v>
      </c>
    </row>
    <row r="38" spans="1:5" s="51" customFormat="1" ht="12" customHeight="1">
      <c r="A38" s="196" t="s">
        <v>57</v>
      </c>
      <c r="B38" s="179" t="s">
        <v>188</v>
      </c>
      <c r="C38" s="168"/>
      <c r="D38" s="250"/>
      <c r="E38" s="104"/>
    </row>
    <row r="39" spans="1:5" s="51" customFormat="1" ht="12" customHeight="1">
      <c r="A39" s="197" t="s">
        <v>58</v>
      </c>
      <c r="B39" s="180" t="s">
        <v>189</v>
      </c>
      <c r="C39" s="167"/>
      <c r="D39" s="251"/>
      <c r="E39" s="103"/>
    </row>
    <row r="40" spans="1:5" s="51" customFormat="1" ht="12" customHeight="1">
      <c r="A40" s="197" t="s">
        <v>59</v>
      </c>
      <c r="B40" s="180" t="s">
        <v>190</v>
      </c>
      <c r="C40" s="167"/>
      <c r="D40" s="251"/>
      <c r="E40" s="103"/>
    </row>
    <row r="41" spans="1:5" s="51" customFormat="1" ht="12" customHeight="1">
      <c r="A41" s="197" t="s">
        <v>116</v>
      </c>
      <c r="B41" s="180" t="s">
        <v>191</v>
      </c>
      <c r="C41" s="167"/>
      <c r="D41" s="251"/>
      <c r="E41" s="103"/>
    </row>
    <row r="42" spans="1:5" s="51" customFormat="1" ht="12" customHeight="1">
      <c r="A42" s="197" t="s">
        <v>117</v>
      </c>
      <c r="B42" s="180" t="s">
        <v>192</v>
      </c>
      <c r="C42" s="167"/>
      <c r="D42" s="251"/>
      <c r="E42" s="103"/>
    </row>
    <row r="43" spans="1:5" s="51" customFormat="1" ht="12" customHeight="1">
      <c r="A43" s="197" t="s">
        <v>118</v>
      </c>
      <c r="B43" s="180" t="s">
        <v>193</v>
      </c>
      <c r="C43" s="167"/>
      <c r="D43" s="251"/>
      <c r="E43" s="103"/>
    </row>
    <row r="44" spans="1:5" s="51" customFormat="1" ht="12" customHeight="1">
      <c r="A44" s="197" t="s">
        <v>119</v>
      </c>
      <c r="B44" s="180" t="s">
        <v>194</v>
      </c>
      <c r="C44" s="167"/>
      <c r="D44" s="251"/>
      <c r="E44" s="103"/>
    </row>
    <row r="45" spans="1:5" s="51" customFormat="1" ht="12" customHeight="1">
      <c r="A45" s="197" t="s">
        <v>120</v>
      </c>
      <c r="B45" s="180" t="s">
        <v>496</v>
      </c>
      <c r="C45" s="167"/>
      <c r="D45" s="251"/>
      <c r="E45" s="103"/>
    </row>
    <row r="46" spans="1:5" s="51" customFormat="1" ht="12" customHeight="1">
      <c r="A46" s="197" t="s">
        <v>186</v>
      </c>
      <c r="B46" s="180" t="s">
        <v>196</v>
      </c>
      <c r="C46" s="170"/>
      <c r="D46" s="310"/>
      <c r="E46" s="106"/>
    </row>
    <row r="47" spans="1:5" s="51" customFormat="1" ht="12" customHeight="1">
      <c r="A47" s="198" t="s">
        <v>187</v>
      </c>
      <c r="B47" s="181" t="s">
        <v>341</v>
      </c>
      <c r="C47" s="171"/>
      <c r="D47" s="311"/>
      <c r="E47" s="107"/>
    </row>
    <row r="48" spans="1:5" s="51" customFormat="1" ht="12" customHeight="1" thickBot="1">
      <c r="A48" s="198" t="s">
        <v>340</v>
      </c>
      <c r="B48" s="181" t="s">
        <v>197</v>
      </c>
      <c r="C48" s="171"/>
      <c r="D48" s="311"/>
      <c r="E48" s="107"/>
    </row>
    <row r="49" spans="1:5" s="51" customFormat="1" ht="12" customHeight="1" thickBot="1">
      <c r="A49" s="25" t="s">
        <v>11</v>
      </c>
      <c r="B49" s="19" t="s">
        <v>198</v>
      </c>
      <c r="C49" s="166">
        <f>SUM(C50:C54)</f>
        <v>0</v>
      </c>
      <c r="D49" s="249">
        <f>SUM(D50:D54)</f>
        <v>0</v>
      </c>
      <c r="E49" s="102">
        <f>SUM(E50:E54)</f>
        <v>0</v>
      </c>
    </row>
    <row r="50" spans="1:5" s="51" customFormat="1" ht="12" customHeight="1">
      <c r="A50" s="196" t="s">
        <v>60</v>
      </c>
      <c r="B50" s="179" t="s">
        <v>202</v>
      </c>
      <c r="C50" s="219"/>
      <c r="D50" s="312"/>
      <c r="E50" s="108"/>
    </row>
    <row r="51" spans="1:5" s="51" customFormat="1" ht="12" customHeight="1">
      <c r="A51" s="197" t="s">
        <v>61</v>
      </c>
      <c r="B51" s="180" t="s">
        <v>203</v>
      </c>
      <c r="C51" s="170"/>
      <c r="D51" s="310"/>
      <c r="E51" s="106"/>
    </row>
    <row r="52" spans="1:5" s="51" customFormat="1" ht="12" customHeight="1">
      <c r="A52" s="197" t="s">
        <v>199</v>
      </c>
      <c r="B52" s="180" t="s">
        <v>204</v>
      </c>
      <c r="C52" s="170"/>
      <c r="D52" s="310"/>
      <c r="E52" s="106"/>
    </row>
    <row r="53" spans="1:5" s="51" customFormat="1" ht="12" customHeight="1">
      <c r="A53" s="197" t="s">
        <v>200</v>
      </c>
      <c r="B53" s="180" t="s">
        <v>205</v>
      </c>
      <c r="C53" s="170"/>
      <c r="D53" s="310"/>
      <c r="E53" s="106"/>
    </row>
    <row r="54" spans="1:5" s="51" customFormat="1" ht="12" customHeight="1" thickBot="1">
      <c r="A54" s="198" t="s">
        <v>201</v>
      </c>
      <c r="B54" s="181" t="s">
        <v>206</v>
      </c>
      <c r="C54" s="171"/>
      <c r="D54" s="311"/>
      <c r="E54" s="107"/>
    </row>
    <row r="55" spans="1:5" s="51" customFormat="1" ht="12" customHeight="1" thickBot="1">
      <c r="A55" s="25" t="s">
        <v>121</v>
      </c>
      <c r="B55" s="19" t="s">
        <v>207</v>
      </c>
      <c r="C55" s="166">
        <f>SUM(C56:C58)</f>
        <v>1600000</v>
      </c>
      <c r="D55" s="249">
        <f>SUM(D56:D58)</f>
        <v>1600000</v>
      </c>
      <c r="E55" s="102">
        <f>SUM(E56:E58)</f>
        <v>1810000</v>
      </c>
    </row>
    <row r="56" spans="1:5" s="51" customFormat="1" ht="12" customHeight="1">
      <c r="A56" s="196" t="s">
        <v>62</v>
      </c>
      <c r="B56" s="179" t="s">
        <v>208</v>
      </c>
      <c r="C56" s="168"/>
      <c r="D56" s="250"/>
      <c r="E56" s="104"/>
    </row>
    <row r="57" spans="1:5" s="51" customFormat="1" ht="12" customHeight="1">
      <c r="A57" s="197" t="s">
        <v>63</v>
      </c>
      <c r="B57" s="180" t="s">
        <v>333</v>
      </c>
      <c r="C57" s="167">
        <v>1600000</v>
      </c>
      <c r="D57" s="251">
        <v>1600000</v>
      </c>
      <c r="E57" s="103">
        <v>1810000</v>
      </c>
    </row>
    <row r="58" spans="1:5" s="51" customFormat="1" ht="12" customHeight="1">
      <c r="A58" s="197" t="s">
        <v>211</v>
      </c>
      <c r="B58" s="180" t="s">
        <v>209</v>
      </c>
      <c r="C58" s="167"/>
      <c r="D58" s="251"/>
      <c r="E58" s="103"/>
    </row>
    <row r="59" spans="1:5" s="51" customFormat="1" ht="12" customHeight="1" thickBot="1">
      <c r="A59" s="198" t="s">
        <v>212</v>
      </c>
      <c r="B59" s="181" t="s">
        <v>210</v>
      </c>
      <c r="C59" s="169"/>
      <c r="D59" s="252"/>
      <c r="E59" s="105"/>
    </row>
    <row r="60" spans="1:5" s="51" customFormat="1" ht="12" customHeight="1" thickBot="1">
      <c r="A60" s="25" t="s">
        <v>13</v>
      </c>
      <c r="B60" s="109" t="s">
        <v>213</v>
      </c>
      <c r="C60" s="166">
        <f>SUM(C61:C63)</f>
        <v>13500000</v>
      </c>
      <c r="D60" s="249">
        <f>SUM(D61:D63)</f>
        <v>13500000</v>
      </c>
      <c r="E60" s="102">
        <f>SUM(E61:E63)</f>
        <v>11720000</v>
      </c>
    </row>
    <row r="61" spans="1:5" s="51" customFormat="1" ht="12" customHeight="1">
      <c r="A61" s="196" t="s">
        <v>122</v>
      </c>
      <c r="B61" s="179" t="s">
        <v>215</v>
      </c>
      <c r="C61" s="170"/>
      <c r="D61" s="310"/>
      <c r="E61" s="106"/>
    </row>
    <row r="62" spans="1:5" s="51" customFormat="1" ht="12" customHeight="1">
      <c r="A62" s="197" t="s">
        <v>123</v>
      </c>
      <c r="B62" s="180" t="s">
        <v>334</v>
      </c>
      <c r="C62" s="170"/>
      <c r="D62" s="310"/>
      <c r="E62" s="106">
        <v>120000</v>
      </c>
    </row>
    <row r="63" spans="1:5" s="51" customFormat="1" ht="12" customHeight="1">
      <c r="A63" s="197" t="s">
        <v>146</v>
      </c>
      <c r="B63" s="180" t="s">
        <v>216</v>
      </c>
      <c r="C63" s="170">
        <v>13500000</v>
      </c>
      <c r="D63" s="310">
        <v>13500000</v>
      </c>
      <c r="E63" s="106">
        <v>11600000</v>
      </c>
    </row>
    <row r="64" spans="1:5" s="51" customFormat="1" ht="12" customHeight="1" thickBot="1">
      <c r="A64" s="198" t="s">
        <v>214</v>
      </c>
      <c r="B64" s="181" t="s">
        <v>217</v>
      </c>
      <c r="C64" s="170"/>
      <c r="D64" s="310"/>
      <c r="E64" s="106"/>
    </row>
    <row r="65" spans="1:5" s="51" customFormat="1" ht="12" customHeight="1" thickBot="1">
      <c r="A65" s="25" t="s">
        <v>14</v>
      </c>
      <c r="B65" s="19" t="s">
        <v>218</v>
      </c>
      <c r="C65" s="172">
        <f>+C8+C15+C22+C29+C37+C49+C55+C60</f>
        <v>24710000</v>
      </c>
      <c r="D65" s="253">
        <f>+D8+D15+D22+D29+D37+D49+D55+D60</f>
        <v>25160000</v>
      </c>
      <c r="E65" s="208">
        <f>+E8+E15+E22+E29+E37+E49+E55+E60</f>
        <v>13957637</v>
      </c>
    </row>
    <row r="66" spans="1:5" s="51" customFormat="1" ht="12" customHeight="1" thickBot="1">
      <c r="A66" s="199" t="s">
        <v>303</v>
      </c>
      <c r="B66" s="109" t="s">
        <v>220</v>
      </c>
      <c r="C66" s="166">
        <f>SUM(C67:C69)</f>
        <v>0</v>
      </c>
      <c r="D66" s="249">
        <f>SUM(D67:D69)</f>
        <v>0</v>
      </c>
      <c r="E66" s="102">
        <f>SUM(E67:E69)</f>
        <v>0</v>
      </c>
    </row>
    <row r="67" spans="1:5" s="51" customFormat="1" ht="12" customHeight="1">
      <c r="A67" s="196" t="s">
        <v>248</v>
      </c>
      <c r="B67" s="179" t="s">
        <v>221</v>
      </c>
      <c r="C67" s="170"/>
      <c r="D67" s="310"/>
      <c r="E67" s="106"/>
    </row>
    <row r="68" spans="1:5" s="51" customFormat="1" ht="12" customHeight="1">
      <c r="A68" s="197" t="s">
        <v>257</v>
      </c>
      <c r="B68" s="180" t="s">
        <v>222</v>
      </c>
      <c r="C68" s="170"/>
      <c r="D68" s="310"/>
      <c r="E68" s="106"/>
    </row>
    <row r="69" spans="1:5" s="51" customFormat="1" ht="12" customHeight="1" thickBot="1">
      <c r="A69" s="198" t="s">
        <v>258</v>
      </c>
      <c r="B69" s="182" t="s">
        <v>223</v>
      </c>
      <c r="C69" s="170"/>
      <c r="D69" s="313"/>
      <c r="E69" s="106"/>
    </row>
    <row r="70" spans="1:5" s="51" customFormat="1" ht="12" customHeight="1" thickBot="1">
      <c r="A70" s="199" t="s">
        <v>224</v>
      </c>
      <c r="B70" s="109" t="s">
        <v>225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1" customFormat="1" ht="12" customHeight="1">
      <c r="A71" s="196" t="s">
        <v>100</v>
      </c>
      <c r="B71" s="363" t="s">
        <v>226</v>
      </c>
      <c r="C71" s="170"/>
      <c r="D71" s="170"/>
      <c r="E71" s="106"/>
    </row>
    <row r="72" spans="1:5" s="51" customFormat="1" ht="12" customHeight="1">
      <c r="A72" s="197" t="s">
        <v>101</v>
      </c>
      <c r="B72" s="363" t="s">
        <v>503</v>
      </c>
      <c r="C72" s="170"/>
      <c r="D72" s="170"/>
      <c r="E72" s="106"/>
    </row>
    <row r="73" spans="1:5" s="51" customFormat="1" ht="12" customHeight="1">
      <c r="A73" s="197" t="s">
        <v>249</v>
      </c>
      <c r="B73" s="363" t="s">
        <v>227</v>
      </c>
      <c r="C73" s="170"/>
      <c r="D73" s="170"/>
      <c r="E73" s="106"/>
    </row>
    <row r="74" spans="1:5" s="51" customFormat="1" ht="12" customHeight="1" thickBot="1">
      <c r="A74" s="198" t="s">
        <v>250</v>
      </c>
      <c r="B74" s="364" t="s">
        <v>504</v>
      </c>
      <c r="C74" s="170"/>
      <c r="D74" s="170"/>
      <c r="E74" s="106"/>
    </row>
    <row r="75" spans="1:5" s="51" customFormat="1" ht="12" customHeight="1" thickBot="1">
      <c r="A75" s="199" t="s">
        <v>228</v>
      </c>
      <c r="B75" s="109" t="s">
        <v>229</v>
      </c>
      <c r="C75" s="166">
        <f>SUM(C76:C77)</f>
        <v>0</v>
      </c>
      <c r="D75" s="166">
        <f>SUM(D76:D77)</f>
        <v>0</v>
      </c>
      <c r="E75" s="102">
        <f>SUM(E76:E77)</f>
        <v>0</v>
      </c>
    </row>
    <row r="76" spans="1:5" s="51" customFormat="1" ht="12" customHeight="1">
      <c r="A76" s="196" t="s">
        <v>251</v>
      </c>
      <c r="B76" s="179" t="s">
        <v>230</v>
      </c>
      <c r="C76" s="170"/>
      <c r="D76" s="170"/>
      <c r="E76" s="106"/>
    </row>
    <row r="77" spans="1:5" s="51" customFormat="1" ht="12" customHeight="1" thickBot="1">
      <c r="A77" s="198" t="s">
        <v>252</v>
      </c>
      <c r="B77" s="181" t="s">
        <v>231</v>
      </c>
      <c r="C77" s="170"/>
      <c r="D77" s="170"/>
      <c r="E77" s="106"/>
    </row>
    <row r="78" spans="1:5" s="50" customFormat="1" ht="12" customHeight="1" thickBot="1">
      <c r="A78" s="199" t="s">
        <v>232</v>
      </c>
      <c r="B78" s="109" t="s">
        <v>233</v>
      </c>
      <c r="C78" s="166">
        <f>SUM(C79:C81)</f>
        <v>0</v>
      </c>
      <c r="D78" s="166">
        <f>SUM(D79:D81)</f>
        <v>0</v>
      </c>
      <c r="E78" s="102">
        <f>SUM(E79:E81)</f>
        <v>0</v>
      </c>
    </row>
    <row r="79" spans="1:5" s="51" customFormat="1" ht="12" customHeight="1">
      <c r="A79" s="196" t="s">
        <v>253</v>
      </c>
      <c r="B79" s="179" t="s">
        <v>234</v>
      </c>
      <c r="C79" s="170"/>
      <c r="D79" s="170"/>
      <c r="E79" s="106"/>
    </row>
    <row r="80" spans="1:5" s="51" customFormat="1" ht="12" customHeight="1">
      <c r="A80" s="197" t="s">
        <v>254</v>
      </c>
      <c r="B80" s="180" t="s">
        <v>235</v>
      </c>
      <c r="C80" s="170"/>
      <c r="D80" s="170"/>
      <c r="E80" s="106"/>
    </row>
    <row r="81" spans="1:5" s="51" customFormat="1" ht="12" customHeight="1" thickBot="1">
      <c r="A81" s="198" t="s">
        <v>255</v>
      </c>
      <c r="B81" s="181" t="s">
        <v>505</v>
      </c>
      <c r="C81" s="170"/>
      <c r="D81" s="170"/>
      <c r="E81" s="106"/>
    </row>
    <row r="82" spans="1:5" s="51" customFormat="1" ht="12" customHeight="1" thickBot="1">
      <c r="A82" s="199" t="s">
        <v>236</v>
      </c>
      <c r="B82" s="109" t="s">
        <v>256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1" customFormat="1" ht="12" customHeight="1">
      <c r="A83" s="200" t="s">
        <v>237</v>
      </c>
      <c r="B83" s="179" t="s">
        <v>238</v>
      </c>
      <c r="C83" s="170"/>
      <c r="D83" s="170"/>
      <c r="E83" s="106"/>
    </row>
    <row r="84" spans="1:5" s="51" customFormat="1" ht="12" customHeight="1">
      <c r="A84" s="201" t="s">
        <v>239</v>
      </c>
      <c r="B84" s="180" t="s">
        <v>240</v>
      </c>
      <c r="C84" s="170"/>
      <c r="D84" s="170"/>
      <c r="E84" s="106"/>
    </row>
    <row r="85" spans="1:5" s="51" customFormat="1" ht="12" customHeight="1">
      <c r="A85" s="201" t="s">
        <v>241</v>
      </c>
      <c r="B85" s="180" t="s">
        <v>242</v>
      </c>
      <c r="C85" s="170"/>
      <c r="D85" s="170"/>
      <c r="E85" s="106"/>
    </row>
    <row r="86" spans="1:5" s="50" customFormat="1" ht="12" customHeight="1" thickBot="1">
      <c r="A86" s="202" t="s">
        <v>243</v>
      </c>
      <c r="B86" s="181" t="s">
        <v>244</v>
      </c>
      <c r="C86" s="170"/>
      <c r="D86" s="170"/>
      <c r="E86" s="106"/>
    </row>
    <row r="87" spans="1:5" s="50" customFormat="1" ht="12" customHeight="1" thickBot="1">
      <c r="A87" s="199" t="s">
        <v>245</v>
      </c>
      <c r="B87" s="109" t="s">
        <v>380</v>
      </c>
      <c r="C87" s="222"/>
      <c r="D87" s="222"/>
      <c r="E87" s="223"/>
    </row>
    <row r="88" spans="1:5" s="50" customFormat="1" ht="12" customHeight="1" thickBot="1">
      <c r="A88" s="199" t="s">
        <v>398</v>
      </c>
      <c r="B88" s="109" t="s">
        <v>246</v>
      </c>
      <c r="C88" s="222"/>
      <c r="D88" s="222"/>
      <c r="E88" s="223"/>
    </row>
    <row r="89" spans="1:5" s="50" customFormat="1" ht="12" customHeight="1" thickBot="1">
      <c r="A89" s="199" t="s">
        <v>399</v>
      </c>
      <c r="B89" s="186" t="s">
        <v>383</v>
      </c>
      <c r="C89" s="172">
        <f>+C66+C70+C75+C78+C82+C88+C87</f>
        <v>0</v>
      </c>
      <c r="D89" s="172">
        <f>+D66+D70+D75+D78+D82+D88+D87</f>
        <v>0</v>
      </c>
      <c r="E89" s="208">
        <f>+E66+E70+E75+E78+E82+E88+E87</f>
        <v>0</v>
      </c>
    </row>
    <row r="90" spans="1:5" s="50" customFormat="1" ht="12" customHeight="1" thickBot="1">
      <c r="A90" s="203" t="s">
        <v>400</v>
      </c>
      <c r="B90" s="187" t="s">
        <v>401</v>
      </c>
      <c r="C90" s="172">
        <f>+C65+C89</f>
        <v>24710000</v>
      </c>
      <c r="D90" s="172">
        <f>+D65+D89</f>
        <v>25160000</v>
      </c>
      <c r="E90" s="208">
        <f>+E65+E89</f>
        <v>13957637</v>
      </c>
    </row>
    <row r="91" spans="1:3" s="51" customFormat="1" ht="15" customHeight="1" thickBot="1">
      <c r="A91" s="86"/>
      <c r="B91" s="87"/>
      <c r="C91" s="148"/>
    </row>
    <row r="92" spans="1:5" s="44" customFormat="1" ht="16.5" customHeight="1" thickBot="1">
      <c r="A92" s="810" t="s">
        <v>41</v>
      </c>
      <c r="B92" s="811"/>
      <c r="C92" s="811"/>
      <c r="D92" s="811"/>
      <c r="E92" s="812"/>
    </row>
    <row r="93" spans="1:5" s="52" customFormat="1" ht="12" customHeight="1" thickBot="1">
      <c r="A93" s="173" t="s">
        <v>6</v>
      </c>
      <c r="B93" s="24" t="s">
        <v>405</v>
      </c>
      <c r="C93" s="165">
        <f>+C94+C95+C96+C97+C98+C111</f>
        <v>18710000</v>
      </c>
      <c r="D93" s="165">
        <f>+D94+D95+D96+D97+D98+D111</f>
        <v>24710000</v>
      </c>
      <c r="E93" s="232">
        <f>+E94+E95+E96+E97+E98+E111</f>
        <v>13507637</v>
      </c>
    </row>
    <row r="94" spans="1:5" ht="12" customHeight="1">
      <c r="A94" s="204" t="s">
        <v>64</v>
      </c>
      <c r="B94" s="8" t="s">
        <v>35</v>
      </c>
      <c r="C94" s="239"/>
      <c r="D94" s="239"/>
      <c r="E94" s="233"/>
    </row>
    <row r="95" spans="1:5" ht="12" customHeight="1">
      <c r="A95" s="197" t="s">
        <v>65</v>
      </c>
      <c r="B95" s="6" t="s">
        <v>124</v>
      </c>
      <c r="C95" s="167"/>
      <c r="D95" s="167"/>
      <c r="E95" s="103"/>
    </row>
    <row r="96" spans="1:5" ht="12" customHeight="1">
      <c r="A96" s="197" t="s">
        <v>66</v>
      </c>
      <c r="B96" s="6" t="s">
        <v>92</v>
      </c>
      <c r="C96" s="169"/>
      <c r="D96" s="167"/>
      <c r="E96" s="105"/>
    </row>
    <row r="97" spans="1:5" ht="12" customHeight="1">
      <c r="A97" s="197" t="s">
        <v>67</v>
      </c>
      <c r="B97" s="9" t="s">
        <v>125</v>
      </c>
      <c r="C97" s="169"/>
      <c r="D97" s="252"/>
      <c r="E97" s="105"/>
    </row>
    <row r="98" spans="1:5" ht="12" customHeight="1">
      <c r="A98" s="197" t="s">
        <v>76</v>
      </c>
      <c r="B98" s="17" t="s">
        <v>126</v>
      </c>
      <c r="C98" s="169">
        <v>18710000</v>
      </c>
      <c r="D98" s="252">
        <v>24710000</v>
      </c>
      <c r="E98" s="105">
        <v>13507637</v>
      </c>
    </row>
    <row r="99" spans="1:5" ht="12" customHeight="1">
      <c r="A99" s="197" t="s">
        <v>68</v>
      </c>
      <c r="B99" s="6" t="s">
        <v>402</v>
      </c>
      <c r="C99" s="169"/>
      <c r="D99" s="252"/>
      <c r="E99" s="105"/>
    </row>
    <row r="100" spans="1:5" ht="12" customHeight="1">
      <c r="A100" s="197" t="s">
        <v>69</v>
      </c>
      <c r="B100" s="62" t="s">
        <v>346</v>
      </c>
      <c r="C100" s="169"/>
      <c r="D100" s="252"/>
      <c r="E100" s="105"/>
    </row>
    <row r="101" spans="1:5" ht="12" customHeight="1">
      <c r="A101" s="197" t="s">
        <v>77</v>
      </c>
      <c r="B101" s="62" t="s">
        <v>345</v>
      </c>
      <c r="C101" s="169"/>
      <c r="D101" s="252"/>
      <c r="E101" s="105"/>
    </row>
    <row r="102" spans="1:5" ht="12" customHeight="1">
      <c r="A102" s="197" t="s">
        <v>78</v>
      </c>
      <c r="B102" s="62" t="s">
        <v>262</v>
      </c>
      <c r="C102" s="169"/>
      <c r="D102" s="252"/>
      <c r="E102" s="105"/>
    </row>
    <row r="103" spans="1:5" ht="12" customHeight="1">
      <c r="A103" s="197" t="s">
        <v>79</v>
      </c>
      <c r="B103" s="63" t="s">
        <v>263</v>
      </c>
      <c r="C103" s="169"/>
      <c r="D103" s="252"/>
      <c r="E103" s="105"/>
    </row>
    <row r="104" spans="1:5" ht="12" customHeight="1">
      <c r="A104" s="197" t="s">
        <v>80</v>
      </c>
      <c r="B104" s="63" t="s">
        <v>264</v>
      </c>
      <c r="C104" s="169"/>
      <c r="D104" s="252"/>
      <c r="E104" s="105"/>
    </row>
    <row r="105" spans="1:5" ht="12" customHeight="1">
      <c r="A105" s="197" t="s">
        <v>82</v>
      </c>
      <c r="B105" s="62" t="s">
        <v>265</v>
      </c>
      <c r="C105" s="169"/>
      <c r="D105" s="252"/>
      <c r="E105" s="105"/>
    </row>
    <row r="106" spans="1:5" ht="12" customHeight="1">
      <c r="A106" s="197" t="s">
        <v>127</v>
      </c>
      <c r="B106" s="62" t="s">
        <v>266</v>
      </c>
      <c r="C106" s="169"/>
      <c r="D106" s="252"/>
      <c r="E106" s="105"/>
    </row>
    <row r="107" spans="1:5" ht="12" customHeight="1">
      <c r="A107" s="197" t="s">
        <v>260</v>
      </c>
      <c r="B107" s="63" t="s">
        <v>267</v>
      </c>
      <c r="C107" s="167"/>
      <c r="D107" s="252">
        <v>10000000</v>
      </c>
      <c r="E107" s="105">
        <v>6540000</v>
      </c>
    </row>
    <row r="108" spans="1:5" ht="12" customHeight="1">
      <c r="A108" s="205" t="s">
        <v>261</v>
      </c>
      <c r="B108" s="64" t="s">
        <v>268</v>
      </c>
      <c r="C108" s="169"/>
      <c r="D108" s="252"/>
      <c r="E108" s="105"/>
    </row>
    <row r="109" spans="1:5" ht="12" customHeight="1">
      <c r="A109" s="197" t="s">
        <v>343</v>
      </c>
      <c r="B109" s="64" t="s">
        <v>269</v>
      </c>
      <c r="C109" s="169"/>
      <c r="D109" s="252"/>
      <c r="E109" s="105"/>
    </row>
    <row r="110" spans="1:5" ht="12" customHeight="1">
      <c r="A110" s="197" t="s">
        <v>344</v>
      </c>
      <c r="B110" s="63" t="s">
        <v>270</v>
      </c>
      <c r="C110" s="167">
        <v>18710000</v>
      </c>
      <c r="D110" s="251">
        <v>14710000</v>
      </c>
      <c r="E110" s="103">
        <v>6967637</v>
      </c>
    </row>
    <row r="111" spans="1:5" ht="12" customHeight="1">
      <c r="A111" s="197" t="s">
        <v>348</v>
      </c>
      <c r="B111" s="9" t="s">
        <v>36</v>
      </c>
      <c r="C111" s="167"/>
      <c r="D111" s="251"/>
      <c r="E111" s="103"/>
    </row>
    <row r="112" spans="1:5" ht="12" customHeight="1">
      <c r="A112" s="198" t="s">
        <v>349</v>
      </c>
      <c r="B112" s="6" t="s">
        <v>403</v>
      </c>
      <c r="C112" s="169"/>
      <c r="D112" s="252"/>
      <c r="E112" s="105"/>
    </row>
    <row r="113" spans="1:5" ht="12" customHeight="1" thickBot="1">
      <c r="A113" s="206" t="s">
        <v>350</v>
      </c>
      <c r="B113" s="65" t="s">
        <v>404</v>
      </c>
      <c r="C113" s="240"/>
      <c r="D113" s="316"/>
      <c r="E113" s="234"/>
    </row>
    <row r="114" spans="1:5" ht="12" customHeight="1" thickBot="1">
      <c r="A114" s="25" t="s">
        <v>7</v>
      </c>
      <c r="B114" s="23" t="s">
        <v>271</v>
      </c>
      <c r="C114" s="166">
        <f>+C115+C117+C119</f>
        <v>6000000</v>
      </c>
      <c r="D114" s="249">
        <f>+D115+D117+D119</f>
        <v>450000</v>
      </c>
      <c r="E114" s="102">
        <f>+E115+E117+E119</f>
        <v>450000</v>
      </c>
    </row>
    <row r="115" spans="1:5" ht="12" customHeight="1">
      <c r="A115" s="196" t="s">
        <v>70</v>
      </c>
      <c r="B115" s="6" t="s">
        <v>145</v>
      </c>
      <c r="C115" s="168"/>
      <c r="D115" s="250"/>
      <c r="E115" s="104"/>
    </row>
    <row r="116" spans="1:5" ht="12" customHeight="1">
      <c r="A116" s="196" t="s">
        <v>71</v>
      </c>
      <c r="B116" s="10" t="s">
        <v>275</v>
      </c>
      <c r="C116" s="168"/>
      <c r="D116" s="250"/>
      <c r="E116" s="104"/>
    </row>
    <row r="117" spans="1:5" ht="12" customHeight="1">
      <c r="A117" s="196" t="s">
        <v>72</v>
      </c>
      <c r="B117" s="10" t="s">
        <v>128</v>
      </c>
      <c r="C117" s="167"/>
      <c r="D117" s="251"/>
      <c r="E117" s="103"/>
    </row>
    <row r="118" spans="1:5" ht="12" customHeight="1">
      <c r="A118" s="196" t="s">
        <v>73</v>
      </c>
      <c r="B118" s="10" t="s">
        <v>276</v>
      </c>
      <c r="C118" s="167"/>
      <c r="D118" s="251"/>
      <c r="E118" s="103"/>
    </row>
    <row r="119" spans="1:5" ht="12" customHeight="1">
      <c r="A119" s="196" t="s">
        <v>74</v>
      </c>
      <c r="B119" s="111" t="s">
        <v>147</v>
      </c>
      <c r="C119" s="167">
        <v>6000000</v>
      </c>
      <c r="D119" s="251">
        <v>450000</v>
      </c>
      <c r="E119" s="103">
        <v>450000</v>
      </c>
    </row>
    <row r="120" spans="1:5" ht="12" customHeight="1">
      <c r="A120" s="196" t="s">
        <v>81</v>
      </c>
      <c r="B120" s="110" t="s">
        <v>335</v>
      </c>
      <c r="C120" s="167"/>
      <c r="D120" s="251"/>
      <c r="E120" s="103"/>
    </row>
    <row r="121" spans="1:5" ht="12" customHeight="1">
      <c r="A121" s="196" t="s">
        <v>83</v>
      </c>
      <c r="B121" s="175" t="s">
        <v>281</v>
      </c>
      <c r="C121" s="167"/>
      <c r="D121" s="251"/>
      <c r="E121" s="103"/>
    </row>
    <row r="122" spans="1:5" ht="12" customHeight="1">
      <c r="A122" s="196" t="s">
        <v>129</v>
      </c>
      <c r="B122" s="63" t="s">
        <v>264</v>
      </c>
      <c r="C122" s="167"/>
      <c r="D122" s="251"/>
      <c r="E122" s="103"/>
    </row>
    <row r="123" spans="1:5" ht="12" customHeight="1">
      <c r="A123" s="196" t="s">
        <v>130</v>
      </c>
      <c r="B123" s="63" t="s">
        <v>280</v>
      </c>
      <c r="C123" s="167"/>
      <c r="D123" s="251"/>
      <c r="E123" s="103"/>
    </row>
    <row r="124" spans="1:5" ht="12" customHeight="1">
      <c r="A124" s="196" t="s">
        <v>131</v>
      </c>
      <c r="B124" s="63" t="s">
        <v>279</v>
      </c>
      <c r="C124" s="167"/>
      <c r="D124" s="251"/>
      <c r="E124" s="103"/>
    </row>
    <row r="125" spans="1:5" ht="12" customHeight="1">
      <c r="A125" s="196" t="s">
        <v>272</v>
      </c>
      <c r="B125" s="63" t="s">
        <v>267</v>
      </c>
      <c r="C125" s="167">
        <v>6000000</v>
      </c>
      <c r="D125" s="251">
        <v>450000</v>
      </c>
      <c r="E125" s="103">
        <v>450000</v>
      </c>
    </row>
    <row r="126" spans="1:5" ht="12" customHeight="1">
      <c r="A126" s="196" t="s">
        <v>273</v>
      </c>
      <c r="B126" s="63" t="s">
        <v>278</v>
      </c>
      <c r="C126" s="167"/>
      <c r="D126" s="251"/>
      <c r="E126" s="103"/>
    </row>
    <row r="127" spans="1:5" ht="12" customHeight="1" thickBot="1">
      <c r="A127" s="205" t="s">
        <v>274</v>
      </c>
      <c r="B127" s="63" t="s">
        <v>277</v>
      </c>
      <c r="C127" s="169"/>
      <c r="D127" s="252"/>
      <c r="E127" s="105"/>
    </row>
    <row r="128" spans="1:5" ht="12" customHeight="1" thickBot="1">
      <c r="A128" s="25" t="s">
        <v>8</v>
      </c>
      <c r="B128" s="56" t="s">
        <v>353</v>
      </c>
      <c r="C128" s="166">
        <f>+C93+C114</f>
        <v>24710000</v>
      </c>
      <c r="D128" s="249">
        <f>+D93+D114</f>
        <v>25160000</v>
      </c>
      <c r="E128" s="102">
        <f>+E93+E114</f>
        <v>13957637</v>
      </c>
    </row>
    <row r="129" spans="1:5" ht="12" customHeight="1" thickBot="1">
      <c r="A129" s="25" t="s">
        <v>9</v>
      </c>
      <c r="B129" s="56" t="s">
        <v>354</v>
      </c>
      <c r="C129" s="166">
        <f>+C130+C131+C132</f>
        <v>0</v>
      </c>
      <c r="D129" s="249">
        <f>+D130+D131+D132</f>
        <v>0</v>
      </c>
      <c r="E129" s="102">
        <f>+E130+E131+E132</f>
        <v>0</v>
      </c>
    </row>
    <row r="130" spans="1:5" s="52" customFormat="1" ht="12" customHeight="1">
      <c r="A130" s="196" t="s">
        <v>179</v>
      </c>
      <c r="B130" s="7" t="s">
        <v>408</v>
      </c>
      <c r="C130" s="167"/>
      <c r="D130" s="251"/>
      <c r="E130" s="103"/>
    </row>
    <row r="131" spans="1:5" ht="12" customHeight="1">
      <c r="A131" s="196" t="s">
        <v>180</v>
      </c>
      <c r="B131" s="7" t="s">
        <v>362</v>
      </c>
      <c r="C131" s="167"/>
      <c r="D131" s="251"/>
      <c r="E131" s="103"/>
    </row>
    <row r="132" spans="1:5" ht="12" customHeight="1" thickBot="1">
      <c r="A132" s="205" t="s">
        <v>181</v>
      </c>
      <c r="B132" s="5" t="s">
        <v>407</v>
      </c>
      <c r="C132" s="167"/>
      <c r="D132" s="251"/>
      <c r="E132" s="103"/>
    </row>
    <row r="133" spans="1:5" ht="12" customHeight="1" thickBot="1">
      <c r="A133" s="25" t="s">
        <v>10</v>
      </c>
      <c r="B133" s="56" t="s">
        <v>355</v>
      </c>
      <c r="C133" s="166">
        <f>+C134+C135+C136+C137+C138+C139</f>
        <v>0</v>
      </c>
      <c r="D133" s="249">
        <f>+D134+D135+D136+D137+D138+D139</f>
        <v>0</v>
      </c>
      <c r="E133" s="102">
        <f>+E134+E135+E136+E137+E138+E139</f>
        <v>0</v>
      </c>
    </row>
    <row r="134" spans="1:5" ht="12" customHeight="1">
      <c r="A134" s="196" t="s">
        <v>57</v>
      </c>
      <c r="B134" s="7" t="s">
        <v>364</v>
      </c>
      <c r="C134" s="167"/>
      <c r="D134" s="251"/>
      <c r="E134" s="103"/>
    </row>
    <row r="135" spans="1:5" ht="12" customHeight="1">
      <c r="A135" s="196" t="s">
        <v>58</v>
      </c>
      <c r="B135" s="7" t="s">
        <v>356</v>
      </c>
      <c r="C135" s="167"/>
      <c r="D135" s="251"/>
      <c r="E135" s="103"/>
    </row>
    <row r="136" spans="1:5" ht="12" customHeight="1">
      <c r="A136" s="196" t="s">
        <v>59</v>
      </c>
      <c r="B136" s="7" t="s">
        <v>357</v>
      </c>
      <c r="C136" s="167"/>
      <c r="D136" s="251"/>
      <c r="E136" s="103"/>
    </row>
    <row r="137" spans="1:5" ht="12" customHeight="1">
      <c r="A137" s="196" t="s">
        <v>116</v>
      </c>
      <c r="B137" s="7" t="s">
        <v>406</v>
      </c>
      <c r="C137" s="167"/>
      <c r="D137" s="251"/>
      <c r="E137" s="103"/>
    </row>
    <row r="138" spans="1:5" ht="12" customHeight="1">
      <c r="A138" s="196" t="s">
        <v>117</v>
      </c>
      <c r="B138" s="7" t="s">
        <v>359</v>
      </c>
      <c r="C138" s="167"/>
      <c r="D138" s="251"/>
      <c r="E138" s="103"/>
    </row>
    <row r="139" spans="1:5" s="52" customFormat="1" ht="12" customHeight="1" thickBot="1">
      <c r="A139" s="205" t="s">
        <v>118</v>
      </c>
      <c r="B139" s="5" t="s">
        <v>360</v>
      </c>
      <c r="C139" s="167"/>
      <c r="D139" s="251"/>
      <c r="E139" s="103"/>
    </row>
    <row r="140" spans="1:11" ht="12" customHeight="1" thickBot="1">
      <c r="A140" s="25" t="s">
        <v>11</v>
      </c>
      <c r="B140" s="56" t="s">
        <v>421</v>
      </c>
      <c r="C140" s="172">
        <f>+C141+C142+C144+C145+C143</f>
        <v>0</v>
      </c>
      <c r="D140" s="253">
        <f>+D141+D142+D144+D145+D143</f>
        <v>0</v>
      </c>
      <c r="E140" s="208">
        <f>+E141+E142+E144+E145+E143</f>
        <v>0</v>
      </c>
      <c r="K140" s="95"/>
    </row>
    <row r="141" spans="1:5" ht="12.75">
      <c r="A141" s="196" t="s">
        <v>60</v>
      </c>
      <c r="B141" s="7" t="s">
        <v>282</v>
      </c>
      <c r="C141" s="167"/>
      <c r="D141" s="251"/>
      <c r="E141" s="103"/>
    </row>
    <row r="142" spans="1:5" ht="12" customHeight="1">
      <c r="A142" s="196" t="s">
        <v>61</v>
      </c>
      <c r="B142" s="7" t="s">
        <v>283</v>
      </c>
      <c r="C142" s="167"/>
      <c r="D142" s="251"/>
      <c r="E142" s="103"/>
    </row>
    <row r="143" spans="1:5" ht="12" customHeight="1">
      <c r="A143" s="196" t="s">
        <v>199</v>
      </c>
      <c r="B143" s="7" t="s">
        <v>420</v>
      </c>
      <c r="C143" s="167"/>
      <c r="D143" s="251"/>
      <c r="E143" s="103"/>
    </row>
    <row r="144" spans="1:5" s="52" customFormat="1" ht="12" customHeight="1">
      <c r="A144" s="196" t="s">
        <v>200</v>
      </c>
      <c r="B144" s="7" t="s">
        <v>369</v>
      </c>
      <c r="C144" s="167"/>
      <c r="D144" s="251"/>
      <c r="E144" s="103"/>
    </row>
    <row r="145" spans="1:5" s="52" customFormat="1" ht="12" customHeight="1" thickBot="1">
      <c r="A145" s="205" t="s">
        <v>201</v>
      </c>
      <c r="B145" s="5" t="s">
        <v>299</v>
      </c>
      <c r="C145" s="167"/>
      <c r="D145" s="251"/>
      <c r="E145" s="103"/>
    </row>
    <row r="146" spans="1:5" s="52" customFormat="1" ht="12" customHeight="1" thickBot="1">
      <c r="A146" s="25" t="s">
        <v>12</v>
      </c>
      <c r="B146" s="56" t="s">
        <v>370</v>
      </c>
      <c r="C146" s="242">
        <f>+C147+C148+C149+C150+C151</f>
        <v>0</v>
      </c>
      <c r="D146" s="254">
        <f>+D147+D148+D149+D150+D151</f>
        <v>0</v>
      </c>
      <c r="E146" s="236">
        <f>+E147+E148+E149+E150+E151</f>
        <v>0</v>
      </c>
    </row>
    <row r="147" spans="1:5" s="52" customFormat="1" ht="12" customHeight="1">
      <c r="A147" s="196" t="s">
        <v>62</v>
      </c>
      <c r="B147" s="7" t="s">
        <v>365</v>
      </c>
      <c r="C147" s="167"/>
      <c r="D147" s="251"/>
      <c r="E147" s="103"/>
    </row>
    <row r="148" spans="1:5" s="52" customFormat="1" ht="12" customHeight="1">
      <c r="A148" s="196" t="s">
        <v>63</v>
      </c>
      <c r="B148" s="7" t="s">
        <v>372</v>
      </c>
      <c r="C148" s="167"/>
      <c r="D148" s="251"/>
      <c r="E148" s="103"/>
    </row>
    <row r="149" spans="1:5" s="52" customFormat="1" ht="12" customHeight="1">
      <c r="A149" s="196" t="s">
        <v>211</v>
      </c>
      <c r="B149" s="7" t="s">
        <v>367</v>
      </c>
      <c r="C149" s="167"/>
      <c r="D149" s="251"/>
      <c r="E149" s="103"/>
    </row>
    <row r="150" spans="1:5" s="52" customFormat="1" ht="12" customHeight="1">
      <c r="A150" s="196" t="s">
        <v>212</v>
      </c>
      <c r="B150" s="7" t="s">
        <v>409</v>
      </c>
      <c r="C150" s="167"/>
      <c r="D150" s="251"/>
      <c r="E150" s="103"/>
    </row>
    <row r="151" spans="1:5" ht="12.75" customHeight="1" thickBot="1">
      <c r="A151" s="205" t="s">
        <v>371</v>
      </c>
      <c r="B151" s="5" t="s">
        <v>374</v>
      </c>
      <c r="C151" s="169"/>
      <c r="D151" s="252"/>
      <c r="E151" s="105"/>
    </row>
    <row r="152" spans="1:5" ht="12.75" customHeight="1" thickBot="1">
      <c r="A152" s="231" t="s">
        <v>13</v>
      </c>
      <c r="B152" s="56" t="s">
        <v>375</v>
      </c>
      <c r="C152" s="242"/>
      <c r="D152" s="254"/>
      <c r="E152" s="236"/>
    </row>
    <row r="153" spans="1:5" ht="12.75" customHeight="1" thickBot="1">
      <c r="A153" s="231" t="s">
        <v>14</v>
      </c>
      <c r="B153" s="56" t="s">
        <v>376</v>
      </c>
      <c r="C153" s="242"/>
      <c r="D153" s="254"/>
      <c r="E153" s="236"/>
    </row>
    <row r="154" spans="1:5" ht="12" customHeight="1" thickBot="1">
      <c r="A154" s="25" t="s">
        <v>15</v>
      </c>
      <c r="B154" s="56" t="s">
        <v>378</v>
      </c>
      <c r="C154" s="244">
        <f>+C129+C133+C140+C146+C152+C153</f>
        <v>0</v>
      </c>
      <c r="D154" s="256">
        <f>+D129+D133+D140+D146+D152+D153</f>
        <v>0</v>
      </c>
      <c r="E154" s="238">
        <f>+E129+E133+E140+E146+E152+E153</f>
        <v>0</v>
      </c>
    </row>
    <row r="155" spans="1:5" ht="15" customHeight="1" thickBot="1">
      <c r="A155" s="207" t="s">
        <v>16</v>
      </c>
      <c r="B155" s="153" t="s">
        <v>377</v>
      </c>
      <c r="C155" s="244">
        <f>+C128+C154</f>
        <v>24710000</v>
      </c>
      <c r="D155" s="256">
        <f>+D128+D154</f>
        <v>25160000</v>
      </c>
      <c r="E155" s="238">
        <f>+E128+E154</f>
        <v>13957637</v>
      </c>
    </row>
    <row r="156" spans="1:5" ht="13.5" thickBot="1">
      <c r="A156" s="156"/>
      <c r="B156" s="157"/>
      <c r="C156" s="656">
        <f>C90-C155</f>
        <v>0</v>
      </c>
      <c r="D156" s="656">
        <f>D90-D155</f>
        <v>0</v>
      </c>
      <c r="E156" s="158"/>
    </row>
    <row r="157" spans="1:5" ht="15" customHeight="1" thickBot="1">
      <c r="A157" s="326" t="s">
        <v>498</v>
      </c>
      <c r="B157" s="327"/>
      <c r="C157" s="315"/>
      <c r="D157" s="315"/>
      <c r="E157" s="314"/>
    </row>
    <row r="158" spans="1:5" ht="14.25" customHeight="1" thickBot="1">
      <c r="A158" s="328" t="s">
        <v>499</v>
      </c>
      <c r="B158" s="329"/>
      <c r="C158" s="315"/>
      <c r="D158" s="315"/>
      <c r="E158" s="314"/>
    </row>
  </sheetData>
  <sheetProtection sheet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C157" sqref="C157:E158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83"/>
      <c r="B1" s="814" t="str">
        <f>CONCATENATE("6.1.3. melléklet ",Z_ALAPADATOK!A7," ",Z_ALAPADATOK!B7," ",Z_ALAPADATOK!C7," ",Z_ALAPADATOK!D7," ",Z_ALAPADATOK!E7," ",Z_ALAPADATOK!F7," ",Z_ALAPADATOK!G7," ",Z_ALAPADATOK!H7)</f>
        <v>6.1.3. melléklet a … / 2019. ( … ) önkormányzati rendelethez</v>
      </c>
      <c r="C1" s="815"/>
      <c r="D1" s="815"/>
      <c r="E1" s="815"/>
    </row>
    <row r="2" spans="1:5" s="48" customFormat="1" ht="21" customHeight="1" thickBot="1">
      <c r="A2" s="392" t="s">
        <v>45</v>
      </c>
      <c r="B2" s="813" t="str">
        <f>CONCATENATE(Z_ALAPADATOK!A3)</f>
        <v>Besenyszög Város Önkormányzata</v>
      </c>
      <c r="C2" s="813"/>
      <c r="D2" s="813"/>
      <c r="E2" s="393" t="s">
        <v>39</v>
      </c>
    </row>
    <row r="3" spans="1:5" s="48" customFormat="1" ht="24.75" thickBot="1">
      <c r="A3" s="392" t="s">
        <v>137</v>
      </c>
      <c r="B3" s="813" t="s">
        <v>419</v>
      </c>
      <c r="C3" s="813"/>
      <c r="D3" s="813"/>
      <c r="E3" s="394" t="s">
        <v>43</v>
      </c>
    </row>
    <row r="4" spans="1:5" s="49" customFormat="1" ht="15.75" customHeight="1" thickBot="1">
      <c r="A4" s="386"/>
      <c r="B4" s="386"/>
      <c r="C4" s="387"/>
      <c r="D4" s="388"/>
      <c r="E4" s="387" t="str">
        <f>'Z_6.1.2.sz.mell'!E4</f>
        <v> Forintban!</v>
      </c>
    </row>
    <row r="5" spans="1:5" ht="24.75" thickBot="1">
      <c r="A5" s="389" t="s">
        <v>138</v>
      </c>
      <c r="B5" s="390" t="s">
        <v>497</v>
      </c>
      <c r="C5" s="390" t="s">
        <v>461</v>
      </c>
      <c r="D5" s="391" t="s">
        <v>462</v>
      </c>
      <c r="E5" s="372" t="str">
        <f>CONCATENATE('Z_6.1.2.sz.mell'!E5)</f>
        <v>Teljesítés
2018. XII. 31.</v>
      </c>
    </row>
    <row r="6" spans="1:5" s="44" customFormat="1" ht="12.75" customHeight="1" thickBot="1">
      <c r="A6" s="74" t="s">
        <v>389</v>
      </c>
      <c r="B6" s="75" t="s">
        <v>390</v>
      </c>
      <c r="C6" s="75" t="s">
        <v>391</v>
      </c>
      <c r="D6" s="309" t="s">
        <v>393</v>
      </c>
      <c r="E6" s="76" t="s">
        <v>392</v>
      </c>
    </row>
    <row r="7" spans="1:5" s="44" customFormat="1" ht="15.75" customHeight="1" thickBot="1">
      <c r="A7" s="810" t="s">
        <v>40</v>
      </c>
      <c r="B7" s="811"/>
      <c r="C7" s="811"/>
      <c r="D7" s="811"/>
      <c r="E7" s="812"/>
    </row>
    <row r="8" spans="1:5" s="44" customFormat="1" ht="12" customHeight="1" thickBot="1">
      <c r="A8" s="25" t="s">
        <v>6</v>
      </c>
      <c r="B8" s="19" t="s">
        <v>164</v>
      </c>
      <c r="C8" s="166">
        <f>+C9+C10+C11+C12+C13+C14</f>
        <v>43339100</v>
      </c>
      <c r="D8" s="249">
        <f>+D9+D10+D11+D12+D13+D14</f>
        <v>43807450</v>
      </c>
      <c r="E8" s="102">
        <f>+E9+E10+E11+E12+E13+E14</f>
        <v>44904890</v>
      </c>
    </row>
    <row r="9" spans="1:5" s="50" customFormat="1" ht="12" customHeight="1">
      <c r="A9" s="196" t="s">
        <v>64</v>
      </c>
      <c r="B9" s="179" t="s">
        <v>165</v>
      </c>
      <c r="C9" s="168">
        <v>43339100</v>
      </c>
      <c r="D9" s="250">
        <v>43807450</v>
      </c>
      <c r="E9" s="104">
        <v>44904890</v>
      </c>
    </row>
    <row r="10" spans="1:5" s="51" customFormat="1" ht="12" customHeight="1">
      <c r="A10" s="197" t="s">
        <v>65</v>
      </c>
      <c r="B10" s="180" t="s">
        <v>166</v>
      </c>
      <c r="C10" s="167"/>
      <c r="D10" s="251"/>
      <c r="E10" s="103"/>
    </row>
    <row r="11" spans="1:5" s="51" customFormat="1" ht="12" customHeight="1">
      <c r="A11" s="197" t="s">
        <v>66</v>
      </c>
      <c r="B11" s="180" t="s">
        <v>167</v>
      </c>
      <c r="C11" s="167"/>
      <c r="D11" s="251"/>
      <c r="E11" s="103"/>
    </row>
    <row r="12" spans="1:5" s="51" customFormat="1" ht="12" customHeight="1">
      <c r="A12" s="197" t="s">
        <v>67</v>
      </c>
      <c r="B12" s="180" t="s">
        <v>168</v>
      </c>
      <c r="C12" s="167"/>
      <c r="D12" s="251"/>
      <c r="E12" s="103"/>
    </row>
    <row r="13" spans="1:5" s="51" customFormat="1" ht="12" customHeight="1">
      <c r="A13" s="197" t="s">
        <v>99</v>
      </c>
      <c r="B13" s="180" t="s">
        <v>397</v>
      </c>
      <c r="C13" s="167"/>
      <c r="D13" s="251"/>
      <c r="E13" s="103"/>
    </row>
    <row r="14" spans="1:5" s="50" customFormat="1" ht="12" customHeight="1" thickBot="1">
      <c r="A14" s="198" t="s">
        <v>68</v>
      </c>
      <c r="B14" s="181" t="s">
        <v>338</v>
      </c>
      <c r="C14" s="167"/>
      <c r="D14" s="251"/>
      <c r="E14" s="103"/>
    </row>
    <row r="15" spans="1:5" s="50" customFormat="1" ht="12" customHeight="1" thickBot="1">
      <c r="A15" s="25" t="s">
        <v>7</v>
      </c>
      <c r="B15" s="109" t="s">
        <v>169</v>
      </c>
      <c r="C15" s="166">
        <f>+C16+C17+C18+C19+C20</f>
        <v>0</v>
      </c>
      <c r="D15" s="249">
        <f>+D16+D17+D18+D19+D20</f>
        <v>0</v>
      </c>
      <c r="E15" s="102">
        <f>+E16+E17+E18+E19+E20</f>
        <v>0</v>
      </c>
    </row>
    <row r="16" spans="1:5" s="50" customFormat="1" ht="12" customHeight="1">
      <c r="A16" s="196" t="s">
        <v>70</v>
      </c>
      <c r="B16" s="179" t="s">
        <v>170</v>
      </c>
      <c r="C16" s="168"/>
      <c r="D16" s="250"/>
      <c r="E16" s="104"/>
    </row>
    <row r="17" spans="1:5" s="50" customFormat="1" ht="12" customHeight="1">
      <c r="A17" s="197" t="s">
        <v>71</v>
      </c>
      <c r="B17" s="180" t="s">
        <v>171</v>
      </c>
      <c r="C17" s="167"/>
      <c r="D17" s="251"/>
      <c r="E17" s="103"/>
    </row>
    <row r="18" spans="1:5" s="50" customFormat="1" ht="12" customHeight="1">
      <c r="A18" s="197" t="s">
        <v>72</v>
      </c>
      <c r="B18" s="180" t="s">
        <v>329</v>
      </c>
      <c r="C18" s="167"/>
      <c r="D18" s="251"/>
      <c r="E18" s="103"/>
    </row>
    <row r="19" spans="1:5" s="50" customFormat="1" ht="12" customHeight="1">
      <c r="A19" s="197" t="s">
        <v>73</v>
      </c>
      <c r="B19" s="180" t="s">
        <v>330</v>
      </c>
      <c r="C19" s="167"/>
      <c r="D19" s="251"/>
      <c r="E19" s="103"/>
    </row>
    <row r="20" spans="1:5" s="50" customFormat="1" ht="12" customHeight="1">
      <c r="A20" s="197" t="s">
        <v>74</v>
      </c>
      <c r="B20" s="180" t="s">
        <v>172</v>
      </c>
      <c r="C20" s="167"/>
      <c r="D20" s="251"/>
      <c r="E20" s="103"/>
    </row>
    <row r="21" spans="1:5" s="51" customFormat="1" ht="12" customHeight="1" thickBot="1">
      <c r="A21" s="198" t="s">
        <v>81</v>
      </c>
      <c r="B21" s="181" t="s">
        <v>173</v>
      </c>
      <c r="C21" s="169"/>
      <c r="D21" s="252"/>
      <c r="E21" s="105"/>
    </row>
    <row r="22" spans="1:5" s="51" customFormat="1" ht="12" customHeight="1" thickBot="1">
      <c r="A22" s="25" t="s">
        <v>8</v>
      </c>
      <c r="B22" s="19" t="s">
        <v>174</v>
      </c>
      <c r="C22" s="166">
        <f>+C23+C24+C25+C26+C27</f>
        <v>0</v>
      </c>
      <c r="D22" s="249">
        <f>+D23+D24+D25+D26+D27</f>
        <v>0</v>
      </c>
      <c r="E22" s="102">
        <f>+E23+E24+E25+E26+E27</f>
        <v>0</v>
      </c>
    </row>
    <row r="23" spans="1:5" s="51" customFormat="1" ht="12" customHeight="1">
      <c r="A23" s="196" t="s">
        <v>53</v>
      </c>
      <c r="B23" s="179" t="s">
        <v>175</v>
      </c>
      <c r="C23" s="168"/>
      <c r="D23" s="250"/>
      <c r="E23" s="104"/>
    </row>
    <row r="24" spans="1:5" s="50" customFormat="1" ht="12" customHeight="1">
      <c r="A24" s="197" t="s">
        <v>54</v>
      </c>
      <c r="B24" s="180" t="s">
        <v>176</v>
      </c>
      <c r="C24" s="167"/>
      <c r="D24" s="251"/>
      <c r="E24" s="103"/>
    </row>
    <row r="25" spans="1:5" s="51" customFormat="1" ht="12" customHeight="1">
      <c r="A25" s="197" t="s">
        <v>55</v>
      </c>
      <c r="B25" s="180" t="s">
        <v>331</v>
      </c>
      <c r="C25" s="167"/>
      <c r="D25" s="251"/>
      <c r="E25" s="103"/>
    </row>
    <row r="26" spans="1:5" s="51" customFormat="1" ht="12" customHeight="1">
      <c r="A26" s="197" t="s">
        <v>56</v>
      </c>
      <c r="B26" s="180" t="s">
        <v>332</v>
      </c>
      <c r="C26" s="167"/>
      <c r="D26" s="251"/>
      <c r="E26" s="103"/>
    </row>
    <row r="27" spans="1:5" s="51" customFormat="1" ht="12" customHeight="1">
      <c r="A27" s="197" t="s">
        <v>112</v>
      </c>
      <c r="B27" s="180" t="s">
        <v>177</v>
      </c>
      <c r="C27" s="167"/>
      <c r="D27" s="251"/>
      <c r="E27" s="103"/>
    </row>
    <row r="28" spans="1:5" s="51" customFormat="1" ht="12" customHeight="1" thickBot="1">
      <c r="A28" s="198" t="s">
        <v>113</v>
      </c>
      <c r="B28" s="181" t="s">
        <v>178</v>
      </c>
      <c r="C28" s="169"/>
      <c r="D28" s="252"/>
      <c r="E28" s="105"/>
    </row>
    <row r="29" spans="1:5" s="51" customFormat="1" ht="12" customHeight="1" thickBot="1">
      <c r="A29" s="25" t="s">
        <v>114</v>
      </c>
      <c r="B29" s="19" t="s">
        <v>488</v>
      </c>
      <c r="C29" s="172">
        <f>SUM(C30:C36)</f>
        <v>0</v>
      </c>
      <c r="D29" s="172">
        <f>SUM(D30:D36)</f>
        <v>0</v>
      </c>
      <c r="E29" s="208">
        <f>SUM(E30:E36)</f>
        <v>0</v>
      </c>
    </row>
    <row r="30" spans="1:5" s="51" customFormat="1" ht="12" customHeight="1">
      <c r="A30" s="196" t="s">
        <v>179</v>
      </c>
      <c r="B30" s="179" t="s">
        <v>489</v>
      </c>
      <c r="C30" s="168">
        <f>+C31+C32+C33</f>
        <v>0</v>
      </c>
      <c r="D30" s="168">
        <f>+D31+D32+D33</f>
        <v>0</v>
      </c>
      <c r="E30" s="104">
        <f>+E31+E32+E33</f>
        <v>0</v>
      </c>
    </row>
    <row r="31" spans="1:5" s="51" customFormat="1" ht="12" customHeight="1">
      <c r="A31" s="197" t="s">
        <v>180</v>
      </c>
      <c r="B31" s="180" t="s">
        <v>490</v>
      </c>
      <c r="C31" s="167"/>
      <c r="D31" s="167"/>
      <c r="E31" s="103"/>
    </row>
    <row r="32" spans="1:5" s="51" customFormat="1" ht="12" customHeight="1">
      <c r="A32" s="197" t="s">
        <v>181</v>
      </c>
      <c r="B32" s="180" t="s">
        <v>491</v>
      </c>
      <c r="C32" s="167"/>
      <c r="D32" s="167"/>
      <c r="E32" s="103"/>
    </row>
    <row r="33" spans="1:5" s="51" customFormat="1" ht="12" customHeight="1">
      <c r="A33" s="197" t="s">
        <v>182</v>
      </c>
      <c r="B33" s="180" t="s">
        <v>492</v>
      </c>
      <c r="C33" s="167"/>
      <c r="D33" s="167"/>
      <c r="E33" s="103"/>
    </row>
    <row r="34" spans="1:5" s="51" customFormat="1" ht="12" customHeight="1">
      <c r="A34" s="197" t="s">
        <v>493</v>
      </c>
      <c r="B34" s="180" t="s">
        <v>183</v>
      </c>
      <c r="C34" s="167"/>
      <c r="D34" s="167"/>
      <c r="E34" s="103"/>
    </row>
    <row r="35" spans="1:5" s="51" customFormat="1" ht="12" customHeight="1">
      <c r="A35" s="197" t="s">
        <v>494</v>
      </c>
      <c r="B35" s="180" t="s">
        <v>184</v>
      </c>
      <c r="C35" s="167"/>
      <c r="D35" s="167"/>
      <c r="E35" s="103"/>
    </row>
    <row r="36" spans="1:5" s="51" customFormat="1" ht="12" customHeight="1" thickBot="1">
      <c r="A36" s="198" t="s">
        <v>495</v>
      </c>
      <c r="B36" s="325" t="s">
        <v>185</v>
      </c>
      <c r="C36" s="169"/>
      <c r="D36" s="169"/>
      <c r="E36" s="105"/>
    </row>
    <row r="37" spans="1:5" s="51" customFormat="1" ht="12" customHeight="1" thickBot="1">
      <c r="A37" s="25" t="s">
        <v>10</v>
      </c>
      <c r="B37" s="19" t="s">
        <v>339</v>
      </c>
      <c r="C37" s="166">
        <f>SUM(C38:C48)</f>
        <v>0</v>
      </c>
      <c r="D37" s="249">
        <f>SUM(D38:D48)</f>
        <v>0</v>
      </c>
      <c r="E37" s="102">
        <f>SUM(E38:E48)</f>
        <v>0</v>
      </c>
    </row>
    <row r="38" spans="1:5" s="51" customFormat="1" ht="12" customHeight="1">
      <c r="A38" s="196" t="s">
        <v>57</v>
      </c>
      <c r="B38" s="179" t="s">
        <v>188</v>
      </c>
      <c r="C38" s="168"/>
      <c r="D38" s="250"/>
      <c r="E38" s="104"/>
    </row>
    <row r="39" spans="1:5" s="51" customFormat="1" ht="12" customHeight="1">
      <c r="A39" s="197" t="s">
        <v>58</v>
      </c>
      <c r="B39" s="180" t="s">
        <v>189</v>
      </c>
      <c r="C39" s="167"/>
      <c r="D39" s="251"/>
      <c r="E39" s="103"/>
    </row>
    <row r="40" spans="1:5" s="51" customFormat="1" ht="12" customHeight="1">
      <c r="A40" s="197" t="s">
        <v>59</v>
      </c>
      <c r="B40" s="180" t="s">
        <v>190</v>
      </c>
      <c r="C40" s="167"/>
      <c r="D40" s="251"/>
      <c r="E40" s="103"/>
    </row>
    <row r="41" spans="1:5" s="51" customFormat="1" ht="12" customHeight="1">
      <c r="A41" s="197" t="s">
        <v>116</v>
      </c>
      <c r="B41" s="180" t="s">
        <v>191</v>
      </c>
      <c r="C41" s="167"/>
      <c r="D41" s="251"/>
      <c r="E41" s="103"/>
    </row>
    <row r="42" spans="1:5" s="51" customFormat="1" ht="12" customHeight="1">
      <c r="A42" s="197" t="s">
        <v>117</v>
      </c>
      <c r="B42" s="180" t="s">
        <v>192</v>
      </c>
      <c r="C42" s="167"/>
      <c r="D42" s="251"/>
      <c r="E42" s="103"/>
    </row>
    <row r="43" spans="1:5" s="51" customFormat="1" ht="12" customHeight="1">
      <c r="A43" s="197" t="s">
        <v>118</v>
      </c>
      <c r="B43" s="180" t="s">
        <v>193</v>
      </c>
      <c r="C43" s="167"/>
      <c r="D43" s="251"/>
      <c r="E43" s="103"/>
    </row>
    <row r="44" spans="1:5" s="51" customFormat="1" ht="12" customHeight="1">
      <c r="A44" s="197" t="s">
        <v>119</v>
      </c>
      <c r="B44" s="180" t="s">
        <v>194</v>
      </c>
      <c r="C44" s="167"/>
      <c r="D44" s="251"/>
      <c r="E44" s="103"/>
    </row>
    <row r="45" spans="1:5" s="51" customFormat="1" ht="12" customHeight="1">
      <c r="A45" s="197" t="s">
        <v>120</v>
      </c>
      <c r="B45" s="180" t="s">
        <v>496</v>
      </c>
      <c r="C45" s="167"/>
      <c r="D45" s="251"/>
      <c r="E45" s="103"/>
    </row>
    <row r="46" spans="1:5" s="51" customFormat="1" ht="12" customHeight="1">
      <c r="A46" s="197" t="s">
        <v>186</v>
      </c>
      <c r="B46" s="180" t="s">
        <v>196</v>
      </c>
      <c r="C46" s="170"/>
      <c r="D46" s="310"/>
      <c r="E46" s="106"/>
    </row>
    <row r="47" spans="1:5" s="51" customFormat="1" ht="12" customHeight="1">
      <c r="A47" s="198" t="s">
        <v>187</v>
      </c>
      <c r="B47" s="181" t="s">
        <v>341</v>
      </c>
      <c r="C47" s="171"/>
      <c r="D47" s="311"/>
      <c r="E47" s="107"/>
    </row>
    <row r="48" spans="1:5" s="51" customFormat="1" ht="12" customHeight="1" thickBot="1">
      <c r="A48" s="198" t="s">
        <v>340</v>
      </c>
      <c r="B48" s="181" t="s">
        <v>197</v>
      </c>
      <c r="C48" s="171"/>
      <c r="D48" s="311"/>
      <c r="E48" s="107"/>
    </row>
    <row r="49" spans="1:5" s="51" customFormat="1" ht="12" customHeight="1" thickBot="1">
      <c r="A49" s="25" t="s">
        <v>11</v>
      </c>
      <c r="B49" s="19" t="s">
        <v>198</v>
      </c>
      <c r="C49" s="166">
        <f>SUM(C50:C54)</f>
        <v>0</v>
      </c>
      <c r="D49" s="249">
        <f>SUM(D50:D54)</f>
        <v>0</v>
      </c>
      <c r="E49" s="102">
        <f>SUM(E50:E54)</f>
        <v>0</v>
      </c>
    </row>
    <row r="50" spans="1:5" s="51" customFormat="1" ht="12" customHeight="1">
      <c r="A50" s="196" t="s">
        <v>60</v>
      </c>
      <c r="B50" s="179" t="s">
        <v>202</v>
      </c>
      <c r="C50" s="219"/>
      <c r="D50" s="312"/>
      <c r="E50" s="108"/>
    </row>
    <row r="51" spans="1:5" s="51" customFormat="1" ht="12" customHeight="1">
      <c r="A51" s="197" t="s">
        <v>61</v>
      </c>
      <c r="B51" s="180" t="s">
        <v>203</v>
      </c>
      <c r="C51" s="170"/>
      <c r="D51" s="310"/>
      <c r="E51" s="106"/>
    </row>
    <row r="52" spans="1:5" s="51" customFormat="1" ht="12" customHeight="1">
      <c r="A52" s="197" t="s">
        <v>199</v>
      </c>
      <c r="B52" s="180" t="s">
        <v>204</v>
      </c>
      <c r="C52" s="170"/>
      <c r="D52" s="310"/>
      <c r="E52" s="106"/>
    </row>
    <row r="53" spans="1:5" s="51" customFormat="1" ht="12" customHeight="1">
      <c r="A53" s="197" t="s">
        <v>200</v>
      </c>
      <c r="B53" s="180" t="s">
        <v>205</v>
      </c>
      <c r="C53" s="170"/>
      <c r="D53" s="310"/>
      <c r="E53" s="106"/>
    </row>
    <row r="54" spans="1:5" s="51" customFormat="1" ht="12" customHeight="1" thickBot="1">
      <c r="A54" s="198" t="s">
        <v>201</v>
      </c>
      <c r="B54" s="181" t="s">
        <v>206</v>
      </c>
      <c r="C54" s="171"/>
      <c r="D54" s="311"/>
      <c r="E54" s="107"/>
    </row>
    <row r="55" spans="1:5" s="51" customFormat="1" ht="12" customHeight="1" thickBot="1">
      <c r="A55" s="25" t="s">
        <v>121</v>
      </c>
      <c r="B55" s="19" t="s">
        <v>207</v>
      </c>
      <c r="C55" s="166">
        <f>SUM(C56:C58)</f>
        <v>0</v>
      </c>
      <c r="D55" s="249">
        <f>SUM(D56:D58)</f>
        <v>0</v>
      </c>
      <c r="E55" s="102">
        <f>SUM(E56:E58)</f>
        <v>0</v>
      </c>
    </row>
    <row r="56" spans="1:5" s="51" customFormat="1" ht="12" customHeight="1">
      <c r="A56" s="196" t="s">
        <v>62</v>
      </c>
      <c r="B56" s="179" t="s">
        <v>208</v>
      </c>
      <c r="C56" s="168"/>
      <c r="D56" s="250"/>
      <c r="E56" s="104"/>
    </row>
    <row r="57" spans="1:5" s="51" customFormat="1" ht="12" customHeight="1">
      <c r="A57" s="197" t="s">
        <v>63</v>
      </c>
      <c r="B57" s="180" t="s">
        <v>333</v>
      </c>
      <c r="C57" s="167"/>
      <c r="D57" s="251"/>
      <c r="E57" s="103"/>
    </row>
    <row r="58" spans="1:5" s="51" customFormat="1" ht="12" customHeight="1">
      <c r="A58" s="197" t="s">
        <v>211</v>
      </c>
      <c r="B58" s="180" t="s">
        <v>209</v>
      </c>
      <c r="C58" s="167"/>
      <c r="D58" s="251"/>
      <c r="E58" s="103"/>
    </row>
    <row r="59" spans="1:5" s="51" customFormat="1" ht="12" customHeight="1" thickBot="1">
      <c r="A59" s="198" t="s">
        <v>212</v>
      </c>
      <c r="B59" s="181" t="s">
        <v>210</v>
      </c>
      <c r="C59" s="169"/>
      <c r="D59" s="252"/>
      <c r="E59" s="105"/>
    </row>
    <row r="60" spans="1:5" s="51" customFormat="1" ht="12" customHeight="1" thickBot="1">
      <c r="A60" s="25" t="s">
        <v>13</v>
      </c>
      <c r="B60" s="109" t="s">
        <v>213</v>
      </c>
      <c r="C60" s="166">
        <f>SUM(C61:C63)</f>
        <v>0</v>
      </c>
      <c r="D60" s="249">
        <f>SUM(D61:D63)</f>
        <v>0</v>
      </c>
      <c r="E60" s="102">
        <f>SUM(E61:E63)</f>
        <v>0</v>
      </c>
    </row>
    <row r="61" spans="1:5" s="51" customFormat="1" ht="12" customHeight="1">
      <c r="A61" s="196" t="s">
        <v>122</v>
      </c>
      <c r="B61" s="179" t="s">
        <v>215</v>
      </c>
      <c r="C61" s="170"/>
      <c r="D61" s="310"/>
      <c r="E61" s="106"/>
    </row>
    <row r="62" spans="1:5" s="51" customFormat="1" ht="12" customHeight="1">
      <c r="A62" s="197" t="s">
        <v>123</v>
      </c>
      <c r="B62" s="180" t="s">
        <v>334</v>
      </c>
      <c r="C62" s="170"/>
      <c r="D62" s="310"/>
      <c r="E62" s="106"/>
    </row>
    <row r="63" spans="1:5" s="51" customFormat="1" ht="12" customHeight="1">
      <c r="A63" s="197" t="s">
        <v>146</v>
      </c>
      <c r="B63" s="180" t="s">
        <v>216</v>
      </c>
      <c r="C63" s="170"/>
      <c r="D63" s="310"/>
      <c r="E63" s="106"/>
    </row>
    <row r="64" spans="1:5" s="51" customFormat="1" ht="12" customHeight="1" thickBot="1">
      <c r="A64" s="198" t="s">
        <v>214</v>
      </c>
      <c r="B64" s="181" t="s">
        <v>217</v>
      </c>
      <c r="C64" s="170"/>
      <c r="D64" s="310"/>
      <c r="E64" s="106"/>
    </row>
    <row r="65" spans="1:5" s="51" customFormat="1" ht="12" customHeight="1" thickBot="1">
      <c r="A65" s="25" t="s">
        <v>14</v>
      </c>
      <c r="B65" s="19" t="s">
        <v>218</v>
      </c>
      <c r="C65" s="172">
        <f>+C8+C15+C22+C29+C37+C49+C55+C60</f>
        <v>43339100</v>
      </c>
      <c r="D65" s="253">
        <f>+D8+D15+D22+D29+D37+D49+D55+D60</f>
        <v>43807450</v>
      </c>
      <c r="E65" s="208">
        <f>+E8+E15+E22+E29+E37+E49+E55+E60</f>
        <v>44904890</v>
      </c>
    </row>
    <row r="66" spans="1:5" s="51" customFormat="1" ht="12" customHeight="1" thickBot="1">
      <c r="A66" s="199" t="s">
        <v>303</v>
      </c>
      <c r="B66" s="109" t="s">
        <v>220</v>
      </c>
      <c r="C66" s="166">
        <f>SUM(C67:C69)</f>
        <v>0</v>
      </c>
      <c r="D66" s="249">
        <f>SUM(D67:D69)</f>
        <v>0</v>
      </c>
      <c r="E66" s="102">
        <f>SUM(E67:E69)</f>
        <v>0</v>
      </c>
    </row>
    <row r="67" spans="1:5" s="51" customFormat="1" ht="12" customHeight="1">
      <c r="A67" s="196" t="s">
        <v>248</v>
      </c>
      <c r="B67" s="179" t="s">
        <v>221</v>
      </c>
      <c r="C67" s="170"/>
      <c r="D67" s="310"/>
      <c r="E67" s="106"/>
    </row>
    <row r="68" spans="1:5" s="51" customFormat="1" ht="12" customHeight="1">
      <c r="A68" s="197" t="s">
        <v>257</v>
      </c>
      <c r="B68" s="180" t="s">
        <v>222</v>
      </c>
      <c r="C68" s="170"/>
      <c r="D68" s="310"/>
      <c r="E68" s="106"/>
    </row>
    <row r="69" spans="1:5" s="51" customFormat="1" ht="12" customHeight="1" thickBot="1">
      <c r="A69" s="198" t="s">
        <v>258</v>
      </c>
      <c r="B69" s="182" t="s">
        <v>223</v>
      </c>
      <c r="C69" s="170"/>
      <c r="D69" s="313"/>
      <c r="E69" s="106"/>
    </row>
    <row r="70" spans="1:5" s="51" customFormat="1" ht="12" customHeight="1" thickBot="1">
      <c r="A70" s="199" t="s">
        <v>224</v>
      </c>
      <c r="B70" s="109" t="s">
        <v>225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1" customFormat="1" ht="12" customHeight="1">
      <c r="A71" s="196" t="s">
        <v>100</v>
      </c>
      <c r="B71" s="363" t="s">
        <v>226</v>
      </c>
      <c r="C71" s="170"/>
      <c r="D71" s="170"/>
      <c r="E71" s="106"/>
    </row>
    <row r="72" spans="1:5" s="51" customFormat="1" ht="12" customHeight="1">
      <c r="A72" s="197" t="s">
        <v>101</v>
      </c>
      <c r="B72" s="363" t="s">
        <v>503</v>
      </c>
      <c r="C72" s="170"/>
      <c r="D72" s="170"/>
      <c r="E72" s="106"/>
    </row>
    <row r="73" spans="1:5" s="51" customFormat="1" ht="12" customHeight="1">
      <c r="A73" s="197" t="s">
        <v>249</v>
      </c>
      <c r="B73" s="363" t="s">
        <v>227</v>
      </c>
      <c r="C73" s="170"/>
      <c r="D73" s="170"/>
      <c r="E73" s="106"/>
    </row>
    <row r="74" spans="1:5" s="51" customFormat="1" ht="12" customHeight="1" thickBot="1">
      <c r="A74" s="198" t="s">
        <v>250</v>
      </c>
      <c r="B74" s="364" t="s">
        <v>504</v>
      </c>
      <c r="C74" s="170"/>
      <c r="D74" s="170"/>
      <c r="E74" s="106"/>
    </row>
    <row r="75" spans="1:5" s="51" customFormat="1" ht="12" customHeight="1" thickBot="1">
      <c r="A75" s="199" t="s">
        <v>228</v>
      </c>
      <c r="B75" s="109" t="s">
        <v>229</v>
      </c>
      <c r="C75" s="166">
        <f>SUM(C76:C77)</f>
        <v>0</v>
      </c>
      <c r="D75" s="166">
        <f>SUM(D76:D77)</f>
        <v>0</v>
      </c>
      <c r="E75" s="102">
        <f>SUM(E76:E77)</f>
        <v>0</v>
      </c>
    </row>
    <row r="76" spans="1:5" s="51" customFormat="1" ht="12" customHeight="1">
      <c r="A76" s="196" t="s">
        <v>251</v>
      </c>
      <c r="B76" s="179" t="s">
        <v>230</v>
      </c>
      <c r="C76" s="170"/>
      <c r="D76" s="170"/>
      <c r="E76" s="106"/>
    </row>
    <row r="77" spans="1:5" s="51" customFormat="1" ht="12" customHeight="1" thickBot="1">
      <c r="A77" s="198" t="s">
        <v>252</v>
      </c>
      <c r="B77" s="181" t="s">
        <v>231</v>
      </c>
      <c r="C77" s="170"/>
      <c r="D77" s="170"/>
      <c r="E77" s="106"/>
    </row>
    <row r="78" spans="1:5" s="50" customFormat="1" ht="12" customHeight="1" thickBot="1">
      <c r="A78" s="199" t="s">
        <v>232</v>
      </c>
      <c r="B78" s="109" t="s">
        <v>233</v>
      </c>
      <c r="C78" s="166">
        <f>SUM(C79:C81)</f>
        <v>0</v>
      </c>
      <c r="D78" s="166">
        <f>SUM(D79:D81)</f>
        <v>0</v>
      </c>
      <c r="E78" s="102">
        <f>SUM(E79:E81)</f>
        <v>0</v>
      </c>
    </row>
    <row r="79" spans="1:5" s="51" customFormat="1" ht="12" customHeight="1">
      <c r="A79" s="196" t="s">
        <v>253</v>
      </c>
      <c r="B79" s="179" t="s">
        <v>234</v>
      </c>
      <c r="C79" s="170"/>
      <c r="D79" s="170"/>
      <c r="E79" s="106"/>
    </row>
    <row r="80" spans="1:5" s="51" customFormat="1" ht="12" customHeight="1">
      <c r="A80" s="197" t="s">
        <v>254</v>
      </c>
      <c r="B80" s="180" t="s">
        <v>235</v>
      </c>
      <c r="C80" s="170"/>
      <c r="D80" s="170"/>
      <c r="E80" s="106"/>
    </row>
    <row r="81" spans="1:5" s="51" customFormat="1" ht="12" customHeight="1" thickBot="1">
      <c r="A81" s="198" t="s">
        <v>255</v>
      </c>
      <c r="B81" s="181" t="s">
        <v>505</v>
      </c>
      <c r="C81" s="170"/>
      <c r="D81" s="170"/>
      <c r="E81" s="106"/>
    </row>
    <row r="82" spans="1:5" s="51" customFormat="1" ht="12" customHeight="1" thickBot="1">
      <c r="A82" s="199" t="s">
        <v>236</v>
      </c>
      <c r="B82" s="109" t="s">
        <v>256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1" customFormat="1" ht="12" customHeight="1">
      <c r="A83" s="200" t="s">
        <v>237</v>
      </c>
      <c r="B83" s="179" t="s">
        <v>238</v>
      </c>
      <c r="C83" s="170"/>
      <c r="D83" s="170"/>
      <c r="E83" s="106"/>
    </row>
    <row r="84" spans="1:5" s="51" customFormat="1" ht="12" customHeight="1">
      <c r="A84" s="201" t="s">
        <v>239</v>
      </c>
      <c r="B84" s="180" t="s">
        <v>240</v>
      </c>
      <c r="C84" s="170"/>
      <c r="D84" s="170"/>
      <c r="E84" s="106"/>
    </row>
    <row r="85" spans="1:5" s="51" customFormat="1" ht="12" customHeight="1">
      <c r="A85" s="201" t="s">
        <v>241</v>
      </c>
      <c r="B85" s="180" t="s">
        <v>242</v>
      </c>
      <c r="C85" s="170"/>
      <c r="D85" s="170"/>
      <c r="E85" s="106"/>
    </row>
    <row r="86" spans="1:5" s="50" customFormat="1" ht="12" customHeight="1" thickBot="1">
      <c r="A86" s="202" t="s">
        <v>243</v>
      </c>
      <c r="B86" s="181" t="s">
        <v>244</v>
      </c>
      <c r="C86" s="170"/>
      <c r="D86" s="170"/>
      <c r="E86" s="106"/>
    </row>
    <row r="87" spans="1:5" s="50" customFormat="1" ht="12" customHeight="1" thickBot="1">
      <c r="A87" s="199" t="s">
        <v>245</v>
      </c>
      <c r="B87" s="109" t="s">
        <v>380</v>
      </c>
      <c r="C87" s="222"/>
      <c r="D87" s="222"/>
      <c r="E87" s="223"/>
    </row>
    <row r="88" spans="1:5" s="50" customFormat="1" ht="12" customHeight="1" thickBot="1">
      <c r="A88" s="199" t="s">
        <v>398</v>
      </c>
      <c r="B88" s="109" t="s">
        <v>246</v>
      </c>
      <c r="C88" s="222"/>
      <c r="D88" s="222"/>
      <c r="E88" s="223"/>
    </row>
    <row r="89" spans="1:5" s="50" customFormat="1" ht="12" customHeight="1" thickBot="1">
      <c r="A89" s="199" t="s">
        <v>399</v>
      </c>
      <c r="B89" s="186" t="s">
        <v>383</v>
      </c>
      <c r="C89" s="172">
        <f>+C66+C70+C75+C78+C82+C88+C87</f>
        <v>0</v>
      </c>
      <c r="D89" s="172">
        <f>+D66+D70+D75+D78+D82+D88+D87</f>
        <v>0</v>
      </c>
      <c r="E89" s="208">
        <f>+E66+E70+E75+E78+E82+E88+E87</f>
        <v>0</v>
      </c>
    </row>
    <row r="90" spans="1:5" s="50" customFormat="1" ht="12" customHeight="1" thickBot="1">
      <c r="A90" s="203" t="s">
        <v>400</v>
      </c>
      <c r="B90" s="187" t="s">
        <v>401</v>
      </c>
      <c r="C90" s="172">
        <f>+C65+C89</f>
        <v>43339100</v>
      </c>
      <c r="D90" s="172">
        <f>+D65+D89</f>
        <v>43807450</v>
      </c>
      <c r="E90" s="208">
        <f>+E65+E89</f>
        <v>44904890</v>
      </c>
    </row>
    <row r="91" spans="1:3" s="51" customFormat="1" ht="15" customHeight="1" thickBot="1">
      <c r="A91" s="86"/>
      <c r="B91" s="87"/>
      <c r="C91" s="148"/>
    </row>
    <row r="92" spans="1:5" s="44" customFormat="1" ht="16.5" customHeight="1" thickBot="1">
      <c r="A92" s="810" t="s">
        <v>41</v>
      </c>
      <c r="B92" s="811"/>
      <c r="C92" s="811"/>
      <c r="D92" s="811"/>
      <c r="E92" s="812"/>
    </row>
    <row r="93" spans="1:5" s="52" customFormat="1" ht="12" customHeight="1" thickBot="1">
      <c r="A93" s="173" t="s">
        <v>6</v>
      </c>
      <c r="B93" s="24" t="s">
        <v>405</v>
      </c>
      <c r="C93" s="165">
        <f>+C94+C95+C96+C97+C98+C111</f>
        <v>0</v>
      </c>
      <c r="D93" s="165">
        <f>+D94+D95+D96+D97+D98+D111</f>
        <v>0</v>
      </c>
      <c r="E93" s="232">
        <f>+E94+E95+E96+E97+E98+E111</f>
        <v>0</v>
      </c>
    </row>
    <row r="94" spans="1:5" ht="12" customHeight="1">
      <c r="A94" s="204" t="s">
        <v>64</v>
      </c>
      <c r="B94" s="8" t="s">
        <v>35</v>
      </c>
      <c r="C94" s="239"/>
      <c r="D94" s="239"/>
      <c r="E94" s="233"/>
    </row>
    <row r="95" spans="1:5" ht="12" customHeight="1">
      <c r="A95" s="197" t="s">
        <v>65</v>
      </c>
      <c r="B95" s="6" t="s">
        <v>124</v>
      </c>
      <c r="C95" s="167"/>
      <c r="D95" s="167"/>
      <c r="E95" s="103"/>
    </row>
    <row r="96" spans="1:5" ht="12" customHeight="1">
      <c r="A96" s="197" t="s">
        <v>66</v>
      </c>
      <c r="B96" s="6" t="s">
        <v>92</v>
      </c>
      <c r="C96" s="169"/>
      <c r="D96" s="167"/>
      <c r="E96" s="105"/>
    </row>
    <row r="97" spans="1:5" ht="12" customHeight="1">
      <c r="A97" s="197" t="s">
        <v>67</v>
      </c>
      <c r="B97" s="9" t="s">
        <v>125</v>
      </c>
      <c r="C97" s="169"/>
      <c r="D97" s="252"/>
      <c r="E97" s="105"/>
    </row>
    <row r="98" spans="1:5" ht="12" customHeight="1">
      <c r="A98" s="197" t="s">
        <v>76</v>
      </c>
      <c r="B98" s="17" t="s">
        <v>126</v>
      </c>
      <c r="C98" s="169"/>
      <c r="D98" s="252"/>
      <c r="E98" s="105"/>
    </row>
    <row r="99" spans="1:5" ht="12" customHeight="1">
      <c r="A99" s="197" t="s">
        <v>68</v>
      </c>
      <c r="B99" s="6" t="s">
        <v>402</v>
      </c>
      <c r="C99" s="169"/>
      <c r="D99" s="252"/>
      <c r="E99" s="105"/>
    </row>
    <row r="100" spans="1:5" ht="12" customHeight="1">
      <c r="A100" s="197" t="s">
        <v>69</v>
      </c>
      <c r="B100" s="62" t="s">
        <v>346</v>
      </c>
      <c r="C100" s="169"/>
      <c r="D100" s="252"/>
      <c r="E100" s="105"/>
    </row>
    <row r="101" spans="1:5" ht="12" customHeight="1">
      <c r="A101" s="197" t="s">
        <v>77</v>
      </c>
      <c r="B101" s="62" t="s">
        <v>345</v>
      </c>
      <c r="C101" s="169"/>
      <c r="D101" s="252"/>
      <c r="E101" s="105"/>
    </row>
    <row r="102" spans="1:5" ht="12" customHeight="1">
      <c r="A102" s="197" t="s">
        <v>78</v>
      </c>
      <c r="B102" s="62" t="s">
        <v>262</v>
      </c>
      <c r="C102" s="169"/>
      <c r="D102" s="252"/>
      <c r="E102" s="105"/>
    </row>
    <row r="103" spans="1:5" ht="12" customHeight="1">
      <c r="A103" s="197" t="s">
        <v>79</v>
      </c>
      <c r="B103" s="63" t="s">
        <v>263</v>
      </c>
      <c r="C103" s="169"/>
      <c r="D103" s="252"/>
      <c r="E103" s="105"/>
    </row>
    <row r="104" spans="1:5" ht="12" customHeight="1">
      <c r="A104" s="197" t="s">
        <v>80</v>
      </c>
      <c r="B104" s="63" t="s">
        <v>264</v>
      </c>
      <c r="C104" s="169"/>
      <c r="D104" s="252"/>
      <c r="E104" s="105"/>
    </row>
    <row r="105" spans="1:5" ht="12" customHeight="1">
      <c r="A105" s="197" t="s">
        <v>82</v>
      </c>
      <c r="B105" s="62" t="s">
        <v>265</v>
      </c>
      <c r="C105" s="169"/>
      <c r="D105" s="252"/>
      <c r="E105" s="105"/>
    </row>
    <row r="106" spans="1:5" ht="12" customHeight="1">
      <c r="A106" s="197" t="s">
        <v>127</v>
      </c>
      <c r="B106" s="62" t="s">
        <v>266</v>
      </c>
      <c r="C106" s="169"/>
      <c r="D106" s="252"/>
      <c r="E106" s="105"/>
    </row>
    <row r="107" spans="1:5" ht="12" customHeight="1">
      <c r="A107" s="197" t="s">
        <v>260</v>
      </c>
      <c r="B107" s="63" t="s">
        <v>267</v>
      </c>
      <c r="C107" s="167"/>
      <c r="D107" s="252"/>
      <c r="E107" s="105"/>
    </row>
    <row r="108" spans="1:5" ht="12" customHeight="1">
      <c r="A108" s="205" t="s">
        <v>261</v>
      </c>
      <c r="B108" s="64" t="s">
        <v>268</v>
      </c>
      <c r="C108" s="169"/>
      <c r="D108" s="252"/>
      <c r="E108" s="105"/>
    </row>
    <row r="109" spans="1:5" ht="12" customHeight="1">
      <c r="A109" s="197" t="s">
        <v>343</v>
      </c>
      <c r="B109" s="64" t="s">
        <v>269</v>
      </c>
      <c r="C109" s="169"/>
      <c r="D109" s="252"/>
      <c r="E109" s="105"/>
    </row>
    <row r="110" spans="1:5" ht="12" customHeight="1">
      <c r="A110" s="197" t="s">
        <v>344</v>
      </c>
      <c r="B110" s="63" t="s">
        <v>270</v>
      </c>
      <c r="C110" s="167"/>
      <c r="D110" s="251"/>
      <c r="E110" s="103"/>
    </row>
    <row r="111" spans="1:5" ht="12" customHeight="1">
      <c r="A111" s="197" t="s">
        <v>348</v>
      </c>
      <c r="B111" s="9" t="s">
        <v>36</v>
      </c>
      <c r="C111" s="167"/>
      <c r="D111" s="251"/>
      <c r="E111" s="103"/>
    </row>
    <row r="112" spans="1:5" ht="12" customHeight="1">
      <c r="A112" s="198" t="s">
        <v>349</v>
      </c>
      <c r="B112" s="6" t="s">
        <v>403</v>
      </c>
      <c r="C112" s="169"/>
      <c r="D112" s="252"/>
      <c r="E112" s="105"/>
    </row>
    <row r="113" spans="1:5" ht="12" customHeight="1" thickBot="1">
      <c r="A113" s="206" t="s">
        <v>350</v>
      </c>
      <c r="B113" s="65" t="s">
        <v>404</v>
      </c>
      <c r="C113" s="240"/>
      <c r="D113" s="316"/>
      <c r="E113" s="234"/>
    </row>
    <row r="114" spans="1:5" ht="12" customHeight="1" thickBot="1">
      <c r="A114" s="25" t="s">
        <v>7</v>
      </c>
      <c r="B114" s="23" t="s">
        <v>271</v>
      </c>
      <c r="C114" s="166">
        <f>+C115+C117+C119</f>
        <v>0</v>
      </c>
      <c r="D114" s="249">
        <f>+D115+D117+D119</f>
        <v>0</v>
      </c>
      <c r="E114" s="102">
        <f>+E115+E117+E119</f>
        <v>0</v>
      </c>
    </row>
    <row r="115" spans="1:5" ht="12" customHeight="1">
      <c r="A115" s="196" t="s">
        <v>70</v>
      </c>
      <c r="B115" s="6" t="s">
        <v>145</v>
      </c>
      <c r="C115" s="168"/>
      <c r="D115" s="250"/>
      <c r="E115" s="104"/>
    </row>
    <row r="116" spans="1:5" ht="12" customHeight="1">
      <c r="A116" s="196" t="s">
        <v>71</v>
      </c>
      <c r="B116" s="10" t="s">
        <v>275</v>
      </c>
      <c r="C116" s="168"/>
      <c r="D116" s="250"/>
      <c r="E116" s="104"/>
    </row>
    <row r="117" spans="1:5" ht="12" customHeight="1">
      <c r="A117" s="196" t="s">
        <v>72</v>
      </c>
      <c r="B117" s="10" t="s">
        <v>128</v>
      </c>
      <c r="C117" s="167"/>
      <c r="D117" s="251"/>
      <c r="E117" s="103"/>
    </row>
    <row r="118" spans="1:5" ht="12" customHeight="1">
      <c r="A118" s="196" t="s">
        <v>73</v>
      </c>
      <c r="B118" s="10" t="s">
        <v>276</v>
      </c>
      <c r="C118" s="167"/>
      <c r="D118" s="251"/>
      <c r="E118" s="103"/>
    </row>
    <row r="119" spans="1:5" ht="12" customHeight="1">
      <c r="A119" s="196" t="s">
        <v>74</v>
      </c>
      <c r="B119" s="111" t="s">
        <v>147</v>
      </c>
      <c r="C119" s="167"/>
      <c r="D119" s="251"/>
      <c r="E119" s="103"/>
    </row>
    <row r="120" spans="1:5" ht="12" customHeight="1">
      <c r="A120" s="196" t="s">
        <v>81</v>
      </c>
      <c r="B120" s="110" t="s">
        <v>335</v>
      </c>
      <c r="C120" s="167"/>
      <c r="D120" s="251"/>
      <c r="E120" s="103"/>
    </row>
    <row r="121" spans="1:5" ht="12" customHeight="1">
      <c r="A121" s="196" t="s">
        <v>83</v>
      </c>
      <c r="B121" s="175" t="s">
        <v>281</v>
      </c>
      <c r="C121" s="167"/>
      <c r="D121" s="251"/>
      <c r="E121" s="103"/>
    </row>
    <row r="122" spans="1:5" ht="12" customHeight="1">
      <c r="A122" s="196" t="s">
        <v>129</v>
      </c>
      <c r="B122" s="63" t="s">
        <v>264</v>
      </c>
      <c r="C122" s="167"/>
      <c r="D122" s="251"/>
      <c r="E122" s="103"/>
    </row>
    <row r="123" spans="1:5" ht="12" customHeight="1">
      <c r="A123" s="196" t="s">
        <v>130</v>
      </c>
      <c r="B123" s="63" t="s">
        <v>280</v>
      </c>
      <c r="C123" s="167"/>
      <c r="D123" s="251"/>
      <c r="E123" s="103"/>
    </row>
    <row r="124" spans="1:5" ht="12" customHeight="1">
      <c r="A124" s="196" t="s">
        <v>131</v>
      </c>
      <c r="B124" s="63" t="s">
        <v>279</v>
      </c>
      <c r="C124" s="167"/>
      <c r="D124" s="251"/>
      <c r="E124" s="103"/>
    </row>
    <row r="125" spans="1:5" ht="12" customHeight="1">
      <c r="A125" s="196" t="s">
        <v>272</v>
      </c>
      <c r="B125" s="63" t="s">
        <v>267</v>
      </c>
      <c r="C125" s="167"/>
      <c r="D125" s="251"/>
      <c r="E125" s="103"/>
    </row>
    <row r="126" spans="1:5" ht="12" customHeight="1">
      <c r="A126" s="196" t="s">
        <v>273</v>
      </c>
      <c r="B126" s="63" t="s">
        <v>278</v>
      </c>
      <c r="C126" s="167"/>
      <c r="D126" s="251"/>
      <c r="E126" s="103"/>
    </row>
    <row r="127" spans="1:5" ht="12" customHeight="1" thickBot="1">
      <c r="A127" s="205" t="s">
        <v>274</v>
      </c>
      <c r="B127" s="63" t="s">
        <v>277</v>
      </c>
      <c r="C127" s="169"/>
      <c r="D127" s="252"/>
      <c r="E127" s="105"/>
    </row>
    <row r="128" spans="1:5" ht="12" customHeight="1" thickBot="1">
      <c r="A128" s="25" t="s">
        <v>8</v>
      </c>
      <c r="B128" s="56" t="s">
        <v>353</v>
      </c>
      <c r="C128" s="166">
        <f>+C93+C114</f>
        <v>0</v>
      </c>
      <c r="D128" s="249">
        <f>+D93+D114</f>
        <v>0</v>
      </c>
      <c r="E128" s="102">
        <f>+E93+E114</f>
        <v>0</v>
      </c>
    </row>
    <row r="129" spans="1:5" ht="12" customHeight="1" thickBot="1">
      <c r="A129" s="25" t="s">
        <v>9</v>
      </c>
      <c r="B129" s="56" t="s">
        <v>354</v>
      </c>
      <c r="C129" s="166">
        <f>+C130+C131+C132</f>
        <v>0</v>
      </c>
      <c r="D129" s="249">
        <f>+D130+D131+D132</f>
        <v>0</v>
      </c>
      <c r="E129" s="102">
        <f>+E130+E131+E132</f>
        <v>0</v>
      </c>
    </row>
    <row r="130" spans="1:5" s="52" customFormat="1" ht="12" customHeight="1">
      <c r="A130" s="196" t="s">
        <v>179</v>
      </c>
      <c r="B130" s="7" t="s">
        <v>408</v>
      </c>
      <c r="C130" s="167"/>
      <c r="D130" s="251"/>
      <c r="E130" s="103"/>
    </row>
    <row r="131" spans="1:5" ht="12" customHeight="1">
      <c r="A131" s="196" t="s">
        <v>180</v>
      </c>
      <c r="B131" s="7" t="s">
        <v>362</v>
      </c>
      <c r="C131" s="167"/>
      <c r="D131" s="251"/>
      <c r="E131" s="103"/>
    </row>
    <row r="132" spans="1:5" ht="12" customHeight="1" thickBot="1">
      <c r="A132" s="205" t="s">
        <v>181</v>
      </c>
      <c r="B132" s="5" t="s">
        <v>407</v>
      </c>
      <c r="C132" s="167"/>
      <c r="D132" s="251"/>
      <c r="E132" s="103"/>
    </row>
    <row r="133" spans="1:5" ht="12" customHeight="1" thickBot="1">
      <c r="A133" s="25" t="s">
        <v>10</v>
      </c>
      <c r="B133" s="56" t="s">
        <v>355</v>
      </c>
      <c r="C133" s="166">
        <f>+C134+C135+C136+C137+C138+C139</f>
        <v>0</v>
      </c>
      <c r="D133" s="249">
        <f>+D134+D135+D136+D137+D138+D139</f>
        <v>0</v>
      </c>
      <c r="E133" s="102">
        <f>+E134+E135+E136+E137+E138+E139</f>
        <v>0</v>
      </c>
    </row>
    <row r="134" spans="1:5" ht="12" customHeight="1">
      <c r="A134" s="196" t="s">
        <v>57</v>
      </c>
      <c r="B134" s="7" t="s">
        <v>364</v>
      </c>
      <c r="C134" s="167"/>
      <c r="D134" s="251"/>
      <c r="E134" s="103"/>
    </row>
    <row r="135" spans="1:5" ht="12" customHeight="1">
      <c r="A135" s="196" t="s">
        <v>58</v>
      </c>
      <c r="B135" s="7" t="s">
        <v>356</v>
      </c>
      <c r="C135" s="167"/>
      <c r="D135" s="251"/>
      <c r="E135" s="103"/>
    </row>
    <row r="136" spans="1:5" ht="12" customHeight="1">
      <c r="A136" s="196" t="s">
        <v>59</v>
      </c>
      <c r="B136" s="7" t="s">
        <v>357</v>
      </c>
      <c r="C136" s="167"/>
      <c r="D136" s="251"/>
      <c r="E136" s="103"/>
    </row>
    <row r="137" spans="1:5" ht="12" customHeight="1">
      <c r="A137" s="196" t="s">
        <v>116</v>
      </c>
      <c r="B137" s="7" t="s">
        <v>406</v>
      </c>
      <c r="C137" s="167"/>
      <c r="D137" s="251"/>
      <c r="E137" s="103"/>
    </row>
    <row r="138" spans="1:5" ht="12" customHeight="1">
      <c r="A138" s="196" t="s">
        <v>117</v>
      </c>
      <c r="B138" s="7" t="s">
        <v>359</v>
      </c>
      <c r="C138" s="167"/>
      <c r="D138" s="251"/>
      <c r="E138" s="103"/>
    </row>
    <row r="139" spans="1:5" s="52" customFormat="1" ht="12" customHeight="1" thickBot="1">
      <c r="A139" s="205" t="s">
        <v>118</v>
      </c>
      <c r="B139" s="5" t="s">
        <v>360</v>
      </c>
      <c r="C139" s="167"/>
      <c r="D139" s="251"/>
      <c r="E139" s="103"/>
    </row>
    <row r="140" spans="1:11" ht="12" customHeight="1" thickBot="1">
      <c r="A140" s="25" t="s">
        <v>11</v>
      </c>
      <c r="B140" s="56" t="s">
        <v>421</v>
      </c>
      <c r="C140" s="172">
        <f>+C141+C142+C144+C145+C143</f>
        <v>43339100</v>
      </c>
      <c r="D140" s="253">
        <f>+D141+D142+D144+D145+D143</f>
        <v>43807450</v>
      </c>
      <c r="E140" s="208">
        <f>+E141+E142+E144+E145+E143</f>
        <v>44904890</v>
      </c>
      <c r="K140" s="95"/>
    </row>
    <row r="141" spans="1:5" ht="12.75">
      <c r="A141" s="196" t="s">
        <v>60</v>
      </c>
      <c r="B141" s="7" t="s">
        <v>282</v>
      </c>
      <c r="C141" s="167"/>
      <c r="D141" s="251"/>
      <c r="E141" s="103"/>
    </row>
    <row r="142" spans="1:5" ht="12" customHeight="1">
      <c r="A142" s="196" t="s">
        <v>61</v>
      </c>
      <c r="B142" s="7" t="s">
        <v>283</v>
      </c>
      <c r="C142" s="167"/>
      <c r="D142" s="251"/>
      <c r="E142" s="103"/>
    </row>
    <row r="143" spans="1:5" ht="12" customHeight="1">
      <c r="A143" s="196" t="s">
        <v>199</v>
      </c>
      <c r="B143" s="7" t="s">
        <v>420</v>
      </c>
      <c r="C143" s="167">
        <v>43339100</v>
      </c>
      <c r="D143" s="251">
        <v>43807450</v>
      </c>
      <c r="E143" s="103">
        <v>44904890</v>
      </c>
    </row>
    <row r="144" spans="1:5" s="52" customFormat="1" ht="12" customHeight="1">
      <c r="A144" s="196" t="s">
        <v>200</v>
      </c>
      <c r="B144" s="7" t="s">
        <v>369</v>
      </c>
      <c r="C144" s="167"/>
      <c r="D144" s="251"/>
      <c r="E144" s="103"/>
    </row>
    <row r="145" spans="1:5" s="52" customFormat="1" ht="12" customHeight="1" thickBot="1">
      <c r="A145" s="205" t="s">
        <v>201</v>
      </c>
      <c r="B145" s="5" t="s">
        <v>299</v>
      </c>
      <c r="C145" s="167"/>
      <c r="D145" s="251"/>
      <c r="E145" s="103"/>
    </row>
    <row r="146" spans="1:5" s="52" customFormat="1" ht="12" customHeight="1" thickBot="1">
      <c r="A146" s="25" t="s">
        <v>12</v>
      </c>
      <c r="B146" s="56" t="s">
        <v>370</v>
      </c>
      <c r="C146" s="242">
        <f>+C147+C148+C149+C150+C151</f>
        <v>0</v>
      </c>
      <c r="D146" s="254">
        <f>+D147+D148+D149+D150+D151</f>
        <v>0</v>
      </c>
      <c r="E146" s="236">
        <f>+E147+E148+E149+E150+E151</f>
        <v>0</v>
      </c>
    </row>
    <row r="147" spans="1:5" s="52" customFormat="1" ht="12" customHeight="1">
      <c r="A147" s="196" t="s">
        <v>62</v>
      </c>
      <c r="B147" s="7" t="s">
        <v>365</v>
      </c>
      <c r="C147" s="167"/>
      <c r="D147" s="251"/>
      <c r="E147" s="103"/>
    </row>
    <row r="148" spans="1:5" s="52" customFormat="1" ht="12" customHeight="1">
      <c r="A148" s="196" t="s">
        <v>63</v>
      </c>
      <c r="B148" s="7" t="s">
        <v>372</v>
      </c>
      <c r="C148" s="167"/>
      <c r="D148" s="251"/>
      <c r="E148" s="103"/>
    </row>
    <row r="149" spans="1:5" s="52" customFormat="1" ht="12" customHeight="1">
      <c r="A149" s="196" t="s">
        <v>211</v>
      </c>
      <c r="B149" s="7" t="s">
        <v>367</v>
      </c>
      <c r="C149" s="167"/>
      <c r="D149" s="251"/>
      <c r="E149" s="103"/>
    </row>
    <row r="150" spans="1:5" s="52" customFormat="1" ht="12" customHeight="1">
      <c r="A150" s="196" t="s">
        <v>212</v>
      </c>
      <c r="B150" s="7" t="s">
        <v>409</v>
      </c>
      <c r="C150" s="167"/>
      <c r="D150" s="251"/>
      <c r="E150" s="103"/>
    </row>
    <row r="151" spans="1:5" ht="12.75" customHeight="1" thickBot="1">
      <c r="A151" s="205" t="s">
        <v>371</v>
      </c>
      <c r="B151" s="5" t="s">
        <v>374</v>
      </c>
      <c r="C151" s="169"/>
      <c r="D151" s="252"/>
      <c r="E151" s="105"/>
    </row>
    <row r="152" spans="1:5" ht="12.75" customHeight="1" thickBot="1">
      <c r="A152" s="231" t="s">
        <v>13</v>
      </c>
      <c r="B152" s="56" t="s">
        <v>375</v>
      </c>
      <c r="C152" s="242"/>
      <c r="D152" s="254"/>
      <c r="E152" s="236"/>
    </row>
    <row r="153" spans="1:5" ht="12.75" customHeight="1" thickBot="1">
      <c r="A153" s="231" t="s">
        <v>14</v>
      </c>
      <c r="B153" s="56" t="s">
        <v>376</v>
      </c>
      <c r="C153" s="242"/>
      <c r="D153" s="254"/>
      <c r="E153" s="236"/>
    </row>
    <row r="154" spans="1:5" ht="12" customHeight="1" thickBot="1">
      <c r="A154" s="25" t="s">
        <v>15</v>
      </c>
      <c r="B154" s="56" t="s">
        <v>378</v>
      </c>
      <c r="C154" s="244">
        <f>+C129+C133+C140+C146+C152+C153</f>
        <v>43339100</v>
      </c>
      <c r="D154" s="256">
        <f>+D129+D133+D140+D146+D152+D153</f>
        <v>43807450</v>
      </c>
      <c r="E154" s="238">
        <f>+E129+E133+E140+E146+E152+E153</f>
        <v>44904890</v>
      </c>
    </row>
    <row r="155" spans="1:5" ht="15" customHeight="1" thickBot="1">
      <c r="A155" s="207" t="s">
        <v>16</v>
      </c>
      <c r="B155" s="153" t="s">
        <v>377</v>
      </c>
      <c r="C155" s="244">
        <f>+C128+C154</f>
        <v>43339100</v>
      </c>
      <c r="D155" s="256">
        <f>+D128+D154</f>
        <v>43807450</v>
      </c>
      <c r="E155" s="238">
        <f>+E128+E154</f>
        <v>44904890</v>
      </c>
    </row>
    <row r="156" spans="1:5" ht="13.5" thickBot="1">
      <c r="A156" s="156"/>
      <c r="B156" s="157"/>
      <c r="C156" s="656">
        <f>C90-C155</f>
        <v>0</v>
      </c>
      <c r="D156" s="656">
        <f>D90-D155</f>
        <v>0</v>
      </c>
      <c r="E156" s="158"/>
    </row>
    <row r="157" spans="1:5" ht="15" customHeight="1" thickBot="1">
      <c r="A157" s="326" t="s">
        <v>498</v>
      </c>
      <c r="B157" s="327"/>
      <c r="C157" s="315">
        <v>0</v>
      </c>
      <c r="D157" s="315">
        <v>0</v>
      </c>
      <c r="E157" s="315">
        <v>0</v>
      </c>
    </row>
    <row r="158" spans="1:5" ht="14.25" customHeight="1" thickBot="1">
      <c r="A158" s="328" t="s">
        <v>499</v>
      </c>
      <c r="B158" s="329"/>
      <c r="C158" s="315">
        <v>0</v>
      </c>
      <c r="D158" s="315">
        <v>0</v>
      </c>
      <c r="E158" s="315">
        <v>0</v>
      </c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0">
      <selection activeCell="H63" sqref="H63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83"/>
      <c r="B1" s="814" t="str">
        <f>CONCATENATE("6.2. melléklet ",Z_ALAPADATOK!A7," ",Z_ALAPADATOK!B7," ",Z_ALAPADATOK!C7," ",Z_ALAPADATOK!D7," ",Z_ALAPADATOK!E7," ",Z_ALAPADATOK!F7," ",Z_ALAPADATOK!G7," ",Z_ALAPADATOK!H7)</f>
        <v>6.2. melléklet a … / 2019. ( … ) önkormányzati rendelethez</v>
      </c>
      <c r="C1" s="815"/>
      <c r="D1" s="815"/>
      <c r="E1" s="815"/>
    </row>
    <row r="2" spans="1:5" s="214" customFormat="1" ht="24.75" thickBot="1">
      <c r="A2" s="384" t="s">
        <v>465</v>
      </c>
      <c r="B2" s="816" t="s">
        <v>873</v>
      </c>
      <c r="C2" s="817"/>
      <c r="D2" s="818"/>
      <c r="E2" s="385" t="s">
        <v>43</v>
      </c>
    </row>
    <row r="3" spans="1:5" s="214" customFormat="1" ht="24.75" thickBot="1">
      <c r="A3" s="384" t="s">
        <v>137</v>
      </c>
      <c r="B3" s="816" t="s">
        <v>307</v>
      </c>
      <c r="C3" s="817"/>
      <c r="D3" s="818"/>
      <c r="E3" s="385" t="s">
        <v>39</v>
      </c>
    </row>
    <row r="4" spans="1:5" s="215" customFormat="1" ht="15.75" customHeight="1" thickBot="1">
      <c r="A4" s="386"/>
      <c r="B4" s="386"/>
      <c r="C4" s="387"/>
      <c r="D4" s="388"/>
      <c r="E4" s="387" t="str">
        <f>'Z_6.1.3.sz.mell'!E4</f>
        <v> Forintban!</v>
      </c>
    </row>
    <row r="5" spans="1:5" ht="24.75" thickBot="1">
      <c r="A5" s="389" t="s">
        <v>138</v>
      </c>
      <c r="B5" s="390" t="s">
        <v>497</v>
      </c>
      <c r="C5" s="390" t="s">
        <v>461</v>
      </c>
      <c r="D5" s="391" t="s">
        <v>462</v>
      </c>
      <c r="E5" s="372" t="str">
        <f>CONCATENATE('Z_6.1.3.sz.mell'!E5)</f>
        <v>Teljesítés
2018. XII. 31.</v>
      </c>
    </row>
    <row r="6" spans="1:5" s="216" customFormat="1" ht="12.75" customHeight="1" thickBot="1">
      <c r="A6" s="422" t="s">
        <v>389</v>
      </c>
      <c r="B6" s="423" t="s">
        <v>390</v>
      </c>
      <c r="C6" s="423" t="s">
        <v>391</v>
      </c>
      <c r="D6" s="424" t="s">
        <v>393</v>
      </c>
      <c r="E6" s="425" t="s">
        <v>392</v>
      </c>
    </row>
    <row r="7" spans="1:5" s="216" customFormat="1" ht="15.75" customHeight="1" thickBot="1">
      <c r="A7" s="810" t="s">
        <v>40</v>
      </c>
      <c r="B7" s="811"/>
      <c r="C7" s="811"/>
      <c r="D7" s="811"/>
      <c r="E7" s="812"/>
    </row>
    <row r="8" spans="1:5" s="152" customFormat="1" ht="12" customHeight="1" thickBot="1">
      <c r="A8" s="74" t="s">
        <v>6</v>
      </c>
      <c r="B8" s="83" t="s">
        <v>410</v>
      </c>
      <c r="C8" s="119">
        <f>SUM(C9:C19)</f>
        <v>0</v>
      </c>
      <c r="D8" s="119">
        <f>SUM(D9:D19)</f>
        <v>0</v>
      </c>
      <c r="E8" s="147">
        <f>SUM(E9:E19)</f>
        <v>150715</v>
      </c>
    </row>
    <row r="9" spans="1:5" s="152" customFormat="1" ht="12" customHeight="1">
      <c r="A9" s="209" t="s">
        <v>64</v>
      </c>
      <c r="B9" s="8" t="s">
        <v>188</v>
      </c>
      <c r="C9" s="271"/>
      <c r="D9" s="271"/>
      <c r="E9" s="318"/>
    </row>
    <row r="10" spans="1:5" s="152" customFormat="1" ht="12" customHeight="1">
      <c r="A10" s="210" t="s">
        <v>65</v>
      </c>
      <c r="B10" s="6" t="s">
        <v>189</v>
      </c>
      <c r="C10" s="116"/>
      <c r="D10" s="116"/>
      <c r="E10" s="263">
        <v>126370</v>
      </c>
    </row>
    <row r="11" spans="1:5" s="152" customFormat="1" ht="12" customHeight="1">
      <c r="A11" s="210" t="s">
        <v>66</v>
      </c>
      <c r="B11" s="6" t="s">
        <v>190</v>
      </c>
      <c r="C11" s="116"/>
      <c r="D11" s="116"/>
      <c r="E11" s="263">
        <v>3000</v>
      </c>
    </row>
    <row r="12" spans="1:5" s="152" customFormat="1" ht="12" customHeight="1">
      <c r="A12" s="210" t="s">
        <v>67</v>
      </c>
      <c r="B12" s="6" t="s">
        <v>191</v>
      </c>
      <c r="C12" s="116"/>
      <c r="D12" s="116"/>
      <c r="E12" s="263"/>
    </row>
    <row r="13" spans="1:5" s="152" customFormat="1" ht="12" customHeight="1">
      <c r="A13" s="210" t="s">
        <v>99</v>
      </c>
      <c r="B13" s="6" t="s">
        <v>192</v>
      </c>
      <c r="C13" s="116"/>
      <c r="D13" s="116"/>
      <c r="E13" s="263"/>
    </row>
    <row r="14" spans="1:5" s="152" customFormat="1" ht="12" customHeight="1">
      <c r="A14" s="210" t="s">
        <v>68</v>
      </c>
      <c r="B14" s="6" t="s">
        <v>308</v>
      </c>
      <c r="C14" s="116"/>
      <c r="D14" s="116"/>
      <c r="E14" s="263">
        <v>2260</v>
      </c>
    </row>
    <row r="15" spans="1:5" s="152" customFormat="1" ht="12" customHeight="1">
      <c r="A15" s="210" t="s">
        <v>69</v>
      </c>
      <c r="B15" s="5" t="s">
        <v>309</v>
      </c>
      <c r="C15" s="116"/>
      <c r="D15" s="116"/>
      <c r="E15" s="263"/>
    </row>
    <row r="16" spans="1:5" s="152" customFormat="1" ht="12" customHeight="1">
      <c r="A16" s="210" t="s">
        <v>77</v>
      </c>
      <c r="B16" s="6" t="s">
        <v>195</v>
      </c>
      <c r="C16" s="269"/>
      <c r="D16" s="269"/>
      <c r="E16" s="267">
        <v>75</v>
      </c>
    </row>
    <row r="17" spans="1:5" s="217" customFormat="1" ht="12" customHeight="1">
      <c r="A17" s="210" t="s">
        <v>78</v>
      </c>
      <c r="B17" s="6" t="s">
        <v>196</v>
      </c>
      <c r="C17" s="116"/>
      <c r="D17" s="116"/>
      <c r="E17" s="263"/>
    </row>
    <row r="18" spans="1:5" s="217" customFormat="1" ht="12" customHeight="1">
      <c r="A18" s="210" t="s">
        <v>79</v>
      </c>
      <c r="B18" s="6" t="s">
        <v>341</v>
      </c>
      <c r="C18" s="118"/>
      <c r="D18" s="118"/>
      <c r="E18" s="264"/>
    </row>
    <row r="19" spans="1:5" s="217" customFormat="1" ht="12" customHeight="1" thickBot="1">
      <c r="A19" s="210" t="s">
        <v>80</v>
      </c>
      <c r="B19" s="5" t="s">
        <v>197</v>
      </c>
      <c r="C19" s="118"/>
      <c r="D19" s="118"/>
      <c r="E19" s="264">
        <v>19010</v>
      </c>
    </row>
    <row r="20" spans="1:5" s="152" customFormat="1" ht="12" customHeight="1" thickBot="1">
      <c r="A20" s="74" t="s">
        <v>7</v>
      </c>
      <c r="B20" s="83" t="s">
        <v>310</v>
      </c>
      <c r="C20" s="119">
        <f>SUM(C21:C23)</f>
        <v>13367955</v>
      </c>
      <c r="D20" s="119">
        <f>SUM(D21:D23)</f>
        <v>13945714</v>
      </c>
      <c r="E20" s="147">
        <f>SUM(E21:E23)</f>
        <v>9376073</v>
      </c>
    </row>
    <row r="21" spans="1:5" s="217" customFormat="1" ht="12" customHeight="1">
      <c r="A21" s="210" t="s">
        <v>70</v>
      </c>
      <c r="B21" s="7" t="s">
        <v>170</v>
      </c>
      <c r="C21" s="116"/>
      <c r="D21" s="116"/>
      <c r="E21" s="263"/>
    </row>
    <row r="22" spans="1:5" s="217" customFormat="1" ht="12" customHeight="1">
      <c r="A22" s="210" t="s">
        <v>71</v>
      </c>
      <c r="B22" s="6" t="s">
        <v>311</v>
      </c>
      <c r="C22" s="116"/>
      <c r="D22" s="116"/>
      <c r="E22" s="263"/>
    </row>
    <row r="23" spans="1:5" s="217" customFormat="1" ht="12" customHeight="1">
      <c r="A23" s="210" t="s">
        <v>72</v>
      </c>
      <c r="B23" s="6" t="s">
        <v>312</v>
      </c>
      <c r="C23" s="116">
        <v>13367955</v>
      </c>
      <c r="D23" s="116">
        <v>13945714</v>
      </c>
      <c r="E23" s="263">
        <v>9376073</v>
      </c>
    </row>
    <row r="24" spans="1:5" s="217" customFormat="1" ht="12" customHeight="1" thickBot="1">
      <c r="A24" s="210" t="s">
        <v>73</v>
      </c>
      <c r="B24" s="6" t="s">
        <v>411</v>
      </c>
      <c r="C24" s="116"/>
      <c r="D24" s="116"/>
      <c r="E24" s="263"/>
    </row>
    <row r="25" spans="1:5" s="217" customFormat="1" ht="12" customHeight="1" thickBot="1">
      <c r="A25" s="78" t="s">
        <v>8</v>
      </c>
      <c r="B25" s="56" t="s">
        <v>115</v>
      </c>
      <c r="C25" s="320"/>
      <c r="D25" s="320"/>
      <c r="E25" s="146"/>
    </row>
    <row r="26" spans="1:5" s="217" customFormat="1" ht="12" customHeight="1" thickBot="1">
      <c r="A26" s="78" t="s">
        <v>9</v>
      </c>
      <c r="B26" s="56" t="s">
        <v>412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179</v>
      </c>
      <c r="B27" s="212" t="s">
        <v>175</v>
      </c>
      <c r="C27" s="270"/>
      <c r="D27" s="270"/>
      <c r="E27" s="268"/>
    </row>
    <row r="28" spans="1:5" s="217" customFormat="1" ht="12" customHeight="1">
      <c r="A28" s="211" t="s">
        <v>180</v>
      </c>
      <c r="B28" s="212" t="s">
        <v>311</v>
      </c>
      <c r="C28" s="116"/>
      <c r="D28" s="116"/>
      <c r="E28" s="263"/>
    </row>
    <row r="29" spans="1:5" s="217" customFormat="1" ht="12" customHeight="1">
      <c r="A29" s="211" t="s">
        <v>181</v>
      </c>
      <c r="B29" s="213" t="s">
        <v>314</v>
      </c>
      <c r="C29" s="116"/>
      <c r="D29" s="116"/>
      <c r="E29" s="263"/>
    </row>
    <row r="30" spans="1:5" s="217" customFormat="1" ht="12" customHeight="1" thickBot="1">
      <c r="A30" s="210" t="s">
        <v>182</v>
      </c>
      <c r="B30" s="61" t="s">
        <v>413</v>
      </c>
      <c r="C30" s="47"/>
      <c r="D30" s="47"/>
      <c r="E30" s="319"/>
    </row>
    <row r="31" spans="1:5" s="217" customFormat="1" ht="12" customHeight="1" thickBot="1">
      <c r="A31" s="78" t="s">
        <v>10</v>
      </c>
      <c r="B31" s="56" t="s">
        <v>315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57</v>
      </c>
      <c r="B32" s="212" t="s">
        <v>202</v>
      </c>
      <c r="C32" s="270"/>
      <c r="D32" s="270"/>
      <c r="E32" s="268"/>
    </row>
    <row r="33" spans="1:5" s="217" customFormat="1" ht="12" customHeight="1">
      <c r="A33" s="211" t="s">
        <v>58</v>
      </c>
      <c r="B33" s="213" t="s">
        <v>203</v>
      </c>
      <c r="C33" s="120"/>
      <c r="D33" s="120"/>
      <c r="E33" s="265"/>
    </row>
    <row r="34" spans="1:5" s="217" customFormat="1" ht="12" customHeight="1" thickBot="1">
      <c r="A34" s="210" t="s">
        <v>59</v>
      </c>
      <c r="B34" s="61" t="s">
        <v>204</v>
      </c>
      <c r="C34" s="47"/>
      <c r="D34" s="47"/>
      <c r="E34" s="319"/>
    </row>
    <row r="35" spans="1:5" s="152" customFormat="1" ht="12" customHeight="1" thickBot="1">
      <c r="A35" s="78" t="s">
        <v>11</v>
      </c>
      <c r="B35" s="56" t="s">
        <v>287</v>
      </c>
      <c r="C35" s="320"/>
      <c r="D35" s="320"/>
      <c r="E35" s="146"/>
    </row>
    <row r="36" spans="1:5" s="152" customFormat="1" ht="12" customHeight="1" thickBot="1">
      <c r="A36" s="78" t="s">
        <v>12</v>
      </c>
      <c r="B36" s="56" t="s">
        <v>316</v>
      </c>
      <c r="C36" s="320"/>
      <c r="D36" s="320"/>
      <c r="E36" s="146"/>
    </row>
    <row r="37" spans="1:5" s="152" customFormat="1" ht="12" customHeight="1" thickBot="1">
      <c r="A37" s="74" t="s">
        <v>13</v>
      </c>
      <c r="B37" s="56" t="s">
        <v>317</v>
      </c>
      <c r="C37" s="119">
        <f>+C8+C20+C25+C26+C31+C35+C36</f>
        <v>13367955</v>
      </c>
      <c r="D37" s="119">
        <f>+D8+D20+D25+D26+D31+D35+D36</f>
        <v>13945714</v>
      </c>
      <c r="E37" s="147">
        <f>+E8+E20+E25+E26+E31+E35+E36</f>
        <v>9526788</v>
      </c>
    </row>
    <row r="38" spans="1:5" s="152" customFormat="1" ht="12" customHeight="1" thickBot="1">
      <c r="A38" s="84" t="s">
        <v>14</v>
      </c>
      <c r="B38" s="56" t="s">
        <v>318</v>
      </c>
      <c r="C38" s="119">
        <f>+C39+C40+C41</f>
        <v>86678200</v>
      </c>
      <c r="D38" s="119">
        <f>+D39+D40+D41</f>
        <v>91738350</v>
      </c>
      <c r="E38" s="147">
        <f>+E39+E40+E41</f>
        <v>93933231</v>
      </c>
    </row>
    <row r="39" spans="1:5" s="152" customFormat="1" ht="12" customHeight="1">
      <c r="A39" s="211" t="s">
        <v>319</v>
      </c>
      <c r="B39" s="212" t="s">
        <v>152</v>
      </c>
      <c r="C39" s="270"/>
      <c r="D39" s="270">
        <v>4123450</v>
      </c>
      <c r="E39" s="268">
        <v>4123450</v>
      </c>
    </row>
    <row r="40" spans="1:5" s="152" customFormat="1" ht="12" customHeight="1">
      <c r="A40" s="211" t="s">
        <v>320</v>
      </c>
      <c r="B40" s="213" t="s">
        <v>0</v>
      </c>
      <c r="C40" s="120"/>
      <c r="D40" s="120"/>
      <c r="E40" s="265"/>
    </row>
    <row r="41" spans="1:5" s="217" customFormat="1" ht="12" customHeight="1" thickBot="1">
      <c r="A41" s="210" t="s">
        <v>321</v>
      </c>
      <c r="B41" s="61" t="s">
        <v>322</v>
      </c>
      <c r="C41" s="47">
        <v>86678200</v>
      </c>
      <c r="D41" s="47">
        <v>87614900</v>
      </c>
      <c r="E41" s="319">
        <v>89809781</v>
      </c>
    </row>
    <row r="42" spans="1:5" s="217" customFormat="1" ht="15" customHeight="1" thickBot="1">
      <c r="A42" s="84" t="s">
        <v>15</v>
      </c>
      <c r="B42" s="85" t="s">
        <v>323</v>
      </c>
      <c r="C42" s="321">
        <f>+C37+C38</f>
        <v>100046155</v>
      </c>
      <c r="D42" s="321">
        <f>+D37+D38</f>
        <v>105684064</v>
      </c>
      <c r="E42" s="150">
        <f>+E37+E38</f>
        <v>103460019</v>
      </c>
    </row>
    <row r="43" spans="1:3" s="217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6" customFormat="1" ht="16.5" customHeight="1" thickBot="1">
      <c r="A45" s="810" t="s">
        <v>41</v>
      </c>
      <c r="B45" s="811"/>
      <c r="C45" s="811"/>
      <c r="D45" s="811"/>
      <c r="E45" s="812"/>
    </row>
    <row r="46" spans="1:5" s="218" customFormat="1" ht="12" customHeight="1" thickBot="1">
      <c r="A46" s="78" t="s">
        <v>6</v>
      </c>
      <c r="B46" s="56" t="s">
        <v>324</v>
      </c>
      <c r="C46" s="119">
        <f>SUM(C47:C51)</f>
        <v>100046155</v>
      </c>
      <c r="D46" s="119">
        <f>SUM(D47:D51)</f>
        <v>105611814</v>
      </c>
      <c r="E46" s="147">
        <f>SUM(E47:E51)</f>
        <v>100621007</v>
      </c>
    </row>
    <row r="47" spans="1:5" ht="12" customHeight="1">
      <c r="A47" s="210" t="s">
        <v>64</v>
      </c>
      <c r="B47" s="7" t="s">
        <v>35</v>
      </c>
      <c r="C47" s="270">
        <v>74224100</v>
      </c>
      <c r="D47" s="270">
        <v>78992586</v>
      </c>
      <c r="E47" s="268">
        <v>77129081</v>
      </c>
    </row>
    <row r="48" spans="1:5" ht="12" customHeight="1">
      <c r="A48" s="210" t="s">
        <v>65</v>
      </c>
      <c r="B48" s="6" t="s">
        <v>124</v>
      </c>
      <c r="C48" s="46">
        <v>15165055</v>
      </c>
      <c r="D48" s="46">
        <v>15947262</v>
      </c>
      <c r="E48" s="266">
        <v>15644084</v>
      </c>
    </row>
    <row r="49" spans="1:5" ht="12" customHeight="1">
      <c r="A49" s="210" t="s">
        <v>66</v>
      </c>
      <c r="B49" s="6" t="s">
        <v>92</v>
      </c>
      <c r="C49" s="46">
        <v>10657000</v>
      </c>
      <c r="D49" s="46">
        <v>10671966</v>
      </c>
      <c r="E49" s="266">
        <v>7847842</v>
      </c>
    </row>
    <row r="50" spans="1:5" ht="12" customHeight="1">
      <c r="A50" s="210" t="s">
        <v>67</v>
      </c>
      <c r="B50" s="6" t="s">
        <v>125</v>
      </c>
      <c r="C50" s="46"/>
      <c r="D50" s="46"/>
      <c r="E50" s="266"/>
    </row>
    <row r="51" spans="1:5" ht="12" customHeight="1" thickBot="1">
      <c r="A51" s="210" t="s">
        <v>99</v>
      </c>
      <c r="B51" s="6" t="s">
        <v>126</v>
      </c>
      <c r="C51" s="46"/>
      <c r="D51" s="46"/>
      <c r="E51" s="266"/>
    </row>
    <row r="52" spans="1:5" ht="12" customHeight="1" thickBot="1">
      <c r="A52" s="78" t="s">
        <v>7</v>
      </c>
      <c r="B52" s="56" t="s">
        <v>325</v>
      </c>
      <c r="C52" s="119">
        <f>SUM(C53:C55)</f>
        <v>0</v>
      </c>
      <c r="D52" s="119">
        <f>SUM(D53:D55)</f>
        <v>72250</v>
      </c>
      <c r="E52" s="147">
        <f>SUM(E53:E55)</f>
        <v>72250</v>
      </c>
    </row>
    <row r="53" spans="1:5" s="218" customFormat="1" ht="12" customHeight="1">
      <c r="A53" s="210" t="s">
        <v>70</v>
      </c>
      <c r="B53" s="7" t="s">
        <v>145</v>
      </c>
      <c r="C53" s="270"/>
      <c r="D53" s="270">
        <v>72250</v>
      </c>
      <c r="E53" s="268">
        <v>72250</v>
      </c>
    </row>
    <row r="54" spans="1:5" ht="12" customHeight="1">
      <c r="A54" s="210" t="s">
        <v>71</v>
      </c>
      <c r="B54" s="6" t="s">
        <v>128</v>
      </c>
      <c r="C54" s="46"/>
      <c r="D54" s="46"/>
      <c r="E54" s="266"/>
    </row>
    <row r="55" spans="1:5" ht="12" customHeight="1">
      <c r="A55" s="210" t="s">
        <v>72</v>
      </c>
      <c r="B55" s="6" t="s">
        <v>42</v>
      </c>
      <c r="C55" s="46"/>
      <c r="D55" s="46"/>
      <c r="E55" s="266"/>
    </row>
    <row r="56" spans="1:5" ht="12" customHeight="1" thickBot="1">
      <c r="A56" s="210" t="s">
        <v>73</v>
      </c>
      <c r="B56" s="6" t="s">
        <v>414</v>
      </c>
      <c r="C56" s="46"/>
      <c r="D56" s="46"/>
      <c r="E56" s="266"/>
    </row>
    <row r="57" spans="1:5" ht="12" customHeight="1" thickBot="1">
      <c r="A57" s="78" t="s">
        <v>8</v>
      </c>
      <c r="B57" s="56" t="s">
        <v>2</v>
      </c>
      <c r="C57" s="320"/>
      <c r="D57" s="320"/>
      <c r="E57" s="146"/>
    </row>
    <row r="58" spans="1:5" ht="15" customHeight="1" thickBot="1">
      <c r="A58" s="78" t="s">
        <v>9</v>
      </c>
      <c r="B58" s="90" t="s">
        <v>418</v>
      </c>
      <c r="C58" s="321">
        <f>+C46+C52+C57</f>
        <v>100046155</v>
      </c>
      <c r="D58" s="321">
        <f>+D46+D52+D57</f>
        <v>105684064</v>
      </c>
      <c r="E58" s="150">
        <f>+E46+E52+E57</f>
        <v>100693257</v>
      </c>
    </row>
    <row r="59" spans="3:5" ht="13.5" thickBot="1">
      <c r="C59" s="656">
        <f>C42-C58</f>
        <v>0</v>
      </c>
      <c r="D59" s="656">
        <f>D42-D58</f>
        <v>0</v>
      </c>
      <c r="E59" s="151"/>
    </row>
    <row r="60" spans="1:5" ht="15" customHeight="1" thickBot="1">
      <c r="A60" s="326" t="s">
        <v>498</v>
      </c>
      <c r="B60" s="327"/>
      <c r="C60" s="315">
        <v>19</v>
      </c>
      <c r="D60" s="315">
        <v>19</v>
      </c>
      <c r="E60" s="314">
        <v>19</v>
      </c>
    </row>
    <row r="61" spans="1:5" ht="14.25" customHeight="1" thickBot="1">
      <c r="A61" s="328" t="s">
        <v>499</v>
      </c>
      <c r="B61" s="329"/>
      <c r="C61" s="315">
        <v>0</v>
      </c>
      <c r="D61" s="315">
        <v>0</v>
      </c>
      <c r="E61" s="314">
        <v>0</v>
      </c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">
      <selection activeCell="D47" sqref="D47:D49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83"/>
      <c r="B1" s="814" t="str">
        <f>CONCATENATE("6.2.1. melléklet ",Z_ALAPADATOK!A7," ",Z_ALAPADATOK!B7," ",Z_ALAPADATOK!C7," ",Z_ALAPADATOK!D7," ",Z_ALAPADATOK!E7," ",Z_ALAPADATOK!F7," ",Z_ALAPADATOK!G7," ",Z_ALAPADATOK!H7)</f>
        <v>6.2.1. melléklet a … / 2019. ( … ) önkormányzati rendelethez</v>
      </c>
      <c r="C1" s="815"/>
      <c r="D1" s="815"/>
      <c r="E1" s="815"/>
    </row>
    <row r="2" spans="1:5" s="214" customFormat="1" ht="24.75" thickBot="1">
      <c r="A2" s="384" t="s">
        <v>465</v>
      </c>
      <c r="B2" s="816" t="str">
        <f>CONCATENATE('Z_6.2.sz.mell'!B2:D2)</f>
        <v>Besenyszögi Közös Önkormányzati Hivatal</v>
      </c>
      <c r="C2" s="817"/>
      <c r="D2" s="818"/>
      <c r="E2" s="385" t="s">
        <v>43</v>
      </c>
    </row>
    <row r="3" spans="1:5" s="214" customFormat="1" ht="24.75" thickBot="1">
      <c r="A3" s="384" t="s">
        <v>137</v>
      </c>
      <c r="B3" s="816" t="s">
        <v>326</v>
      </c>
      <c r="C3" s="817"/>
      <c r="D3" s="818"/>
      <c r="E3" s="385" t="s">
        <v>43</v>
      </c>
    </row>
    <row r="4" spans="1:5" s="215" customFormat="1" ht="15.75" customHeight="1" thickBot="1">
      <c r="A4" s="386"/>
      <c r="B4" s="386"/>
      <c r="C4" s="387"/>
      <c r="D4" s="388"/>
      <c r="E4" s="387" t="str">
        <f>'Z_6.2.sz.mell'!E4</f>
        <v> Forintban!</v>
      </c>
    </row>
    <row r="5" spans="1:5" ht="24.75" thickBot="1">
      <c r="A5" s="389" t="s">
        <v>138</v>
      </c>
      <c r="B5" s="390" t="s">
        <v>497</v>
      </c>
      <c r="C5" s="390" t="s">
        <v>461</v>
      </c>
      <c r="D5" s="391" t="s">
        <v>462</v>
      </c>
      <c r="E5" s="372" t="str">
        <f>CONCATENATE('Z_6.2.sz.mell'!E5)</f>
        <v>Teljesítés
2018. XII. 31.</v>
      </c>
    </row>
    <row r="6" spans="1:5" s="216" customFormat="1" ht="12.75" customHeight="1" thickBot="1">
      <c r="A6" s="422" t="s">
        <v>389</v>
      </c>
      <c r="B6" s="423" t="s">
        <v>390</v>
      </c>
      <c r="C6" s="423" t="s">
        <v>391</v>
      </c>
      <c r="D6" s="424" t="s">
        <v>393</v>
      </c>
      <c r="E6" s="425" t="s">
        <v>392</v>
      </c>
    </row>
    <row r="7" spans="1:5" s="216" customFormat="1" ht="15.75" customHeight="1" thickBot="1">
      <c r="A7" s="810" t="s">
        <v>40</v>
      </c>
      <c r="B7" s="811"/>
      <c r="C7" s="811"/>
      <c r="D7" s="811"/>
      <c r="E7" s="812"/>
    </row>
    <row r="8" spans="1:5" s="152" customFormat="1" ht="12" customHeight="1" thickBot="1">
      <c r="A8" s="74" t="s">
        <v>6</v>
      </c>
      <c r="B8" s="83" t="s">
        <v>410</v>
      </c>
      <c r="C8" s="119">
        <f>SUM(C9:C19)</f>
        <v>0</v>
      </c>
      <c r="D8" s="119">
        <f>SUM(D9:D19)</f>
        <v>0</v>
      </c>
      <c r="E8" s="147">
        <f>SUM(E9:E19)</f>
        <v>75358</v>
      </c>
    </row>
    <row r="9" spans="1:5" s="152" customFormat="1" ht="12" customHeight="1">
      <c r="A9" s="209" t="s">
        <v>64</v>
      </c>
      <c r="B9" s="8" t="s">
        <v>188</v>
      </c>
      <c r="C9" s="271"/>
      <c r="D9" s="271"/>
      <c r="E9" s="318"/>
    </row>
    <row r="10" spans="1:5" s="152" customFormat="1" ht="12" customHeight="1">
      <c r="A10" s="210" t="s">
        <v>65</v>
      </c>
      <c r="B10" s="6" t="s">
        <v>189</v>
      </c>
      <c r="C10" s="116"/>
      <c r="D10" s="116"/>
      <c r="E10" s="263">
        <v>63185</v>
      </c>
    </row>
    <row r="11" spans="1:5" s="152" customFormat="1" ht="12" customHeight="1">
      <c r="A11" s="210" t="s">
        <v>66</v>
      </c>
      <c r="B11" s="6" t="s">
        <v>190</v>
      </c>
      <c r="C11" s="116"/>
      <c r="D11" s="116"/>
      <c r="E11" s="263">
        <v>1500</v>
      </c>
    </row>
    <row r="12" spans="1:5" s="152" customFormat="1" ht="12" customHeight="1">
      <c r="A12" s="210" t="s">
        <v>67</v>
      </c>
      <c r="B12" s="6" t="s">
        <v>191</v>
      </c>
      <c r="C12" s="116"/>
      <c r="D12" s="116"/>
      <c r="E12" s="263"/>
    </row>
    <row r="13" spans="1:5" s="152" customFormat="1" ht="12" customHeight="1">
      <c r="A13" s="210" t="s">
        <v>99</v>
      </c>
      <c r="B13" s="6" t="s">
        <v>192</v>
      </c>
      <c r="C13" s="116"/>
      <c r="D13" s="116"/>
      <c r="E13" s="263"/>
    </row>
    <row r="14" spans="1:5" s="152" customFormat="1" ht="12" customHeight="1">
      <c r="A14" s="210" t="s">
        <v>68</v>
      </c>
      <c r="B14" s="6" t="s">
        <v>308</v>
      </c>
      <c r="C14" s="116"/>
      <c r="D14" s="116"/>
      <c r="E14" s="263">
        <v>1130</v>
      </c>
    </row>
    <row r="15" spans="1:5" s="152" customFormat="1" ht="12" customHeight="1">
      <c r="A15" s="210" t="s">
        <v>69</v>
      </c>
      <c r="B15" s="5" t="s">
        <v>309</v>
      </c>
      <c r="C15" s="116"/>
      <c r="D15" s="116"/>
      <c r="E15" s="263"/>
    </row>
    <row r="16" spans="1:5" s="152" customFormat="1" ht="12" customHeight="1">
      <c r="A16" s="210" t="s">
        <v>77</v>
      </c>
      <c r="B16" s="6" t="s">
        <v>195</v>
      </c>
      <c r="C16" s="269"/>
      <c r="D16" s="269"/>
      <c r="E16" s="267">
        <v>38</v>
      </c>
    </row>
    <row r="17" spans="1:5" s="217" customFormat="1" ht="12" customHeight="1">
      <c r="A17" s="210" t="s">
        <v>78</v>
      </c>
      <c r="B17" s="6" t="s">
        <v>196</v>
      </c>
      <c r="C17" s="116"/>
      <c r="D17" s="116"/>
      <c r="E17" s="263"/>
    </row>
    <row r="18" spans="1:5" s="217" customFormat="1" ht="12" customHeight="1">
      <c r="A18" s="210" t="s">
        <v>79</v>
      </c>
      <c r="B18" s="6" t="s">
        <v>341</v>
      </c>
      <c r="C18" s="118"/>
      <c r="D18" s="118"/>
      <c r="E18" s="264"/>
    </row>
    <row r="19" spans="1:5" s="217" customFormat="1" ht="12" customHeight="1" thickBot="1">
      <c r="A19" s="210" t="s">
        <v>80</v>
      </c>
      <c r="B19" s="5" t="s">
        <v>197</v>
      </c>
      <c r="C19" s="118"/>
      <c r="D19" s="118"/>
      <c r="E19" s="264">
        <v>9505</v>
      </c>
    </row>
    <row r="20" spans="1:5" s="152" customFormat="1" ht="12" customHeight="1" thickBot="1">
      <c r="A20" s="74" t="s">
        <v>7</v>
      </c>
      <c r="B20" s="83" t="s">
        <v>310</v>
      </c>
      <c r="C20" s="119">
        <f>SUM(C21:C23)</f>
        <v>6683978</v>
      </c>
      <c r="D20" s="119">
        <f>SUM(D21:D23)</f>
        <v>6972857</v>
      </c>
      <c r="E20" s="147">
        <f>SUM(E21:E23)</f>
        <v>4688036</v>
      </c>
    </row>
    <row r="21" spans="1:5" s="217" customFormat="1" ht="12" customHeight="1">
      <c r="A21" s="210" t="s">
        <v>70</v>
      </c>
      <c r="B21" s="7" t="s">
        <v>170</v>
      </c>
      <c r="C21" s="116"/>
      <c r="D21" s="116"/>
      <c r="E21" s="263"/>
    </row>
    <row r="22" spans="1:5" s="217" customFormat="1" ht="12" customHeight="1">
      <c r="A22" s="210" t="s">
        <v>71</v>
      </c>
      <c r="B22" s="6" t="s">
        <v>311</v>
      </c>
      <c r="C22" s="116"/>
      <c r="D22" s="116"/>
      <c r="E22" s="263"/>
    </row>
    <row r="23" spans="1:5" s="217" customFormat="1" ht="12" customHeight="1">
      <c r="A23" s="210" t="s">
        <v>72</v>
      </c>
      <c r="B23" s="6" t="s">
        <v>312</v>
      </c>
      <c r="C23" s="116">
        <v>6683978</v>
      </c>
      <c r="D23" s="116">
        <v>6972857</v>
      </c>
      <c r="E23" s="263">
        <v>4688036</v>
      </c>
    </row>
    <row r="24" spans="1:5" s="217" customFormat="1" ht="12" customHeight="1" thickBot="1">
      <c r="A24" s="210" t="s">
        <v>73</v>
      </c>
      <c r="B24" s="6" t="s">
        <v>411</v>
      </c>
      <c r="C24" s="116"/>
      <c r="D24" s="116"/>
      <c r="E24" s="263"/>
    </row>
    <row r="25" spans="1:5" s="217" customFormat="1" ht="12" customHeight="1" thickBot="1">
      <c r="A25" s="78" t="s">
        <v>8</v>
      </c>
      <c r="B25" s="56" t="s">
        <v>115</v>
      </c>
      <c r="C25" s="320"/>
      <c r="D25" s="320"/>
      <c r="E25" s="146"/>
    </row>
    <row r="26" spans="1:5" s="217" customFormat="1" ht="12" customHeight="1" thickBot="1">
      <c r="A26" s="78" t="s">
        <v>9</v>
      </c>
      <c r="B26" s="56" t="s">
        <v>412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179</v>
      </c>
      <c r="B27" s="212" t="s">
        <v>175</v>
      </c>
      <c r="C27" s="270"/>
      <c r="D27" s="270"/>
      <c r="E27" s="268"/>
    </row>
    <row r="28" spans="1:5" s="217" customFormat="1" ht="12" customHeight="1">
      <c r="A28" s="211" t="s">
        <v>180</v>
      </c>
      <c r="B28" s="212" t="s">
        <v>311</v>
      </c>
      <c r="C28" s="116"/>
      <c r="D28" s="116"/>
      <c r="E28" s="263"/>
    </row>
    <row r="29" spans="1:5" s="217" customFormat="1" ht="12" customHeight="1">
      <c r="A29" s="211" t="s">
        <v>181</v>
      </c>
      <c r="B29" s="213" t="s">
        <v>314</v>
      </c>
      <c r="C29" s="116"/>
      <c r="D29" s="116"/>
      <c r="E29" s="263"/>
    </row>
    <row r="30" spans="1:5" s="217" customFormat="1" ht="12" customHeight="1" thickBot="1">
      <c r="A30" s="210" t="s">
        <v>182</v>
      </c>
      <c r="B30" s="61" t="s">
        <v>413</v>
      </c>
      <c r="C30" s="47"/>
      <c r="D30" s="47"/>
      <c r="E30" s="319"/>
    </row>
    <row r="31" spans="1:5" s="217" customFormat="1" ht="12" customHeight="1" thickBot="1">
      <c r="A31" s="78" t="s">
        <v>10</v>
      </c>
      <c r="B31" s="56" t="s">
        <v>315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57</v>
      </c>
      <c r="B32" s="212" t="s">
        <v>202</v>
      </c>
      <c r="C32" s="270"/>
      <c r="D32" s="270"/>
      <c r="E32" s="268"/>
    </row>
    <row r="33" spans="1:5" s="217" customFormat="1" ht="12" customHeight="1">
      <c r="A33" s="211" t="s">
        <v>58</v>
      </c>
      <c r="B33" s="213" t="s">
        <v>203</v>
      </c>
      <c r="C33" s="120"/>
      <c r="D33" s="120"/>
      <c r="E33" s="265"/>
    </row>
    <row r="34" spans="1:5" s="217" customFormat="1" ht="12" customHeight="1" thickBot="1">
      <c r="A34" s="210" t="s">
        <v>59</v>
      </c>
      <c r="B34" s="61" t="s">
        <v>204</v>
      </c>
      <c r="C34" s="47"/>
      <c r="D34" s="47"/>
      <c r="E34" s="319"/>
    </row>
    <row r="35" spans="1:5" s="152" customFormat="1" ht="12" customHeight="1" thickBot="1">
      <c r="A35" s="78" t="s">
        <v>11</v>
      </c>
      <c r="B35" s="56" t="s">
        <v>287</v>
      </c>
      <c r="C35" s="320"/>
      <c r="D35" s="320"/>
      <c r="E35" s="146"/>
    </row>
    <row r="36" spans="1:5" s="152" customFormat="1" ht="12" customHeight="1" thickBot="1">
      <c r="A36" s="78" t="s">
        <v>12</v>
      </c>
      <c r="B36" s="56" t="s">
        <v>316</v>
      </c>
      <c r="C36" s="320"/>
      <c r="D36" s="320"/>
      <c r="E36" s="146"/>
    </row>
    <row r="37" spans="1:5" s="152" customFormat="1" ht="12" customHeight="1" thickBot="1">
      <c r="A37" s="74" t="s">
        <v>13</v>
      </c>
      <c r="B37" s="56" t="s">
        <v>317</v>
      </c>
      <c r="C37" s="119">
        <f>+C8+C20+C25+C26+C31+C35+C36</f>
        <v>6683978</v>
      </c>
      <c r="D37" s="119">
        <f>+D8+D20+D25+D26+D31+D35+D36</f>
        <v>6972857</v>
      </c>
      <c r="E37" s="147">
        <f>+E8+E20+E25+E26+E31+E35+E36</f>
        <v>4763394</v>
      </c>
    </row>
    <row r="38" spans="1:5" s="152" customFormat="1" ht="12" customHeight="1" thickBot="1">
      <c r="A38" s="84" t="s">
        <v>14</v>
      </c>
      <c r="B38" s="56" t="s">
        <v>318</v>
      </c>
      <c r="C38" s="119">
        <f>+C39+C40+C41</f>
        <v>43339100</v>
      </c>
      <c r="D38" s="119">
        <f>+D39+D40+D41</f>
        <v>45869175</v>
      </c>
      <c r="E38" s="147">
        <f>+E39+E40+E41</f>
        <v>46966616</v>
      </c>
    </row>
    <row r="39" spans="1:5" s="152" customFormat="1" ht="12" customHeight="1">
      <c r="A39" s="211" t="s">
        <v>319</v>
      </c>
      <c r="B39" s="212" t="s">
        <v>152</v>
      </c>
      <c r="C39" s="270"/>
      <c r="D39" s="270">
        <v>2061725</v>
      </c>
      <c r="E39" s="268">
        <v>2061725</v>
      </c>
    </row>
    <row r="40" spans="1:5" s="152" customFormat="1" ht="12" customHeight="1">
      <c r="A40" s="211" t="s">
        <v>320</v>
      </c>
      <c r="B40" s="213" t="s">
        <v>0</v>
      </c>
      <c r="C40" s="120"/>
      <c r="D40" s="120"/>
      <c r="E40" s="265"/>
    </row>
    <row r="41" spans="1:5" s="217" customFormat="1" ht="12" customHeight="1" thickBot="1">
      <c r="A41" s="210" t="s">
        <v>321</v>
      </c>
      <c r="B41" s="61" t="s">
        <v>322</v>
      </c>
      <c r="C41" s="47">
        <v>43339100</v>
      </c>
      <c r="D41" s="47">
        <v>43807450</v>
      </c>
      <c r="E41" s="319">
        <v>44904891</v>
      </c>
    </row>
    <row r="42" spans="1:5" s="217" customFormat="1" ht="15" customHeight="1" thickBot="1">
      <c r="A42" s="84" t="s">
        <v>15</v>
      </c>
      <c r="B42" s="85" t="s">
        <v>323</v>
      </c>
      <c r="C42" s="321">
        <f>+C37+C38</f>
        <v>50023078</v>
      </c>
      <c r="D42" s="321">
        <f>+D37+D38</f>
        <v>52842032</v>
      </c>
      <c r="E42" s="150">
        <f>+E37+E38</f>
        <v>51730010</v>
      </c>
    </row>
    <row r="43" spans="1:3" s="217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6" customFormat="1" ht="16.5" customHeight="1" thickBot="1">
      <c r="A45" s="810" t="s">
        <v>41</v>
      </c>
      <c r="B45" s="811"/>
      <c r="C45" s="811"/>
      <c r="D45" s="811"/>
      <c r="E45" s="812"/>
    </row>
    <row r="46" spans="1:5" s="218" customFormat="1" ht="12" customHeight="1" thickBot="1">
      <c r="A46" s="78" t="s">
        <v>6</v>
      </c>
      <c r="B46" s="56" t="s">
        <v>324</v>
      </c>
      <c r="C46" s="119">
        <f>SUM(C47:C51)</f>
        <v>50023078</v>
      </c>
      <c r="D46" s="119">
        <f>SUM(D47:D51)</f>
        <v>52805907</v>
      </c>
      <c r="E46" s="147">
        <f>SUM(E47:E51)</f>
        <v>50310504</v>
      </c>
    </row>
    <row r="47" spans="1:5" ht="12" customHeight="1">
      <c r="A47" s="210" t="s">
        <v>64</v>
      </c>
      <c r="B47" s="7" t="s">
        <v>35</v>
      </c>
      <c r="C47" s="270">
        <v>37112050</v>
      </c>
      <c r="D47" s="270">
        <v>39496293</v>
      </c>
      <c r="E47" s="268">
        <v>38564541</v>
      </c>
    </row>
    <row r="48" spans="1:5" ht="12" customHeight="1">
      <c r="A48" s="210" t="s">
        <v>65</v>
      </c>
      <c r="B48" s="6" t="s">
        <v>124</v>
      </c>
      <c r="C48" s="46">
        <v>7582528</v>
      </c>
      <c r="D48" s="46">
        <v>7973631</v>
      </c>
      <c r="E48" s="266">
        <v>7822042</v>
      </c>
    </row>
    <row r="49" spans="1:5" ht="12" customHeight="1">
      <c r="A49" s="210" t="s">
        <v>66</v>
      </c>
      <c r="B49" s="6" t="s">
        <v>92</v>
      </c>
      <c r="C49" s="46">
        <v>5328500</v>
      </c>
      <c r="D49" s="46">
        <v>5335983</v>
      </c>
      <c r="E49" s="266">
        <v>3923921</v>
      </c>
    </row>
    <row r="50" spans="1:5" ht="12" customHeight="1">
      <c r="A50" s="210" t="s">
        <v>67</v>
      </c>
      <c r="B50" s="6" t="s">
        <v>125</v>
      </c>
      <c r="C50" s="46"/>
      <c r="D50" s="46"/>
      <c r="E50" s="266"/>
    </row>
    <row r="51" spans="1:5" ht="12" customHeight="1" thickBot="1">
      <c r="A51" s="210" t="s">
        <v>99</v>
      </c>
      <c r="B51" s="6" t="s">
        <v>126</v>
      </c>
      <c r="C51" s="46"/>
      <c r="D51" s="46"/>
      <c r="E51" s="266"/>
    </row>
    <row r="52" spans="1:5" ht="12" customHeight="1" thickBot="1">
      <c r="A52" s="78" t="s">
        <v>7</v>
      </c>
      <c r="B52" s="56" t="s">
        <v>325</v>
      </c>
      <c r="C52" s="119">
        <f>SUM(C53:C55)</f>
        <v>0</v>
      </c>
      <c r="D52" s="119">
        <f>SUM(D53:D55)</f>
        <v>36125</v>
      </c>
      <c r="E52" s="147">
        <f>SUM(E53:E55)</f>
        <v>36125</v>
      </c>
    </row>
    <row r="53" spans="1:5" s="218" customFormat="1" ht="12" customHeight="1">
      <c r="A53" s="210" t="s">
        <v>70</v>
      </c>
      <c r="B53" s="7" t="s">
        <v>145</v>
      </c>
      <c r="C53" s="270"/>
      <c r="D53" s="270">
        <v>36125</v>
      </c>
      <c r="E53" s="268">
        <v>36125</v>
      </c>
    </row>
    <row r="54" spans="1:5" ht="12" customHeight="1">
      <c r="A54" s="210" t="s">
        <v>71</v>
      </c>
      <c r="B54" s="6" t="s">
        <v>128</v>
      </c>
      <c r="C54" s="46"/>
      <c r="D54" s="46"/>
      <c r="E54" s="266"/>
    </row>
    <row r="55" spans="1:5" ht="12" customHeight="1">
      <c r="A55" s="210" t="s">
        <v>72</v>
      </c>
      <c r="B55" s="6" t="s">
        <v>42</v>
      </c>
      <c r="C55" s="46"/>
      <c r="D55" s="46"/>
      <c r="E55" s="266"/>
    </row>
    <row r="56" spans="1:5" ht="12" customHeight="1" thickBot="1">
      <c r="A56" s="210" t="s">
        <v>73</v>
      </c>
      <c r="B56" s="6" t="s">
        <v>414</v>
      </c>
      <c r="C56" s="46"/>
      <c r="D56" s="46"/>
      <c r="E56" s="266"/>
    </row>
    <row r="57" spans="1:5" ht="12" customHeight="1" thickBot="1">
      <c r="A57" s="78" t="s">
        <v>8</v>
      </c>
      <c r="B57" s="56" t="s">
        <v>2</v>
      </c>
      <c r="C57" s="320"/>
      <c r="D57" s="320"/>
      <c r="E57" s="146"/>
    </row>
    <row r="58" spans="1:5" ht="15" customHeight="1" thickBot="1">
      <c r="A58" s="78" t="s">
        <v>9</v>
      </c>
      <c r="B58" s="90" t="s">
        <v>418</v>
      </c>
      <c r="C58" s="321">
        <f>+C46+C52+C57</f>
        <v>50023078</v>
      </c>
      <c r="D58" s="321">
        <f>+D46+D52+D57</f>
        <v>52842032</v>
      </c>
      <c r="E58" s="150">
        <f>+E46+E52+E57</f>
        <v>50346629</v>
      </c>
    </row>
    <row r="59" spans="3:5" ht="13.5" thickBot="1">
      <c r="C59" s="656">
        <f>C42-C58</f>
        <v>0</v>
      </c>
      <c r="D59" s="656">
        <f>D42-D58</f>
        <v>0</v>
      </c>
      <c r="E59" s="151"/>
    </row>
    <row r="60" spans="1:5" ht="15" customHeight="1" thickBot="1">
      <c r="A60" s="326" t="s">
        <v>498</v>
      </c>
      <c r="B60" s="327"/>
      <c r="C60" s="315">
        <v>10</v>
      </c>
      <c r="D60" s="315">
        <v>10</v>
      </c>
      <c r="E60" s="315">
        <v>10</v>
      </c>
    </row>
    <row r="61" spans="1:5" ht="14.25" customHeight="1" thickBot="1">
      <c r="A61" s="328" t="s">
        <v>499</v>
      </c>
      <c r="B61" s="329"/>
      <c r="C61" s="315">
        <v>0</v>
      </c>
      <c r="D61" s="315">
        <v>0</v>
      </c>
      <c r="E61" s="315">
        <v>0</v>
      </c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3">
      <selection activeCell="B5" sqref="B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2" t="s">
        <v>528</v>
      </c>
      <c r="B1" s="79"/>
    </row>
    <row r="2" spans="1:2" ht="12.75">
      <c r="A2" s="79"/>
      <c r="B2" s="79"/>
    </row>
    <row r="3" spans="1:2" ht="12.75">
      <c r="A3" s="274"/>
      <c r="B3" s="274"/>
    </row>
    <row r="4" spans="1:2" ht="15.75">
      <c r="A4" s="81"/>
      <c r="B4" s="278"/>
    </row>
    <row r="5" spans="1:2" ht="15.75">
      <c r="A5" s="81"/>
      <c r="B5" s="278"/>
    </row>
    <row r="6" spans="1:2" s="66" customFormat="1" ht="15.75">
      <c r="A6" s="81" t="s">
        <v>830</v>
      </c>
      <c r="B6" s="274"/>
    </row>
    <row r="7" spans="1:2" s="66" customFormat="1" ht="12.75">
      <c r="A7" s="274"/>
      <c r="B7" s="274"/>
    </row>
    <row r="8" spans="1:2" s="66" customFormat="1" ht="12.75">
      <c r="A8" s="274"/>
      <c r="B8" s="274"/>
    </row>
    <row r="9" spans="1:2" ht="12.75">
      <c r="A9" s="274" t="s">
        <v>468</v>
      </c>
      <c r="B9" s="274" t="s">
        <v>429</v>
      </c>
    </row>
    <row r="10" spans="1:2" ht="12.75">
      <c r="A10" s="274" t="s">
        <v>466</v>
      </c>
      <c r="B10" s="274" t="s">
        <v>435</v>
      </c>
    </row>
    <row r="11" spans="1:2" ht="12.75">
      <c r="A11" s="274" t="s">
        <v>467</v>
      </c>
      <c r="B11" s="274" t="s">
        <v>436</v>
      </c>
    </row>
    <row r="12" spans="1:2" ht="12.75">
      <c r="A12" s="274"/>
      <c r="B12" s="274"/>
    </row>
    <row r="13" spans="1:2" ht="15.75">
      <c r="A13" s="81" t="str">
        <f>+CONCATENATE(LEFT(A6,4),". évi módosított előirányzat BEVÉTELEK")</f>
        <v>2018. évi módosított előirányzat BEVÉTELEK</v>
      </c>
      <c r="B13" s="278"/>
    </row>
    <row r="14" spans="1:2" ht="12.75">
      <c r="A14" s="274"/>
      <c r="B14" s="274"/>
    </row>
    <row r="15" spans="1:2" s="66" customFormat="1" ht="12.75">
      <c r="A15" s="274" t="s">
        <v>469</v>
      </c>
      <c r="B15" s="274" t="s">
        <v>430</v>
      </c>
    </row>
    <row r="16" spans="1:2" ht="12.75">
      <c r="A16" s="274" t="s">
        <v>470</v>
      </c>
      <c r="B16" s="274" t="s">
        <v>437</v>
      </c>
    </row>
    <row r="17" spans="1:2" ht="12.75">
      <c r="A17" s="274" t="s">
        <v>471</v>
      </c>
      <c r="B17" s="274" t="s">
        <v>438</v>
      </c>
    </row>
    <row r="18" spans="1:2" ht="12.75">
      <c r="A18" s="274"/>
      <c r="B18" s="274"/>
    </row>
    <row r="19" spans="1:2" ht="14.25">
      <c r="A19" s="281" t="str">
        <f>+CONCATENATE(LEFT(A6,4),".évi teljesített BEVÉTELEK")</f>
        <v>2018.évi teljesített BEVÉTELEK</v>
      </c>
      <c r="B19" s="278"/>
    </row>
    <row r="20" spans="1:2" ht="12.75">
      <c r="A20" s="274"/>
      <c r="B20" s="274"/>
    </row>
    <row r="21" spans="1:2" ht="12.75">
      <c r="A21" s="274" t="s">
        <v>472</v>
      </c>
      <c r="B21" s="274" t="s">
        <v>431</v>
      </c>
    </row>
    <row r="22" spans="1:2" ht="12.75">
      <c r="A22" s="274" t="s">
        <v>473</v>
      </c>
      <c r="B22" s="274" t="s">
        <v>439</v>
      </c>
    </row>
    <row r="23" spans="1:2" ht="12.75">
      <c r="A23" s="274" t="s">
        <v>474</v>
      </c>
      <c r="B23" s="274" t="s">
        <v>440</v>
      </c>
    </row>
    <row r="24" spans="1:2" ht="12.75">
      <c r="A24" s="274"/>
      <c r="B24" s="274"/>
    </row>
    <row r="25" spans="1:2" ht="15.75">
      <c r="A25" s="81" t="str">
        <f>+CONCATENATE(LEFT(A6,4),". évi eredeti előirányzat KIADÁSOK")</f>
        <v>2018. évi eredeti előirányzat KIADÁSOK</v>
      </c>
      <c r="B25" s="278"/>
    </row>
    <row r="26" spans="1:2" ht="12.75">
      <c r="A26" s="274"/>
      <c r="B26" s="274"/>
    </row>
    <row r="27" spans="1:2" ht="12.75">
      <c r="A27" s="274" t="s">
        <v>475</v>
      </c>
      <c r="B27" s="274" t="s">
        <v>432</v>
      </c>
    </row>
    <row r="28" spans="1:2" ht="12.75">
      <c r="A28" s="274" t="s">
        <v>476</v>
      </c>
      <c r="B28" s="274" t="s">
        <v>441</v>
      </c>
    </row>
    <row r="29" spans="1:2" ht="12.75">
      <c r="A29" s="274" t="s">
        <v>477</v>
      </c>
      <c r="B29" s="274" t="s">
        <v>442</v>
      </c>
    </row>
    <row r="30" spans="1:2" ht="12.75">
      <c r="A30" s="274"/>
      <c r="B30" s="274"/>
    </row>
    <row r="31" spans="1:2" ht="15.75">
      <c r="A31" s="81" t="str">
        <f>+CONCATENATE(LEFT(A6,4),". évi módosított előirányzat KIADÁSOK")</f>
        <v>2018. évi módosított előirányzat KIADÁSOK</v>
      </c>
      <c r="B31" s="278"/>
    </row>
    <row r="32" spans="1:2" ht="12.75">
      <c r="A32" s="274"/>
      <c r="B32" s="274"/>
    </row>
    <row r="33" spans="1:2" ht="12.75">
      <c r="A33" s="274" t="s">
        <v>478</v>
      </c>
      <c r="B33" s="274" t="s">
        <v>433</v>
      </c>
    </row>
    <row r="34" spans="1:2" ht="12.75">
      <c r="A34" s="274" t="s">
        <v>479</v>
      </c>
      <c r="B34" s="274" t="s">
        <v>443</v>
      </c>
    </row>
    <row r="35" spans="1:2" ht="12.75">
      <c r="A35" s="274" t="s">
        <v>480</v>
      </c>
      <c r="B35" s="274" t="s">
        <v>444</v>
      </c>
    </row>
    <row r="36" spans="1:2" ht="12.75">
      <c r="A36" s="274"/>
      <c r="B36" s="274"/>
    </row>
    <row r="37" spans="1:2" ht="15.75">
      <c r="A37" s="280" t="str">
        <f>+CONCATENATE(LEFT(A6,4),".évi teljesített KIADÁSOK")</f>
        <v>2018.évi teljesített KIADÁSOK</v>
      </c>
      <c r="B37" s="278"/>
    </row>
    <row r="38" spans="1:2" ht="12.75">
      <c r="A38" s="274"/>
      <c r="B38" s="274"/>
    </row>
    <row r="39" spans="1:2" ht="12.75">
      <c r="A39" s="274" t="s">
        <v>481</v>
      </c>
      <c r="B39" s="274" t="s">
        <v>434</v>
      </c>
    </row>
    <row r="40" spans="1:2" ht="12.75">
      <c r="A40" s="274" t="s">
        <v>482</v>
      </c>
      <c r="B40" s="274" t="s">
        <v>445</v>
      </c>
    </row>
    <row r="41" spans="1:2" ht="12.75">
      <c r="A41" s="274" t="s">
        <v>483</v>
      </c>
      <c r="B41" s="274" t="s">
        <v>446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">
      <selection activeCell="D47" sqref="D47:D49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83"/>
      <c r="B1" s="814" t="str">
        <f>CONCATENATE("6.2.2. melléklet ",Z_ALAPADATOK!A7," ",Z_ALAPADATOK!B7," ",Z_ALAPADATOK!C7," ",Z_ALAPADATOK!D7," ",Z_ALAPADATOK!E7," ",Z_ALAPADATOK!F7," ",Z_ALAPADATOK!G7," ",Z_ALAPADATOK!H7)</f>
        <v>6.2.2. melléklet a … / 2019. ( … ) önkormányzati rendelethez</v>
      </c>
      <c r="C1" s="815"/>
      <c r="D1" s="815"/>
      <c r="E1" s="815"/>
    </row>
    <row r="2" spans="1:5" s="214" customFormat="1" ht="24.75" thickBot="1">
      <c r="A2" s="384" t="s">
        <v>465</v>
      </c>
      <c r="B2" s="816" t="str">
        <f>CONCATENATE('Z_6.2.1.sz.mell'!B2:D2)</f>
        <v>Besenyszögi Közös Önkormányzati Hivatal</v>
      </c>
      <c r="C2" s="817"/>
      <c r="D2" s="818"/>
      <c r="E2" s="385" t="s">
        <v>43</v>
      </c>
    </row>
    <row r="3" spans="1:5" s="214" customFormat="1" ht="24.75" thickBot="1">
      <c r="A3" s="384" t="s">
        <v>137</v>
      </c>
      <c r="B3" s="816" t="s">
        <v>419</v>
      </c>
      <c r="C3" s="817"/>
      <c r="D3" s="818"/>
      <c r="E3" s="385" t="s">
        <v>44</v>
      </c>
    </row>
    <row r="4" spans="1:5" s="215" customFormat="1" ht="15.75" customHeight="1" thickBot="1">
      <c r="A4" s="386"/>
      <c r="B4" s="386"/>
      <c r="C4" s="387"/>
      <c r="D4" s="388"/>
      <c r="E4" s="387" t="str">
        <f>'Z_6.2.1.sz.mell'!E4</f>
        <v> Forintban!</v>
      </c>
    </row>
    <row r="5" spans="1:5" ht="24.75" thickBot="1">
      <c r="A5" s="389" t="s">
        <v>138</v>
      </c>
      <c r="B5" s="390" t="s">
        <v>497</v>
      </c>
      <c r="C5" s="390" t="s">
        <v>461</v>
      </c>
      <c r="D5" s="391" t="s">
        <v>462</v>
      </c>
      <c r="E5" s="372" t="str">
        <f>CONCATENATE('Z_6.2.1.sz.mell'!E5)</f>
        <v>Teljesítés
2018. XII. 31.</v>
      </c>
    </row>
    <row r="6" spans="1:5" s="216" customFormat="1" ht="12.75" customHeight="1" thickBot="1">
      <c r="A6" s="422" t="s">
        <v>389</v>
      </c>
      <c r="B6" s="423" t="s">
        <v>390</v>
      </c>
      <c r="C6" s="423" t="s">
        <v>391</v>
      </c>
      <c r="D6" s="424" t="s">
        <v>393</v>
      </c>
      <c r="E6" s="425" t="s">
        <v>392</v>
      </c>
    </row>
    <row r="7" spans="1:5" s="216" customFormat="1" ht="15.75" customHeight="1" thickBot="1">
      <c r="A7" s="810" t="s">
        <v>40</v>
      </c>
      <c r="B7" s="811"/>
      <c r="C7" s="811"/>
      <c r="D7" s="811"/>
      <c r="E7" s="812"/>
    </row>
    <row r="8" spans="1:5" s="152" customFormat="1" ht="12" customHeight="1" thickBot="1">
      <c r="A8" s="74" t="s">
        <v>6</v>
      </c>
      <c r="B8" s="83" t="s">
        <v>410</v>
      </c>
      <c r="C8" s="119">
        <f>SUM(C9:C19)</f>
        <v>0</v>
      </c>
      <c r="D8" s="119">
        <f>SUM(D9:D19)</f>
        <v>0</v>
      </c>
      <c r="E8" s="147">
        <f>SUM(E9:E19)</f>
        <v>75357</v>
      </c>
    </row>
    <row r="9" spans="1:5" s="152" customFormat="1" ht="12" customHeight="1">
      <c r="A9" s="209" t="s">
        <v>64</v>
      </c>
      <c r="B9" s="8" t="s">
        <v>188</v>
      </c>
      <c r="C9" s="271"/>
      <c r="D9" s="271"/>
      <c r="E9" s="318"/>
    </row>
    <row r="10" spans="1:5" s="152" customFormat="1" ht="12" customHeight="1">
      <c r="A10" s="210" t="s">
        <v>65</v>
      </c>
      <c r="B10" s="6" t="s">
        <v>189</v>
      </c>
      <c r="C10" s="116"/>
      <c r="D10" s="116"/>
      <c r="E10" s="263">
        <v>63185</v>
      </c>
    </row>
    <row r="11" spans="1:5" s="152" customFormat="1" ht="12" customHeight="1">
      <c r="A11" s="210" t="s">
        <v>66</v>
      </c>
      <c r="B11" s="6" t="s">
        <v>190</v>
      </c>
      <c r="C11" s="116"/>
      <c r="D11" s="116"/>
      <c r="E11" s="263">
        <v>1500</v>
      </c>
    </row>
    <row r="12" spans="1:5" s="152" customFormat="1" ht="12" customHeight="1">
      <c r="A12" s="210" t="s">
        <v>67</v>
      </c>
      <c r="B12" s="6" t="s">
        <v>191</v>
      </c>
      <c r="C12" s="116"/>
      <c r="D12" s="116"/>
      <c r="E12" s="263"/>
    </row>
    <row r="13" spans="1:5" s="152" customFormat="1" ht="12" customHeight="1">
      <c r="A13" s="210" t="s">
        <v>99</v>
      </c>
      <c r="B13" s="6" t="s">
        <v>192</v>
      </c>
      <c r="C13" s="116"/>
      <c r="D13" s="116"/>
      <c r="E13" s="263"/>
    </row>
    <row r="14" spans="1:5" s="152" customFormat="1" ht="12" customHeight="1">
      <c r="A14" s="210" t="s">
        <v>68</v>
      </c>
      <c r="B14" s="6" t="s">
        <v>308</v>
      </c>
      <c r="C14" s="116"/>
      <c r="D14" s="116"/>
      <c r="E14" s="263">
        <v>1130</v>
      </c>
    </row>
    <row r="15" spans="1:5" s="152" customFormat="1" ht="12" customHeight="1">
      <c r="A15" s="210" t="s">
        <v>69</v>
      </c>
      <c r="B15" s="5" t="s">
        <v>309</v>
      </c>
      <c r="C15" s="116"/>
      <c r="D15" s="116"/>
      <c r="E15" s="263"/>
    </row>
    <row r="16" spans="1:5" s="152" customFormat="1" ht="12" customHeight="1">
      <c r="A16" s="210" t="s">
        <v>77</v>
      </c>
      <c r="B16" s="6" t="s">
        <v>195</v>
      </c>
      <c r="C16" s="269"/>
      <c r="D16" s="269"/>
      <c r="E16" s="267">
        <v>37</v>
      </c>
    </row>
    <row r="17" spans="1:5" s="217" customFormat="1" ht="12" customHeight="1">
      <c r="A17" s="210" t="s">
        <v>78</v>
      </c>
      <c r="B17" s="6" t="s">
        <v>196</v>
      </c>
      <c r="C17" s="116"/>
      <c r="D17" s="116"/>
      <c r="E17" s="263"/>
    </row>
    <row r="18" spans="1:5" s="217" customFormat="1" ht="12" customHeight="1">
      <c r="A18" s="210" t="s">
        <v>79</v>
      </c>
      <c r="B18" s="6" t="s">
        <v>341</v>
      </c>
      <c r="C18" s="118"/>
      <c r="D18" s="118"/>
      <c r="E18" s="264"/>
    </row>
    <row r="19" spans="1:5" s="217" customFormat="1" ht="12" customHeight="1" thickBot="1">
      <c r="A19" s="210" t="s">
        <v>80</v>
      </c>
      <c r="B19" s="5" t="s">
        <v>197</v>
      </c>
      <c r="C19" s="118"/>
      <c r="D19" s="118"/>
      <c r="E19" s="264">
        <v>9505</v>
      </c>
    </row>
    <row r="20" spans="1:5" s="152" customFormat="1" ht="12" customHeight="1" thickBot="1">
      <c r="A20" s="74" t="s">
        <v>7</v>
      </c>
      <c r="B20" s="83" t="s">
        <v>310</v>
      </c>
      <c r="C20" s="119">
        <f>SUM(C21:C23)</f>
        <v>6683977</v>
      </c>
      <c r="D20" s="119">
        <f>SUM(D21:D23)</f>
        <v>6972857</v>
      </c>
      <c r="E20" s="147">
        <f>SUM(E21:E23)</f>
        <v>4688037</v>
      </c>
    </row>
    <row r="21" spans="1:5" s="217" customFormat="1" ht="12" customHeight="1">
      <c r="A21" s="210" t="s">
        <v>70</v>
      </c>
      <c r="B21" s="7" t="s">
        <v>170</v>
      </c>
      <c r="C21" s="116"/>
      <c r="D21" s="116"/>
      <c r="E21" s="263"/>
    </row>
    <row r="22" spans="1:5" s="217" customFormat="1" ht="12" customHeight="1">
      <c r="A22" s="210" t="s">
        <v>71</v>
      </c>
      <c r="B22" s="6" t="s">
        <v>311</v>
      </c>
      <c r="C22" s="116"/>
      <c r="D22" s="116"/>
      <c r="E22" s="263"/>
    </row>
    <row r="23" spans="1:5" s="217" customFormat="1" ht="12" customHeight="1">
      <c r="A23" s="210" t="s">
        <v>72</v>
      </c>
      <c r="B23" s="6" t="s">
        <v>312</v>
      </c>
      <c r="C23" s="116">
        <v>6683977</v>
      </c>
      <c r="D23" s="116">
        <v>6972857</v>
      </c>
      <c r="E23" s="263">
        <v>4688037</v>
      </c>
    </row>
    <row r="24" spans="1:5" s="217" customFormat="1" ht="12" customHeight="1" thickBot="1">
      <c r="A24" s="210" t="s">
        <v>73</v>
      </c>
      <c r="B24" s="6" t="s">
        <v>411</v>
      </c>
      <c r="C24" s="116"/>
      <c r="D24" s="116"/>
      <c r="E24" s="263"/>
    </row>
    <row r="25" spans="1:5" s="217" customFormat="1" ht="12" customHeight="1" thickBot="1">
      <c r="A25" s="78" t="s">
        <v>8</v>
      </c>
      <c r="B25" s="56" t="s">
        <v>115</v>
      </c>
      <c r="C25" s="320"/>
      <c r="D25" s="320"/>
      <c r="E25" s="146"/>
    </row>
    <row r="26" spans="1:5" s="217" customFormat="1" ht="12" customHeight="1" thickBot="1">
      <c r="A26" s="78" t="s">
        <v>9</v>
      </c>
      <c r="B26" s="56" t="s">
        <v>412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179</v>
      </c>
      <c r="B27" s="212" t="s">
        <v>175</v>
      </c>
      <c r="C27" s="270"/>
      <c r="D27" s="270"/>
      <c r="E27" s="268"/>
    </row>
    <row r="28" spans="1:5" s="217" customFormat="1" ht="12" customHeight="1">
      <c r="A28" s="211" t="s">
        <v>180</v>
      </c>
      <c r="B28" s="212" t="s">
        <v>311</v>
      </c>
      <c r="C28" s="116"/>
      <c r="D28" s="116"/>
      <c r="E28" s="263"/>
    </row>
    <row r="29" spans="1:5" s="217" customFormat="1" ht="12" customHeight="1">
      <c r="A29" s="211" t="s">
        <v>181</v>
      </c>
      <c r="B29" s="213" t="s">
        <v>314</v>
      </c>
      <c r="C29" s="116"/>
      <c r="D29" s="116"/>
      <c r="E29" s="263"/>
    </row>
    <row r="30" spans="1:5" s="217" customFormat="1" ht="12" customHeight="1" thickBot="1">
      <c r="A30" s="210" t="s">
        <v>182</v>
      </c>
      <c r="B30" s="61" t="s">
        <v>413</v>
      </c>
      <c r="C30" s="47"/>
      <c r="D30" s="47"/>
      <c r="E30" s="319"/>
    </row>
    <row r="31" spans="1:5" s="217" customFormat="1" ht="12" customHeight="1" thickBot="1">
      <c r="A31" s="78" t="s">
        <v>10</v>
      </c>
      <c r="B31" s="56" t="s">
        <v>315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57</v>
      </c>
      <c r="B32" s="212" t="s">
        <v>202</v>
      </c>
      <c r="C32" s="270"/>
      <c r="D32" s="270"/>
      <c r="E32" s="268"/>
    </row>
    <row r="33" spans="1:5" s="217" customFormat="1" ht="12" customHeight="1">
      <c r="A33" s="211" t="s">
        <v>58</v>
      </c>
      <c r="B33" s="213" t="s">
        <v>203</v>
      </c>
      <c r="C33" s="120"/>
      <c r="D33" s="120"/>
      <c r="E33" s="265"/>
    </row>
    <row r="34" spans="1:5" s="217" customFormat="1" ht="12" customHeight="1" thickBot="1">
      <c r="A34" s="210" t="s">
        <v>59</v>
      </c>
      <c r="B34" s="61" t="s">
        <v>204</v>
      </c>
      <c r="C34" s="47"/>
      <c r="D34" s="47"/>
      <c r="E34" s="319"/>
    </row>
    <row r="35" spans="1:5" s="152" customFormat="1" ht="12" customHeight="1" thickBot="1">
      <c r="A35" s="78" t="s">
        <v>11</v>
      </c>
      <c r="B35" s="56" t="s">
        <v>287</v>
      </c>
      <c r="C35" s="320"/>
      <c r="D35" s="320"/>
      <c r="E35" s="146"/>
    </row>
    <row r="36" spans="1:5" s="152" customFormat="1" ht="12" customHeight="1" thickBot="1">
      <c r="A36" s="78" t="s">
        <v>12</v>
      </c>
      <c r="B36" s="56" t="s">
        <v>316</v>
      </c>
      <c r="C36" s="320"/>
      <c r="D36" s="320"/>
      <c r="E36" s="146"/>
    </row>
    <row r="37" spans="1:5" s="152" customFormat="1" ht="12" customHeight="1" thickBot="1">
      <c r="A37" s="74" t="s">
        <v>13</v>
      </c>
      <c r="B37" s="56" t="s">
        <v>317</v>
      </c>
      <c r="C37" s="119">
        <f>+C8+C20+C25+C26+C31+C35+C36</f>
        <v>6683977</v>
      </c>
      <c r="D37" s="119">
        <f>+D8+D20+D25+D26+D31+D35+D36</f>
        <v>6972857</v>
      </c>
      <c r="E37" s="147">
        <f>+E8+E20+E25+E26+E31+E35+E36</f>
        <v>4763394</v>
      </c>
    </row>
    <row r="38" spans="1:5" s="152" customFormat="1" ht="12" customHeight="1" thickBot="1">
      <c r="A38" s="84" t="s">
        <v>14</v>
      </c>
      <c r="B38" s="56" t="s">
        <v>318</v>
      </c>
      <c r="C38" s="119">
        <f>+C39+C40+C41</f>
        <v>43339100</v>
      </c>
      <c r="D38" s="119">
        <f>+D39+D40+D41</f>
        <v>45869175</v>
      </c>
      <c r="E38" s="147">
        <f>+E39+E40+E41</f>
        <v>46966615</v>
      </c>
    </row>
    <row r="39" spans="1:5" s="152" customFormat="1" ht="12" customHeight="1">
      <c r="A39" s="211" t="s">
        <v>319</v>
      </c>
      <c r="B39" s="212" t="s">
        <v>152</v>
      </c>
      <c r="C39" s="270"/>
      <c r="D39" s="270">
        <v>2061725</v>
      </c>
      <c r="E39" s="268">
        <v>2061725</v>
      </c>
    </row>
    <row r="40" spans="1:5" s="152" customFormat="1" ht="12" customHeight="1">
      <c r="A40" s="211" t="s">
        <v>320</v>
      </c>
      <c r="B40" s="213" t="s">
        <v>0</v>
      </c>
      <c r="C40" s="120"/>
      <c r="D40" s="120"/>
      <c r="E40" s="265"/>
    </row>
    <row r="41" spans="1:5" s="217" customFormat="1" ht="12" customHeight="1" thickBot="1">
      <c r="A41" s="210" t="s">
        <v>321</v>
      </c>
      <c r="B41" s="61" t="s">
        <v>322</v>
      </c>
      <c r="C41" s="47">
        <v>43339100</v>
      </c>
      <c r="D41" s="47">
        <v>43807450</v>
      </c>
      <c r="E41" s="319">
        <v>44904890</v>
      </c>
    </row>
    <row r="42" spans="1:5" s="217" customFormat="1" ht="15" customHeight="1" thickBot="1">
      <c r="A42" s="84" t="s">
        <v>15</v>
      </c>
      <c r="B42" s="85" t="s">
        <v>323</v>
      </c>
      <c r="C42" s="321">
        <f>+C37+C38</f>
        <v>50023077</v>
      </c>
      <c r="D42" s="321">
        <f>+D37+D38</f>
        <v>52842032</v>
      </c>
      <c r="E42" s="150">
        <f>+E37+E38</f>
        <v>51730009</v>
      </c>
    </row>
    <row r="43" spans="1:3" s="217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6" customFormat="1" ht="16.5" customHeight="1" thickBot="1">
      <c r="A45" s="810" t="s">
        <v>41</v>
      </c>
      <c r="B45" s="811"/>
      <c r="C45" s="811"/>
      <c r="D45" s="811"/>
      <c r="E45" s="812"/>
    </row>
    <row r="46" spans="1:5" s="218" customFormat="1" ht="12" customHeight="1" thickBot="1">
      <c r="A46" s="78" t="s">
        <v>6</v>
      </c>
      <c r="B46" s="56" t="s">
        <v>324</v>
      </c>
      <c r="C46" s="119">
        <f>SUM(C47:C51)</f>
        <v>50023077</v>
      </c>
      <c r="D46" s="119">
        <f>SUM(D47:D51)</f>
        <v>52805907</v>
      </c>
      <c r="E46" s="147">
        <f>SUM(E47:E51)</f>
        <v>50310503</v>
      </c>
    </row>
    <row r="47" spans="1:5" ht="12" customHeight="1">
      <c r="A47" s="210" t="s">
        <v>64</v>
      </c>
      <c r="B47" s="7" t="s">
        <v>35</v>
      </c>
      <c r="C47" s="270">
        <v>37112050</v>
      </c>
      <c r="D47" s="270">
        <v>39496293</v>
      </c>
      <c r="E47" s="268">
        <v>38564540</v>
      </c>
    </row>
    <row r="48" spans="1:5" ht="12" customHeight="1">
      <c r="A48" s="210" t="s">
        <v>65</v>
      </c>
      <c r="B48" s="6" t="s">
        <v>124</v>
      </c>
      <c r="C48" s="46">
        <v>7582527</v>
      </c>
      <c r="D48" s="46">
        <v>7973631</v>
      </c>
      <c r="E48" s="266">
        <v>7822042</v>
      </c>
    </row>
    <row r="49" spans="1:5" ht="12" customHeight="1">
      <c r="A49" s="210" t="s">
        <v>66</v>
      </c>
      <c r="B49" s="6" t="s">
        <v>92</v>
      </c>
      <c r="C49" s="46">
        <v>5328500</v>
      </c>
      <c r="D49" s="46">
        <v>5335983</v>
      </c>
      <c r="E49" s="266">
        <v>3923921</v>
      </c>
    </row>
    <row r="50" spans="1:5" ht="12" customHeight="1">
      <c r="A50" s="210" t="s">
        <v>67</v>
      </c>
      <c r="B50" s="6" t="s">
        <v>125</v>
      </c>
      <c r="C50" s="46"/>
      <c r="D50" s="46"/>
      <c r="E50" s="266"/>
    </row>
    <row r="51" spans="1:5" ht="12" customHeight="1" thickBot="1">
      <c r="A51" s="210" t="s">
        <v>99</v>
      </c>
      <c r="B51" s="6" t="s">
        <v>126</v>
      </c>
      <c r="C51" s="46"/>
      <c r="D51" s="46"/>
      <c r="E51" s="266"/>
    </row>
    <row r="52" spans="1:5" ht="12" customHeight="1" thickBot="1">
      <c r="A52" s="78" t="s">
        <v>7</v>
      </c>
      <c r="B52" s="56" t="s">
        <v>325</v>
      </c>
      <c r="C52" s="119">
        <f>SUM(C53:C55)</f>
        <v>0</v>
      </c>
      <c r="D52" s="119">
        <f>SUM(D53:D55)</f>
        <v>36125</v>
      </c>
      <c r="E52" s="147">
        <f>SUM(E53:E55)</f>
        <v>36125</v>
      </c>
    </row>
    <row r="53" spans="1:5" s="218" customFormat="1" ht="12" customHeight="1">
      <c r="A53" s="210" t="s">
        <v>70</v>
      </c>
      <c r="B53" s="7" t="s">
        <v>145</v>
      </c>
      <c r="C53" s="270"/>
      <c r="D53" s="270">
        <v>36125</v>
      </c>
      <c r="E53" s="268">
        <v>36125</v>
      </c>
    </row>
    <row r="54" spans="1:5" ht="12" customHeight="1">
      <c r="A54" s="210" t="s">
        <v>71</v>
      </c>
      <c r="B54" s="6" t="s">
        <v>128</v>
      </c>
      <c r="C54" s="46"/>
      <c r="D54" s="46"/>
      <c r="E54" s="266"/>
    </row>
    <row r="55" spans="1:5" ht="12" customHeight="1">
      <c r="A55" s="210" t="s">
        <v>72</v>
      </c>
      <c r="B55" s="6" t="s">
        <v>42</v>
      </c>
      <c r="C55" s="46"/>
      <c r="D55" s="46"/>
      <c r="E55" s="266"/>
    </row>
    <row r="56" spans="1:5" ht="12" customHeight="1" thickBot="1">
      <c r="A56" s="210" t="s">
        <v>73</v>
      </c>
      <c r="B56" s="6" t="s">
        <v>414</v>
      </c>
      <c r="C56" s="46"/>
      <c r="D56" s="46"/>
      <c r="E56" s="266"/>
    </row>
    <row r="57" spans="1:5" ht="12" customHeight="1" thickBot="1">
      <c r="A57" s="78" t="s">
        <v>8</v>
      </c>
      <c r="B57" s="56" t="s">
        <v>2</v>
      </c>
      <c r="C57" s="320"/>
      <c r="D57" s="320"/>
      <c r="E57" s="146"/>
    </row>
    <row r="58" spans="1:5" ht="15" customHeight="1" thickBot="1">
      <c r="A58" s="78" t="s">
        <v>9</v>
      </c>
      <c r="B58" s="90" t="s">
        <v>418</v>
      </c>
      <c r="C58" s="321">
        <f>+C46+C52+C57</f>
        <v>50023077</v>
      </c>
      <c r="D58" s="321">
        <f>+D46+D52+D57</f>
        <v>52842032</v>
      </c>
      <c r="E58" s="150">
        <f>+E46+E52+E57</f>
        <v>50346628</v>
      </c>
    </row>
    <row r="59" spans="3:5" ht="13.5" thickBot="1">
      <c r="C59" s="656">
        <f>C42-C58</f>
        <v>0</v>
      </c>
      <c r="D59" s="656">
        <f>D42-D58</f>
        <v>0</v>
      </c>
      <c r="E59" s="151"/>
    </row>
    <row r="60" spans="1:5" ht="15" customHeight="1" thickBot="1">
      <c r="A60" s="326" t="s">
        <v>498</v>
      </c>
      <c r="B60" s="327"/>
      <c r="C60" s="315">
        <v>9</v>
      </c>
      <c r="D60" s="315">
        <v>9</v>
      </c>
      <c r="E60" s="315">
        <v>9</v>
      </c>
    </row>
    <row r="61" spans="1:5" ht="14.25" customHeight="1" thickBot="1">
      <c r="A61" s="328" t="s">
        <v>499</v>
      </c>
      <c r="B61" s="329"/>
      <c r="C61" s="315">
        <v>0</v>
      </c>
      <c r="D61" s="315">
        <v>0</v>
      </c>
      <c r="E61" s="315">
        <v>0</v>
      </c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37">
      <selection activeCell="E44" sqref="E44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21" customHeight="1" thickBot="1">
      <c r="A1" s="383"/>
      <c r="B1" s="819" t="str">
        <f>CONCATENATE("6.2.3. melléklet ",Z_ALAPADATOK!A7," ",Z_ALAPADATOK!B7," ",Z_ALAPADATOK!C7," ",Z_ALAPADATOK!D7," ",Z_ALAPADATOK!E7," ",Z_ALAPADATOK!F7," ",Z_ALAPADATOK!G7," ",Z_ALAPADATOK!H7)</f>
        <v>6.2.3. melléklet a … / 2019. ( … ) önkormányzati rendelethez</v>
      </c>
      <c r="C1" s="820"/>
      <c r="D1" s="820"/>
      <c r="E1" s="820"/>
    </row>
    <row r="2" spans="1:5" s="214" customFormat="1" ht="24.75" thickBot="1">
      <c r="A2" s="384" t="s">
        <v>465</v>
      </c>
      <c r="B2" s="816" t="str">
        <f>CONCATENATE('Z_6.2.2.sz.mell'!B2:D2)</f>
        <v>Besenyszögi Közös Önkormányzati Hivatal</v>
      </c>
      <c r="C2" s="817"/>
      <c r="D2" s="818"/>
      <c r="E2" s="385" t="s">
        <v>43</v>
      </c>
    </row>
    <row r="3" spans="1:5" s="214" customFormat="1" ht="24.75" thickBot="1">
      <c r="A3" s="384" t="s">
        <v>137</v>
      </c>
      <c r="B3" s="816" t="s">
        <v>874</v>
      </c>
      <c r="C3" s="817"/>
      <c r="D3" s="818"/>
      <c r="E3" s="385" t="s">
        <v>336</v>
      </c>
    </row>
    <row r="4" spans="1:5" s="215" customFormat="1" ht="15.75" customHeight="1" thickBot="1">
      <c r="A4" s="386"/>
      <c r="B4" s="386"/>
      <c r="C4" s="387"/>
      <c r="D4" s="388"/>
      <c r="E4" s="387" t="str">
        <f>'Z_6.2.2.sz.mell'!E4</f>
        <v> Forintban!</v>
      </c>
    </row>
    <row r="5" spans="1:5" ht="24.75" thickBot="1">
      <c r="A5" s="389" t="s">
        <v>138</v>
      </c>
      <c r="B5" s="390" t="s">
        <v>497</v>
      </c>
      <c r="C5" s="390" t="s">
        <v>461</v>
      </c>
      <c r="D5" s="391" t="s">
        <v>462</v>
      </c>
      <c r="E5" s="372" t="str">
        <f>CONCATENATE('Z_6.2.2.sz.mell'!E5)</f>
        <v>Teljesítés
2018. XII. 31.</v>
      </c>
    </row>
    <row r="6" spans="1:5" s="216" customFormat="1" ht="12.75" customHeight="1" thickBot="1">
      <c r="A6" s="422" t="s">
        <v>389</v>
      </c>
      <c r="B6" s="423" t="s">
        <v>390</v>
      </c>
      <c r="C6" s="423" t="s">
        <v>391</v>
      </c>
      <c r="D6" s="424" t="s">
        <v>393</v>
      </c>
      <c r="E6" s="425" t="s">
        <v>392</v>
      </c>
    </row>
    <row r="7" spans="1:5" s="216" customFormat="1" ht="15.75" customHeight="1" thickBot="1">
      <c r="A7" s="810" t="s">
        <v>40</v>
      </c>
      <c r="B7" s="811"/>
      <c r="C7" s="811"/>
      <c r="D7" s="811"/>
      <c r="E7" s="812"/>
    </row>
    <row r="8" spans="1:5" s="152" customFormat="1" ht="12" customHeight="1" thickBot="1">
      <c r="A8" s="74" t="s">
        <v>6</v>
      </c>
      <c r="B8" s="83" t="s">
        <v>410</v>
      </c>
      <c r="C8" s="119">
        <f>SUM(C9:C19)</f>
        <v>0</v>
      </c>
      <c r="D8" s="119">
        <f>SUM(D9:D19)</f>
        <v>0</v>
      </c>
      <c r="E8" s="147">
        <f>SUM(E9:E19)</f>
        <v>150715</v>
      </c>
    </row>
    <row r="9" spans="1:5" s="152" customFormat="1" ht="12" customHeight="1">
      <c r="A9" s="209" t="s">
        <v>64</v>
      </c>
      <c r="B9" s="8" t="s">
        <v>188</v>
      </c>
      <c r="C9" s="271"/>
      <c r="D9" s="271"/>
      <c r="E9" s="318"/>
    </row>
    <row r="10" spans="1:5" s="152" customFormat="1" ht="12" customHeight="1">
      <c r="A10" s="210" t="s">
        <v>65</v>
      </c>
      <c r="B10" s="6" t="s">
        <v>189</v>
      </c>
      <c r="C10" s="116"/>
      <c r="D10" s="116"/>
      <c r="E10" s="263">
        <v>126370</v>
      </c>
    </row>
    <row r="11" spans="1:5" s="152" customFormat="1" ht="12" customHeight="1">
      <c r="A11" s="210" t="s">
        <v>66</v>
      </c>
      <c r="B11" s="6" t="s">
        <v>190</v>
      </c>
      <c r="C11" s="116"/>
      <c r="D11" s="116"/>
      <c r="E11" s="263">
        <v>3000</v>
      </c>
    </row>
    <row r="12" spans="1:5" s="152" customFormat="1" ht="12" customHeight="1">
      <c r="A12" s="210" t="s">
        <v>67</v>
      </c>
      <c r="B12" s="6" t="s">
        <v>191</v>
      </c>
      <c r="C12" s="116"/>
      <c r="D12" s="116"/>
      <c r="E12" s="263"/>
    </row>
    <row r="13" spans="1:5" s="152" customFormat="1" ht="12" customHeight="1">
      <c r="A13" s="210" t="s">
        <v>99</v>
      </c>
      <c r="B13" s="6" t="s">
        <v>192</v>
      </c>
      <c r="C13" s="116"/>
      <c r="D13" s="116"/>
      <c r="E13" s="263"/>
    </row>
    <row r="14" spans="1:5" s="152" customFormat="1" ht="12" customHeight="1">
      <c r="A14" s="210" t="s">
        <v>68</v>
      </c>
      <c r="B14" s="6" t="s">
        <v>308</v>
      </c>
      <c r="C14" s="116"/>
      <c r="D14" s="116"/>
      <c r="E14" s="263">
        <v>2260</v>
      </c>
    </row>
    <row r="15" spans="1:5" s="152" customFormat="1" ht="12" customHeight="1">
      <c r="A15" s="210" t="s">
        <v>69</v>
      </c>
      <c r="B15" s="5" t="s">
        <v>309</v>
      </c>
      <c r="C15" s="116"/>
      <c r="D15" s="116"/>
      <c r="E15" s="263"/>
    </row>
    <row r="16" spans="1:5" s="152" customFormat="1" ht="12" customHeight="1">
      <c r="A16" s="210" t="s">
        <v>77</v>
      </c>
      <c r="B16" s="6" t="s">
        <v>195</v>
      </c>
      <c r="C16" s="269"/>
      <c r="D16" s="269"/>
      <c r="E16" s="267">
        <v>75</v>
      </c>
    </row>
    <row r="17" spans="1:5" s="217" customFormat="1" ht="12" customHeight="1">
      <c r="A17" s="210" t="s">
        <v>78</v>
      </c>
      <c r="B17" s="6" t="s">
        <v>196</v>
      </c>
      <c r="C17" s="116"/>
      <c r="D17" s="116"/>
      <c r="E17" s="263"/>
    </row>
    <row r="18" spans="1:5" s="217" customFormat="1" ht="12" customHeight="1">
      <c r="A18" s="210" t="s">
        <v>79</v>
      </c>
      <c r="B18" s="6" t="s">
        <v>341</v>
      </c>
      <c r="C18" s="118"/>
      <c r="D18" s="118"/>
      <c r="E18" s="264"/>
    </row>
    <row r="19" spans="1:5" s="217" customFormat="1" ht="12" customHeight="1" thickBot="1">
      <c r="A19" s="210" t="s">
        <v>80</v>
      </c>
      <c r="B19" s="5" t="s">
        <v>197</v>
      </c>
      <c r="C19" s="118"/>
      <c r="D19" s="118"/>
      <c r="E19" s="264">
        <v>19010</v>
      </c>
    </row>
    <row r="20" spans="1:5" s="152" customFormat="1" ht="12" customHeight="1" thickBot="1">
      <c r="A20" s="74" t="s">
        <v>7</v>
      </c>
      <c r="B20" s="83" t="s">
        <v>310</v>
      </c>
      <c r="C20" s="119">
        <f>SUM(C21:C23)</f>
        <v>7987000</v>
      </c>
      <c r="D20" s="119">
        <f>SUM(D21:D23)</f>
        <v>9003313</v>
      </c>
      <c r="E20" s="147">
        <f>SUM(E21:E23)</f>
        <v>4598107</v>
      </c>
    </row>
    <row r="21" spans="1:5" s="217" customFormat="1" ht="12" customHeight="1">
      <c r="A21" s="210" t="s">
        <v>70</v>
      </c>
      <c r="B21" s="7" t="s">
        <v>170</v>
      </c>
      <c r="C21" s="116"/>
      <c r="D21" s="116"/>
      <c r="E21" s="263"/>
    </row>
    <row r="22" spans="1:5" s="217" customFormat="1" ht="12" customHeight="1">
      <c r="A22" s="210" t="s">
        <v>71</v>
      </c>
      <c r="B22" s="6" t="s">
        <v>311</v>
      </c>
      <c r="C22" s="116"/>
      <c r="D22" s="116"/>
      <c r="E22" s="263"/>
    </row>
    <row r="23" spans="1:5" s="217" customFormat="1" ht="12" customHeight="1">
      <c r="A23" s="210" t="s">
        <v>72</v>
      </c>
      <c r="B23" s="6" t="s">
        <v>312</v>
      </c>
      <c r="C23" s="116">
        <v>7987000</v>
      </c>
      <c r="D23" s="116">
        <v>9003313</v>
      </c>
      <c r="E23" s="263">
        <v>4598107</v>
      </c>
    </row>
    <row r="24" spans="1:5" s="217" customFormat="1" ht="12" customHeight="1" thickBot="1">
      <c r="A24" s="210" t="s">
        <v>73</v>
      </c>
      <c r="B24" s="6" t="s">
        <v>411</v>
      </c>
      <c r="C24" s="116"/>
      <c r="D24" s="116"/>
      <c r="E24" s="263"/>
    </row>
    <row r="25" spans="1:5" s="217" customFormat="1" ht="12" customHeight="1" thickBot="1">
      <c r="A25" s="78" t="s">
        <v>8</v>
      </c>
      <c r="B25" s="56" t="s">
        <v>115</v>
      </c>
      <c r="C25" s="320"/>
      <c r="D25" s="320"/>
      <c r="E25" s="146"/>
    </row>
    <row r="26" spans="1:5" s="217" customFormat="1" ht="12" customHeight="1" thickBot="1">
      <c r="A26" s="78" t="s">
        <v>9</v>
      </c>
      <c r="B26" s="56" t="s">
        <v>412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179</v>
      </c>
      <c r="B27" s="212" t="s">
        <v>175</v>
      </c>
      <c r="C27" s="270"/>
      <c r="D27" s="270"/>
      <c r="E27" s="268"/>
    </row>
    <row r="28" spans="1:5" s="217" customFormat="1" ht="12" customHeight="1">
      <c r="A28" s="211" t="s">
        <v>180</v>
      </c>
      <c r="B28" s="212" t="s">
        <v>311</v>
      </c>
      <c r="C28" s="116"/>
      <c r="D28" s="116"/>
      <c r="E28" s="263"/>
    </row>
    <row r="29" spans="1:5" s="217" customFormat="1" ht="12" customHeight="1">
      <c r="A29" s="211" t="s">
        <v>181</v>
      </c>
      <c r="B29" s="213" t="s">
        <v>314</v>
      </c>
      <c r="C29" s="116"/>
      <c r="D29" s="116"/>
      <c r="E29" s="263"/>
    </row>
    <row r="30" spans="1:5" s="217" customFormat="1" ht="12" customHeight="1" thickBot="1">
      <c r="A30" s="210" t="s">
        <v>182</v>
      </c>
      <c r="B30" s="61" t="s">
        <v>413</v>
      </c>
      <c r="C30" s="47"/>
      <c r="D30" s="47"/>
      <c r="E30" s="319"/>
    </row>
    <row r="31" spans="1:5" s="217" customFormat="1" ht="12" customHeight="1" thickBot="1">
      <c r="A31" s="78" t="s">
        <v>10</v>
      </c>
      <c r="B31" s="56" t="s">
        <v>315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57</v>
      </c>
      <c r="B32" s="212" t="s">
        <v>202</v>
      </c>
      <c r="C32" s="270"/>
      <c r="D32" s="270"/>
      <c r="E32" s="268"/>
    </row>
    <row r="33" spans="1:5" s="217" customFormat="1" ht="12" customHeight="1">
      <c r="A33" s="211" t="s">
        <v>58</v>
      </c>
      <c r="B33" s="213" t="s">
        <v>203</v>
      </c>
      <c r="C33" s="120"/>
      <c r="D33" s="120"/>
      <c r="E33" s="265"/>
    </row>
    <row r="34" spans="1:5" s="217" customFormat="1" ht="12" customHeight="1" thickBot="1">
      <c r="A34" s="210" t="s">
        <v>59</v>
      </c>
      <c r="B34" s="61" t="s">
        <v>204</v>
      </c>
      <c r="C34" s="47"/>
      <c r="D34" s="47"/>
      <c r="E34" s="319"/>
    </row>
    <row r="35" spans="1:5" s="152" customFormat="1" ht="12" customHeight="1" thickBot="1">
      <c r="A35" s="78" t="s">
        <v>11</v>
      </c>
      <c r="B35" s="56" t="s">
        <v>287</v>
      </c>
      <c r="C35" s="320"/>
      <c r="D35" s="320"/>
      <c r="E35" s="146"/>
    </row>
    <row r="36" spans="1:5" s="152" customFormat="1" ht="12" customHeight="1" thickBot="1">
      <c r="A36" s="78" t="s">
        <v>12</v>
      </c>
      <c r="B36" s="56" t="s">
        <v>316</v>
      </c>
      <c r="C36" s="320"/>
      <c r="D36" s="320"/>
      <c r="E36" s="146"/>
    </row>
    <row r="37" spans="1:5" s="152" customFormat="1" ht="12" customHeight="1" thickBot="1">
      <c r="A37" s="74" t="s">
        <v>13</v>
      </c>
      <c r="B37" s="56" t="s">
        <v>317</v>
      </c>
      <c r="C37" s="119">
        <f>+C8+C20+C25+C26+C31+C35+C36</f>
        <v>7987000</v>
      </c>
      <c r="D37" s="119">
        <f>+D8+D20+D25+D26+D31+D35+D36</f>
        <v>9003313</v>
      </c>
      <c r="E37" s="147">
        <f>+E8+E20+E25+E26+E31+E35+E36</f>
        <v>4748822</v>
      </c>
    </row>
    <row r="38" spans="1:5" s="152" customFormat="1" ht="12" customHeight="1" thickBot="1">
      <c r="A38" s="84" t="s">
        <v>14</v>
      </c>
      <c r="B38" s="56" t="s">
        <v>318</v>
      </c>
      <c r="C38" s="119">
        <f>+C39+C40+C41</f>
        <v>73900000</v>
      </c>
      <c r="D38" s="119">
        <f>+D39+D40+D41</f>
        <v>78010850</v>
      </c>
      <c r="E38" s="147">
        <f>+E39+E40+E41</f>
        <v>80933500</v>
      </c>
    </row>
    <row r="39" spans="1:5" s="152" customFormat="1" ht="12" customHeight="1">
      <c r="A39" s="211" t="s">
        <v>319</v>
      </c>
      <c r="B39" s="212" t="s">
        <v>152</v>
      </c>
      <c r="C39" s="270"/>
      <c r="D39" s="270">
        <v>3397450</v>
      </c>
      <c r="E39" s="268">
        <v>3397450</v>
      </c>
    </row>
    <row r="40" spans="1:5" s="152" customFormat="1" ht="12" customHeight="1">
      <c r="A40" s="211" t="s">
        <v>320</v>
      </c>
      <c r="B40" s="213" t="s">
        <v>0</v>
      </c>
      <c r="C40" s="120"/>
      <c r="D40" s="120"/>
      <c r="E40" s="265"/>
    </row>
    <row r="41" spans="1:5" s="217" customFormat="1" ht="12" customHeight="1" thickBot="1">
      <c r="A41" s="210" t="s">
        <v>321</v>
      </c>
      <c r="B41" s="61" t="s">
        <v>322</v>
      </c>
      <c r="C41" s="47">
        <v>73900000</v>
      </c>
      <c r="D41" s="47">
        <v>74613400</v>
      </c>
      <c r="E41" s="319">
        <v>77536050</v>
      </c>
    </row>
    <row r="42" spans="1:5" s="217" customFormat="1" ht="15" customHeight="1" thickBot="1">
      <c r="A42" s="84" t="s">
        <v>15</v>
      </c>
      <c r="B42" s="85" t="s">
        <v>323</v>
      </c>
      <c r="C42" s="321">
        <f>+C37+C38</f>
        <v>81887000</v>
      </c>
      <c r="D42" s="321">
        <f>+D37+D38</f>
        <v>87014163</v>
      </c>
      <c r="E42" s="150">
        <f>+E37+E38</f>
        <v>85682322</v>
      </c>
    </row>
    <row r="43" spans="1:3" s="217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6" customFormat="1" ht="16.5" customHeight="1" thickBot="1">
      <c r="A45" s="810" t="s">
        <v>41</v>
      </c>
      <c r="B45" s="811"/>
      <c r="C45" s="811"/>
      <c r="D45" s="811"/>
      <c r="E45" s="812"/>
    </row>
    <row r="46" spans="1:5" s="218" customFormat="1" ht="12" customHeight="1" thickBot="1">
      <c r="A46" s="78" t="s">
        <v>6</v>
      </c>
      <c r="B46" s="56" t="s">
        <v>324</v>
      </c>
      <c r="C46" s="119">
        <f>SUM(C47:C51)</f>
        <v>81887000</v>
      </c>
      <c r="D46" s="119">
        <f>SUM(D47:D51)</f>
        <v>86941913</v>
      </c>
      <c r="E46" s="147">
        <f>SUM(E47:E51)</f>
        <v>82843310</v>
      </c>
    </row>
    <row r="47" spans="1:5" ht="12" customHeight="1">
      <c r="A47" s="210" t="s">
        <v>64</v>
      </c>
      <c r="B47" s="7" t="s">
        <v>35</v>
      </c>
      <c r="C47" s="270">
        <v>60695000</v>
      </c>
      <c r="D47" s="270">
        <v>65006817</v>
      </c>
      <c r="E47" s="268">
        <v>63293840</v>
      </c>
    </row>
    <row r="48" spans="1:5" ht="12" customHeight="1">
      <c r="A48" s="210" t="s">
        <v>65</v>
      </c>
      <c r="B48" s="6" t="s">
        <v>124</v>
      </c>
      <c r="C48" s="46">
        <v>12432000</v>
      </c>
      <c r="D48" s="46">
        <v>13173369</v>
      </c>
      <c r="E48" s="266">
        <v>12937734</v>
      </c>
    </row>
    <row r="49" spans="1:5" ht="12" customHeight="1">
      <c r="A49" s="210" t="s">
        <v>66</v>
      </c>
      <c r="B49" s="6" t="s">
        <v>92</v>
      </c>
      <c r="C49" s="46">
        <v>8760000</v>
      </c>
      <c r="D49" s="46">
        <v>8761727</v>
      </c>
      <c r="E49" s="266">
        <v>6611736</v>
      </c>
    </row>
    <row r="50" spans="1:5" ht="12" customHeight="1">
      <c r="A50" s="210" t="s">
        <v>67</v>
      </c>
      <c r="B50" s="6" t="s">
        <v>125</v>
      </c>
      <c r="C50" s="46"/>
      <c r="D50" s="46"/>
      <c r="E50" s="266"/>
    </row>
    <row r="51" spans="1:5" ht="12" customHeight="1" thickBot="1">
      <c r="A51" s="210" t="s">
        <v>99</v>
      </c>
      <c r="B51" s="6" t="s">
        <v>126</v>
      </c>
      <c r="C51" s="46"/>
      <c r="D51" s="46"/>
      <c r="E51" s="266"/>
    </row>
    <row r="52" spans="1:5" ht="12" customHeight="1" thickBot="1">
      <c r="A52" s="78" t="s">
        <v>7</v>
      </c>
      <c r="B52" s="56" t="s">
        <v>325</v>
      </c>
      <c r="C52" s="119">
        <f>SUM(C53:C55)</f>
        <v>0</v>
      </c>
      <c r="D52" s="119">
        <f>SUM(D53:D55)</f>
        <v>72250</v>
      </c>
      <c r="E52" s="147">
        <f>SUM(E53:E55)</f>
        <v>72250</v>
      </c>
    </row>
    <row r="53" spans="1:5" s="218" customFormat="1" ht="12" customHeight="1">
      <c r="A53" s="210" t="s">
        <v>70</v>
      </c>
      <c r="B53" s="7" t="s">
        <v>145</v>
      </c>
      <c r="C53" s="270"/>
      <c r="D53" s="270">
        <v>72250</v>
      </c>
      <c r="E53" s="268">
        <v>72250</v>
      </c>
    </row>
    <row r="54" spans="1:5" ht="12" customHeight="1">
      <c r="A54" s="210" t="s">
        <v>71</v>
      </c>
      <c r="B54" s="6" t="s">
        <v>128</v>
      </c>
      <c r="C54" s="46"/>
      <c r="D54" s="46"/>
      <c r="E54" s="266"/>
    </row>
    <row r="55" spans="1:5" ht="12" customHeight="1">
      <c r="A55" s="210" t="s">
        <v>72</v>
      </c>
      <c r="B55" s="6" t="s">
        <v>42</v>
      </c>
      <c r="C55" s="46"/>
      <c r="D55" s="46"/>
      <c r="E55" s="266"/>
    </row>
    <row r="56" spans="1:5" ht="12" customHeight="1" thickBot="1">
      <c r="A56" s="210" t="s">
        <v>73</v>
      </c>
      <c r="B56" s="6" t="s">
        <v>414</v>
      </c>
      <c r="C56" s="46"/>
      <c r="D56" s="46"/>
      <c r="E56" s="266"/>
    </row>
    <row r="57" spans="1:5" ht="12" customHeight="1" thickBot="1">
      <c r="A57" s="78" t="s">
        <v>8</v>
      </c>
      <c r="B57" s="56" t="s">
        <v>2</v>
      </c>
      <c r="C57" s="320"/>
      <c r="D57" s="320"/>
      <c r="E57" s="146"/>
    </row>
    <row r="58" spans="1:5" ht="15" customHeight="1" thickBot="1">
      <c r="A58" s="78" t="s">
        <v>9</v>
      </c>
      <c r="B58" s="90" t="s">
        <v>418</v>
      </c>
      <c r="C58" s="321">
        <f>+C46+C52+C57</f>
        <v>81887000</v>
      </c>
      <c r="D58" s="321">
        <f>+D46+D52+D57</f>
        <v>87014163</v>
      </c>
      <c r="E58" s="150">
        <f>+E46+E52+E57</f>
        <v>82915560</v>
      </c>
    </row>
    <row r="59" spans="3:5" ht="13.5" thickBot="1">
      <c r="C59" s="656">
        <f>C42-C58</f>
        <v>0</v>
      </c>
      <c r="D59" s="656">
        <f>D42-D58</f>
        <v>0</v>
      </c>
      <c r="E59" s="151"/>
    </row>
    <row r="60" spans="1:5" ht="15" customHeight="1" thickBot="1">
      <c r="A60" s="326" t="s">
        <v>498</v>
      </c>
      <c r="B60" s="327"/>
      <c r="C60" s="315">
        <v>15</v>
      </c>
      <c r="D60" s="315">
        <v>15</v>
      </c>
      <c r="E60" s="315">
        <v>15</v>
      </c>
    </row>
    <row r="61" spans="1:5" ht="14.25" customHeight="1" thickBot="1">
      <c r="A61" s="328" t="s">
        <v>499</v>
      </c>
      <c r="B61" s="329"/>
      <c r="C61" s="315">
        <v>0</v>
      </c>
      <c r="D61" s="315">
        <v>0</v>
      </c>
      <c r="E61" s="315">
        <v>0</v>
      </c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38">
      <selection activeCell="G45" sqref="G45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21" customHeight="1" thickBot="1">
      <c r="A1" s="383"/>
      <c r="B1" s="819" t="str">
        <f>CONCATENATE("6.2.3. melléklet ",Z_ALAPADATOK!A7," ",Z_ALAPADATOK!B7," ",Z_ALAPADATOK!C7," ",Z_ALAPADATOK!D7," ",Z_ALAPADATOK!E7," ",Z_ALAPADATOK!F7," ",Z_ALAPADATOK!G7," ",Z_ALAPADATOK!H7)</f>
        <v>6.2.3. melléklet a … / 2019. ( … ) önkormányzati rendelethez</v>
      </c>
      <c r="C1" s="820"/>
      <c r="D1" s="820"/>
      <c r="E1" s="820"/>
    </row>
    <row r="2" spans="1:5" s="214" customFormat="1" ht="24.75" thickBot="1">
      <c r="A2" s="384" t="s">
        <v>465</v>
      </c>
      <c r="B2" s="816" t="str">
        <f>CONCATENATE('Z_6.2.2.sz.mell'!B2:D2)</f>
        <v>Besenyszögi Közös Önkormányzati Hivatal</v>
      </c>
      <c r="C2" s="817"/>
      <c r="D2" s="818"/>
      <c r="E2" s="385" t="s">
        <v>43</v>
      </c>
    </row>
    <row r="3" spans="1:5" s="214" customFormat="1" ht="24.75" thickBot="1">
      <c r="A3" s="384" t="s">
        <v>137</v>
      </c>
      <c r="B3" s="816" t="s">
        <v>875</v>
      </c>
      <c r="C3" s="817"/>
      <c r="D3" s="818"/>
      <c r="E3" s="385" t="s">
        <v>527</v>
      </c>
    </row>
    <row r="4" spans="1:5" s="215" customFormat="1" ht="15.75" customHeight="1" thickBot="1">
      <c r="A4" s="386"/>
      <c r="B4" s="386"/>
      <c r="C4" s="387"/>
      <c r="D4" s="388"/>
      <c r="E4" s="387" t="str">
        <f>'Z_6.2.2.sz.mell'!E4</f>
        <v> Forintban!</v>
      </c>
    </row>
    <row r="5" spans="1:5" ht="24.75" thickBot="1">
      <c r="A5" s="389" t="s">
        <v>138</v>
      </c>
      <c r="B5" s="390" t="s">
        <v>497</v>
      </c>
      <c r="C5" s="390" t="s">
        <v>461</v>
      </c>
      <c r="D5" s="391" t="s">
        <v>462</v>
      </c>
      <c r="E5" s="372" t="str">
        <f>CONCATENATE('Z_6.2.2.sz.mell'!E5)</f>
        <v>Teljesítés
2018. XII. 31.</v>
      </c>
    </row>
    <row r="6" spans="1:5" s="216" customFormat="1" ht="12.75" customHeight="1" thickBot="1">
      <c r="A6" s="422" t="s">
        <v>389</v>
      </c>
      <c r="B6" s="423" t="s">
        <v>390</v>
      </c>
      <c r="C6" s="423" t="s">
        <v>391</v>
      </c>
      <c r="D6" s="424" t="s">
        <v>393</v>
      </c>
      <c r="E6" s="425" t="s">
        <v>392</v>
      </c>
    </row>
    <row r="7" spans="1:5" s="216" customFormat="1" ht="15.75" customHeight="1" thickBot="1">
      <c r="A7" s="810" t="s">
        <v>40</v>
      </c>
      <c r="B7" s="811"/>
      <c r="C7" s="811"/>
      <c r="D7" s="811"/>
      <c r="E7" s="812"/>
    </row>
    <row r="8" spans="1:5" s="152" customFormat="1" ht="12" customHeight="1" thickBot="1">
      <c r="A8" s="74" t="s">
        <v>6</v>
      </c>
      <c r="B8" s="83" t="s">
        <v>410</v>
      </c>
      <c r="C8" s="119">
        <f>SUM(C9:C19)</f>
        <v>0</v>
      </c>
      <c r="D8" s="119">
        <f>SUM(D9:D19)</f>
        <v>0</v>
      </c>
      <c r="E8" s="147">
        <f>SUM(E9:E19)</f>
        <v>0</v>
      </c>
    </row>
    <row r="9" spans="1:5" s="152" customFormat="1" ht="12" customHeight="1">
      <c r="A9" s="209" t="s">
        <v>64</v>
      </c>
      <c r="B9" s="8" t="s">
        <v>188</v>
      </c>
      <c r="C9" s="271"/>
      <c r="D9" s="271"/>
      <c r="E9" s="318"/>
    </row>
    <row r="10" spans="1:5" s="152" customFormat="1" ht="12" customHeight="1">
      <c r="A10" s="210" t="s">
        <v>65</v>
      </c>
      <c r="B10" s="6" t="s">
        <v>189</v>
      </c>
      <c r="C10" s="116"/>
      <c r="D10" s="116"/>
      <c r="E10" s="263"/>
    </row>
    <row r="11" spans="1:5" s="152" customFormat="1" ht="12" customHeight="1">
      <c r="A11" s="210" t="s">
        <v>66</v>
      </c>
      <c r="B11" s="6" t="s">
        <v>190</v>
      </c>
      <c r="C11" s="116"/>
      <c r="D11" s="116"/>
      <c r="E11" s="263"/>
    </row>
    <row r="12" spans="1:5" s="152" customFormat="1" ht="12" customHeight="1">
      <c r="A12" s="210" t="s">
        <v>67</v>
      </c>
      <c r="B12" s="6" t="s">
        <v>191</v>
      </c>
      <c r="C12" s="116"/>
      <c r="D12" s="116"/>
      <c r="E12" s="263"/>
    </row>
    <row r="13" spans="1:5" s="152" customFormat="1" ht="12" customHeight="1">
      <c r="A13" s="210" t="s">
        <v>99</v>
      </c>
      <c r="B13" s="6" t="s">
        <v>192</v>
      </c>
      <c r="C13" s="116"/>
      <c r="D13" s="116"/>
      <c r="E13" s="263"/>
    </row>
    <row r="14" spans="1:5" s="152" customFormat="1" ht="12" customHeight="1">
      <c r="A14" s="210" t="s">
        <v>68</v>
      </c>
      <c r="B14" s="6" t="s">
        <v>308</v>
      </c>
      <c r="C14" s="116"/>
      <c r="D14" s="116"/>
      <c r="E14" s="263"/>
    </row>
    <row r="15" spans="1:5" s="152" customFormat="1" ht="12" customHeight="1">
      <c r="A15" s="210" t="s">
        <v>69</v>
      </c>
      <c r="B15" s="5" t="s">
        <v>309</v>
      </c>
      <c r="C15" s="116"/>
      <c r="D15" s="116"/>
      <c r="E15" s="263"/>
    </row>
    <row r="16" spans="1:5" s="152" customFormat="1" ht="12" customHeight="1">
      <c r="A16" s="210" t="s">
        <v>77</v>
      </c>
      <c r="B16" s="6" t="s">
        <v>195</v>
      </c>
      <c r="C16" s="269"/>
      <c r="D16" s="269"/>
      <c r="E16" s="267"/>
    </row>
    <row r="17" spans="1:5" s="217" customFormat="1" ht="12" customHeight="1">
      <c r="A17" s="210" t="s">
        <v>78</v>
      </c>
      <c r="B17" s="6" t="s">
        <v>196</v>
      </c>
      <c r="C17" s="116"/>
      <c r="D17" s="116"/>
      <c r="E17" s="263"/>
    </row>
    <row r="18" spans="1:5" s="217" customFormat="1" ht="12" customHeight="1">
      <c r="A18" s="210" t="s">
        <v>79</v>
      </c>
      <c r="B18" s="6" t="s">
        <v>341</v>
      </c>
      <c r="C18" s="118"/>
      <c r="D18" s="118"/>
      <c r="E18" s="264"/>
    </row>
    <row r="19" spans="1:5" s="217" customFormat="1" ht="12" customHeight="1" thickBot="1">
      <c r="A19" s="210" t="s">
        <v>80</v>
      </c>
      <c r="B19" s="5" t="s">
        <v>197</v>
      </c>
      <c r="C19" s="118"/>
      <c r="D19" s="118"/>
      <c r="E19" s="264"/>
    </row>
    <row r="20" spans="1:5" s="152" customFormat="1" ht="12" customHeight="1" thickBot="1">
      <c r="A20" s="74" t="s">
        <v>7</v>
      </c>
      <c r="B20" s="83" t="s">
        <v>310</v>
      </c>
      <c r="C20" s="119">
        <f>SUM(C21:C23)</f>
        <v>5380955</v>
      </c>
      <c r="D20" s="119">
        <f>SUM(D21:D23)</f>
        <v>4942401</v>
      </c>
      <c r="E20" s="147">
        <f>SUM(E21:E23)</f>
        <v>4777966</v>
      </c>
    </row>
    <row r="21" spans="1:5" s="217" customFormat="1" ht="12" customHeight="1">
      <c r="A21" s="210" t="s">
        <v>70</v>
      </c>
      <c r="B21" s="7" t="s">
        <v>170</v>
      </c>
      <c r="C21" s="116"/>
      <c r="D21" s="116"/>
      <c r="E21" s="263"/>
    </row>
    <row r="22" spans="1:5" s="217" customFormat="1" ht="12" customHeight="1">
      <c r="A22" s="210" t="s">
        <v>71</v>
      </c>
      <c r="B22" s="6" t="s">
        <v>311</v>
      </c>
      <c r="C22" s="116"/>
      <c r="D22" s="116"/>
      <c r="E22" s="263"/>
    </row>
    <row r="23" spans="1:5" s="217" customFormat="1" ht="12" customHeight="1">
      <c r="A23" s="210" t="s">
        <v>72</v>
      </c>
      <c r="B23" s="6" t="s">
        <v>312</v>
      </c>
      <c r="C23" s="116">
        <v>5380955</v>
      </c>
      <c r="D23" s="116">
        <v>4942401</v>
      </c>
      <c r="E23" s="263">
        <v>4777966</v>
      </c>
    </row>
    <row r="24" spans="1:5" s="217" customFormat="1" ht="12" customHeight="1" thickBot="1">
      <c r="A24" s="210" t="s">
        <v>73</v>
      </c>
      <c r="B24" s="6" t="s">
        <v>411</v>
      </c>
      <c r="C24" s="116"/>
      <c r="D24" s="116"/>
      <c r="E24" s="263"/>
    </row>
    <row r="25" spans="1:5" s="217" customFormat="1" ht="12" customHeight="1" thickBot="1">
      <c r="A25" s="78" t="s">
        <v>8</v>
      </c>
      <c r="B25" s="56" t="s">
        <v>115</v>
      </c>
      <c r="C25" s="320"/>
      <c r="D25" s="320"/>
      <c r="E25" s="146"/>
    </row>
    <row r="26" spans="1:5" s="217" customFormat="1" ht="12" customHeight="1" thickBot="1">
      <c r="A26" s="78" t="s">
        <v>9</v>
      </c>
      <c r="B26" s="56" t="s">
        <v>412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179</v>
      </c>
      <c r="B27" s="212" t="s">
        <v>175</v>
      </c>
      <c r="C27" s="270"/>
      <c r="D27" s="270"/>
      <c r="E27" s="268"/>
    </row>
    <row r="28" spans="1:5" s="217" customFormat="1" ht="12" customHeight="1">
      <c r="A28" s="211" t="s">
        <v>180</v>
      </c>
      <c r="B28" s="212" t="s">
        <v>311</v>
      </c>
      <c r="C28" s="116"/>
      <c r="D28" s="116"/>
      <c r="E28" s="263"/>
    </row>
    <row r="29" spans="1:5" s="217" customFormat="1" ht="12" customHeight="1">
      <c r="A29" s="211" t="s">
        <v>181</v>
      </c>
      <c r="B29" s="213" t="s">
        <v>314</v>
      </c>
      <c r="C29" s="116"/>
      <c r="D29" s="116"/>
      <c r="E29" s="263"/>
    </row>
    <row r="30" spans="1:5" s="217" customFormat="1" ht="12" customHeight="1" thickBot="1">
      <c r="A30" s="210" t="s">
        <v>182</v>
      </c>
      <c r="B30" s="61" t="s">
        <v>413</v>
      </c>
      <c r="C30" s="47"/>
      <c r="D30" s="47"/>
      <c r="E30" s="319"/>
    </row>
    <row r="31" spans="1:5" s="217" customFormat="1" ht="12" customHeight="1" thickBot="1">
      <c r="A31" s="78" t="s">
        <v>10</v>
      </c>
      <c r="B31" s="56" t="s">
        <v>315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57</v>
      </c>
      <c r="B32" s="212" t="s">
        <v>202</v>
      </c>
      <c r="C32" s="270"/>
      <c r="D32" s="270"/>
      <c r="E32" s="268"/>
    </row>
    <row r="33" spans="1:5" s="217" customFormat="1" ht="12" customHeight="1">
      <c r="A33" s="211" t="s">
        <v>58</v>
      </c>
      <c r="B33" s="213" t="s">
        <v>203</v>
      </c>
      <c r="C33" s="120"/>
      <c r="D33" s="120"/>
      <c r="E33" s="265"/>
    </row>
    <row r="34" spans="1:5" s="217" customFormat="1" ht="12" customHeight="1" thickBot="1">
      <c r="A34" s="210" t="s">
        <v>59</v>
      </c>
      <c r="B34" s="61" t="s">
        <v>204</v>
      </c>
      <c r="C34" s="47"/>
      <c r="D34" s="47"/>
      <c r="E34" s="319"/>
    </row>
    <row r="35" spans="1:5" s="152" customFormat="1" ht="12" customHeight="1" thickBot="1">
      <c r="A35" s="78" t="s">
        <v>11</v>
      </c>
      <c r="B35" s="56" t="s">
        <v>287</v>
      </c>
      <c r="C35" s="320"/>
      <c r="D35" s="320"/>
      <c r="E35" s="146"/>
    </row>
    <row r="36" spans="1:5" s="152" customFormat="1" ht="12" customHeight="1" thickBot="1">
      <c r="A36" s="78" t="s">
        <v>12</v>
      </c>
      <c r="B36" s="56" t="s">
        <v>316</v>
      </c>
      <c r="C36" s="320"/>
      <c r="D36" s="320"/>
      <c r="E36" s="146"/>
    </row>
    <row r="37" spans="1:5" s="152" customFormat="1" ht="12" customHeight="1" thickBot="1">
      <c r="A37" s="74" t="s">
        <v>13</v>
      </c>
      <c r="B37" s="56" t="s">
        <v>317</v>
      </c>
      <c r="C37" s="119">
        <f>+C8+C20+C25+C26+C31+C35+C36</f>
        <v>5380955</v>
      </c>
      <c r="D37" s="119">
        <f>+D8+D20+D25+D26+D31+D35+D36</f>
        <v>4942401</v>
      </c>
      <c r="E37" s="147">
        <f>+E8+E20+E25+E26+E31+E35+E36</f>
        <v>4777966</v>
      </c>
    </row>
    <row r="38" spans="1:5" s="152" customFormat="1" ht="12" customHeight="1" thickBot="1">
      <c r="A38" s="84" t="s">
        <v>14</v>
      </c>
      <c r="B38" s="56" t="s">
        <v>318</v>
      </c>
      <c r="C38" s="119">
        <f>+C39+C40+C41</f>
        <v>12778200</v>
      </c>
      <c r="D38" s="119">
        <f>+D39+D40+D41</f>
        <v>13727500</v>
      </c>
      <c r="E38" s="147">
        <f>+E39+E40+E41</f>
        <v>12999731</v>
      </c>
    </row>
    <row r="39" spans="1:5" s="152" customFormat="1" ht="12" customHeight="1">
      <c r="A39" s="211" t="s">
        <v>319</v>
      </c>
      <c r="B39" s="212" t="s">
        <v>152</v>
      </c>
      <c r="C39" s="270"/>
      <c r="D39" s="270">
        <v>726000</v>
      </c>
      <c r="E39" s="268">
        <v>726000</v>
      </c>
    </row>
    <row r="40" spans="1:5" s="152" customFormat="1" ht="12" customHeight="1">
      <c r="A40" s="211" t="s">
        <v>320</v>
      </c>
      <c r="B40" s="213" t="s">
        <v>0</v>
      </c>
      <c r="C40" s="120"/>
      <c r="D40" s="120"/>
      <c r="E40" s="265"/>
    </row>
    <row r="41" spans="1:5" s="217" customFormat="1" ht="12" customHeight="1" thickBot="1">
      <c r="A41" s="210" t="s">
        <v>321</v>
      </c>
      <c r="B41" s="61" t="s">
        <v>322</v>
      </c>
      <c r="C41" s="47">
        <v>12778200</v>
      </c>
      <c r="D41" s="47">
        <v>13001500</v>
      </c>
      <c r="E41" s="319">
        <v>12273731</v>
      </c>
    </row>
    <row r="42" spans="1:5" s="217" customFormat="1" ht="15" customHeight="1" thickBot="1">
      <c r="A42" s="84" t="s">
        <v>15</v>
      </c>
      <c r="B42" s="85" t="s">
        <v>323</v>
      </c>
      <c r="C42" s="321">
        <f>+C37+C38</f>
        <v>18159155</v>
      </c>
      <c r="D42" s="321">
        <f>+D37+D38</f>
        <v>18669901</v>
      </c>
      <c r="E42" s="150">
        <f>+E37+E38</f>
        <v>17777697</v>
      </c>
    </row>
    <row r="43" spans="1:3" s="217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6" customFormat="1" ht="16.5" customHeight="1" thickBot="1">
      <c r="A45" s="810" t="s">
        <v>41</v>
      </c>
      <c r="B45" s="811"/>
      <c r="C45" s="811"/>
      <c r="D45" s="811"/>
      <c r="E45" s="812"/>
    </row>
    <row r="46" spans="1:5" s="218" customFormat="1" ht="12" customHeight="1" thickBot="1">
      <c r="A46" s="78" t="s">
        <v>6</v>
      </c>
      <c r="B46" s="56" t="s">
        <v>324</v>
      </c>
      <c r="C46" s="119">
        <f>SUM(C47:C51)</f>
        <v>18159155</v>
      </c>
      <c r="D46" s="119">
        <f>SUM(D47:D51)</f>
        <v>18669901</v>
      </c>
      <c r="E46" s="147">
        <f>SUM(E47:E51)</f>
        <v>17777697</v>
      </c>
    </row>
    <row r="47" spans="1:5" ht="12" customHeight="1">
      <c r="A47" s="210" t="s">
        <v>64</v>
      </c>
      <c r="B47" s="7" t="s">
        <v>35</v>
      </c>
      <c r="C47" s="270">
        <v>13529100</v>
      </c>
      <c r="D47" s="270">
        <v>13985769</v>
      </c>
      <c r="E47" s="268">
        <v>13835241</v>
      </c>
    </row>
    <row r="48" spans="1:5" ht="12" customHeight="1">
      <c r="A48" s="210" t="s">
        <v>65</v>
      </c>
      <c r="B48" s="6" t="s">
        <v>124</v>
      </c>
      <c r="C48" s="46">
        <v>2733055</v>
      </c>
      <c r="D48" s="46">
        <v>2773893</v>
      </c>
      <c r="E48" s="266">
        <v>2706350</v>
      </c>
    </row>
    <row r="49" spans="1:5" ht="12" customHeight="1">
      <c r="A49" s="210" t="s">
        <v>66</v>
      </c>
      <c r="B49" s="6" t="s">
        <v>92</v>
      </c>
      <c r="C49" s="46">
        <v>1897000</v>
      </c>
      <c r="D49" s="46">
        <v>1910239</v>
      </c>
      <c r="E49" s="266">
        <v>1236106</v>
      </c>
    </row>
    <row r="50" spans="1:5" ht="12" customHeight="1">
      <c r="A50" s="210" t="s">
        <v>67</v>
      </c>
      <c r="B50" s="6" t="s">
        <v>125</v>
      </c>
      <c r="C50" s="46"/>
      <c r="D50" s="46"/>
      <c r="E50" s="266"/>
    </row>
    <row r="51" spans="1:5" ht="12" customHeight="1" thickBot="1">
      <c r="A51" s="210" t="s">
        <v>99</v>
      </c>
      <c r="B51" s="6" t="s">
        <v>126</v>
      </c>
      <c r="C51" s="46"/>
      <c r="D51" s="46"/>
      <c r="E51" s="266"/>
    </row>
    <row r="52" spans="1:5" ht="12" customHeight="1" thickBot="1">
      <c r="A52" s="78" t="s">
        <v>7</v>
      </c>
      <c r="B52" s="56" t="s">
        <v>325</v>
      </c>
      <c r="C52" s="119">
        <f>SUM(C53:C55)</f>
        <v>0</v>
      </c>
      <c r="D52" s="119">
        <f>SUM(D53:D55)</f>
        <v>0</v>
      </c>
      <c r="E52" s="147">
        <f>SUM(E53:E55)</f>
        <v>0</v>
      </c>
    </row>
    <row r="53" spans="1:5" s="218" customFormat="1" ht="12" customHeight="1">
      <c r="A53" s="210" t="s">
        <v>70</v>
      </c>
      <c r="B53" s="7" t="s">
        <v>145</v>
      </c>
      <c r="C53" s="270"/>
      <c r="D53" s="270"/>
      <c r="E53" s="268"/>
    </row>
    <row r="54" spans="1:5" ht="12" customHeight="1">
      <c r="A54" s="210" t="s">
        <v>71</v>
      </c>
      <c r="B54" s="6" t="s">
        <v>128</v>
      </c>
      <c r="C54" s="46"/>
      <c r="D54" s="46"/>
      <c r="E54" s="266"/>
    </row>
    <row r="55" spans="1:5" ht="12" customHeight="1">
      <c r="A55" s="210" t="s">
        <v>72</v>
      </c>
      <c r="B55" s="6" t="s">
        <v>42</v>
      </c>
      <c r="C55" s="46"/>
      <c r="D55" s="46"/>
      <c r="E55" s="266"/>
    </row>
    <row r="56" spans="1:5" ht="12" customHeight="1" thickBot="1">
      <c r="A56" s="210" t="s">
        <v>73</v>
      </c>
      <c r="B56" s="6" t="s">
        <v>414</v>
      </c>
      <c r="C56" s="46"/>
      <c r="D56" s="46"/>
      <c r="E56" s="266"/>
    </row>
    <row r="57" spans="1:5" ht="12" customHeight="1" thickBot="1">
      <c r="A57" s="78" t="s">
        <v>8</v>
      </c>
      <c r="B57" s="56" t="s">
        <v>2</v>
      </c>
      <c r="C57" s="320"/>
      <c r="D57" s="320"/>
      <c r="E57" s="146"/>
    </row>
    <row r="58" spans="1:5" ht="15" customHeight="1" thickBot="1">
      <c r="A58" s="78" t="s">
        <v>9</v>
      </c>
      <c r="B58" s="90" t="s">
        <v>418</v>
      </c>
      <c r="C58" s="321">
        <f>+C46+C52+C57</f>
        <v>18159155</v>
      </c>
      <c r="D58" s="321">
        <f>+D46+D52+D57</f>
        <v>18669901</v>
      </c>
      <c r="E58" s="150">
        <f>+E46+E52+E57</f>
        <v>17777697</v>
      </c>
    </row>
    <row r="59" spans="3:5" ht="13.5" thickBot="1">
      <c r="C59" s="656">
        <f>C42-C58</f>
        <v>0</v>
      </c>
      <c r="D59" s="656">
        <f>D42-D58</f>
        <v>0</v>
      </c>
      <c r="E59" s="151"/>
    </row>
    <row r="60" spans="1:5" ht="15" customHeight="1" thickBot="1">
      <c r="A60" s="326" t="s">
        <v>498</v>
      </c>
      <c r="B60" s="327"/>
      <c r="C60" s="315">
        <v>4</v>
      </c>
      <c r="D60" s="315">
        <v>4</v>
      </c>
      <c r="E60" s="315">
        <v>4</v>
      </c>
    </row>
    <row r="61" spans="1:5" ht="14.25" customHeight="1" thickBot="1">
      <c r="A61" s="328" t="s">
        <v>499</v>
      </c>
      <c r="B61" s="329"/>
      <c r="C61" s="315">
        <v>0</v>
      </c>
      <c r="D61" s="315">
        <v>0</v>
      </c>
      <c r="E61" s="315">
        <v>0</v>
      </c>
    </row>
  </sheetData>
  <sheetProtection sheet="1" formatCells="0"/>
  <mergeCells count="5">
    <mergeCell ref="B1:E1"/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E5" sqref="E5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83"/>
      <c r="B1" s="814" t="str">
        <f>CONCATENATE("6.3. melléklet ",Z_ALAPADATOK!A7," ",Z_ALAPADATOK!B7," ",Z_ALAPADATOK!C7," ",Z_ALAPADATOK!D7," ",Z_ALAPADATOK!E7," ",Z_ALAPADATOK!F7," ",Z_ALAPADATOK!G7," ",Z_ALAPADATOK!H7)</f>
        <v>6.3. melléklet a … / 2019. ( … ) önkormányzati rendelethez</v>
      </c>
      <c r="C1" s="815"/>
      <c r="D1" s="815"/>
      <c r="E1" s="815"/>
    </row>
    <row r="2" spans="1:5" s="214" customFormat="1" ht="25.5" customHeight="1" thickBot="1">
      <c r="A2" s="384" t="s">
        <v>465</v>
      </c>
      <c r="B2" s="816" t="str">
        <f>CONCATENATE(Z_ALAPADATOK!B13)</f>
        <v>Wesniczky Antal Művelődési Ház és Könyvtár</v>
      </c>
      <c r="C2" s="817"/>
      <c r="D2" s="818"/>
      <c r="E2" s="385" t="s">
        <v>44</v>
      </c>
    </row>
    <row r="3" spans="1:5" s="214" customFormat="1" ht="24.75" thickBot="1">
      <c r="A3" s="384" t="s">
        <v>137</v>
      </c>
      <c r="B3" s="816" t="s">
        <v>877</v>
      </c>
      <c r="C3" s="817"/>
      <c r="D3" s="818"/>
      <c r="E3" s="385" t="s">
        <v>39</v>
      </c>
    </row>
    <row r="4" spans="1:5" s="215" customFormat="1" ht="15.75" customHeight="1" thickBot="1">
      <c r="A4" s="386"/>
      <c r="B4" s="386"/>
      <c r="C4" s="387"/>
      <c r="D4" s="388"/>
      <c r="E4" s="387" t="str">
        <f>'Z_6.2.3.sz.mell'!E4</f>
        <v> Forintban!</v>
      </c>
    </row>
    <row r="5" spans="1:5" ht="24.75" thickBot="1">
      <c r="A5" s="389" t="s">
        <v>138</v>
      </c>
      <c r="B5" s="390" t="s">
        <v>497</v>
      </c>
      <c r="C5" s="390" t="s">
        <v>461</v>
      </c>
      <c r="D5" s="391" t="s">
        <v>462</v>
      </c>
      <c r="E5" s="372" t="str">
        <f>CONCATENATE('Z_6.2.3.sz.mell'!E5)</f>
        <v>Teljesítés
2018. XII. 31.</v>
      </c>
    </row>
    <row r="6" spans="1:5" s="216" customFormat="1" ht="12.75" customHeight="1" thickBot="1">
      <c r="A6" s="422" t="s">
        <v>389</v>
      </c>
      <c r="B6" s="423" t="s">
        <v>390</v>
      </c>
      <c r="C6" s="423" t="s">
        <v>391</v>
      </c>
      <c r="D6" s="424" t="s">
        <v>393</v>
      </c>
      <c r="E6" s="425" t="s">
        <v>392</v>
      </c>
    </row>
    <row r="7" spans="1:5" s="216" customFormat="1" ht="15.75" customHeight="1" thickBot="1">
      <c r="A7" s="810" t="s">
        <v>40</v>
      </c>
      <c r="B7" s="811"/>
      <c r="C7" s="811"/>
      <c r="D7" s="811"/>
      <c r="E7" s="812"/>
    </row>
    <row r="8" spans="1:5" s="152" customFormat="1" ht="12" customHeight="1" thickBot="1">
      <c r="A8" s="74" t="s">
        <v>6</v>
      </c>
      <c r="B8" s="83" t="s">
        <v>410</v>
      </c>
      <c r="C8" s="119">
        <f>SUM(C9:C19)</f>
        <v>1500000</v>
      </c>
      <c r="D8" s="119">
        <f>SUM(D9:D19)</f>
        <v>1500000</v>
      </c>
      <c r="E8" s="121">
        <f>SUM(E9:E19)</f>
        <v>3006681</v>
      </c>
    </row>
    <row r="9" spans="1:5" s="152" customFormat="1" ht="12" customHeight="1">
      <c r="A9" s="209" t="s">
        <v>64</v>
      </c>
      <c r="B9" s="8" t="s">
        <v>188</v>
      </c>
      <c r="C9" s="271"/>
      <c r="D9" s="271"/>
      <c r="E9" s="318"/>
    </row>
    <row r="10" spans="1:5" s="152" customFormat="1" ht="12" customHeight="1">
      <c r="A10" s="210" t="s">
        <v>65</v>
      </c>
      <c r="B10" s="6" t="s">
        <v>189</v>
      </c>
      <c r="C10" s="116">
        <v>1500000</v>
      </c>
      <c r="D10" s="258">
        <v>1500000</v>
      </c>
      <c r="E10" s="263">
        <v>3003800</v>
      </c>
    </row>
    <row r="11" spans="1:5" s="152" customFormat="1" ht="12" customHeight="1">
      <c r="A11" s="210" t="s">
        <v>66</v>
      </c>
      <c r="B11" s="6" t="s">
        <v>190</v>
      </c>
      <c r="C11" s="116"/>
      <c r="D11" s="258"/>
      <c r="E11" s="263"/>
    </row>
    <row r="12" spans="1:5" s="152" customFormat="1" ht="12" customHeight="1">
      <c r="A12" s="210" t="s">
        <v>67</v>
      </c>
      <c r="B12" s="6" t="s">
        <v>191</v>
      </c>
      <c r="C12" s="116"/>
      <c r="D12" s="258"/>
      <c r="E12" s="263"/>
    </row>
    <row r="13" spans="1:5" s="152" customFormat="1" ht="12" customHeight="1">
      <c r="A13" s="210" t="s">
        <v>99</v>
      </c>
      <c r="B13" s="6" t="s">
        <v>192</v>
      </c>
      <c r="C13" s="116"/>
      <c r="D13" s="258"/>
      <c r="E13" s="263"/>
    </row>
    <row r="14" spans="1:5" s="152" customFormat="1" ht="12" customHeight="1">
      <c r="A14" s="210" t="s">
        <v>68</v>
      </c>
      <c r="B14" s="6" t="s">
        <v>308</v>
      </c>
      <c r="C14" s="116"/>
      <c r="D14" s="258"/>
      <c r="E14" s="263"/>
    </row>
    <row r="15" spans="1:5" s="152" customFormat="1" ht="12" customHeight="1">
      <c r="A15" s="210" t="s">
        <v>69</v>
      </c>
      <c r="B15" s="5" t="s">
        <v>309</v>
      </c>
      <c r="C15" s="116"/>
      <c r="D15" s="258"/>
      <c r="E15" s="263"/>
    </row>
    <row r="16" spans="1:5" s="152" customFormat="1" ht="12" customHeight="1">
      <c r="A16" s="210" t="s">
        <v>77</v>
      </c>
      <c r="B16" s="6" t="s">
        <v>195</v>
      </c>
      <c r="C16" s="269"/>
      <c r="D16" s="323"/>
      <c r="E16" s="267">
        <v>19</v>
      </c>
    </row>
    <row r="17" spans="1:5" s="217" customFormat="1" ht="12" customHeight="1">
      <c r="A17" s="210" t="s">
        <v>78</v>
      </c>
      <c r="B17" s="6" t="s">
        <v>196</v>
      </c>
      <c r="C17" s="116"/>
      <c r="D17" s="258"/>
      <c r="E17" s="263"/>
    </row>
    <row r="18" spans="1:5" s="217" customFormat="1" ht="12" customHeight="1">
      <c r="A18" s="210" t="s">
        <v>79</v>
      </c>
      <c r="B18" s="6" t="s">
        <v>341</v>
      </c>
      <c r="C18" s="118"/>
      <c r="D18" s="259"/>
      <c r="E18" s="264"/>
    </row>
    <row r="19" spans="1:5" s="217" customFormat="1" ht="12" customHeight="1" thickBot="1">
      <c r="A19" s="210" t="s">
        <v>80</v>
      </c>
      <c r="B19" s="5" t="s">
        <v>197</v>
      </c>
      <c r="C19" s="118"/>
      <c r="D19" s="259"/>
      <c r="E19" s="264">
        <v>2862</v>
      </c>
    </row>
    <row r="20" spans="1:5" s="152" customFormat="1" ht="12" customHeight="1" thickBot="1">
      <c r="A20" s="74" t="s">
        <v>7</v>
      </c>
      <c r="B20" s="83" t="s">
        <v>310</v>
      </c>
      <c r="C20" s="119">
        <f>SUM(C21:C23)</f>
        <v>1500000</v>
      </c>
      <c r="D20" s="260">
        <f>SUM(D21:D23)</f>
        <v>1500000</v>
      </c>
      <c r="E20" s="147">
        <f>SUM(E21:E23)</f>
        <v>0</v>
      </c>
    </row>
    <row r="21" spans="1:5" s="217" customFormat="1" ht="12" customHeight="1">
      <c r="A21" s="210" t="s">
        <v>70</v>
      </c>
      <c r="B21" s="7" t="s">
        <v>170</v>
      </c>
      <c r="C21" s="116"/>
      <c r="D21" s="258"/>
      <c r="E21" s="263"/>
    </row>
    <row r="22" spans="1:5" s="217" customFormat="1" ht="12" customHeight="1">
      <c r="A22" s="210" t="s">
        <v>71</v>
      </c>
      <c r="B22" s="6" t="s">
        <v>311</v>
      </c>
      <c r="C22" s="116"/>
      <c r="D22" s="258"/>
      <c r="E22" s="263"/>
    </row>
    <row r="23" spans="1:5" s="217" customFormat="1" ht="12" customHeight="1">
      <c r="A23" s="210" t="s">
        <v>72</v>
      </c>
      <c r="B23" s="6" t="s">
        <v>312</v>
      </c>
      <c r="C23" s="116">
        <v>1500000</v>
      </c>
      <c r="D23" s="258">
        <v>1500000</v>
      </c>
      <c r="E23" s="263"/>
    </row>
    <row r="24" spans="1:5" s="217" customFormat="1" ht="12" customHeight="1" thickBot="1">
      <c r="A24" s="210" t="s">
        <v>73</v>
      </c>
      <c r="B24" s="6" t="s">
        <v>415</v>
      </c>
      <c r="C24" s="116"/>
      <c r="D24" s="258"/>
      <c r="E24" s="263"/>
    </row>
    <row r="25" spans="1:5" s="217" customFormat="1" ht="12" customHeight="1" thickBot="1">
      <c r="A25" s="78" t="s">
        <v>8</v>
      </c>
      <c r="B25" s="56" t="s">
        <v>115</v>
      </c>
      <c r="C25" s="320"/>
      <c r="D25" s="322"/>
      <c r="E25" s="146"/>
    </row>
    <row r="26" spans="1:5" s="217" customFormat="1" ht="12" customHeight="1" thickBot="1">
      <c r="A26" s="78" t="s">
        <v>9</v>
      </c>
      <c r="B26" s="56" t="s">
        <v>313</v>
      </c>
      <c r="C26" s="119">
        <f>+C27+C28</f>
        <v>0</v>
      </c>
      <c r="D26" s="260">
        <f>+D27+D28</f>
        <v>0</v>
      </c>
      <c r="E26" s="147">
        <f>+E27+E28</f>
        <v>0</v>
      </c>
    </row>
    <row r="27" spans="1:5" s="217" customFormat="1" ht="12" customHeight="1">
      <c r="A27" s="211" t="s">
        <v>179</v>
      </c>
      <c r="B27" s="212" t="s">
        <v>311</v>
      </c>
      <c r="C27" s="270"/>
      <c r="D27" s="58"/>
      <c r="E27" s="268"/>
    </row>
    <row r="28" spans="1:5" s="217" customFormat="1" ht="12" customHeight="1">
      <c r="A28" s="211" t="s">
        <v>180</v>
      </c>
      <c r="B28" s="213" t="s">
        <v>314</v>
      </c>
      <c r="C28" s="120"/>
      <c r="D28" s="261"/>
      <c r="E28" s="265"/>
    </row>
    <row r="29" spans="1:5" s="217" customFormat="1" ht="12" customHeight="1" thickBot="1">
      <c r="A29" s="210" t="s">
        <v>181</v>
      </c>
      <c r="B29" s="61" t="s">
        <v>416</v>
      </c>
      <c r="C29" s="47"/>
      <c r="D29" s="324"/>
      <c r="E29" s="319"/>
    </row>
    <row r="30" spans="1:5" s="217" customFormat="1" ht="12" customHeight="1" thickBot="1">
      <c r="A30" s="78" t="s">
        <v>10</v>
      </c>
      <c r="B30" s="56" t="s">
        <v>315</v>
      </c>
      <c r="C30" s="119">
        <f>+C31+C32+C33</f>
        <v>0</v>
      </c>
      <c r="D30" s="260">
        <f>+D31+D32+D33</f>
        <v>0</v>
      </c>
      <c r="E30" s="147">
        <f>+E31+E32+E33</f>
        <v>0</v>
      </c>
    </row>
    <row r="31" spans="1:5" s="217" customFormat="1" ht="12" customHeight="1">
      <c r="A31" s="211" t="s">
        <v>57</v>
      </c>
      <c r="B31" s="212" t="s">
        <v>202</v>
      </c>
      <c r="C31" s="270"/>
      <c r="D31" s="58"/>
      <c r="E31" s="268"/>
    </row>
    <row r="32" spans="1:5" s="217" customFormat="1" ht="12" customHeight="1">
      <c r="A32" s="211" t="s">
        <v>58</v>
      </c>
      <c r="B32" s="213" t="s">
        <v>203</v>
      </c>
      <c r="C32" s="120"/>
      <c r="D32" s="261"/>
      <c r="E32" s="265"/>
    </row>
    <row r="33" spans="1:5" s="217" customFormat="1" ht="12" customHeight="1" thickBot="1">
      <c r="A33" s="210" t="s">
        <v>59</v>
      </c>
      <c r="B33" s="61" t="s">
        <v>204</v>
      </c>
      <c r="C33" s="47"/>
      <c r="D33" s="324"/>
      <c r="E33" s="319"/>
    </row>
    <row r="34" spans="1:5" s="152" customFormat="1" ht="12" customHeight="1" thickBot="1">
      <c r="A34" s="78" t="s">
        <v>11</v>
      </c>
      <c r="B34" s="56" t="s">
        <v>287</v>
      </c>
      <c r="C34" s="320"/>
      <c r="D34" s="322"/>
      <c r="E34" s="146"/>
    </row>
    <row r="35" spans="1:5" s="152" customFormat="1" ht="12" customHeight="1" thickBot="1">
      <c r="A35" s="78" t="s">
        <v>12</v>
      </c>
      <c r="B35" s="56" t="s">
        <v>316</v>
      </c>
      <c r="C35" s="320"/>
      <c r="D35" s="322"/>
      <c r="E35" s="146"/>
    </row>
    <row r="36" spans="1:5" s="152" customFormat="1" ht="12" customHeight="1" thickBot="1">
      <c r="A36" s="74" t="s">
        <v>13</v>
      </c>
      <c r="B36" s="56" t="s">
        <v>417</v>
      </c>
      <c r="C36" s="119">
        <f>+C8+C20+C25+C26+C30+C34+C35</f>
        <v>3000000</v>
      </c>
      <c r="D36" s="260">
        <f>+D8+D20+D25+D26+D30+D34+D35</f>
        <v>3000000</v>
      </c>
      <c r="E36" s="147">
        <f>+E8+E20+E25+E26+E30+E34+E35</f>
        <v>3006681</v>
      </c>
    </row>
    <row r="37" spans="1:5" s="152" customFormat="1" ht="12" customHeight="1" thickBot="1">
      <c r="A37" s="84" t="s">
        <v>14</v>
      </c>
      <c r="B37" s="56" t="s">
        <v>318</v>
      </c>
      <c r="C37" s="119">
        <f>+C38+C39+C40</f>
        <v>17805000</v>
      </c>
      <c r="D37" s="260">
        <f>+D38+D39+D40</f>
        <v>19283569</v>
      </c>
      <c r="E37" s="147">
        <f>+E38+E39+E40</f>
        <v>16688038</v>
      </c>
    </row>
    <row r="38" spans="1:5" s="152" customFormat="1" ht="12" customHeight="1">
      <c r="A38" s="211" t="s">
        <v>319</v>
      </c>
      <c r="B38" s="212" t="s">
        <v>152</v>
      </c>
      <c r="C38" s="270"/>
      <c r="D38" s="58">
        <v>331038</v>
      </c>
      <c r="E38" s="268">
        <v>331038</v>
      </c>
    </row>
    <row r="39" spans="1:5" s="152" customFormat="1" ht="12" customHeight="1">
      <c r="A39" s="211" t="s">
        <v>320</v>
      </c>
      <c r="B39" s="213" t="s">
        <v>0</v>
      </c>
      <c r="C39" s="120"/>
      <c r="D39" s="261"/>
      <c r="E39" s="265"/>
    </row>
    <row r="40" spans="1:5" s="217" customFormat="1" ht="12" customHeight="1" thickBot="1">
      <c r="A40" s="210" t="s">
        <v>321</v>
      </c>
      <c r="B40" s="61" t="s">
        <v>322</v>
      </c>
      <c r="C40" s="47">
        <v>17805000</v>
      </c>
      <c r="D40" s="324">
        <v>18952531</v>
      </c>
      <c r="E40" s="319">
        <v>16357000</v>
      </c>
    </row>
    <row r="41" spans="1:5" s="217" customFormat="1" ht="15" customHeight="1" thickBot="1">
      <c r="A41" s="84" t="s">
        <v>15</v>
      </c>
      <c r="B41" s="85" t="s">
        <v>323</v>
      </c>
      <c r="C41" s="321">
        <f>+C36+C37</f>
        <v>20805000</v>
      </c>
      <c r="D41" s="317">
        <f>+D36+D37</f>
        <v>22283569</v>
      </c>
      <c r="E41" s="150">
        <f>+E36+E37</f>
        <v>19694719</v>
      </c>
    </row>
    <row r="42" spans="1:3" s="217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6" customFormat="1" ht="16.5" customHeight="1" thickBot="1">
      <c r="A44" s="810" t="s">
        <v>41</v>
      </c>
      <c r="B44" s="811"/>
      <c r="C44" s="811"/>
      <c r="D44" s="811"/>
      <c r="E44" s="812"/>
    </row>
    <row r="45" spans="1:5" s="218" customFormat="1" ht="12" customHeight="1" thickBot="1">
      <c r="A45" s="78" t="s">
        <v>6</v>
      </c>
      <c r="B45" s="56" t="s">
        <v>324</v>
      </c>
      <c r="C45" s="119">
        <f>SUM(C46:C50)</f>
        <v>20395000</v>
      </c>
      <c r="D45" s="260">
        <f>SUM(D46:D50)</f>
        <v>21563251</v>
      </c>
      <c r="E45" s="147">
        <f>SUM(E46:E50)</f>
        <v>18946074</v>
      </c>
    </row>
    <row r="46" spans="1:5" ht="12" customHeight="1">
      <c r="A46" s="210" t="s">
        <v>64</v>
      </c>
      <c r="B46" s="7" t="s">
        <v>35</v>
      </c>
      <c r="C46" s="270">
        <v>10383000</v>
      </c>
      <c r="D46" s="58">
        <v>11155803</v>
      </c>
      <c r="E46" s="268">
        <v>10462793</v>
      </c>
    </row>
    <row r="47" spans="1:5" ht="12" customHeight="1">
      <c r="A47" s="210" t="s">
        <v>65</v>
      </c>
      <c r="B47" s="6" t="s">
        <v>124</v>
      </c>
      <c r="C47" s="46">
        <v>2187000</v>
      </c>
      <c r="D47" s="59">
        <v>2308310</v>
      </c>
      <c r="E47" s="266">
        <v>2162866</v>
      </c>
    </row>
    <row r="48" spans="1:5" ht="12" customHeight="1">
      <c r="A48" s="210" t="s">
        <v>66</v>
      </c>
      <c r="B48" s="6" t="s">
        <v>92</v>
      </c>
      <c r="C48" s="46">
        <v>7825000</v>
      </c>
      <c r="D48" s="59">
        <v>8099138</v>
      </c>
      <c r="E48" s="266">
        <v>6320415</v>
      </c>
    </row>
    <row r="49" spans="1:5" ht="12" customHeight="1">
      <c r="A49" s="210" t="s">
        <v>67</v>
      </c>
      <c r="B49" s="6" t="s">
        <v>125</v>
      </c>
      <c r="C49" s="46"/>
      <c r="D49" s="59"/>
      <c r="E49" s="266"/>
    </row>
    <row r="50" spans="1:5" ht="12" customHeight="1" thickBot="1">
      <c r="A50" s="210" t="s">
        <v>99</v>
      </c>
      <c r="B50" s="6" t="s">
        <v>126</v>
      </c>
      <c r="C50" s="46"/>
      <c r="D50" s="59"/>
      <c r="E50" s="266"/>
    </row>
    <row r="51" spans="1:5" ht="12" customHeight="1" thickBot="1">
      <c r="A51" s="78" t="s">
        <v>7</v>
      </c>
      <c r="B51" s="56" t="s">
        <v>325</v>
      </c>
      <c r="C51" s="119">
        <f>SUM(C52:C54)</f>
        <v>410000</v>
      </c>
      <c r="D51" s="260">
        <f>SUM(D52:D54)</f>
        <v>720318</v>
      </c>
      <c r="E51" s="147">
        <f>SUM(E52:E54)</f>
        <v>621673</v>
      </c>
    </row>
    <row r="52" spans="1:5" s="218" customFormat="1" ht="12" customHeight="1">
      <c r="A52" s="210" t="s">
        <v>70</v>
      </c>
      <c r="B52" s="7" t="s">
        <v>145</v>
      </c>
      <c r="C52" s="270">
        <v>410000</v>
      </c>
      <c r="D52" s="58">
        <v>720318</v>
      </c>
      <c r="E52" s="268">
        <v>621673</v>
      </c>
    </row>
    <row r="53" spans="1:5" ht="12" customHeight="1">
      <c r="A53" s="210" t="s">
        <v>71</v>
      </c>
      <c r="B53" s="6" t="s">
        <v>128</v>
      </c>
      <c r="C53" s="46"/>
      <c r="D53" s="59"/>
      <c r="E53" s="266"/>
    </row>
    <row r="54" spans="1:5" ht="12" customHeight="1">
      <c r="A54" s="210" t="s">
        <v>72</v>
      </c>
      <c r="B54" s="6" t="s">
        <v>42</v>
      </c>
      <c r="C54" s="46"/>
      <c r="D54" s="59"/>
      <c r="E54" s="266"/>
    </row>
    <row r="55" spans="1:5" ht="12" customHeight="1" thickBot="1">
      <c r="A55" s="210" t="s">
        <v>73</v>
      </c>
      <c r="B55" s="6" t="s">
        <v>414</v>
      </c>
      <c r="C55" s="46"/>
      <c r="D55" s="59"/>
      <c r="E55" s="266"/>
    </row>
    <row r="56" spans="1:5" ht="15" customHeight="1" thickBot="1">
      <c r="A56" s="78" t="s">
        <v>8</v>
      </c>
      <c r="B56" s="56" t="s">
        <v>2</v>
      </c>
      <c r="C56" s="320"/>
      <c r="D56" s="322"/>
      <c r="E56" s="146"/>
    </row>
    <row r="57" spans="1:5" ht="13.5" thickBot="1">
      <c r="A57" s="78" t="s">
        <v>9</v>
      </c>
      <c r="B57" s="90" t="s">
        <v>418</v>
      </c>
      <c r="C57" s="321">
        <f>+C45+C51+C56</f>
        <v>20805000</v>
      </c>
      <c r="D57" s="317">
        <f>+D45+D51+D56</f>
        <v>22283569</v>
      </c>
      <c r="E57" s="150">
        <f>+E45+E51+E56</f>
        <v>19567747</v>
      </c>
    </row>
    <row r="58" spans="3:4" ht="15" customHeight="1" thickBot="1">
      <c r="C58" s="656">
        <f>C41-C57</f>
        <v>0</v>
      </c>
      <c r="D58" s="656">
        <f>D41-D57</f>
        <v>0</v>
      </c>
    </row>
    <row r="59" spans="1:5" ht="14.25" customHeight="1" thickBot="1">
      <c r="A59" s="326" t="s">
        <v>498</v>
      </c>
      <c r="B59" s="327"/>
      <c r="C59" s="315">
        <v>4</v>
      </c>
      <c r="D59" s="315">
        <v>4</v>
      </c>
      <c r="E59" s="315">
        <v>4</v>
      </c>
    </row>
    <row r="60" spans="1:5" ht="13.5" thickBot="1">
      <c r="A60" s="328" t="s">
        <v>499</v>
      </c>
      <c r="B60" s="329"/>
      <c r="C60" s="315">
        <v>0</v>
      </c>
      <c r="D60" s="315">
        <v>0</v>
      </c>
      <c r="E60" s="315">
        <v>0</v>
      </c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B1" sqref="B1:E1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83"/>
      <c r="B1" s="814" t="str">
        <f>CONCATENATE("6.4. melléklet ",Z_ALAPADATOK!A7," ",Z_ALAPADATOK!B7," ",Z_ALAPADATOK!C7," ",Z_ALAPADATOK!D7," ",Z_ALAPADATOK!E7," ",Z_ALAPADATOK!F7," ",Z_ALAPADATOK!G7," ",Z_ALAPADATOK!H7)</f>
        <v>6.4. melléklet a … / 2019. ( … ) önkormányzati rendelethez</v>
      </c>
      <c r="C1" s="815"/>
      <c r="D1" s="815"/>
      <c r="E1" s="815"/>
    </row>
    <row r="2" spans="1:5" s="214" customFormat="1" ht="25.5" customHeight="1" thickBot="1">
      <c r="A2" s="384" t="s">
        <v>465</v>
      </c>
      <c r="B2" s="816" t="str">
        <f>CONCATENATE(Z_ALAPADATOK!B15)</f>
        <v>Besenyszög-Szászberek Óvodafenntartó Társulás</v>
      </c>
      <c r="C2" s="817"/>
      <c r="D2" s="818"/>
      <c r="E2" s="385" t="s">
        <v>336</v>
      </c>
    </row>
    <row r="3" spans="1:5" s="214" customFormat="1" ht="24.75" thickBot="1">
      <c r="A3" s="384" t="s">
        <v>137</v>
      </c>
      <c r="B3" s="816" t="s">
        <v>909</v>
      </c>
      <c r="C3" s="817"/>
      <c r="D3" s="818"/>
      <c r="E3" s="385" t="s">
        <v>39</v>
      </c>
    </row>
    <row r="4" spans="1:5" s="215" customFormat="1" ht="15.75" customHeight="1" thickBot="1">
      <c r="A4" s="386"/>
      <c r="B4" s="386"/>
      <c r="C4" s="387"/>
      <c r="D4" s="388"/>
      <c r="E4" s="387" t="str">
        <f>'Z_6.2.3.sz.mell'!E4</f>
        <v> Forintban!</v>
      </c>
    </row>
    <row r="5" spans="1:5" ht="24.75" thickBot="1">
      <c r="A5" s="389" t="s">
        <v>138</v>
      </c>
      <c r="B5" s="390" t="s">
        <v>497</v>
      </c>
      <c r="C5" s="390" t="s">
        <v>461</v>
      </c>
      <c r="D5" s="391" t="s">
        <v>462</v>
      </c>
      <c r="E5" s="372" t="str">
        <f>CONCATENATE('Z_6.3.sz.mell'!E5)</f>
        <v>Teljesítés
2018. XII. 31.</v>
      </c>
    </row>
    <row r="6" spans="1:5" s="216" customFormat="1" ht="12.75" customHeight="1" thickBot="1">
      <c r="A6" s="422" t="s">
        <v>389</v>
      </c>
      <c r="B6" s="423" t="s">
        <v>390</v>
      </c>
      <c r="C6" s="423" t="s">
        <v>391</v>
      </c>
      <c r="D6" s="424" t="s">
        <v>393</v>
      </c>
      <c r="E6" s="425" t="s">
        <v>392</v>
      </c>
    </row>
    <row r="7" spans="1:5" s="216" customFormat="1" ht="15.75" customHeight="1" thickBot="1">
      <c r="A7" s="810" t="s">
        <v>40</v>
      </c>
      <c r="B7" s="811"/>
      <c r="C7" s="811"/>
      <c r="D7" s="811"/>
      <c r="E7" s="812"/>
    </row>
    <row r="8" spans="1:5" s="152" customFormat="1" ht="12" customHeight="1" thickBot="1">
      <c r="A8" s="74" t="s">
        <v>6</v>
      </c>
      <c r="B8" s="83" t="s">
        <v>410</v>
      </c>
      <c r="C8" s="119">
        <f>SUM(C9:C19)</f>
        <v>1564200</v>
      </c>
      <c r="D8" s="119">
        <f>SUM(D9:D19)</f>
        <v>2334200</v>
      </c>
      <c r="E8" s="121">
        <f>SUM(E9:E19)</f>
        <v>1306925</v>
      </c>
    </row>
    <row r="9" spans="1:5" s="152" customFormat="1" ht="12" customHeight="1">
      <c r="A9" s="209" t="s">
        <v>64</v>
      </c>
      <c r="B9" s="8" t="s">
        <v>188</v>
      </c>
      <c r="C9" s="271"/>
      <c r="D9" s="271"/>
      <c r="E9" s="318"/>
    </row>
    <row r="10" spans="1:5" s="152" customFormat="1" ht="12" customHeight="1">
      <c r="A10" s="210" t="s">
        <v>65</v>
      </c>
      <c r="B10" s="6" t="s">
        <v>189</v>
      </c>
      <c r="C10" s="116"/>
      <c r="D10" s="258"/>
      <c r="E10" s="263"/>
    </row>
    <row r="11" spans="1:5" s="152" customFormat="1" ht="12" customHeight="1">
      <c r="A11" s="210" t="s">
        <v>66</v>
      </c>
      <c r="B11" s="6" t="s">
        <v>190</v>
      </c>
      <c r="C11" s="116"/>
      <c r="D11" s="258">
        <v>770000</v>
      </c>
      <c r="E11" s="263"/>
    </row>
    <row r="12" spans="1:5" s="152" customFormat="1" ht="12" customHeight="1">
      <c r="A12" s="210" t="s">
        <v>67</v>
      </c>
      <c r="B12" s="6" t="s">
        <v>191</v>
      </c>
      <c r="C12" s="116"/>
      <c r="D12" s="258"/>
      <c r="E12" s="263"/>
    </row>
    <row r="13" spans="1:5" s="152" customFormat="1" ht="12" customHeight="1">
      <c r="A13" s="210" t="s">
        <v>99</v>
      </c>
      <c r="B13" s="6" t="s">
        <v>192</v>
      </c>
      <c r="C13" s="116">
        <v>1231700</v>
      </c>
      <c r="D13" s="116">
        <v>1231700</v>
      </c>
      <c r="E13" s="263">
        <v>1025190</v>
      </c>
    </row>
    <row r="14" spans="1:5" s="152" customFormat="1" ht="12" customHeight="1">
      <c r="A14" s="210" t="s">
        <v>68</v>
      </c>
      <c r="B14" s="6" t="s">
        <v>308</v>
      </c>
      <c r="C14" s="116">
        <v>332500</v>
      </c>
      <c r="D14" s="116">
        <v>332500</v>
      </c>
      <c r="E14" s="263">
        <v>276840</v>
      </c>
    </row>
    <row r="15" spans="1:5" s="152" customFormat="1" ht="12" customHeight="1">
      <c r="A15" s="210" t="s">
        <v>69</v>
      </c>
      <c r="B15" s="5" t="s">
        <v>309</v>
      </c>
      <c r="C15" s="116"/>
      <c r="D15" s="258"/>
      <c r="E15" s="263"/>
    </row>
    <row r="16" spans="1:5" s="152" customFormat="1" ht="12" customHeight="1">
      <c r="A16" s="210" t="s">
        <v>77</v>
      </c>
      <c r="B16" s="6" t="s">
        <v>195</v>
      </c>
      <c r="C16" s="269"/>
      <c r="D16" s="323"/>
      <c r="E16" s="267">
        <v>18</v>
      </c>
    </row>
    <row r="17" spans="1:5" s="217" customFormat="1" ht="12" customHeight="1">
      <c r="A17" s="210" t="s">
        <v>78</v>
      </c>
      <c r="B17" s="6" t="s">
        <v>196</v>
      </c>
      <c r="C17" s="116"/>
      <c r="D17" s="258"/>
      <c r="E17" s="263"/>
    </row>
    <row r="18" spans="1:5" s="217" customFormat="1" ht="12" customHeight="1">
      <c r="A18" s="210" t="s">
        <v>79</v>
      </c>
      <c r="B18" s="6" t="s">
        <v>341</v>
      </c>
      <c r="C18" s="118"/>
      <c r="D18" s="259"/>
      <c r="E18" s="264"/>
    </row>
    <row r="19" spans="1:5" s="217" customFormat="1" ht="12" customHeight="1" thickBot="1">
      <c r="A19" s="210" t="s">
        <v>80</v>
      </c>
      <c r="B19" s="5" t="s">
        <v>197</v>
      </c>
      <c r="C19" s="118"/>
      <c r="D19" s="259"/>
      <c r="E19" s="264">
        <v>4877</v>
      </c>
    </row>
    <row r="20" spans="1:5" s="152" customFormat="1" ht="12" customHeight="1" thickBot="1">
      <c r="A20" s="74" t="s">
        <v>7</v>
      </c>
      <c r="B20" s="83" t="s">
        <v>310</v>
      </c>
      <c r="C20" s="119">
        <f>SUM(C21:C23)</f>
        <v>9881289</v>
      </c>
      <c r="D20" s="260">
        <f>SUM(D21:D23)</f>
        <v>7213549</v>
      </c>
      <c r="E20" s="147">
        <f>SUM(E21:E23)</f>
        <v>5525531</v>
      </c>
    </row>
    <row r="21" spans="1:5" s="217" customFormat="1" ht="12" customHeight="1">
      <c r="A21" s="210" t="s">
        <v>70</v>
      </c>
      <c r="B21" s="7" t="s">
        <v>170</v>
      </c>
      <c r="C21" s="116"/>
      <c r="D21" s="258"/>
      <c r="E21" s="263"/>
    </row>
    <row r="22" spans="1:5" s="217" customFormat="1" ht="12" customHeight="1">
      <c r="A22" s="210" t="s">
        <v>71</v>
      </c>
      <c r="B22" s="6" t="s">
        <v>311</v>
      </c>
      <c r="C22" s="116"/>
      <c r="D22" s="258"/>
      <c r="E22" s="263"/>
    </row>
    <row r="23" spans="1:5" s="217" customFormat="1" ht="12" customHeight="1">
      <c r="A23" s="210" t="s">
        <v>72</v>
      </c>
      <c r="B23" s="6" t="s">
        <v>312</v>
      </c>
      <c r="C23" s="116">
        <v>9881289</v>
      </c>
      <c r="D23" s="258">
        <v>7213549</v>
      </c>
      <c r="E23" s="263">
        <v>5525531</v>
      </c>
    </row>
    <row r="24" spans="1:5" s="217" customFormat="1" ht="12" customHeight="1" thickBot="1">
      <c r="A24" s="210" t="s">
        <v>73</v>
      </c>
      <c r="B24" s="6" t="s">
        <v>415</v>
      </c>
      <c r="C24" s="116"/>
      <c r="D24" s="258"/>
      <c r="E24" s="263"/>
    </row>
    <row r="25" spans="1:5" s="217" customFormat="1" ht="12" customHeight="1" thickBot="1">
      <c r="A25" s="78" t="s">
        <v>8</v>
      </c>
      <c r="B25" s="56" t="s">
        <v>115</v>
      </c>
      <c r="C25" s="320"/>
      <c r="D25" s="322"/>
      <c r="E25" s="146"/>
    </row>
    <row r="26" spans="1:5" s="217" customFormat="1" ht="12" customHeight="1" thickBot="1">
      <c r="A26" s="78" t="s">
        <v>9</v>
      </c>
      <c r="B26" s="56" t="s">
        <v>313</v>
      </c>
      <c r="C26" s="119">
        <f>+C27+C28</f>
        <v>0</v>
      </c>
      <c r="D26" s="260">
        <f>+D27+D28</f>
        <v>0</v>
      </c>
      <c r="E26" s="147">
        <f>+E27+E28</f>
        <v>0</v>
      </c>
    </row>
    <row r="27" spans="1:5" s="217" customFormat="1" ht="12" customHeight="1">
      <c r="A27" s="211" t="s">
        <v>179</v>
      </c>
      <c r="B27" s="212" t="s">
        <v>311</v>
      </c>
      <c r="C27" s="270"/>
      <c r="D27" s="58"/>
      <c r="E27" s="268"/>
    </row>
    <row r="28" spans="1:5" s="217" customFormat="1" ht="12" customHeight="1">
      <c r="A28" s="211" t="s">
        <v>180</v>
      </c>
      <c r="B28" s="213" t="s">
        <v>912</v>
      </c>
      <c r="C28" s="120"/>
      <c r="D28" s="261"/>
      <c r="E28" s="265"/>
    </row>
    <row r="29" spans="1:5" s="217" customFormat="1" ht="12" customHeight="1" thickBot="1">
      <c r="A29" s="210" t="s">
        <v>181</v>
      </c>
      <c r="B29" s="61" t="s">
        <v>416</v>
      </c>
      <c r="C29" s="47"/>
      <c r="D29" s="324"/>
      <c r="E29" s="319"/>
    </row>
    <row r="30" spans="1:5" s="217" customFormat="1" ht="12" customHeight="1" thickBot="1">
      <c r="A30" s="78" t="s">
        <v>10</v>
      </c>
      <c r="B30" s="56" t="s">
        <v>315</v>
      </c>
      <c r="C30" s="119">
        <f>+C31+C32+C33</f>
        <v>0</v>
      </c>
      <c r="D30" s="260">
        <f>+D31+D32+D33</f>
        <v>0</v>
      </c>
      <c r="E30" s="147">
        <f>+E31+E32+E33</f>
        <v>0</v>
      </c>
    </row>
    <row r="31" spans="1:5" s="217" customFormat="1" ht="12" customHeight="1">
      <c r="A31" s="211" t="s">
        <v>57</v>
      </c>
      <c r="B31" s="212" t="s">
        <v>202</v>
      </c>
      <c r="C31" s="270"/>
      <c r="D31" s="58"/>
      <c r="E31" s="268"/>
    </row>
    <row r="32" spans="1:5" s="217" customFormat="1" ht="12" customHeight="1">
      <c r="A32" s="211" t="s">
        <v>58</v>
      </c>
      <c r="B32" s="213" t="s">
        <v>203</v>
      </c>
      <c r="C32" s="120"/>
      <c r="D32" s="261"/>
      <c r="E32" s="265"/>
    </row>
    <row r="33" spans="1:5" s="217" customFormat="1" ht="12" customHeight="1" thickBot="1">
      <c r="A33" s="210" t="s">
        <v>59</v>
      </c>
      <c r="B33" s="61" t="s">
        <v>204</v>
      </c>
      <c r="C33" s="47"/>
      <c r="D33" s="324"/>
      <c r="E33" s="319"/>
    </row>
    <row r="34" spans="1:5" s="152" customFormat="1" ht="12" customHeight="1" thickBot="1">
      <c r="A34" s="78" t="s">
        <v>11</v>
      </c>
      <c r="B34" s="56" t="s">
        <v>287</v>
      </c>
      <c r="C34" s="320"/>
      <c r="D34" s="322"/>
      <c r="E34" s="146"/>
    </row>
    <row r="35" spans="1:5" s="152" customFormat="1" ht="12" customHeight="1" thickBot="1">
      <c r="A35" s="78" t="s">
        <v>12</v>
      </c>
      <c r="B35" s="56" t="s">
        <v>316</v>
      </c>
      <c r="C35" s="320"/>
      <c r="D35" s="322"/>
      <c r="E35" s="146"/>
    </row>
    <row r="36" spans="1:5" s="152" customFormat="1" ht="12" customHeight="1" thickBot="1">
      <c r="A36" s="74" t="s">
        <v>13</v>
      </c>
      <c r="B36" s="56" t="s">
        <v>417</v>
      </c>
      <c r="C36" s="119">
        <f>+C8+C20+C25+C26+C30+C34+C35</f>
        <v>11445489</v>
      </c>
      <c r="D36" s="260">
        <f>+D8+D20+D25+D26+D30+D34+D35</f>
        <v>9547749</v>
      </c>
      <c r="E36" s="147">
        <f>+E8+E20+E25+E26+E30+E34+E35</f>
        <v>6832456</v>
      </c>
    </row>
    <row r="37" spans="1:5" s="152" customFormat="1" ht="12" customHeight="1" thickBot="1">
      <c r="A37" s="84" t="s">
        <v>14</v>
      </c>
      <c r="B37" s="56" t="s">
        <v>318</v>
      </c>
      <c r="C37" s="119">
        <f>+C38+C39+C40</f>
        <v>79796020</v>
      </c>
      <c r="D37" s="260">
        <f>+D38+D39+D40</f>
        <v>87141458</v>
      </c>
      <c r="E37" s="147">
        <f>+E38+E39+E40</f>
        <v>87141458</v>
      </c>
    </row>
    <row r="38" spans="1:5" s="152" customFormat="1" ht="12" customHeight="1">
      <c r="A38" s="211" t="s">
        <v>319</v>
      </c>
      <c r="B38" s="212" t="s">
        <v>152</v>
      </c>
      <c r="C38" s="270"/>
      <c r="D38" s="58">
        <v>2168188</v>
      </c>
      <c r="E38" s="58">
        <v>2168188</v>
      </c>
    </row>
    <row r="39" spans="1:5" s="152" customFormat="1" ht="12" customHeight="1">
      <c r="A39" s="211" t="s">
        <v>320</v>
      </c>
      <c r="B39" s="213" t="s">
        <v>0</v>
      </c>
      <c r="C39" s="120"/>
      <c r="D39" s="261"/>
      <c r="E39" s="265"/>
    </row>
    <row r="40" spans="1:5" s="217" customFormat="1" ht="12" customHeight="1" thickBot="1">
      <c r="A40" s="210" t="s">
        <v>321</v>
      </c>
      <c r="B40" s="61" t="s">
        <v>322</v>
      </c>
      <c r="C40" s="47">
        <v>79796020</v>
      </c>
      <c r="D40" s="324">
        <v>84973270</v>
      </c>
      <c r="E40" s="319">
        <v>84973270</v>
      </c>
    </row>
    <row r="41" spans="1:5" s="217" customFormat="1" ht="15" customHeight="1" thickBot="1">
      <c r="A41" s="84" t="s">
        <v>15</v>
      </c>
      <c r="B41" s="85" t="s">
        <v>323</v>
      </c>
      <c r="C41" s="321">
        <f>+C36+C37</f>
        <v>91241509</v>
      </c>
      <c r="D41" s="317">
        <f>+D36+D37</f>
        <v>96689207</v>
      </c>
      <c r="E41" s="150">
        <f>+E36+E37</f>
        <v>93973914</v>
      </c>
    </row>
    <row r="42" spans="1:3" s="217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6" customFormat="1" ht="16.5" customHeight="1" thickBot="1">
      <c r="A44" s="810" t="s">
        <v>41</v>
      </c>
      <c r="B44" s="811"/>
      <c r="C44" s="811"/>
      <c r="D44" s="811"/>
      <c r="E44" s="812"/>
    </row>
    <row r="45" spans="1:5" s="218" customFormat="1" ht="12" customHeight="1" thickBot="1">
      <c r="A45" s="78" t="s">
        <v>6</v>
      </c>
      <c r="B45" s="56" t="s">
        <v>324</v>
      </c>
      <c r="C45" s="119">
        <f>SUM(C46:C50)</f>
        <v>91241509</v>
      </c>
      <c r="D45" s="260">
        <f>SUM(D46:D50)</f>
        <v>94733332</v>
      </c>
      <c r="E45" s="147">
        <f>SUM(E46:E50)</f>
        <v>89408402</v>
      </c>
    </row>
    <row r="46" spans="1:5" ht="12" customHeight="1">
      <c r="A46" s="210" t="s">
        <v>64</v>
      </c>
      <c r="B46" s="7" t="s">
        <v>35</v>
      </c>
      <c r="C46" s="270">
        <v>58411480</v>
      </c>
      <c r="D46" s="58">
        <v>59128480</v>
      </c>
      <c r="E46" s="268">
        <v>57685274</v>
      </c>
    </row>
    <row r="47" spans="1:5" ht="12" customHeight="1">
      <c r="A47" s="210" t="s">
        <v>65</v>
      </c>
      <c r="B47" s="6" t="s">
        <v>124</v>
      </c>
      <c r="C47" s="46">
        <v>11963409</v>
      </c>
      <c r="D47" s="46">
        <v>11963409</v>
      </c>
      <c r="E47" s="266">
        <v>11663217</v>
      </c>
    </row>
    <row r="48" spans="1:5" ht="12" customHeight="1">
      <c r="A48" s="210" t="s">
        <v>66</v>
      </c>
      <c r="B48" s="6" t="s">
        <v>92</v>
      </c>
      <c r="C48" s="46">
        <v>20866620</v>
      </c>
      <c r="D48" s="59">
        <v>23640443</v>
      </c>
      <c r="E48" s="266">
        <v>20058911</v>
      </c>
    </row>
    <row r="49" spans="1:5" ht="12" customHeight="1">
      <c r="A49" s="210" t="s">
        <v>67</v>
      </c>
      <c r="B49" s="6" t="s">
        <v>125</v>
      </c>
      <c r="C49" s="46"/>
      <c r="D49" s="59"/>
      <c r="E49" s="266"/>
    </row>
    <row r="50" spans="1:5" ht="12" customHeight="1" thickBot="1">
      <c r="A50" s="210" t="s">
        <v>99</v>
      </c>
      <c r="B50" s="6" t="s">
        <v>126</v>
      </c>
      <c r="C50" s="46"/>
      <c r="D50" s="59">
        <v>1000</v>
      </c>
      <c r="E50" s="266">
        <v>1000</v>
      </c>
    </row>
    <row r="51" spans="1:5" ht="12" customHeight="1" thickBot="1">
      <c r="A51" s="78" t="s">
        <v>7</v>
      </c>
      <c r="B51" s="56" t="s">
        <v>325</v>
      </c>
      <c r="C51" s="119">
        <f>SUM(C52:C54)</f>
        <v>0</v>
      </c>
      <c r="D51" s="260">
        <f>SUM(D52:D54)</f>
        <v>1955875</v>
      </c>
      <c r="E51" s="147">
        <f>SUM(E52:E54)</f>
        <v>1955875</v>
      </c>
    </row>
    <row r="52" spans="1:5" s="218" customFormat="1" ht="12" customHeight="1">
      <c r="A52" s="210" t="s">
        <v>70</v>
      </c>
      <c r="B52" s="7" t="s">
        <v>145</v>
      </c>
      <c r="C52" s="270"/>
      <c r="D52" s="58">
        <v>1955875</v>
      </c>
      <c r="E52" s="268">
        <v>1955875</v>
      </c>
    </row>
    <row r="53" spans="1:5" ht="12" customHeight="1">
      <c r="A53" s="210" t="s">
        <v>71</v>
      </c>
      <c r="B53" s="6" t="s">
        <v>128</v>
      </c>
      <c r="C53" s="46"/>
      <c r="D53" s="59"/>
      <c r="E53" s="266"/>
    </row>
    <row r="54" spans="1:5" ht="12" customHeight="1">
      <c r="A54" s="210" t="s">
        <v>72</v>
      </c>
      <c r="B54" s="6" t="s">
        <v>42</v>
      </c>
      <c r="C54" s="46"/>
      <c r="D54" s="59"/>
      <c r="E54" s="266"/>
    </row>
    <row r="55" spans="1:5" ht="12" customHeight="1" thickBot="1">
      <c r="A55" s="210" t="s">
        <v>73</v>
      </c>
      <c r="B55" s="6" t="s">
        <v>414</v>
      </c>
      <c r="C55" s="46"/>
      <c r="D55" s="59"/>
      <c r="E55" s="266"/>
    </row>
    <row r="56" spans="1:5" ht="15" customHeight="1" thickBot="1">
      <c r="A56" s="78" t="s">
        <v>8</v>
      </c>
      <c r="B56" s="56" t="s">
        <v>2</v>
      </c>
      <c r="C56" s="320"/>
      <c r="D56" s="322"/>
      <c r="E56" s="146"/>
    </row>
    <row r="57" spans="1:5" ht="13.5" thickBot="1">
      <c r="A57" s="78" t="s">
        <v>9</v>
      </c>
      <c r="B57" s="90" t="s">
        <v>418</v>
      </c>
      <c r="C57" s="321">
        <f>+C45+C51+C56</f>
        <v>91241509</v>
      </c>
      <c r="D57" s="317">
        <f>+D45+D51+D56</f>
        <v>96689207</v>
      </c>
      <c r="E57" s="150">
        <f>+E45+E51+E56</f>
        <v>91364277</v>
      </c>
    </row>
    <row r="58" spans="3:4" ht="15" customHeight="1" thickBot="1">
      <c r="C58" s="656">
        <f>C41-C57</f>
        <v>0</v>
      </c>
      <c r="D58" s="656">
        <f>D41-D57</f>
        <v>0</v>
      </c>
    </row>
    <row r="59" spans="1:5" ht="14.25" customHeight="1" thickBot="1">
      <c r="A59" s="326" t="s">
        <v>498</v>
      </c>
      <c r="B59" s="327"/>
      <c r="C59" s="315">
        <v>18</v>
      </c>
      <c r="D59" s="315">
        <v>18</v>
      </c>
      <c r="E59" s="315">
        <v>18</v>
      </c>
    </row>
    <row r="60" spans="1:5" ht="13.5" thickBot="1">
      <c r="A60" s="328" t="s">
        <v>499</v>
      </c>
      <c r="B60" s="329"/>
      <c r="C60" s="315">
        <v>0</v>
      </c>
      <c r="D60" s="315">
        <v>0</v>
      </c>
      <c r="E60" s="315">
        <v>0</v>
      </c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37">
      <selection activeCell="C59" sqref="C59:E60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83"/>
      <c r="B1" s="819" t="str">
        <f>CONCATENATE("6.4.1. melléklet ",Z_ALAPADATOK!A7," ",Z_ALAPADATOK!B7," ",Z_ALAPADATOK!C7," ",Z_ALAPADATOK!D7," ",Z_ALAPADATOK!E7," ",Z_ALAPADATOK!F7," ",Z_ALAPADATOK!G7," ",Z_ALAPADATOK!H7)</f>
        <v>6.4.1. melléklet a … / 2019. ( … ) önkormányzati rendelethez</v>
      </c>
      <c r="C1" s="820"/>
      <c r="D1" s="820"/>
      <c r="E1" s="820"/>
    </row>
    <row r="2" spans="1:5" s="214" customFormat="1" ht="25.5" customHeight="1" thickBot="1">
      <c r="A2" s="384" t="s">
        <v>465</v>
      </c>
      <c r="B2" s="816" t="str">
        <f>CONCATENATE('Z_6.4.sz.mell'!B2:D2)</f>
        <v>Besenyszög-Szászberek Óvodafenntartó Társulás</v>
      </c>
      <c r="C2" s="817"/>
      <c r="D2" s="818"/>
      <c r="E2" s="385" t="s">
        <v>336</v>
      </c>
    </row>
    <row r="3" spans="1:5" s="214" customFormat="1" ht="24.75" thickBot="1">
      <c r="A3" s="384" t="s">
        <v>137</v>
      </c>
      <c r="B3" s="816" t="s">
        <v>908</v>
      </c>
      <c r="C3" s="817"/>
      <c r="D3" s="818"/>
      <c r="E3" s="385" t="s">
        <v>43</v>
      </c>
    </row>
    <row r="4" spans="1:5" s="215" customFormat="1" ht="15.75" customHeight="1" thickBot="1">
      <c r="A4" s="386"/>
      <c r="B4" s="386"/>
      <c r="C4" s="387"/>
      <c r="D4" s="388"/>
      <c r="E4" s="387" t="str">
        <f>'Z_6.4.sz.mell'!E4</f>
        <v> Forintban!</v>
      </c>
    </row>
    <row r="5" spans="1:5" ht="24.75" thickBot="1">
      <c r="A5" s="389" t="s">
        <v>138</v>
      </c>
      <c r="B5" s="390" t="s">
        <v>497</v>
      </c>
      <c r="C5" s="390" t="s">
        <v>461</v>
      </c>
      <c r="D5" s="391" t="s">
        <v>462</v>
      </c>
      <c r="E5" s="372" t="str">
        <f>CONCATENATE('Z_6.4.sz.mell'!E5)</f>
        <v>Teljesítés
2018. XII. 31.</v>
      </c>
    </row>
    <row r="6" spans="1:5" s="216" customFormat="1" ht="12.75" customHeight="1" thickBot="1">
      <c r="A6" s="422" t="s">
        <v>389</v>
      </c>
      <c r="B6" s="423" t="s">
        <v>390</v>
      </c>
      <c r="C6" s="423" t="s">
        <v>391</v>
      </c>
      <c r="D6" s="424" t="s">
        <v>393</v>
      </c>
      <c r="E6" s="425" t="s">
        <v>392</v>
      </c>
    </row>
    <row r="7" spans="1:5" s="216" customFormat="1" ht="15.75" customHeight="1" thickBot="1">
      <c r="A7" s="810" t="s">
        <v>40</v>
      </c>
      <c r="B7" s="811"/>
      <c r="C7" s="811"/>
      <c r="D7" s="811"/>
      <c r="E7" s="812"/>
    </row>
    <row r="8" spans="1:5" s="152" customFormat="1" ht="12" customHeight="1" thickBot="1">
      <c r="A8" s="74" t="s">
        <v>6</v>
      </c>
      <c r="B8" s="83" t="s">
        <v>410</v>
      </c>
      <c r="C8" s="119">
        <f>SUM(C9:C19)</f>
        <v>0</v>
      </c>
      <c r="D8" s="119">
        <f>SUM(D9:D19)</f>
        <v>0</v>
      </c>
      <c r="E8" s="121">
        <f>SUM(E9:E19)</f>
        <v>0</v>
      </c>
    </row>
    <row r="9" spans="1:5" s="152" customFormat="1" ht="12" customHeight="1">
      <c r="A9" s="209" t="s">
        <v>64</v>
      </c>
      <c r="B9" s="8" t="s">
        <v>188</v>
      </c>
      <c r="C9" s="271"/>
      <c r="D9" s="271"/>
      <c r="E9" s="318"/>
    </row>
    <row r="10" spans="1:5" s="152" customFormat="1" ht="12" customHeight="1">
      <c r="A10" s="210" t="s">
        <v>65</v>
      </c>
      <c r="B10" s="6" t="s">
        <v>189</v>
      </c>
      <c r="C10" s="116"/>
      <c r="D10" s="258"/>
      <c r="E10" s="263"/>
    </row>
    <row r="11" spans="1:5" s="152" customFormat="1" ht="12" customHeight="1">
      <c r="A11" s="210" t="s">
        <v>66</v>
      </c>
      <c r="B11" s="6" t="s">
        <v>190</v>
      </c>
      <c r="C11" s="116"/>
      <c r="D11" s="258"/>
      <c r="E11" s="263"/>
    </row>
    <row r="12" spans="1:5" s="152" customFormat="1" ht="12" customHeight="1">
      <c r="A12" s="210" t="s">
        <v>67</v>
      </c>
      <c r="B12" s="6" t="s">
        <v>191</v>
      </c>
      <c r="C12" s="116"/>
      <c r="D12" s="258"/>
      <c r="E12" s="263"/>
    </row>
    <row r="13" spans="1:5" s="152" customFormat="1" ht="12" customHeight="1">
      <c r="A13" s="210" t="s">
        <v>99</v>
      </c>
      <c r="B13" s="6" t="s">
        <v>192</v>
      </c>
      <c r="C13" s="116"/>
      <c r="D13" s="258"/>
      <c r="E13" s="263"/>
    </row>
    <row r="14" spans="1:5" s="152" customFormat="1" ht="12" customHeight="1">
      <c r="A14" s="210" t="s">
        <v>68</v>
      </c>
      <c r="B14" s="6" t="s">
        <v>308</v>
      </c>
      <c r="C14" s="116"/>
      <c r="D14" s="258"/>
      <c r="E14" s="263"/>
    </row>
    <row r="15" spans="1:5" s="152" customFormat="1" ht="12" customHeight="1">
      <c r="A15" s="210" t="s">
        <v>69</v>
      </c>
      <c r="B15" s="5" t="s">
        <v>309</v>
      </c>
      <c r="C15" s="116"/>
      <c r="D15" s="258"/>
      <c r="E15" s="263"/>
    </row>
    <row r="16" spans="1:5" s="152" customFormat="1" ht="12" customHeight="1">
      <c r="A16" s="210" t="s">
        <v>77</v>
      </c>
      <c r="B16" s="6" t="s">
        <v>195</v>
      </c>
      <c r="C16" s="269"/>
      <c r="D16" s="323"/>
      <c r="E16" s="267"/>
    </row>
    <row r="17" spans="1:5" s="217" customFormat="1" ht="12" customHeight="1">
      <c r="A17" s="210" t="s">
        <v>78</v>
      </c>
      <c r="B17" s="6" t="s">
        <v>196</v>
      </c>
      <c r="C17" s="116"/>
      <c r="D17" s="258"/>
      <c r="E17" s="263"/>
    </row>
    <row r="18" spans="1:5" s="217" customFormat="1" ht="12" customHeight="1">
      <c r="A18" s="210" t="s">
        <v>79</v>
      </c>
      <c r="B18" s="6" t="s">
        <v>341</v>
      </c>
      <c r="C18" s="118"/>
      <c r="D18" s="259"/>
      <c r="E18" s="264"/>
    </row>
    <row r="19" spans="1:5" s="217" customFormat="1" ht="12" customHeight="1" thickBot="1">
      <c r="A19" s="210" t="s">
        <v>80</v>
      </c>
      <c r="B19" s="5" t="s">
        <v>197</v>
      </c>
      <c r="C19" s="118"/>
      <c r="D19" s="259"/>
      <c r="E19" s="264"/>
    </row>
    <row r="20" spans="1:5" s="152" customFormat="1" ht="12" customHeight="1" thickBot="1">
      <c r="A20" s="74" t="s">
        <v>7</v>
      </c>
      <c r="B20" s="83" t="s">
        <v>310</v>
      </c>
      <c r="C20" s="119">
        <f>SUM(C21:C23)</f>
        <v>79796020</v>
      </c>
      <c r="D20" s="260">
        <f>SUM(D21:D23)</f>
        <v>84973270</v>
      </c>
      <c r="E20" s="147">
        <f>SUM(E21:E23)</f>
        <v>84973270</v>
      </c>
    </row>
    <row r="21" spans="1:5" s="217" customFormat="1" ht="12" customHeight="1">
      <c r="A21" s="210" t="s">
        <v>70</v>
      </c>
      <c r="B21" s="7" t="s">
        <v>170</v>
      </c>
      <c r="C21" s="116"/>
      <c r="D21" s="258"/>
      <c r="E21" s="263"/>
    </row>
    <row r="22" spans="1:5" s="217" customFormat="1" ht="12" customHeight="1">
      <c r="A22" s="210" t="s">
        <v>71</v>
      </c>
      <c r="B22" s="6" t="s">
        <v>311</v>
      </c>
      <c r="C22" s="116"/>
      <c r="D22" s="258"/>
      <c r="E22" s="263"/>
    </row>
    <row r="23" spans="1:5" s="217" customFormat="1" ht="12" customHeight="1">
      <c r="A23" s="210" t="s">
        <v>72</v>
      </c>
      <c r="B23" s="6" t="s">
        <v>312</v>
      </c>
      <c r="C23" s="116">
        <v>79796020</v>
      </c>
      <c r="D23" s="258">
        <v>84973270</v>
      </c>
      <c r="E23" s="263">
        <v>84973270</v>
      </c>
    </row>
    <row r="24" spans="1:5" s="217" customFormat="1" ht="12" customHeight="1" thickBot="1">
      <c r="A24" s="210" t="s">
        <v>73</v>
      </c>
      <c r="B24" s="6" t="s">
        <v>415</v>
      </c>
      <c r="C24" s="116"/>
      <c r="D24" s="258"/>
      <c r="E24" s="263"/>
    </row>
    <row r="25" spans="1:5" s="217" customFormat="1" ht="12" customHeight="1" thickBot="1">
      <c r="A25" s="78" t="s">
        <v>8</v>
      </c>
      <c r="B25" s="56" t="s">
        <v>115</v>
      </c>
      <c r="C25" s="320"/>
      <c r="D25" s="322"/>
      <c r="E25" s="146"/>
    </row>
    <row r="26" spans="1:5" s="217" customFormat="1" ht="12" customHeight="1" thickBot="1">
      <c r="A26" s="78" t="s">
        <v>9</v>
      </c>
      <c r="B26" s="56" t="s">
        <v>313</v>
      </c>
      <c r="C26" s="119">
        <f>+C27+C28</f>
        <v>0</v>
      </c>
      <c r="D26" s="260">
        <f>+D27+D28</f>
        <v>0</v>
      </c>
      <c r="E26" s="147">
        <f>+E27+E28</f>
        <v>0</v>
      </c>
    </row>
    <row r="27" spans="1:5" s="217" customFormat="1" ht="12" customHeight="1">
      <c r="A27" s="211" t="s">
        <v>179</v>
      </c>
      <c r="B27" s="212" t="s">
        <v>311</v>
      </c>
      <c r="C27" s="270"/>
      <c r="D27" s="58"/>
      <c r="E27" s="268"/>
    </row>
    <row r="28" spans="1:5" s="217" customFormat="1" ht="12" customHeight="1">
      <c r="A28" s="211" t="s">
        <v>180</v>
      </c>
      <c r="B28" s="213" t="s">
        <v>912</v>
      </c>
      <c r="C28" s="120"/>
      <c r="D28" s="261"/>
      <c r="E28" s="265"/>
    </row>
    <row r="29" spans="1:5" s="217" customFormat="1" ht="12" customHeight="1" thickBot="1">
      <c r="A29" s="210" t="s">
        <v>181</v>
      </c>
      <c r="B29" s="61" t="s">
        <v>416</v>
      </c>
      <c r="C29" s="47"/>
      <c r="D29" s="324"/>
      <c r="E29" s="319"/>
    </row>
    <row r="30" spans="1:5" s="217" customFormat="1" ht="12" customHeight="1" thickBot="1">
      <c r="A30" s="78" t="s">
        <v>10</v>
      </c>
      <c r="B30" s="56" t="s">
        <v>315</v>
      </c>
      <c r="C30" s="119">
        <f>+C31+C32+C33</f>
        <v>0</v>
      </c>
      <c r="D30" s="260">
        <f>+D31+D32+D33</f>
        <v>0</v>
      </c>
      <c r="E30" s="147">
        <f>+E31+E32+E33</f>
        <v>0</v>
      </c>
    </row>
    <row r="31" spans="1:5" s="217" customFormat="1" ht="12" customHeight="1">
      <c r="A31" s="211" t="s">
        <v>57</v>
      </c>
      <c r="B31" s="212" t="s">
        <v>202</v>
      </c>
      <c r="C31" s="270"/>
      <c r="D31" s="58"/>
      <c r="E31" s="268"/>
    </row>
    <row r="32" spans="1:5" s="217" customFormat="1" ht="12" customHeight="1">
      <c r="A32" s="211" t="s">
        <v>58</v>
      </c>
      <c r="B32" s="213" t="s">
        <v>203</v>
      </c>
      <c r="C32" s="120"/>
      <c r="D32" s="261"/>
      <c r="E32" s="265"/>
    </row>
    <row r="33" spans="1:5" s="217" customFormat="1" ht="12" customHeight="1" thickBot="1">
      <c r="A33" s="210" t="s">
        <v>59</v>
      </c>
      <c r="B33" s="61" t="s">
        <v>204</v>
      </c>
      <c r="C33" s="47"/>
      <c r="D33" s="324"/>
      <c r="E33" s="319"/>
    </row>
    <row r="34" spans="1:5" s="152" customFormat="1" ht="12" customHeight="1" thickBot="1">
      <c r="A34" s="78" t="s">
        <v>11</v>
      </c>
      <c r="B34" s="56" t="s">
        <v>287</v>
      </c>
      <c r="C34" s="320"/>
      <c r="D34" s="322"/>
      <c r="E34" s="146"/>
    </row>
    <row r="35" spans="1:5" s="152" customFormat="1" ht="12" customHeight="1" thickBot="1">
      <c r="A35" s="78" t="s">
        <v>12</v>
      </c>
      <c r="B35" s="56" t="s">
        <v>316</v>
      </c>
      <c r="C35" s="320"/>
      <c r="D35" s="322"/>
      <c r="E35" s="146"/>
    </row>
    <row r="36" spans="1:5" s="152" customFormat="1" ht="12" customHeight="1" thickBot="1">
      <c r="A36" s="74" t="s">
        <v>13</v>
      </c>
      <c r="B36" s="56" t="s">
        <v>417</v>
      </c>
      <c r="C36" s="119">
        <f>+C8+C20+C25+C26+C30+C34+C35</f>
        <v>79796020</v>
      </c>
      <c r="D36" s="260">
        <f>+D8+D20+D25+D26+D30+D34+D35</f>
        <v>84973270</v>
      </c>
      <c r="E36" s="147">
        <f>+E8+E20+E25+E26+E30+E34+E35</f>
        <v>84973270</v>
      </c>
    </row>
    <row r="37" spans="1:5" s="152" customFormat="1" ht="12" customHeight="1" thickBot="1">
      <c r="A37" s="84" t="s">
        <v>14</v>
      </c>
      <c r="B37" s="56" t="s">
        <v>318</v>
      </c>
      <c r="C37" s="119">
        <f>+C38+C39+C40</f>
        <v>0</v>
      </c>
      <c r="D37" s="260">
        <f>+D38+D39+D40</f>
        <v>0</v>
      </c>
      <c r="E37" s="147">
        <f>+E38+E39+E40</f>
        <v>0</v>
      </c>
    </row>
    <row r="38" spans="1:5" s="152" customFormat="1" ht="12" customHeight="1">
      <c r="A38" s="211" t="s">
        <v>319</v>
      </c>
      <c r="B38" s="212" t="s">
        <v>152</v>
      </c>
      <c r="C38" s="270"/>
      <c r="D38" s="58"/>
      <c r="E38" s="268"/>
    </row>
    <row r="39" spans="1:5" s="152" customFormat="1" ht="12" customHeight="1">
      <c r="A39" s="211" t="s">
        <v>320</v>
      </c>
      <c r="B39" s="213" t="s">
        <v>0</v>
      </c>
      <c r="C39" s="120"/>
      <c r="D39" s="261"/>
      <c r="E39" s="265"/>
    </row>
    <row r="40" spans="1:5" s="217" customFormat="1" ht="12" customHeight="1" thickBot="1">
      <c r="A40" s="210" t="s">
        <v>321</v>
      </c>
      <c r="B40" s="61" t="s">
        <v>322</v>
      </c>
      <c r="C40" s="47"/>
      <c r="D40" s="324"/>
      <c r="E40" s="319"/>
    </row>
    <row r="41" spans="1:5" s="217" customFormat="1" ht="15" customHeight="1" thickBot="1">
      <c r="A41" s="84" t="s">
        <v>15</v>
      </c>
      <c r="B41" s="85" t="s">
        <v>323</v>
      </c>
      <c r="C41" s="321">
        <f>+C36+C37</f>
        <v>79796020</v>
      </c>
      <c r="D41" s="317">
        <f>+D36+D37</f>
        <v>84973270</v>
      </c>
      <c r="E41" s="150">
        <f>+E36+E37</f>
        <v>84973270</v>
      </c>
    </row>
    <row r="42" spans="1:3" s="217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6" customFormat="1" ht="16.5" customHeight="1" thickBot="1">
      <c r="A44" s="810" t="s">
        <v>41</v>
      </c>
      <c r="B44" s="811"/>
      <c r="C44" s="811"/>
      <c r="D44" s="811"/>
      <c r="E44" s="812"/>
    </row>
    <row r="45" spans="1:5" s="218" customFormat="1" ht="12" customHeight="1" thickBot="1">
      <c r="A45" s="78" t="s">
        <v>6</v>
      </c>
      <c r="B45" s="56" t="s">
        <v>324</v>
      </c>
      <c r="C45" s="119">
        <f>SUM(C46:C50)</f>
        <v>0</v>
      </c>
      <c r="D45" s="260">
        <f>SUM(D46:D50)</f>
        <v>0</v>
      </c>
      <c r="E45" s="147">
        <f>SUM(E46:E50)</f>
        <v>0</v>
      </c>
    </row>
    <row r="46" spans="1:5" ht="12" customHeight="1">
      <c r="A46" s="210" t="s">
        <v>64</v>
      </c>
      <c r="B46" s="7" t="s">
        <v>35</v>
      </c>
      <c r="C46" s="270"/>
      <c r="D46" s="58"/>
      <c r="E46" s="268"/>
    </row>
    <row r="47" spans="1:5" ht="12" customHeight="1">
      <c r="A47" s="210" t="s">
        <v>65</v>
      </c>
      <c r="B47" s="6" t="s">
        <v>124</v>
      </c>
      <c r="C47" s="46"/>
      <c r="D47" s="59"/>
      <c r="E47" s="266"/>
    </row>
    <row r="48" spans="1:5" ht="12" customHeight="1">
      <c r="A48" s="210" t="s">
        <v>66</v>
      </c>
      <c r="B48" s="6" t="s">
        <v>92</v>
      </c>
      <c r="C48" s="46"/>
      <c r="D48" s="59"/>
      <c r="E48" s="266"/>
    </row>
    <row r="49" spans="1:5" ht="12" customHeight="1">
      <c r="A49" s="210" t="s">
        <v>67</v>
      </c>
      <c r="B49" s="6" t="s">
        <v>125</v>
      </c>
      <c r="C49" s="46"/>
      <c r="D49" s="59"/>
      <c r="E49" s="266"/>
    </row>
    <row r="50" spans="1:5" ht="12" customHeight="1" thickBot="1">
      <c r="A50" s="210" t="s">
        <v>99</v>
      </c>
      <c r="B50" s="6" t="s">
        <v>126</v>
      </c>
      <c r="C50" s="46"/>
      <c r="D50" s="59"/>
      <c r="E50" s="266"/>
    </row>
    <row r="51" spans="1:5" ht="12" customHeight="1" thickBot="1">
      <c r="A51" s="78" t="s">
        <v>7</v>
      </c>
      <c r="B51" s="56" t="s">
        <v>325</v>
      </c>
      <c r="C51" s="119">
        <f>SUM(C52:C54)</f>
        <v>0</v>
      </c>
      <c r="D51" s="260">
        <f>SUM(D52:D54)</f>
        <v>0</v>
      </c>
      <c r="E51" s="147">
        <f>SUM(E52:E54)</f>
        <v>0</v>
      </c>
    </row>
    <row r="52" spans="1:5" s="218" customFormat="1" ht="12" customHeight="1">
      <c r="A52" s="210" t="s">
        <v>70</v>
      </c>
      <c r="B52" s="7" t="s">
        <v>145</v>
      </c>
      <c r="C52" s="270"/>
      <c r="D52" s="58"/>
      <c r="E52" s="268"/>
    </row>
    <row r="53" spans="1:5" ht="12" customHeight="1">
      <c r="A53" s="210" t="s">
        <v>71</v>
      </c>
      <c r="B53" s="6" t="s">
        <v>128</v>
      </c>
      <c r="C53" s="46"/>
      <c r="D53" s="59"/>
      <c r="E53" s="266"/>
    </row>
    <row r="54" spans="1:5" ht="12" customHeight="1">
      <c r="A54" s="210" t="s">
        <v>72</v>
      </c>
      <c r="B54" s="6" t="s">
        <v>42</v>
      </c>
      <c r="C54" s="46"/>
      <c r="D54" s="59"/>
      <c r="E54" s="266"/>
    </row>
    <row r="55" spans="1:5" ht="12" customHeight="1" thickBot="1">
      <c r="A55" s="210" t="s">
        <v>73</v>
      </c>
      <c r="B55" s="6" t="s">
        <v>414</v>
      </c>
      <c r="C55" s="46"/>
      <c r="D55" s="59"/>
      <c r="E55" s="266"/>
    </row>
    <row r="56" spans="1:5" ht="15" customHeight="1" thickBot="1">
      <c r="A56" s="78" t="s">
        <v>8</v>
      </c>
      <c r="B56" s="56" t="s">
        <v>2</v>
      </c>
      <c r="C56" s="320">
        <v>79796020</v>
      </c>
      <c r="D56" s="322">
        <v>84973270</v>
      </c>
      <c r="E56" s="146">
        <v>84973270</v>
      </c>
    </row>
    <row r="57" spans="1:5" ht="13.5" thickBot="1">
      <c r="A57" s="78" t="s">
        <v>9</v>
      </c>
      <c r="B57" s="90" t="s">
        <v>418</v>
      </c>
      <c r="C57" s="321">
        <f>+C45+C51+C56</f>
        <v>79796020</v>
      </c>
      <c r="D57" s="317">
        <f>+D45+D51+D56</f>
        <v>84973270</v>
      </c>
      <c r="E57" s="150">
        <f>+E45+E51+E56</f>
        <v>84973270</v>
      </c>
    </row>
    <row r="58" spans="3:4" ht="15" customHeight="1" thickBot="1">
      <c r="C58" s="656">
        <f>C41-C57</f>
        <v>0</v>
      </c>
      <c r="D58" s="656">
        <f>D41-D57</f>
        <v>0</v>
      </c>
    </row>
    <row r="59" spans="1:5" ht="14.25" customHeight="1" thickBot="1">
      <c r="A59" s="326" t="s">
        <v>498</v>
      </c>
      <c r="B59" s="327"/>
      <c r="C59" s="315">
        <v>0</v>
      </c>
      <c r="D59" s="315">
        <v>0</v>
      </c>
      <c r="E59" s="315">
        <v>0</v>
      </c>
    </row>
    <row r="60" spans="1:5" ht="13.5" thickBot="1">
      <c r="A60" s="328" t="s">
        <v>499</v>
      </c>
      <c r="B60" s="329"/>
      <c r="C60" s="315">
        <v>0</v>
      </c>
      <c r="D60" s="315">
        <v>0</v>
      </c>
      <c r="E60" s="315">
        <v>0</v>
      </c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49">
      <selection activeCell="C60" sqref="C60:E60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83"/>
      <c r="B1" s="819" t="str">
        <f>CONCATENATE("6.4.2. melléklet ",Z_ALAPADATOK!A7," ",Z_ALAPADATOK!B7," ",Z_ALAPADATOK!C7," ",Z_ALAPADATOK!D7," ",Z_ALAPADATOK!E7," ",Z_ALAPADATOK!F7," ",Z_ALAPADATOK!G7," ",Z_ALAPADATOK!H7)</f>
        <v>6.4.2. melléklet a … / 2019. ( … ) önkormányzati rendelethez</v>
      </c>
      <c r="C1" s="820"/>
      <c r="D1" s="820"/>
      <c r="E1" s="820"/>
    </row>
    <row r="2" spans="1:5" s="214" customFormat="1" ht="25.5" customHeight="1" thickBot="1">
      <c r="A2" s="384" t="s">
        <v>465</v>
      </c>
      <c r="B2" s="816" t="str">
        <f>CONCATENATE('Z_6.4.1.sz.mell'!B2:D2)</f>
        <v>Besenyszög-Szászberek Óvodafenntartó Társulás</v>
      </c>
      <c r="C2" s="817"/>
      <c r="D2" s="818"/>
      <c r="E2" s="385" t="s">
        <v>336</v>
      </c>
    </row>
    <row r="3" spans="1:5" s="214" customFormat="1" ht="24.75" thickBot="1">
      <c r="A3" s="384" t="s">
        <v>137</v>
      </c>
      <c r="B3" s="816" t="s">
        <v>910</v>
      </c>
      <c r="C3" s="817"/>
      <c r="D3" s="818"/>
      <c r="E3" s="385" t="s">
        <v>44</v>
      </c>
    </row>
    <row r="4" spans="1:5" s="215" customFormat="1" ht="15.75" customHeight="1" thickBot="1">
      <c r="A4" s="386"/>
      <c r="B4" s="386"/>
      <c r="C4" s="387"/>
      <c r="D4" s="388"/>
      <c r="E4" s="387" t="str">
        <f>'Z_6.4.1.sz.mell'!E4</f>
        <v> Forintban!</v>
      </c>
    </row>
    <row r="5" spans="1:5" ht="24.75" thickBot="1">
      <c r="A5" s="389" t="s">
        <v>138</v>
      </c>
      <c r="B5" s="390" t="s">
        <v>497</v>
      </c>
      <c r="C5" s="390" t="s">
        <v>461</v>
      </c>
      <c r="D5" s="391" t="s">
        <v>462</v>
      </c>
      <c r="E5" s="372" t="str">
        <f>CONCATENATE('Z_6.4.1.sz.mell'!E5)</f>
        <v>Teljesítés
2018. XII. 31.</v>
      </c>
    </row>
    <row r="6" spans="1:5" s="216" customFormat="1" ht="12.75" customHeight="1" thickBot="1">
      <c r="A6" s="422" t="s">
        <v>389</v>
      </c>
      <c r="B6" s="423" t="s">
        <v>390</v>
      </c>
      <c r="C6" s="423" t="s">
        <v>391</v>
      </c>
      <c r="D6" s="424" t="s">
        <v>393</v>
      </c>
      <c r="E6" s="425" t="s">
        <v>392</v>
      </c>
    </row>
    <row r="7" spans="1:5" s="216" customFormat="1" ht="15.75" customHeight="1" thickBot="1">
      <c r="A7" s="810" t="s">
        <v>40</v>
      </c>
      <c r="B7" s="811"/>
      <c r="C7" s="811"/>
      <c r="D7" s="811"/>
      <c r="E7" s="812"/>
    </row>
    <row r="8" spans="1:5" s="152" customFormat="1" ht="12" customHeight="1" thickBot="1">
      <c r="A8" s="74" t="s">
        <v>6</v>
      </c>
      <c r="B8" s="83" t="s">
        <v>410</v>
      </c>
      <c r="C8" s="119">
        <f>SUM(C9:C19)</f>
        <v>1056000</v>
      </c>
      <c r="D8" s="119">
        <f>SUM(D9:D19)</f>
        <v>1826000</v>
      </c>
      <c r="E8" s="121">
        <f>SUM(E9:E19)</f>
        <v>938195</v>
      </c>
    </row>
    <row r="9" spans="1:5" s="152" customFormat="1" ht="12" customHeight="1">
      <c r="A9" s="209" t="s">
        <v>64</v>
      </c>
      <c r="B9" s="8" t="s">
        <v>188</v>
      </c>
      <c r="C9" s="271"/>
      <c r="D9" s="271"/>
      <c r="E9" s="318"/>
    </row>
    <row r="10" spans="1:5" s="152" customFormat="1" ht="12" customHeight="1">
      <c r="A10" s="210" t="s">
        <v>65</v>
      </c>
      <c r="B10" s="6" t="s">
        <v>189</v>
      </c>
      <c r="C10" s="116"/>
      <c r="D10" s="258"/>
      <c r="E10" s="263"/>
    </row>
    <row r="11" spans="1:5" s="152" customFormat="1" ht="12" customHeight="1">
      <c r="A11" s="210" t="s">
        <v>66</v>
      </c>
      <c r="B11" s="6" t="s">
        <v>190</v>
      </c>
      <c r="C11" s="116"/>
      <c r="D11" s="258">
        <v>770000</v>
      </c>
      <c r="E11" s="263"/>
    </row>
    <row r="12" spans="1:5" s="152" customFormat="1" ht="12" customHeight="1">
      <c r="A12" s="210" t="s">
        <v>67</v>
      </c>
      <c r="B12" s="6" t="s">
        <v>191</v>
      </c>
      <c r="C12" s="116"/>
      <c r="D12" s="258"/>
      <c r="E12" s="263"/>
    </row>
    <row r="13" spans="1:5" s="152" customFormat="1" ht="12" customHeight="1">
      <c r="A13" s="210" t="s">
        <v>99</v>
      </c>
      <c r="B13" s="6" t="s">
        <v>192</v>
      </c>
      <c r="C13" s="116">
        <v>831500</v>
      </c>
      <c r="D13" s="116">
        <v>831500</v>
      </c>
      <c r="E13" s="263">
        <v>734851</v>
      </c>
    </row>
    <row r="14" spans="1:5" s="152" customFormat="1" ht="12" customHeight="1">
      <c r="A14" s="210" t="s">
        <v>68</v>
      </c>
      <c r="B14" s="6" t="s">
        <v>308</v>
      </c>
      <c r="C14" s="116">
        <v>224500</v>
      </c>
      <c r="D14" s="116">
        <v>224500</v>
      </c>
      <c r="E14" s="263">
        <v>198449</v>
      </c>
    </row>
    <row r="15" spans="1:5" s="152" customFormat="1" ht="12" customHeight="1">
      <c r="A15" s="210" t="s">
        <v>69</v>
      </c>
      <c r="B15" s="5" t="s">
        <v>309</v>
      </c>
      <c r="C15" s="116"/>
      <c r="D15" s="258"/>
      <c r="E15" s="263"/>
    </row>
    <row r="16" spans="1:5" s="152" customFormat="1" ht="12" customHeight="1">
      <c r="A16" s="210" t="s">
        <v>77</v>
      </c>
      <c r="B16" s="6" t="s">
        <v>195</v>
      </c>
      <c r="C16" s="269"/>
      <c r="D16" s="323"/>
      <c r="E16" s="267">
        <v>18</v>
      </c>
    </row>
    <row r="17" spans="1:5" s="217" customFormat="1" ht="12" customHeight="1">
      <c r="A17" s="210" t="s">
        <v>78</v>
      </c>
      <c r="B17" s="6" t="s">
        <v>196</v>
      </c>
      <c r="C17" s="116"/>
      <c r="D17" s="258"/>
      <c r="E17" s="263"/>
    </row>
    <row r="18" spans="1:5" s="217" customFormat="1" ht="12" customHeight="1">
      <c r="A18" s="210" t="s">
        <v>79</v>
      </c>
      <c r="B18" s="6" t="s">
        <v>341</v>
      </c>
      <c r="C18" s="118"/>
      <c r="D18" s="259"/>
      <c r="E18" s="264"/>
    </row>
    <row r="19" spans="1:5" s="217" customFormat="1" ht="12" customHeight="1" thickBot="1">
      <c r="A19" s="210" t="s">
        <v>80</v>
      </c>
      <c r="B19" s="5" t="s">
        <v>197</v>
      </c>
      <c r="C19" s="118"/>
      <c r="D19" s="259"/>
      <c r="E19" s="264">
        <v>4877</v>
      </c>
    </row>
    <row r="20" spans="1:5" s="152" customFormat="1" ht="12" customHeight="1" thickBot="1">
      <c r="A20" s="74" t="s">
        <v>7</v>
      </c>
      <c r="B20" s="83" t="s">
        <v>310</v>
      </c>
      <c r="C20" s="119">
        <f>SUM(C21:C23)</f>
        <v>3022000</v>
      </c>
      <c r="D20" s="260">
        <f>SUM(D21:D23)</f>
        <v>354260</v>
      </c>
      <c r="E20" s="147">
        <f>SUM(E21:E23)</f>
        <v>1917606</v>
      </c>
    </row>
    <row r="21" spans="1:5" s="217" customFormat="1" ht="12" customHeight="1">
      <c r="A21" s="210" t="s">
        <v>70</v>
      </c>
      <c r="B21" s="7" t="s">
        <v>170</v>
      </c>
      <c r="C21" s="116"/>
      <c r="D21" s="258"/>
      <c r="E21" s="263"/>
    </row>
    <row r="22" spans="1:5" s="217" customFormat="1" ht="12" customHeight="1">
      <c r="A22" s="210" t="s">
        <v>71</v>
      </c>
      <c r="B22" s="6" t="s">
        <v>311</v>
      </c>
      <c r="C22" s="116"/>
      <c r="D22" s="258"/>
      <c r="E22" s="263"/>
    </row>
    <row r="23" spans="1:5" s="217" customFormat="1" ht="12" customHeight="1">
      <c r="A23" s="210" t="s">
        <v>72</v>
      </c>
      <c r="B23" s="6" t="s">
        <v>312</v>
      </c>
      <c r="C23" s="116">
        <v>3022000</v>
      </c>
      <c r="D23" s="258">
        <v>354260</v>
      </c>
      <c r="E23" s="263">
        <v>1917606</v>
      </c>
    </row>
    <row r="24" spans="1:5" s="217" customFormat="1" ht="12" customHeight="1" thickBot="1">
      <c r="A24" s="210" t="s">
        <v>73</v>
      </c>
      <c r="B24" s="6" t="s">
        <v>415</v>
      </c>
      <c r="C24" s="116"/>
      <c r="D24" s="258"/>
      <c r="E24" s="263"/>
    </row>
    <row r="25" spans="1:5" s="217" customFormat="1" ht="12" customHeight="1" thickBot="1">
      <c r="A25" s="78" t="s">
        <v>8</v>
      </c>
      <c r="B25" s="56" t="s">
        <v>115</v>
      </c>
      <c r="C25" s="320"/>
      <c r="D25" s="322"/>
      <c r="E25" s="146"/>
    </row>
    <row r="26" spans="1:5" s="217" customFormat="1" ht="12" customHeight="1" thickBot="1">
      <c r="A26" s="78" t="s">
        <v>9</v>
      </c>
      <c r="B26" s="56" t="s">
        <v>313</v>
      </c>
      <c r="C26" s="119">
        <f>+C27+C28</f>
        <v>0</v>
      </c>
      <c r="D26" s="260">
        <f>+D27+D28</f>
        <v>0</v>
      </c>
      <c r="E26" s="147">
        <f>+E27+E28</f>
        <v>0</v>
      </c>
    </row>
    <row r="27" spans="1:5" s="217" customFormat="1" ht="12" customHeight="1">
      <c r="A27" s="211" t="s">
        <v>179</v>
      </c>
      <c r="B27" s="212" t="s">
        <v>311</v>
      </c>
      <c r="C27" s="270"/>
      <c r="D27" s="58"/>
      <c r="E27" s="268"/>
    </row>
    <row r="28" spans="1:5" s="217" customFormat="1" ht="12" customHeight="1">
      <c r="A28" s="211" t="s">
        <v>180</v>
      </c>
      <c r="B28" s="213" t="s">
        <v>912</v>
      </c>
      <c r="C28" s="120"/>
      <c r="D28" s="261"/>
      <c r="E28" s="265"/>
    </row>
    <row r="29" spans="1:5" s="217" customFormat="1" ht="12" customHeight="1" thickBot="1">
      <c r="A29" s="210" t="s">
        <v>181</v>
      </c>
      <c r="B29" s="61" t="s">
        <v>416</v>
      </c>
      <c r="C29" s="47"/>
      <c r="D29" s="324"/>
      <c r="E29" s="319"/>
    </row>
    <row r="30" spans="1:5" s="217" customFormat="1" ht="12" customHeight="1" thickBot="1">
      <c r="A30" s="78" t="s">
        <v>10</v>
      </c>
      <c r="B30" s="56" t="s">
        <v>315</v>
      </c>
      <c r="C30" s="119">
        <f>+C31+C32+C33</f>
        <v>0</v>
      </c>
      <c r="D30" s="260">
        <f>+D31+D32+D33</f>
        <v>0</v>
      </c>
      <c r="E30" s="147">
        <f>+E31+E32+E33</f>
        <v>0</v>
      </c>
    </row>
    <row r="31" spans="1:5" s="217" customFormat="1" ht="12" customHeight="1">
      <c r="A31" s="211" t="s">
        <v>57</v>
      </c>
      <c r="B31" s="212" t="s">
        <v>202</v>
      </c>
      <c r="C31" s="270"/>
      <c r="D31" s="58"/>
      <c r="E31" s="268"/>
    </row>
    <row r="32" spans="1:5" s="217" customFormat="1" ht="12" customHeight="1">
      <c r="A32" s="211" t="s">
        <v>58</v>
      </c>
      <c r="B32" s="213" t="s">
        <v>203</v>
      </c>
      <c r="C32" s="120"/>
      <c r="D32" s="261"/>
      <c r="E32" s="265"/>
    </row>
    <row r="33" spans="1:5" s="217" customFormat="1" ht="12" customHeight="1" thickBot="1">
      <c r="A33" s="210" t="s">
        <v>59</v>
      </c>
      <c r="B33" s="61" t="s">
        <v>204</v>
      </c>
      <c r="C33" s="47"/>
      <c r="D33" s="324"/>
      <c r="E33" s="319"/>
    </row>
    <row r="34" spans="1:5" s="152" customFormat="1" ht="12" customHeight="1" thickBot="1">
      <c r="A34" s="78" t="s">
        <v>11</v>
      </c>
      <c r="B34" s="56" t="s">
        <v>287</v>
      </c>
      <c r="C34" s="320"/>
      <c r="D34" s="322"/>
      <c r="E34" s="146"/>
    </row>
    <row r="35" spans="1:5" s="152" customFormat="1" ht="12" customHeight="1" thickBot="1">
      <c r="A35" s="78" t="s">
        <v>12</v>
      </c>
      <c r="B35" s="56" t="s">
        <v>316</v>
      </c>
      <c r="C35" s="320"/>
      <c r="D35" s="322"/>
      <c r="E35" s="146"/>
    </row>
    <row r="36" spans="1:5" s="152" customFormat="1" ht="12" customHeight="1" thickBot="1">
      <c r="A36" s="74" t="s">
        <v>13</v>
      </c>
      <c r="B36" s="56" t="s">
        <v>417</v>
      </c>
      <c r="C36" s="119">
        <f>+C8+C20+C25+C26+C30+C34+C35</f>
        <v>4078000</v>
      </c>
      <c r="D36" s="260">
        <f>+D8+D20+D25+D26+D30+D34+D35</f>
        <v>2180260</v>
      </c>
      <c r="E36" s="147">
        <f>+E8+E20+E25+E26+E30+E34+E35</f>
        <v>2855801</v>
      </c>
    </row>
    <row r="37" spans="1:5" s="152" customFormat="1" ht="12" customHeight="1" thickBot="1">
      <c r="A37" s="84" t="s">
        <v>14</v>
      </c>
      <c r="B37" s="56" t="s">
        <v>318</v>
      </c>
      <c r="C37" s="119">
        <f>+C38+C39+C40</f>
        <v>60218020</v>
      </c>
      <c r="D37" s="260">
        <f>+D38+D39+D40</f>
        <v>67084058</v>
      </c>
      <c r="E37" s="147">
        <f>+E38+E39+E40</f>
        <v>67392579</v>
      </c>
    </row>
    <row r="38" spans="1:5" s="152" customFormat="1" ht="12" customHeight="1">
      <c r="A38" s="211" t="s">
        <v>319</v>
      </c>
      <c r="B38" s="212" t="s">
        <v>152</v>
      </c>
      <c r="C38" s="270"/>
      <c r="D38" s="58">
        <v>2168188</v>
      </c>
      <c r="E38" s="58">
        <v>2168188</v>
      </c>
    </row>
    <row r="39" spans="1:5" s="152" customFormat="1" ht="12" customHeight="1">
      <c r="A39" s="211" t="s">
        <v>320</v>
      </c>
      <c r="B39" s="213" t="s">
        <v>0</v>
      </c>
      <c r="C39" s="120"/>
      <c r="D39" s="261"/>
      <c r="E39" s="265"/>
    </row>
    <row r="40" spans="1:5" s="217" customFormat="1" ht="12" customHeight="1" thickBot="1">
      <c r="A40" s="210" t="s">
        <v>321</v>
      </c>
      <c r="B40" s="61" t="s">
        <v>322</v>
      </c>
      <c r="C40" s="47">
        <v>60218020</v>
      </c>
      <c r="D40" s="324">
        <v>64915870</v>
      </c>
      <c r="E40" s="319">
        <v>65224391</v>
      </c>
    </row>
    <row r="41" spans="1:5" s="217" customFormat="1" ht="15" customHeight="1" thickBot="1">
      <c r="A41" s="84" t="s">
        <v>15</v>
      </c>
      <c r="B41" s="85" t="s">
        <v>323</v>
      </c>
      <c r="C41" s="321">
        <f>+C36+C37</f>
        <v>64296020</v>
      </c>
      <c r="D41" s="317">
        <f>+D36+D37</f>
        <v>69264318</v>
      </c>
      <c r="E41" s="150">
        <f>+E36+E37</f>
        <v>70248380</v>
      </c>
    </row>
    <row r="42" spans="1:3" s="217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6" customFormat="1" ht="16.5" customHeight="1" thickBot="1">
      <c r="A44" s="810" t="s">
        <v>41</v>
      </c>
      <c r="B44" s="811"/>
      <c r="C44" s="811"/>
      <c r="D44" s="811"/>
      <c r="E44" s="812"/>
    </row>
    <row r="45" spans="1:5" s="218" customFormat="1" ht="12" customHeight="1" thickBot="1">
      <c r="A45" s="78" t="s">
        <v>6</v>
      </c>
      <c r="B45" s="56" t="s">
        <v>324</v>
      </c>
      <c r="C45" s="119">
        <f>SUM(C46:C50)</f>
        <v>64296020</v>
      </c>
      <c r="D45" s="260">
        <f>SUM(D46:D50)</f>
        <v>67308443</v>
      </c>
      <c r="E45" s="147">
        <f>SUM(E46:E50)</f>
        <v>63940860</v>
      </c>
    </row>
    <row r="46" spans="1:5" ht="12" customHeight="1">
      <c r="A46" s="210" t="s">
        <v>64</v>
      </c>
      <c r="B46" s="7" t="s">
        <v>35</v>
      </c>
      <c r="C46" s="270">
        <v>40200000</v>
      </c>
      <c r="D46" s="58">
        <v>40437600</v>
      </c>
      <c r="E46" s="268">
        <v>39831242</v>
      </c>
    </row>
    <row r="47" spans="1:5" ht="12" customHeight="1">
      <c r="A47" s="210" t="s">
        <v>65</v>
      </c>
      <c r="B47" s="6" t="s">
        <v>124</v>
      </c>
      <c r="C47" s="46">
        <v>8300000</v>
      </c>
      <c r="D47" s="59">
        <v>8300000</v>
      </c>
      <c r="E47" s="266">
        <v>8007036</v>
      </c>
    </row>
    <row r="48" spans="1:5" ht="12" customHeight="1">
      <c r="A48" s="210" t="s">
        <v>66</v>
      </c>
      <c r="B48" s="6" t="s">
        <v>92</v>
      </c>
      <c r="C48" s="46">
        <v>15796020</v>
      </c>
      <c r="D48" s="59">
        <v>18569843</v>
      </c>
      <c r="E48" s="266">
        <v>16101582</v>
      </c>
    </row>
    <row r="49" spans="1:5" ht="12" customHeight="1">
      <c r="A49" s="210" t="s">
        <v>67</v>
      </c>
      <c r="B49" s="6" t="s">
        <v>125</v>
      </c>
      <c r="C49" s="46"/>
      <c r="D49" s="59"/>
      <c r="E49" s="266"/>
    </row>
    <row r="50" spans="1:5" ht="12" customHeight="1" thickBot="1">
      <c r="A50" s="210" t="s">
        <v>99</v>
      </c>
      <c r="B50" s="6" t="s">
        <v>126</v>
      </c>
      <c r="C50" s="46"/>
      <c r="D50" s="59">
        <v>1000</v>
      </c>
      <c r="E50" s="266">
        <v>1000</v>
      </c>
    </row>
    <row r="51" spans="1:5" ht="12" customHeight="1" thickBot="1">
      <c r="A51" s="78" t="s">
        <v>7</v>
      </c>
      <c r="B51" s="56" t="s">
        <v>325</v>
      </c>
      <c r="C51" s="119">
        <f>SUM(C52:C54)</f>
        <v>0</v>
      </c>
      <c r="D51" s="260">
        <f>SUM(D52:D54)</f>
        <v>1955875</v>
      </c>
      <c r="E51" s="147">
        <f>SUM(E52:E54)</f>
        <v>1953275</v>
      </c>
    </row>
    <row r="52" spans="1:5" s="218" customFormat="1" ht="12" customHeight="1">
      <c r="A52" s="210" t="s">
        <v>70</v>
      </c>
      <c r="B52" s="7" t="s">
        <v>145</v>
      </c>
      <c r="C52" s="270"/>
      <c r="D52" s="58">
        <v>1955875</v>
      </c>
      <c r="E52" s="268">
        <v>1953275</v>
      </c>
    </row>
    <row r="53" spans="1:5" ht="12" customHeight="1">
      <c r="A53" s="210" t="s">
        <v>71</v>
      </c>
      <c r="B53" s="6" t="s">
        <v>128</v>
      </c>
      <c r="C53" s="46"/>
      <c r="D53" s="59"/>
      <c r="E53" s="266"/>
    </row>
    <row r="54" spans="1:5" ht="12" customHeight="1">
      <c r="A54" s="210" t="s">
        <v>72</v>
      </c>
      <c r="B54" s="6" t="s">
        <v>42</v>
      </c>
      <c r="C54" s="46"/>
      <c r="D54" s="59"/>
      <c r="E54" s="266"/>
    </row>
    <row r="55" spans="1:5" ht="12" customHeight="1" thickBot="1">
      <c r="A55" s="210" t="s">
        <v>73</v>
      </c>
      <c r="B55" s="6" t="s">
        <v>414</v>
      </c>
      <c r="C55" s="46"/>
      <c r="D55" s="59"/>
      <c r="E55" s="266"/>
    </row>
    <row r="56" spans="1:5" ht="15" customHeight="1" thickBot="1">
      <c r="A56" s="78" t="s">
        <v>8</v>
      </c>
      <c r="B56" s="56" t="s">
        <v>2</v>
      </c>
      <c r="C56" s="320"/>
      <c r="D56" s="322"/>
      <c r="E56" s="146"/>
    </row>
    <row r="57" spans="1:5" ht="13.5" thickBot="1">
      <c r="A57" s="78" t="s">
        <v>9</v>
      </c>
      <c r="B57" s="90" t="s">
        <v>418</v>
      </c>
      <c r="C57" s="321">
        <f>+C45+C51+C56</f>
        <v>64296020</v>
      </c>
      <c r="D57" s="317">
        <f>+D45+D51+D56</f>
        <v>69264318</v>
      </c>
      <c r="E57" s="150">
        <f>+E45+E51+E56</f>
        <v>65894135</v>
      </c>
    </row>
    <row r="58" spans="3:4" ht="15" customHeight="1" thickBot="1">
      <c r="C58" s="656">
        <f>C41-C57</f>
        <v>0</v>
      </c>
      <c r="D58" s="656">
        <f>D41-D57</f>
        <v>0</v>
      </c>
    </row>
    <row r="59" spans="1:5" ht="14.25" customHeight="1" thickBot="1">
      <c r="A59" s="326" t="s">
        <v>498</v>
      </c>
      <c r="B59" s="327"/>
      <c r="C59" s="315">
        <v>13</v>
      </c>
      <c r="D59" s="315">
        <v>13</v>
      </c>
      <c r="E59" s="314">
        <v>13</v>
      </c>
    </row>
    <row r="60" spans="1:5" ht="13.5" thickBot="1">
      <c r="A60" s="328" t="s">
        <v>499</v>
      </c>
      <c r="B60" s="329"/>
      <c r="C60" s="315">
        <v>0</v>
      </c>
      <c r="D60" s="315">
        <v>0</v>
      </c>
      <c r="E60" s="315">
        <v>0</v>
      </c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31">
      <selection activeCell="F43" sqref="F43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83"/>
      <c r="B1" s="819" t="str">
        <f>CONCATENATE("6.4.3. melléklet ",Z_ALAPADATOK!A7," ",Z_ALAPADATOK!B7," ",Z_ALAPADATOK!C7," ",Z_ALAPADATOK!D7," ",Z_ALAPADATOK!E7," ",Z_ALAPADATOK!F7," ",Z_ALAPADATOK!G7," ",Z_ALAPADATOK!H7)</f>
        <v>6.4.3. melléklet a … / 2019. ( … ) önkormányzati rendelethez</v>
      </c>
      <c r="C1" s="820"/>
      <c r="D1" s="820"/>
      <c r="E1" s="820"/>
    </row>
    <row r="2" spans="1:5" s="214" customFormat="1" ht="25.5" customHeight="1" thickBot="1">
      <c r="A2" s="384" t="s">
        <v>465</v>
      </c>
      <c r="B2" s="816" t="str">
        <f>CONCATENATE('Z_6.4.2.sz.mell'!B2:D2)</f>
        <v>Besenyszög-Szászberek Óvodafenntartó Társulás</v>
      </c>
      <c r="C2" s="817"/>
      <c r="D2" s="818"/>
      <c r="E2" s="385" t="s">
        <v>336</v>
      </c>
    </row>
    <row r="3" spans="1:5" s="214" customFormat="1" ht="24.75" thickBot="1">
      <c r="A3" s="384" t="s">
        <v>137</v>
      </c>
      <c r="B3" s="816" t="s">
        <v>911</v>
      </c>
      <c r="C3" s="817"/>
      <c r="D3" s="818"/>
      <c r="E3" s="385" t="s">
        <v>336</v>
      </c>
    </row>
    <row r="4" spans="1:5" s="215" customFormat="1" ht="15.75" customHeight="1" thickBot="1">
      <c r="A4" s="386"/>
      <c r="B4" s="386"/>
      <c r="C4" s="387"/>
      <c r="D4" s="388"/>
      <c r="E4" s="387" t="str">
        <f>'Z_6.4.2.sz.mell'!E4</f>
        <v> Forintban!</v>
      </c>
    </row>
    <row r="5" spans="1:5" ht="24.75" thickBot="1">
      <c r="A5" s="389" t="s">
        <v>138</v>
      </c>
      <c r="B5" s="390" t="s">
        <v>497</v>
      </c>
      <c r="C5" s="390" t="s">
        <v>461</v>
      </c>
      <c r="D5" s="391" t="s">
        <v>462</v>
      </c>
      <c r="E5" s="372" t="str">
        <f>CONCATENATE('Z_6.4.2.sz.mell'!E5)</f>
        <v>Teljesítés
2018. XII. 31.</v>
      </c>
    </row>
    <row r="6" spans="1:5" s="216" customFormat="1" ht="12.75" customHeight="1" thickBot="1">
      <c r="A6" s="422" t="s">
        <v>389</v>
      </c>
      <c r="B6" s="423" t="s">
        <v>390</v>
      </c>
      <c r="C6" s="423" t="s">
        <v>391</v>
      </c>
      <c r="D6" s="424" t="s">
        <v>393</v>
      </c>
      <c r="E6" s="425" t="s">
        <v>392</v>
      </c>
    </row>
    <row r="7" spans="1:5" s="216" customFormat="1" ht="15.75" customHeight="1" thickBot="1">
      <c r="A7" s="810" t="s">
        <v>40</v>
      </c>
      <c r="B7" s="811"/>
      <c r="C7" s="811"/>
      <c r="D7" s="811"/>
      <c r="E7" s="812"/>
    </row>
    <row r="8" spans="1:5" s="152" customFormat="1" ht="12" customHeight="1" thickBot="1">
      <c r="A8" s="74" t="s">
        <v>6</v>
      </c>
      <c r="B8" s="83" t="s">
        <v>410</v>
      </c>
      <c r="C8" s="119">
        <f>SUM(C9:C19)</f>
        <v>508200</v>
      </c>
      <c r="D8" s="119">
        <f>SUM(D9:D19)</f>
        <v>508200</v>
      </c>
      <c r="E8" s="121">
        <f>SUM(E9:E19)</f>
        <v>368730</v>
      </c>
    </row>
    <row r="9" spans="1:5" s="152" customFormat="1" ht="12" customHeight="1">
      <c r="A9" s="209" t="s">
        <v>64</v>
      </c>
      <c r="B9" s="8" t="s">
        <v>188</v>
      </c>
      <c r="C9" s="271"/>
      <c r="D9" s="271"/>
      <c r="E9" s="318"/>
    </row>
    <row r="10" spans="1:5" s="152" customFormat="1" ht="12" customHeight="1">
      <c r="A10" s="210" t="s">
        <v>65</v>
      </c>
      <c r="B10" s="6" t="s">
        <v>189</v>
      </c>
      <c r="C10" s="116"/>
      <c r="D10" s="258"/>
      <c r="E10" s="263"/>
    </row>
    <row r="11" spans="1:5" s="152" customFormat="1" ht="12" customHeight="1">
      <c r="A11" s="210" t="s">
        <v>66</v>
      </c>
      <c r="B11" s="6" t="s">
        <v>190</v>
      </c>
      <c r="C11" s="116"/>
      <c r="D11" s="258"/>
      <c r="E11" s="263"/>
    </row>
    <row r="12" spans="1:5" s="152" customFormat="1" ht="12" customHeight="1">
      <c r="A12" s="210" t="s">
        <v>67</v>
      </c>
      <c r="B12" s="6" t="s">
        <v>191</v>
      </c>
      <c r="C12" s="116"/>
      <c r="D12" s="258"/>
      <c r="E12" s="263"/>
    </row>
    <row r="13" spans="1:5" s="152" customFormat="1" ht="12" customHeight="1">
      <c r="A13" s="210" t="s">
        <v>99</v>
      </c>
      <c r="B13" s="6" t="s">
        <v>192</v>
      </c>
      <c r="C13" s="116">
        <v>400200</v>
      </c>
      <c r="D13" s="116">
        <v>400200</v>
      </c>
      <c r="E13" s="263">
        <v>290339</v>
      </c>
    </row>
    <row r="14" spans="1:5" s="152" customFormat="1" ht="12" customHeight="1">
      <c r="A14" s="210" t="s">
        <v>68</v>
      </c>
      <c r="B14" s="6" t="s">
        <v>308</v>
      </c>
      <c r="C14" s="116">
        <v>108000</v>
      </c>
      <c r="D14" s="116">
        <v>108000</v>
      </c>
      <c r="E14" s="263">
        <v>78391</v>
      </c>
    </row>
    <row r="15" spans="1:5" s="152" customFormat="1" ht="12" customHeight="1">
      <c r="A15" s="210" t="s">
        <v>69</v>
      </c>
      <c r="B15" s="5" t="s">
        <v>309</v>
      </c>
      <c r="C15" s="116"/>
      <c r="D15" s="258"/>
      <c r="E15" s="263"/>
    </row>
    <row r="16" spans="1:5" s="152" customFormat="1" ht="12" customHeight="1">
      <c r="A16" s="210" t="s">
        <v>77</v>
      </c>
      <c r="B16" s="6" t="s">
        <v>195</v>
      </c>
      <c r="C16" s="269"/>
      <c r="D16" s="323"/>
      <c r="E16" s="267"/>
    </row>
    <row r="17" spans="1:5" s="217" customFormat="1" ht="12" customHeight="1">
      <c r="A17" s="210" t="s">
        <v>78</v>
      </c>
      <c r="B17" s="6" t="s">
        <v>196</v>
      </c>
      <c r="C17" s="116"/>
      <c r="D17" s="258"/>
      <c r="E17" s="263"/>
    </row>
    <row r="18" spans="1:5" s="217" customFormat="1" ht="12" customHeight="1">
      <c r="A18" s="210" t="s">
        <v>79</v>
      </c>
      <c r="B18" s="6" t="s">
        <v>341</v>
      </c>
      <c r="C18" s="118"/>
      <c r="D18" s="259"/>
      <c r="E18" s="264"/>
    </row>
    <row r="19" spans="1:5" s="217" customFormat="1" ht="12" customHeight="1" thickBot="1">
      <c r="A19" s="210" t="s">
        <v>80</v>
      </c>
      <c r="B19" s="5" t="s">
        <v>197</v>
      </c>
      <c r="C19" s="118"/>
      <c r="D19" s="259"/>
      <c r="E19" s="264"/>
    </row>
    <row r="20" spans="1:5" s="152" customFormat="1" ht="12" customHeight="1" thickBot="1">
      <c r="A20" s="74" t="s">
        <v>7</v>
      </c>
      <c r="B20" s="83" t="s">
        <v>310</v>
      </c>
      <c r="C20" s="119">
        <f>SUM(C21:C23)</f>
        <v>6859289</v>
      </c>
      <c r="D20" s="260">
        <f>SUM(D21:D23)</f>
        <v>6859289</v>
      </c>
      <c r="E20" s="147">
        <f>SUM(E21:E23)</f>
        <v>3607925</v>
      </c>
    </row>
    <row r="21" spans="1:5" s="217" customFormat="1" ht="12" customHeight="1">
      <c r="A21" s="210" t="s">
        <v>70</v>
      </c>
      <c r="B21" s="7" t="s">
        <v>170</v>
      </c>
      <c r="C21" s="116"/>
      <c r="D21" s="258"/>
      <c r="E21" s="263"/>
    </row>
    <row r="22" spans="1:5" s="217" customFormat="1" ht="12" customHeight="1">
      <c r="A22" s="210" t="s">
        <v>71</v>
      </c>
      <c r="B22" s="6" t="s">
        <v>311</v>
      </c>
      <c r="C22" s="116"/>
      <c r="D22" s="258"/>
      <c r="E22" s="263"/>
    </row>
    <row r="23" spans="1:5" s="217" customFormat="1" ht="12" customHeight="1">
      <c r="A23" s="210" t="s">
        <v>72</v>
      </c>
      <c r="B23" s="6" t="s">
        <v>312</v>
      </c>
      <c r="C23" s="116">
        <v>6859289</v>
      </c>
      <c r="D23" s="116">
        <v>6859289</v>
      </c>
      <c r="E23" s="263">
        <v>3607925</v>
      </c>
    </row>
    <row r="24" spans="1:5" s="217" customFormat="1" ht="12" customHeight="1" thickBot="1">
      <c r="A24" s="210" t="s">
        <v>73</v>
      </c>
      <c r="B24" s="6" t="s">
        <v>415</v>
      </c>
      <c r="C24" s="116"/>
      <c r="D24" s="258"/>
      <c r="E24" s="263"/>
    </row>
    <row r="25" spans="1:5" s="217" customFormat="1" ht="12" customHeight="1" thickBot="1">
      <c r="A25" s="78" t="s">
        <v>8</v>
      </c>
      <c r="B25" s="56" t="s">
        <v>115</v>
      </c>
      <c r="C25" s="320"/>
      <c r="D25" s="322"/>
      <c r="E25" s="146"/>
    </row>
    <row r="26" spans="1:5" s="217" customFormat="1" ht="12" customHeight="1" thickBot="1">
      <c r="A26" s="78" t="s">
        <v>9</v>
      </c>
      <c r="B26" s="56" t="s">
        <v>313</v>
      </c>
      <c r="C26" s="119">
        <f>+C27+C28</f>
        <v>0</v>
      </c>
      <c r="D26" s="260">
        <f>+D27+D28</f>
        <v>0</v>
      </c>
      <c r="E26" s="147">
        <f>+E27+E28</f>
        <v>0</v>
      </c>
    </row>
    <row r="27" spans="1:5" s="217" customFormat="1" ht="12" customHeight="1">
      <c r="A27" s="211" t="s">
        <v>179</v>
      </c>
      <c r="B27" s="212" t="s">
        <v>311</v>
      </c>
      <c r="C27" s="270"/>
      <c r="D27" s="58"/>
      <c r="E27" s="268"/>
    </row>
    <row r="28" spans="1:5" s="217" customFormat="1" ht="12" customHeight="1">
      <c r="A28" s="211" t="s">
        <v>180</v>
      </c>
      <c r="B28" s="213" t="s">
        <v>912</v>
      </c>
      <c r="C28" s="120"/>
      <c r="D28" s="261"/>
      <c r="E28" s="265"/>
    </row>
    <row r="29" spans="1:5" s="217" customFormat="1" ht="12" customHeight="1" thickBot="1">
      <c r="A29" s="210" t="s">
        <v>181</v>
      </c>
      <c r="B29" s="61" t="s">
        <v>416</v>
      </c>
      <c r="C29" s="47"/>
      <c r="D29" s="324"/>
      <c r="E29" s="319"/>
    </row>
    <row r="30" spans="1:5" s="217" customFormat="1" ht="12" customHeight="1" thickBot="1">
      <c r="A30" s="78" t="s">
        <v>10</v>
      </c>
      <c r="B30" s="56" t="s">
        <v>315</v>
      </c>
      <c r="C30" s="119">
        <f>+C31+C32+C33</f>
        <v>0</v>
      </c>
      <c r="D30" s="260">
        <f>+D31+D32+D33</f>
        <v>0</v>
      </c>
      <c r="E30" s="147">
        <f>+E31+E32+E33</f>
        <v>0</v>
      </c>
    </row>
    <row r="31" spans="1:5" s="217" customFormat="1" ht="12" customHeight="1">
      <c r="A31" s="211" t="s">
        <v>57</v>
      </c>
      <c r="B31" s="212" t="s">
        <v>202</v>
      </c>
      <c r="C31" s="270"/>
      <c r="D31" s="58"/>
      <c r="E31" s="268"/>
    </row>
    <row r="32" spans="1:5" s="217" customFormat="1" ht="12" customHeight="1">
      <c r="A32" s="211" t="s">
        <v>58</v>
      </c>
      <c r="B32" s="213" t="s">
        <v>203</v>
      </c>
      <c r="C32" s="120"/>
      <c r="D32" s="261"/>
      <c r="E32" s="265"/>
    </row>
    <row r="33" spans="1:5" s="217" customFormat="1" ht="12" customHeight="1" thickBot="1">
      <c r="A33" s="210" t="s">
        <v>59</v>
      </c>
      <c r="B33" s="61" t="s">
        <v>204</v>
      </c>
      <c r="C33" s="47"/>
      <c r="D33" s="324"/>
      <c r="E33" s="319"/>
    </row>
    <row r="34" spans="1:5" s="152" customFormat="1" ht="12" customHeight="1" thickBot="1">
      <c r="A34" s="78" t="s">
        <v>11</v>
      </c>
      <c r="B34" s="56" t="s">
        <v>287</v>
      </c>
      <c r="C34" s="320"/>
      <c r="D34" s="322"/>
      <c r="E34" s="146"/>
    </row>
    <row r="35" spans="1:5" s="152" customFormat="1" ht="12" customHeight="1" thickBot="1">
      <c r="A35" s="78" t="s">
        <v>12</v>
      </c>
      <c r="B35" s="56" t="s">
        <v>316</v>
      </c>
      <c r="C35" s="320"/>
      <c r="D35" s="322"/>
      <c r="E35" s="146"/>
    </row>
    <row r="36" spans="1:5" s="152" customFormat="1" ht="12" customHeight="1" thickBot="1">
      <c r="A36" s="74" t="s">
        <v>13</v>
      </c>
      <c r="B36" s="56" t="s">
        <v>417</v>
      </c>
      <c r="C36" s="119">
        <f>+C8+C20+C25+C26+C30+C34+C35</f>
        <v>7367489</v>
      </c>
      <c r="D36" s="260">
        <f>+D8+D20+D25+D26+D30+D34+D35</f>
        <v>7367489</v>
      </c>
      <c r="E36" s="147">
        <f>+E8+E20+E25+E26+E30+E34+E35</f>
        <v>3976655</v>
      </c>
    </row>
    <row r="37" spans="1:5" s="152" customFormat="1" ht="12" customHeight="1" thickBot="1">
      <c r="A37" s="84" t="s">
        <v>14</v>
      </c>
      <c r="B37" s="56" t="s">
        <v>318</v>
      </c>
      <c r="C37" s="119">
        <f>+C38+C39+C40</f>
        <v>19578000</v>
      </c>
      <c r="D37" s="260">
        <f>+D38+D39+D40</f>
        <v>20057400</v>
      </c>
      <c r="E37" s="147">
        <f>+E38+E39+E40</f>
        <v>19748879</v>
      </c>
    </row>
    <row r="38" spans="1:5" s="152" customFormat="1" ht="12" customHeight="1">
      <c r="A38" s="211" t="s">
        <v>319</v>
      </c>
      <c r="B38" s="212" t="s">
        <v>152</v>
      </c>
      <c r="C38" s="270"/>
      <c r="D38" s="58"/>
      <c r="E38" s="268"/>
    </row>
    <row r="39" spans="1:5" s="152" customFormat="1" ht="12" customHeight="1">
      <c r="A39" s="211" t="s">
        <v>320</v>
      </c>
      <c r="B39" s="213" t="s">
        <v>0</v>
      </c>
      <c r="C39" s="120"/>
      <c r="D39" s="261"/>
      <c r="E39" s="265"/>
    </row>
    <row r="40" spans="1:5" s="217" customFormat="1" ht="12" customHeight="1" thickBot="1">
      <c r="A40" s="210" t="s">
        <v>321</v>
      </c>
      <c r="B40" s="61" t="s">
        <v>322</v>
      </c>
      <c r="C40" s="47">
        <v>19578000</v>
      </c>
      <c r="D40" s="324">
        <v>20057400</v>
      </c>
      <c r="E40" s="319">
        <v>19748879</v>
      </c>
    </row>
    <row r="41" spans="1:5" s="217" customFormat="1" ht="15" customHeight="1" thickBot="1">
      <c r="A41" s="84" t="s">
        <v>15</v>
      </c>
      <c r="B41" s="85" t="s">
        <v>323</v>
      </c>
      <c r="C41" s="321">
        <f>+C36+C37</f>
        <v>26945489</v>
      </c>
      <c r="D41" s="317">
        <f>+D36+D37</f>
        <v>27424889</v>
      </c>
      <c r="E41" s="150">
        <f>+E36+E37</f>
        <v>23725534</v>
      </c>
    </row>
    <row r="42" spans="1:3" s="217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6" customFormat="1" ht="16.5" customHeight="1" thickBot="1">
      <c r="A44" s="810" t="s">
        <v>41</v>
      </c>
      <c r="B44" s="811"/>
      <c r="C44" s="811"/>
      <c r="D44" s="811"/>
      <c r="E44" s="812"/>
    </row>
    <row r="45" spans="1:5" s="218" customFormat="1" ht="12" customHeight="1" thickBot="1">
      <c r="A45" s="78" t="s">
        <v>6</v>
      </c>
      <c r="B45" s="56" t="s">
        <v>324</v>
      </c>
      <c r="C45" s="119">
        <f>SUM(C46:C50)</f>
        <v>26945489</v>
      </c>
      <c r="D45" s="260">
        <f>SUM(D46:D50)</f>
        <v>27424889</v>
      </c>
      <c r="E45" s="147">
        <f>SUM(E46:E50)</f>
        <v>25467542</v>
      </c>
    </row>
    <row r="46" spans="1:5" ht="12" customHeight="1">
      <c r="A46" s="210" t="s">
        <v>64</v>
      </c>
      <c r="B46" s="7" t="s">
        <v>35</v>
      </c>
      <c r="C46" s="270">
        <v>18211480</v>
      </c>
      <c r="D46" s="58">
        <v>18690880</v>
      </c>
      <c r="E46" s="268">
        <v>17854032</v>
      </c>
    </row>
    <row r="47" spans="1:5" ht="12" customHeight="1">
      <c r="A47" s="210" t="s">
        <v>65</v>
      </c>
      <c r="B47" s="6" t="s">
        <v>124</v>
      </c>
      <c r="C47" s="46">
        <v>3663409</v>
      </c>
      <c r="D47" s="46">
        <v>3663409</v>
      </c>
      <c r="E47" s="266">
        <v>3656181</v>
      </c>
    </row>
    <row r="48" spans="1:5" ht="12" customHeight="1">
      <c r="A48" s="210" t="s">
        <v>66</v>
      </c>
      <c r="B48" s="6" t="s">
        <v>92</v>
      </c>
      <c r="C48" s="46">
        <v>5070600</v>
      </c>
      <c r="D48" s="59">
        <v>5070600</v>
      </c>
      <c r="E48" s="266">
        <v>3957329</v>
      </c>
    </row>
    <row r="49" spans="1:5" ht="12" customHeight="1">
      <c r="A49" s="210" t="s">
        <v>67</v>
      </c>
      <c r="B49" s="6" t="s">
        <v>125</v>
      </c>
      <c r="C49" s="46"/>
      <c r="D49" s="59"/>
      <c r="E49" s="266"/>
    </row>
    <row r="50" spans="1:5" ht="12" customHeight="1" thickBot="1">
      <c r="A50" s="210" t="s">
        <v>99</v>
      </c>
      <c r="B50" s="6" t="s">
        <v>126</v>
      </c>
      <c r="C50" s="46"/>
      <c r="D50" s="59"/>
      <c r="E50" s="266"/>
    </row>
    <row r="51" spans="1:5" ht="12" customHeight="1" thickBot="1">
      <c r="A51" s="78" t="s">
        <v>7</v>
      </c>
      <c r="B51" s="56" t="s">
        <v>325</v>
      </c>
      <c r="C51" s="119">
        <f>SUM(C52:C54)</f>
        <v>0</v>
      </c>
      <c r="D51" s="260">
        <f>SUM(D52:D54)</f>
        <v>0</v>
      </c>
      <c r="E51" s="147">
        <f>SUM(E52:E54)</f>
        <v>2600</v>
      </c>
    </row>
    <row r="52" spans="1:5" s="218" customFormat="1" ht="12" customHeight="1">
      <c r="A52" s="210" t="s">
        <v>70</v>
      </c>
      <c r="B52" s="7" t="s">
        <v>145</v>
      </c>
      <c r="C52" s="270"/>
      <c r="D52" s="58"/>
      <c r="E52" s="268">
        <v>2600</v>
      </c>
    </row>
    <row r="53" spans="1:5" ht="12" customHeight="1">
      <c r="A53" s="210" t="s">
        <v>71</v>
      </c>
      <c r="B53" s="6" t="s">
        <v>128</v>
      </c>
      <c r="C53" s="46"/>
      <c r="D53" s="59"/>
      <c r="E53" s="266"/>
    </row>
    <row r="54" spans="1:5" ht="12" customHeight="1">
      <c r="A54" s="210" t="s">
        <v>72</v>
      </c>
      <c r="B54" s="6" t="s">
        <v>42</v>
      </c>
      <c r="C54" s="46"/>
      <c r="D54" s="59"/>
      <c r="E54" s="266"/>
    </row>
    <row r="55" spans="1:5" ht="12" customHeight="1" thickBot="1">
      <c r="A55" s="210" t="s">
        <v>73</v>
      </c>
      <c r="B55" s="6" t="s">
        <v>414</v>
      </c>
      <c r="C55" s="46"/>
      <c r="D55" s="59"/>
      <c r="E55" s="266"/>
    </row>
    <row r="56" spans="1:5" ht="15" customHeight="1" thickBot="1">
      <c r="A56" s="78" t="s">
        <v>8</v>
      </c>
      <c r="B56" s="56" t="s">
        <v>2</v>
      </c>
      <c r="C56" s="320"/>
      <c r="D56" s="322"/>
      <c r="E56" s="146"/>
    </row>
    <row r="57" spans="1:5" ht="13.5" thickBot="1">
      <c r="A57" s="78" t="s">
        <v>9</v>
      </c>
      <c r="B57" s="90" t="s">
        <v>418</v>
      </c>
      <c r="C57" s="321">
        <f>+C45+C51+C56</f>
        <v>26945489</v>
      </c>
      <c r="D57" s="317">
        <f>+D45+D51+D56</f>
        <v>27424889</v>
      </c>
      <c r="E57" s="150">
        <f>+E45+E51+E56</f>
        <v>25470142</v>
      </c>
    </row>
    <row r="58" spans="3:4" ht="15" customHeight="1" thickBot="1">
      <c r="C58" s="656">
        <f>C41-C57</f>
        <v>0</v>
      </c>
      <c r="D58" s="656">
        <f>D41-D57</f>
        <v>0</v>
      </c>
    </row>
    <row r="59" spans="1:5" ht="14.25" customHeight="1" thickBot="1">
      <c r="A59" s="326" t="s">
        <v>498</v>
      </c>
      <c r="B59" s="327"/>
      <c r="C59" s="315">
        <v>5</v>
      </c>
      <c r="D59" s="315">
        <v>5</v>
      </c>
      <c r="E59" s="315">
        <v>5</v>
      </c>
    </row>
    <row r="60" spans="1:5" ht="13.5" thickBot="1">
      <c r="A60" s="328" t="s">
        <v>499</v>
      </c>
      <c r="B60" s="329"/>
      <c r="C60" s="315">
        <v>0</v>
      </c>
      <c r="D60" s="315">
        <v>0</v>
      </c>
      <c r="E60" s="315">
        <v>0</v>
      </c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tabSelected="1" zoomScale="120" zoomScaleNormal="120" workbookViewId="0" topLeftCell="A1">
      <selection activeCell="A3" sqref="A3:G3"/>
    </sheetView>
  </sheetViews>
  <sheetFormatPr defaultColWidth="9.00390625" defaultRowHeight="12.75"/>
  <cols>
    <col min="1" max="1" width="7.00390625" style="672" customWidth="1"/>
    <col min="2" max="2" width="32.00390625" style="92" customWidth="1"/>
    <col min="3" max="3" width="12.50390625" style="92" customWidth="1"/>
    <col min="4" max="6" width="11.875" style="92" customWidth="1"/>
    <col min="7" max="7" width="12.875" style="92" customWidth="1"/>
    <col min="8" max="16384" width="9.375" style="92" customWidth="1"/>
  </cols>
  <sheetData>
    <row r="1" spans="1:7" ht="18.75" customHeight="1">
      <c r="A1" s="825" t="str">
        <f>CONCATENATE("7. melléklet ",Z_ALAPADATOK!A7," ",Z_ALAPADATOK!B7," ",Z_ALAPADATOK!C7," ",Z_ALAPADATOK!D7," ",Z_ALAPADATOK!E7," ",Z_ALAPADATOK!F7," ",Z_ALAPADATOK!G7," ",Z_ALAPADATOK!H7)</f>
        <v>7. melléklet a … / 2019. ( … ) önkormányzati rendelethez</v>
      </c>
      <c r="B1" s="826"/>
      <c r="C1" s="826"/>
      <c r="D1" s="826"/>
      <c r="E1" s="826"/>
      <c r="F1" s="826"/>
      <c r="G1" s="826"/>
    </row>
    <row r="3" spans="1:7" ht="15.75">
      <c r="A3" s="823" t="s">
        <v>845</v>
      </c>
      <c r="B3" s="824"/>
      <c r="C3" s="824"/>
      <c r="D3" s="824"/>
      <c r="E3" s="824"/>
      <c r="F3" s="824"/>
      <c r="G3" s="824"/>
    </row>
    <row r="5" ht="14.25" thickBot="1">
      <c r="G5" s="673" t="s">
        <v>849</v>
      </c>
    </row>
    <row r="6" spans="1:7" ht="17.25" customHeight="1" thickBot="1">
      <c r="A6" s="827" t="s">
        <v>4</v>
      </c>
      <c r="B6" s="829" t="s">
        <v>837</v>
      </c>
      <c r="C6" s="829" t="s">
        <v>838</v>
      </c>
      <c r="D6" s="829" t="s">
        <v>839</v>
      </c>
      <c r="E6" s="831" t="s">
        <v>840</v>
      </c>
      <c r="F6" s="831"/>
      <c r="G6" s="832"/>
    </row>
    <row r="7" spans="1:7" s="676" customFormat="1" ht="57.75" customHeight="1" thickBot="1">
      <c r="A7" s="828"/>
      <c r="B7" s="830"/>
      <c r="C7" s="830"/>
      <c r="D7" s="830"/>
      <c r="E7" s="674" t="s">
        <v>841</v>
      </c>
      <c r="F7" s="674" t="s">
        <v>842</v>
      </c>
      <c r="G7" s="675" t="s">
        <v>843</v>
      </c>
    </row>
    <row r="8" spans="1:7" s="218" customFormat="1" ht="15" customHeight="1" thickBot="1">
      <c r="A8" s="74" t="s">
        <v>389</v>
      </c>
      <c r="B8" s="75" t="s">
        <v>390</v>
      </c>
      <c r="C8" s="75" t="s">
        <v>391</v>
      </c>
      <c r="D8" s="75" t="s">
        <v>393</v>
      </c>
      <c r="E8" s="75" t="s">
        <v>844</v>
      </c>
      <c r="F8" s="75" t="s">
        <v>394</v>
      </c>
      <c r="G8" s="76" t="s">
        <v>395</v>
      </c>
    </row>
    <row r="9" spans="1:7" ht="15" customHeight="1">
      <c r="A9" s="677" t="s">
        <v>6</v>
      </c>
      <c r="B9" s="678" t="s">
        <v>872</v>
      </c>
      <c r="C9" s="679">
        <v>1132814562</v>
      </c>
      <c r="D9" s="679"/>
      <c r="E9" s="680">
        <f>C9+D9</f>
        <v>1132814562</v>
      </c>
      <c r="F9" s="679">
        <v>69430580</v>
      </c>
      <c r="G9" s="681">
        <v>1063383982</v>
      </c>
    </row>
    <row r="10" spans="1:7" ht="15" customHeight="1">
      <c r="A10" s="682" t="s">
        <v>7</v>
      </c>
      <c r="B10" s="683" t="s">
        <v>913</v>
      </c>
      <c r="C10" s="21">
        <v>2766762</v>
      </c>
      <c r="D10" s="21"/>
      <c r="E10" s="680">
        <f aca="true" t="shared" si="0" ref="E10:E39">C10+D10</f>
        <v>2766762</v>
      </c>
      <c r="F10" s="21">
        <v>2766762</v>
      </c>
      <c r="G10" s="495"/>
    </row>
    <row r="11" spans="1:7" ht="15" customHeight="1">
      <c r="A11" s="682" t="s">
        <v>8</v>
      </c>
      <c r="B11" s="683" t="s">
        <v>914</v>
      </c>
      <c r="C11" s="21">
        <v>126972</v>
      </c>
      <c r="D11" s="21"/>
      <c r="E11" s="680">
        <f t="shared" si="0"/>
        <v>126972</v>
      </c>
      <c r="F11" s="21">
        <v>126972</v>
      </c>
      <c r="G11" s="495"/>
    </row>
    <row r="12" spans="1:7" ht="15" customHeight="1">
      <c r="A12" s="682" t="s">
        <v>9</v>
      </c>
      <c r="B12" s="683"/>
      <c r="C12" s="21"/>
      <c r="D12" s="21"/>
      <c r="E12" s="680">
        <f t="shared" si="0"/>
        <v>0</v>
      </c>
      <c r="F12" s="21"/>
      <c r="G12" s="495"/>
    </row>
    <row r="13" spans="1:7" ht="15" customHeight="1">
      <c r="A13" s="682" t="s">
        <v>10</v>
      </c>
      <c r="B13" s="683"/>
      <c r="C13" s="21"/>
      <c r="D13" s="21"/>
      <c r="E13" s="680">
        <f t="shared" si="0"/>
        <v>0</v>
      </c>
      <c r="F13" s="21"/>
      <c r="G13" s="495"/>
    </row>
    <row r="14" spans="1:7" ht="15" customHeight="1">
      <c r="A14" s="682" t="s">
        <v>11</v>
      </c>
      <c r="B14" s="683"/>
      <c r="C14" s="21"/>
      <c r="D14" s="21"/>
      <c r="E14" s="680">
        <f t="shared" si="0"/>
        <v>0</v>
      </c>
      <c r="F14" s="21"/>
      <c r="G14" s="495"/>
    </row>
    <row r="15" spans="1:7" ht="15" customHeight="1">
      <c r="A15" s="682" t="s">
        <v>12</v>
      </c>
      <c r="B15" s="683"/>
      <c r="C15" s="21"/>
      <c r="D15" s="21"/>
      <c r="E15" s="680">
        <f t="shared" si="0"/>
        <v>0</v>
      </c>
      <c r="F15" s="21"/>
      <c r="G15" s="495"/>
    </row>
    <row r="16" spans="1:7" ht="15" customHeight="1">
      <c r="A16" s="682" t="s">
        <v>13</v>
      </c>
      <c r="B16" s="683"/>
      <c r="C16" s="21"/>
      <c r="D16" s="21"/>
      <c r="E16" s="680">
        <f t="shared" si="0"/>
        <v>0</v>
      </c>
      <c r="F16" s="21"/>
      <c r="G16" s="495"/>
    </row>
    <row r="17" spans="1:7" ht="15" customHeight="1">
      <c r="A17" s="682" t="s">
        <v>14</v>
      </c>
      <c r="B17" s="683"/>
      <c r="C17" s="21"/>
      <c r="D17" s="21"/>
      <c r="E17" s="680">
        <f t="shared" si="0"/>
        <v>0</v>
      </c>
      <c r="F17" s="21"/>
      <c r="G17" s="495"/>
    </row>
    <row r="18" spans="1:7" ht="15" customHeight="1">
      <c r="A18" s="682" t="s">
        <v>15</v>
      </c>
      <c r="B18" s="683"/>
      <c r="C18" s="21"/>
      <c r="D18" s="21"/>
      <c r="E18" s="680">
        <f t="shared" si="0"/>
        <v>0</v>
      </c>
      <c r="F18" s="21"/>
      <c r="G18" s="495"/>
    </row>
    <row r="19" spans="1:7" ht="15" customHeight="1">
      <c r="A19" s="682" t="s">
        <v>16</v>
      </c>
      <c r="B19" s="683"/>
      <c r="C19" s="21"/>
      <c r="D19" s="21"/>
      <c r="E19" s="680">
        <f t="shared" si="0"/>
        <v>0</v>
      </c>
      <c r="F19" s="21"/>
      <c r="G19" s="495"/>
    </row>
    <row r="20" spans="1:7" ht="15" customHeight="1">
      <c r="A20" s="682" t="s">
        <v>17</v>
      </c>
      <c r="B20" s="683"/>
      <c r="C20" s="21"/>
      <c r="D20" s="21"/>
      <c r="E20" s="680">
        <f t="shared" si="0"/>
        <v>0</v>
      </c>
      <c r="F20" s="21"/>
      <c r="G20" s="495"/>
    </row>
    <row r="21" spans="1:7" ht="15" customHeight="1">
      <c r="A21" s="682" t="s">
        <v>18</v>
      </c>
      <c r="B21" s="683"/>
      <c r="C21" s="21"/>
      <c r="D21" s="21"/>
      <c r="E21" s="680">
        <f t="shared" si="0"/>
        <v>0</v>
      </c>
      <c r="F21" s="21"/>
      <c r="G21" s="495"/>
    </row>
    <row r="22" spans="1:7" ht="15" customHeight="1">
      <c r="A22" s="682" t="s">
        <v>19</v>
      </c>
      <c r="B22" s="683"/>
      <c r="C22" s="21"/>
      <c r="D22" s="21"/>
      <c r="E22" s="680">
        <f t="shared" si="0"/>
        <v>0</v>
      </c>
      <c r="F22" s="21"/>
      <c r="G22" s="495"/>
    </row>
    <row r="23" spans="1:7" ht="15" customHeight="1">
      <c r="A23" s="682" t="s">
        <v>20</v>
      </c>
      <c r="B23" s="683"/>
      <c r="C23" s="21"/>
      <c r="D23" s="21"/>
      <c r="E23" s="680">
        <f t="shared" si="0"/>
        <v>0</v>
      </c>
      <c r="F23" s="21"/>
      <c r="G23" s="495"/>
    </row>
    <row r="24" spans="1:7" ht="15" customHeight="1">
      <c r="A24" s="682" t="s">
        <v>21</v>
      </c>
      <c r="B24" s="683"/>
      <c r="C24" s="21"/>
      <c r="D24" s="21"/>
      <c r="E24" s="680">
        <f t="shared" si="0"/>
        <v>0</v>
      </c>
      <c r="F24" s="21"/>
      <c r="G24" s="495"/>
    </row>
    <row r="25" spans="1:7" ht="15" customHeight="1">
      <c r="A25" s="682" t="s">
        <v>22</v>
      </c>
      <c r="B25" s="683"/>
      <c r="C25" s="21"/>
      <c r="D25" s="21"/>
      <c r="E25" s="680">
        <f t="shared" si="0"/>
        <v>0</v>
      </c>
      <c r="F25" s="21"/>
      <c r="G25" s="495"/>
    </row>
    <row r="26" spans="1:7" ht="15" customHeight="1">
      <c r="A26" s="682" t="s">
        <v>23</v>
      </c>
      <c r="B26" s="683"/>
      <c r="C26" s="21"/>
      <c r="D26" s="21"/>
      <c r="E26" s="680">
        <f t="shared" si="0"/>
        <v>0</v>
      </c>
      <c r="F26" s="21"/>
      <c r="G26" s="495"/>
    </row>
    <row r="27" spans="1:7" ht="15" customHeight="1">
      <c r="A27" s="682" t="s">
        <v>24</v>
      </c>
      <c r="B27" s="683"/>
      <c r="C27" s="21"/>
      <c r="D27" s="21"/>
      <c r="E27" s="680">
        <f t="shared" si="0"/>
        <v>0</v>
      </c>
      <c r="F27" s="21"/>
      <c r="G27" s="495"/>
    </row>
    <row r="28" spans="1:7" ht="15" customHeight="1">
      <c r="A28" s="682" t="s">
        <v>25</v>
      </c>
      <c r="B28" s="683"/>
      <c r="C28" s="21"/>
      <c r="D28" s="21"/>
      <c r="E28" s="680">
        <f t="shared" si="0"/>
        <v>0</v>
      </c>
      <c r="F28" s="21"/>
      <c r="G28" s="495"/>
    </row>
    <row r="29" spans="1:7" ht="15" customHeight="1">
      <c r="A29" s="682" t="s">
        <v>26</v>
      </c>
      <c r="B29" s="683"/>
      <c r="C29" s="21"/>
      <c r="D29" s="21"/>
      <c r="E29" s="680">
        <f t="shared" si="0"/>
        <v>0</v>
      </c>
      <c r="F29" s="21"/>
      <c r="G29" s="495"/>
    </row>
    <row r="30" spans="1:7" ht="15" customHeight="1">
      <c r="A30" s="682" t="s">
        <v>27</v>
      </c>
      <c r="B30" s="683"/>
      <c r="C30" s="21"/>
      <c r="D30" s="21"/>
      <c r="E30" s="680">
        <f t="shared" si="0"/>
        <v>0</v>
      </c>
      <c r="F30" s="21"/>
      <c r="G30" s="495"/>
    </row>
    <row r="31" spans="1:7" ht="15" customHeight="1">
      <c r="A31" s="682" t="s">
        <v>28</v>
      </c>
      <c r="B31" s="683"/>
      <c r="C31" s="21"/>
      <c r="D31" s="21"/>
      <c r="E31" s="680">
        <f t="shared" si="0"/>
        <v>0</v>
      </c>
      <c r="F31" s="21"/>
      <c r="G31" s="495"/>
    </row>
    <row r="32" spans="1:7" ht="15" customHeight="1">
      <c r="A32" s="682" t="s">
        <v>29</v>
      </c>
      <c r="B32" s="683"/>
      <c r="C32" s="21"/>
      <c r="D32" s="21"/>
      <c r="E32" s="680">
        <f t="shared" si="0"/>
        <v>0</v>
      </c>
      <c r="F32" s="21"/>
      <c r="G32" s="495"/>
    </row>
    <row r="33" spans="1:7" ht="15" customHeight="1">
      <c r="A33" s="682" t="s">
        <v>30</v>
      </c>
      <c r="B33" s="683"/>
      <c r="C33" s="21"/>
      <c r="D33" s="21"/>
      <c r="E33" s="680">
        <f t="shared" si="0"/>
        <v>0</v>
      </c>
      <c r="F33" s="21"/>
      <c r="G33" s="495"/>
    </row>
    <row r="34" spans="1:7" ht="15" customHeight="1">
      <c r="A34" s="682" t="s">
        <v>31</v>
      </c>
      <c r="B34" s="683"/>
      <c r="C34" s="21"/>
      <c r="D34" s="21"/>
      <c r="E34" s="680"/>
      <c r="F34" s="21"/>
      <c r="G34" s="495"/>
    </row>
    <row r="35" spans="1:7" ht="15" customHeight="1">
      <c r="A35" s="682" t="s">
        <v>32</v>
      </c>
      <c r="B35" s="683"/>
      <c r="C35" s="21"/>
      <c r="D35" s="21"/>
      <c r="E35" s="680">
        <f t="shared" si="0"/>
        <v>0</v>
      </c>
      <c r="F35" s="21"/>
      <c r="G35" s="495"/>
    </row>
    <row r="36" spans="1:7" ht="15" customHeight="1">
      <c r="A36" s="682" t="s">
        <v>33</v>
      </c>
      <c r="B36" s="683"/>
      <c r="C36" s="21"/>
      <c r="D36" s="21"/>
      <c r="E36" s="680">
        <f t="shared" si="0"/>
        <v>0</v>
      </c>
      <c r="F36" s="21"/>
      <c r="G36" s="495"/>
    </row>
    <row r="37" spans="1:7" ht="15" customHeight="1">
      <c r="A37" s="682" t="s">
        <v>623</v>
      </c>
      <c r="B37" s="683"/>
      <c r="C37" s="21"/>
      <c r="D37" s="21"/>
      <c r="E37" s="680">
        <f t="shared" si="0"/>
        <v>0</v>
      </c>
      <c r="F37" s="21"/>
      <c r="G37" s="495"/>
    </row>
    <row r="38" spans="1:7" ht="15" customHeight="1">
      <c r="A38" s="682" t="s">
        <v>624</v>
      </c>
      <c r="B38" s="683"/>
      <c r="C38" s="21"/>
      <c r="D38" s="21"/>
      <c r="E38" s="680">
        <f t="shared" si="0"/>
        <v>0</v>
      </c>
      <c r="F38" s="21"/>
      <c r="G38" s="495"/>
    </row>
    <row r="39" spans="1:7" ht="15" customHeight="1" thickBot="1">
      <c r="A39" s="682" t="s">
        <v>625</v>
      </c>
      <c r="B39" s="684"/>
      <c r="C39" s="22"/>
      <c r="D39" s="22"/>
      <c r="E39" s="680">
        <f t="shared" si="0"/>
        <v>0</v>
      </c>
      <c r="F39" s="22"/>
      <c r="G39" s="685"/>
    </row>
    <row r="40" spans="1:7" ht="15" customHeight="1" thickBot="1">
      <c r="A40" s="821" t="s">
        <v>38</v>
      </c>
      <c r="B40" s="822"/>
      <c r="C40" s="35">
        <f>SUM(C9:C39)</f>
        <v>1135708296</v>
      </c>
      <c r="D40" s="35">
        <f>SUM(D9:D39)</f>
        <v>0</v>
      </c>
      <c r="E40" s="35">
        <f>SUM(E9:E39)</f>
        <v>1135708296</v>
      </c>
      <c r="F40" s="35">
        <f>SUM(F9:F39)</f>
        <v>72324314</v>
      </c>
      <c r="G40" s="36">
        <f>SUM(G9:G39)</f>
        <v>1063383982</v>
      </c>
    </row>
  </sheetData>
  <sheetProtection sheet="1"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6"/>
  <sheetViews>
    <sheetView view="pageLayout" zoomScale="120" zoomScaleNormal="120" zoomScalePageLayoutView="120" workbookViewId="0" topLeftCell="A1">
      <selection activeCell="B1" sqref="B1:E1"/>
    </sheetView>
  </sheetViews>
  <sheetFormatPr defaultColWidth="9.00390625" defaultRowHeight="12.75"/>
  <cols>
    <col min="1" max="1" width="13.875" style="31" customWidth="1"/>
    <col min="2" max="2" width="88.625" style="31" customWidth="1"/>
    <col min="3" max="5" width="15.875" style="31" customWidth="1"/>
    <col min="6" max="6" width="4.875" style="671" customWidth="1"/>
    <col min="7" max="16384" width="9.375" style="31" customWidth="1"/>
  </cols>
  <sheetData>
    <row r="1" spans="2:6" ht="47.25" customHeight="1">
      <c r="B1" s="833" t="s">
        <v>851</v>
      </c>
      <c r="C1" s="833"/>
      <c r="D1" s="833"/>
      <c r="E1" s="833"/>
      <c r="F1" s="834" t="str">
        <f>CONCATENATE("8. melléklet ",Z_ALAPADATOK!A7," ",Z_ALAPADATOK!B7," ",Z_ALAPADATOK!C7," ",Z_ALAPADATOK!D7," ",Z_ALAPADATOK!E7," ",Z_ALAPADATOK!F7," ",Z_ALAPADATOK!G7," ",Z_ALAPADATOK!H7)</f>
        <v>8. melléklet a … / 2019. ( … ) önkormányzati rendelethez</v>
      </c>
    </row>
    <row r="2" spans="2:6" ht="22.5" customHeight="1" thickBot="1">
      <c r="B2" s="835"/>
      <c r="C2" s="835"/>
      <c r="D2" s="835"/>
      <c r="E2" s="660" t="s">
        <v>833</v>
      </c>
      <c r="F2" s="834"/>
    </row>
    <row r="3" spans="1:6" s="32" customFormat="1" ht="54" customHeight="1" thickBot="1">
      <c r="A3" s="661" t="s">
        <v>850</v>
      </c>
      <c r="B3" s="662" t="s">
        <v>834</v>
      </c>
      <c r="C3" s="663" t="str">
        <f>+CONCATENATE(Z_ALAPADATOK!B1,". évi tervezett támogatás összesen")</f>
        <v>2018. évi tervezett támogatás összesen</v>
      </c>
      <c r="D3" s="663" t="s">
        <v>835</v>
      </c>
      <c r="E3" s="664" t="s">
        <v>836</v>
      </c>
      <c r="F3" s="834"/>
    </row>
    <row r="4" spans="1:6" s="669" customFormat="1" ht="13.5" thickBot="1">
      <c r="A4" s="665" t="s">
        <v>389</v>
      </c>
      <c r="B4" s="666" t="s">
        <v>390</v>
      </c>
      <c r="C4" s="667" t="s">
        <v>391</v>
      </c>
      <c r="D4" s="667" t="s">
        <v>393</v>
      </c>
      <c r="E4" s="668" t="s">
        <v>392</v>
      </c>
      <c r="F4" s="834"/>
    </row>
    <row r="5" spans="1:6" ht="15.75">
      <c r="A5" s="717" t="s">
        <v>918</v>
      </c>
      <c r="B5" s="718" t="s">
        <v>919</v>
      </c>
      <c r="C5" s="719">
        <v>113863910</v>
      </c>
      <c r="D5" s="719">
        <v>113863910</v>
      </c>
      <c r="E5" s="719">
        <v>113863910</v>
      </c>
      <c r="F5" s="834"/>
    </row>
    <row r="6" spans="1:6" ht="12.75" customHeight="1">
      <c r="A6" s="717" t="s">
        <v>915</v>
      </c>
      <c r="B6" s="718" t="s">
        <v>916</v>
      </c>
      <c r="C6" s="719"/>
      <c r="D6" s="719">
        <v>168482</v>
      </c>
      <c r="E6" s="719">
        <v>168482</v>
      </c>
      <c r="F6" s="834"/>
    </row>
    <row r="7" spans="1:6" ht="15.75">
      <c r="A7" s="717" t="s">
        <v>917</v>
      </c>
      <c r="B7" s="718" t="s">
        <v>921</v>
      </c>
      <c r="C7" s="719">
        <v>1041000</v>
      </c>
      <c r="D7" s="719">
        <v>1041000</v>
      </c>
      <c r="E7" s="719">
        <v>1041000</v>
      </c>
      <c r="F7" s="834"/>
    </row>
    <row r="8" spans="1:6" ht="15.75">
      <c r="A8" s="717" t="s">
        <v>920</v>
      </c>
      <c r="B8" s="720" t="s">
        <v>922</v>
      </c>
      <c r="C8" s="719">
        <v>73083700</v>
      </c>
      <c r="D8" s="719">
        <v>73095866</v>
      </c>
      <c r="E8" s="719">
        <v>73095866</v>
      </c>
      <c r="F8" s="834"/>
    </row>
    <row r="9" spans="1:6" ht="15.75">
      <c r="A9" s="717" t="s">
        <v>923</v>
      </c>
      <c r="B9" s="720" t="s">
        <v>924</v>
      </c>
      <c r="C9" s="719">
        <v>25534000</v>
      </c>
      <c r="D9" s="719">
        <v>25534000</v>
      </c>
      <c r="E9" s="719">
        <v>25534000</v>
      </c>
      <c r="F9" s="834"/>
    </row>
    <row r="10" spans="1:6" ht="15.75">
      <c r="A10" s="717" t="s">
        <v>925</v>
      </c>
      <c r="B10" s="720" t="s">
        <v>927</v>
      </c>
      <c r="C10" s="719">
        <v>19923578</v>
      </c>
      <c r="D10" s="719">
        <v>19929660</v>
      </c>
      <c r="E10" s="719">
        <v>19929660</v>
      </c>
      <c r="F10" s="834"/>
    </row>
    <row r="11" spans="1:6" ht="15.75">
      <c r="A11" s="717" t="s">
        <v>926</v>
      </c>
      <c r="B11" s="720" t="s">
        <v>928</v>
      </c>
      <c r="C11" s="719">
        <v>2403120</v>
      </c>
      <c r="D11" s="719">
        <v>1357170</v>
      </c>
      <c r="E11" s="719">
        <v>1357170</v>
      </c>
      <c r="F11" s="834"/>
    </row>
    <row r="12" spans="1:6" ht="31.5">
      <c r="A12" s="717" t="s">
        <v>930</v>
      </c>
      <c r="B12" s="720" t="s">
        <v>929</v>
      </c>
      <c r="C12" s="719">
        <v>4087380</v>
      </c>
      <c r="D12" s="719">
        <v>4087380</v>
      </c>
      <c r="E12" s="719">
        <v>4087380</v>
      </c>
      <c r="F12" s="834"/>
    </row>
    <row r="13" spans="1:6" ht="12.75" customHeight="1">
      <c r="A13" s="717" t="s">
        <v>931</v>
      </c>
      <c r="B13" s="720" t="s">
        <v>932</v>
      </c>
      <c r="C13" s="719"/>
      <c r="D13" s="719">
        <v>253418</v>
      </c>
      <c r="E13" s="719">
        <v>253418</v>
      </c>
      <c r="F13" s="834"/>
    </row>
    <row r="14" spans="1:6" ht="15.75">
      <c r="A14" s="717" t="s">
        <v>933</v>
      </c>
      <c r="B14" s="720" t="s">
        <v>934</v>
      </c>
      <c r="C14" s="719"/>
      <c r="D14" s="719">
        <v>822522</v>
      </c>
      <c r="E14" s="719">
        <v>822522</v>
      </c>
      <c r="F14" s="834"/>
    </row>
    <row r="15" spans="1:6" ht="15.75">
      <c r="A15" s="717"/>
      <c r="B15" s="720"/>
      <c r="C15" s="719"/>
      <c r="D15" s="719"/>
      <c r="E15" s="721"/>
      <c r="F15" s="834"/>
    </row>
    <row r="16" spans="1:6" ht="15.75">
      <c r="A16" s="717"/>
      <c r="B16" s="720"/>
      <c r="C16" s="719"/>
      <c r="D16" s="719"/>
      <c r="E16" s="721"/>
      <c r="F16" s="834"/>
    </row>
    <row r="17" spans="1:6" ht="15.75">
      <c r="A17" s="717"/>
      <c r="B17" s="720"/>
      <c r="C17" s="719"/>
      <c r="D17" s="719"/>
      <c r="E17" s="721"/>
      <c r="F17" s="834"/>
    </row>
    <row r="18" spans="1:6" ht="15.75">
      <c r="A18" s="717"/>
      <c r="B18" s="720"/>
      <c r="C18" s="719"/>
      <c r="D18" s="719"/>
      <c r="E18" s="721"/>
      <c r="F18" s="834"/>
    </row>
    <row r="19" spans="1:6" ht="15.75">
      <c r="A19" s="717"/>
      <c r="B19" s="720"/>
      <c r="C19" s="719"/>
      <c r="D19" s="719"/>
      <c r="E19" s="721"/>
      <c r="F19" s="834"/>
    </row>
    <row r="20" spans="1:6" ht="15.75">
      <c r="A20" s="717"/>
      <c r="B20" s="720"/>
      <c r="C20" s="719"/>
      <c r="D20" s="719"/>
      <c r="E20" s="721"/>
      <c r="F20" s="834"/>
    </row>
    <row r="21" spans="1:6" ht="15.75">
      <c r="A21" s="717"/>
      <c r="B21" s="720"/>
      <c r="C21" s="719"/>
      <c r="D21" s="719"/>
      <c r="E21" s="721"/>
      <c r="F21" s="834"/>
    </row>
    <row r="22" spans="1:6" ht="15.75">
      <c r="A22" s="717"/>
      <c r="B22" s="720"/>
      <c r="C22" s="719"/>
      <c r="D22" s="719"/>
      <c r="E22" s="721"/>
      <c r="F22" s="834"/>
    </row>
    <row r="23" spans="1:6" ht="15.75">
      <c r="A23" s="717"/>
      <c r="B23" s="720"/>
      <c r="C23" s="719"/>
      <c r="D23" s="719"/>
      <c r="E23" s="721"/>
      <c r="F23" s="834"/>
    </row>
    <row r="24" spans="1:6" ht="16.5" thickBot="1">
      <c r="A24" s="722"/>
      <c r="B24" s="723"/>
      <c r="C24" s="724"/>
      <c r="D24" s="724"/>
      <c r="E24" s="721"/>
      <c r="F24" s="834"/>
    </row>
    <row r="25" spans="1:6" s="670" customFormat="1" ht="19.5" customHeight="1" thickBot="1">
      <c r="A25" s="725"/>
      <c r="B25" s="726" t="s">
        <v>38</v>
      </c>
      <c r="C25" s="727">
        <f>SUM(C5:C24)</f>
        <v>239936688</v>
      </c>
      <c r="D25" s="727">
        <f>SUM(D5:D24)</f>
        <v>240153408</v>
      </c>
      <c r="E25" s="728">
        <f>SUM(E5:E24)</f>
        <v>240153408</v>
      </c>
      <c r="F25" s="834"/>
    </row>
    <row r="26" spans="1:2" ht="12.75">
      <c r="A26" s="836" t="s">
        <v>852</v>
      </c>
      <c r="B26" s="836"/>
    </row>
  </sheetData>
  <sheetProtection/>
  <mergeCells count="4">
    <mergeCell ref="B1:E1"/>
    <mergeCell ref="F1:F25"/>
    <mergeCell ref="B2:D2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D31" sqref="D31:E31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76"/>
      <c r="B1" s="756" t="str">
        <f>CONCATENATE("1.1. melléklet ",Z_ALAPADATOK!A7," ",Z_ALAPADATOK!B7," ",Z_ALAPADATOK!C7," ",Z_ALAPADATOK!D7," ",Z_ALAPADATOK!E7," ",Z_ALAPADATOK!F7," ",Z_ALAPADATOK!G7," ",Z_ALAPADATOK!H7)</f>
        <v>1.1. melléklet a … / 2019. ( … ) önkormányzati rendelethez</v>
      </c>
      <c r="C1" s="757"/>
      <c r="D1" s="757"/>
      <c r="E1" s="757"/>
    </row>
    <row r="2" spans="1:5" ht="15.75">
      <c r="A2" s="758" t="str">
        <f>CONCATENATE(Z_ALAPADATOK!A3)</f>
        <v>Besenyszög Város Önkormányzata</v>
      </c>
      <c r="B2" s="759"/>
      <c r="C2" s="759"/>
      <c r="D2" s="759"/>
      <c r="E2" s="759"/>
    </row>
    <row r="3" spans="1:5" ht="15.75">
      <c r="A3" s="758" t="s">
        <v>831</v>
      </c>
      <c r="B3" s="758"/>
      <c r="C3" s="760"/>
      <c r="D3" s="758"/>
      <c r="E3" s="758"/>
    </row>
    <row r="4" spans="1:5" ht="12" customHeight="1">
      <c r="A4" s="758"/>
      <c r="B4" s="758"/>
      <c r="C4" s="760"/>
      <c r="D4" s="758"/>
      <c r="E4" s="758"/>
    </row>
    <row r="5" spans="1:5" ht="15.75">
      <c r="A5" s="376"/>
      <c r="B5" s="376"/>
      <c r="C5" s="377"/>
      <c r="D5" s="378"/>
      <c r="E5" s="378"/>
    </row>
    <row r="6" spans="1:5" ht="15.75" customHeight="1">
      <c r="A6" s="770" t="s">
        <v>3</v>
      </c>
      <c r="B6" s="770"/>
      <c r="C6" s="770"/>
      <c r="D6" s="770"/>
      <c r="E6" s="770"/>
    </row>
    <row r="7" spans="1:5" ht="15.75" customHeight="1" thickBot="1">
      <c r="A7" s="772" t="s">
        <v>102</v>
      </c>
      <c r="B7" s="772"/>
      <c r="C7" s="379"/>
      <c r="D7" s="378"/>
      <c r="E7" s="379" t="s">
        <v>500</v>
      </c>
    </row>
    <row r="8" spans="1:5" ht="15.75">
      <c r="A8" s="762" t="s">
        <v>52</v>
      </c>
      <c r="B8" s="764" t="s">
        <v>5</v>
      </c>
      <c r="C8" s="766" t="str">
        <f>+CONCATENATE(LEFT(Z_ÖSSZEFÜGGÉSEK!A6,4),". évi")</f>
        <v>2018. évi</v>
      </c>
      <c r="D8" s="767"/>
      <c r="E8" s="768"/>
    </row>
    <row r="9" spans="1:5" ht="24.75" thickBot="1">
      <c r="A9" s="763"/>
      <c r="B9" s="765"/>
      <c r="C9" s="246" t="s">
        <v>422</v>
      </c>
      <c r="D9" s="245" t="s">
        <v>423</v>
      </c>
      <c r="E9" s="365" t="str">
        <f>+CONCATENATE(LEFT(Z_ÖSSZEFÜGGÉSEK!A6,4),". XII. 31.",CHAR(10),"teljesítés")</f>
        <v>2018. XII. 31.
teljesítés</v>
      </c>
    </row>
    <row r="10" spans="1:5" s="177" customFormat="1" ht="12" customHeight="1" thickBot="1">
      <c r="A10" s="173" t="s">
        <v>389</v>
      </c>
      <c r="B10" s="174" t="s">
        <v>390</v>
      </c>
      <c r="C10" s="174" t="s">
        <v>391</v>
      </c>
      <c r="D10" s="174" t="s">
        <v>393</v>
      </c>
      <c r="E10" s="247" t="s">
        <v>392</v>
      </c>
    </row>
    <row r="11" spans="1:5" s="178" customFormat="1" ht="12" customHeight="1" thickBot="1">
      <c r="A11" s="18" t="s">
        <v>6</v>
      </c>
      <c r="B11" s="19" t="s">
        <v>164</v>
      </c>
      <c r="C11" s="166">
        <f>+C12+C13+C14+C15+C16+C17</f>
        <v>239936688</v>
      </c>
      <c r="D11" s="166">
        <f>+D12+D13+D14+D15+D16+D17</f>
        <v>256157810</v>
      </c>
      <c r="E11" s="102">
        <f>+E12+E13+E14+E15+E16+E17</f>
        <v>256157810</v>
      </c>
    </row>
    <row r="12" spans="1:5" s="178" customFormat="1" ht="12" customHeight="1">
      <c r="A12" s="13" t="s">
        <v>64</v>
      </c>
      <c r="B12" s="179" t="s">
        <v>165</v>
      </c>
      <c r="C12" s="168">
        <v>114904910</v>
      </c>
      <c r="D12" s="168">
        <v>115073392</v>
      </c>
      <c r="E12" s="168">
        <v>115073392</v>
      </c>
    </row>
    <row r="13" spans="1:5" s="178" customFormat="1" ht="12" customHeight="1">
      <c r="A13" s="12" t="s">
        <v>65</v>
      </c>
      <c r="B13" s="180" t="s">
        <v>166</v>
      </c>
      <c r="C13" s="167">
        <v>73083700</v>
      </c>
      <c r="D13" s="167">
        <v>73095866</v>
      </c>
      <c r="E13" s="167">
        <v>73095866</v>
      </c>
    </row>
    <row r="14" spans="1:5" s="178" customFormat="1" ht="12" customHeight="1">
      <c r="A14" s="12" t="s">
        <v>66</v>
      </c>
      <c r="B14" s="180" t="s">
        <v>167</v>
      </c>
      <c r="C14" s="167">
        <v>47860698</v>
      </c>
      <c r="D14" s="167">
        <v>46820830</v>
      </c>
      <c r="E14" s="167">
        <v>46820830</v>
      </c>
    </row>
    <row r="15" spans="1:5" s="178" customFormat="1" ht="12" customHeight="1">
      <c r="A15" s="12" t="s">
        <v>67</v>
      </c>
      <c r="B15" s="180" t="s">
        <v>168</v>
      </c>
      <c r="C15" s="167">
        <v>4087380</v>
      </c>
      <c r="D15" s="167">
        <v>5163320</v>
      </c>
      <c r="E15" s="167">
        <v>5163320</v>
      </c>
    </row>
    <row r="16" spans="1:5" s="178" customFormat="1" ht="12" customHeight="1">
      <c r="A16" s="12" t="s">
        <v>99</v>
      </c>
      <c r="B16" s="110" t="s">
        <v>337</v>
      </c>
      <c r="C16" s="167"/>
      <c r="D16" s="167">
        <v>14137299</v>
      </c>
      <c r="E16" s="167">
        <v>14137299</v>
      </c>
    </row>
    <row r="17" spans="1:5" s="178" customFormat="1" ht="12" customHeight="1" thickBot="1">
      <c r="A17" s="14" t="s">
        <v>68</v>
      </c>
      <c r="B17" s="111" t="s">
        <v>338</v>
      </c>
      <c r="C17" s="167"/>
      <c r="D17" s="167">
        <v>1867103</v>
      </c>
      <c r="E17" s="167">
        <v>1867103</v>
      </c>
    </row>
    <row r="18" spans="1:5" s="178" customFormat="1" ht="12" customHeight="1" thickBot="1">
      <c r="A18" s="18" t="s">
        <v>7</v>
      </c>
      <c r="B18" s="109" t="s">
        <v>169</v>
      </c>
      <c r="C18" s="166">
        <f>+C19+C20+C21+C22+C23</f>
        <v>75913955</v>
      </c>
      <c r="D18" s="166">
        <f>+D19+D20+D21+D22+D23</f>
        <v>103941048</v>
      </c>
      <c r="E18" s="102">
        <f>+E19+E20+E21+E22+E23</f>
        <v>179276185</v>
      </c>
    </row>
    <row r="19" spans="1:5" s="178" customFormat="1" ht="12" customHeight="1">
      <c r="A19" s="13" t="s">
        <v>70</v>
      </c>
      <c r="B19" s="179" t="s">
        <v>170</v>
      </c>
      <c r="C19" s="168"/>
      <c r="D19" s="168"/>
      <c r="E19" s="104"/>
    </row>
    <row r="20" spans="1:5" s="178" customFormat="1" ht="12" customHeight="1">
      <c r="A20" s="12" t="s">
        <v>71</v>
      </c>
      <c r="B20" s="180" t="s">
        <v>171</v>
      </c>
      <c r="C20" s="167"/>
      <c r="D20" s="167"/>
      <c r="E20" s="103"/>
    </row>
    <row r="21" spans="1:5" s="178" customFormat="1" ht="12" customHeight="1">
      <c r="A21" s="12" t="s">
        <v>72</v>
      </c>
      <c r="B21" s="180" t="s">
        <v>329</v>
      </c>
      <c r="C21" s="167"/>
      <c r="D21" s="167"/>
      <c r="E21" s="103"/>
    </row>
    <row r="22" spans="1:5" s="178" customFormat="1" ht="12" customHeight="1">
      <c r="A22" s="12" t="s">
        <v>73</v>
      </c>
      <c r="B22" s="180" t="s">
        <v>330</v>
      </c>
      <c r="C22" s="167"/>
      <c r="D22" s="167"/>
      <c r="E22" s="103"/>
    </row>
    <row r="23" spans="1:5" s="178" customFormat="1" ht="12" customHeight="1">
      <c r="A23" s="12" t="s">
        <v>74</v>
      </c>
      <c r="B23" s="180" t="s">
        <v>172</v>
      </c>
      <c r="C23" s="167">
        <v>75913955</v>
      </c>
      <c r="D23" s="167">
        <v>103941048</v>
      </c>
      <c r="E23" s="103">
        <v>179276185</v>
      </c>
    </row>
    <row r="24" spans="1:5" s="178" customFormat="1" ht="12" customHeight="1" thickBot="1">
      <c r="A24" s="14" t="s">
        <v>81</v>
      </c>
      <c r="B24" s="111" t="s">
        <v>173</v>
      </c>
      <c r="C24" s="169"/>
      <c r="D24" s="169">
        <v>18280650</v>
      </c>
      <c r="E24" s="105">
        <v>104659394</v>
      </c>
    </row>
    <row r="25" spans="1:5" s="178" customFormat="1" ht="12" customHeight="1" thickBot="1">
      <c r="A25" s="18" t="s">
        <v>8</v>
      </c>
      <c r="B25" s="19" t="s">
        <v>174</v>
      </c>
      <c r="C25" s="166">
        <f>+C26+C27+C28+C29+C30</f>
        <v>15000000</v>
      </c>
      <c r="D25" s="166">
        <f>+D26+D27+D28+D29+D30</f>
        <v>147387544</v>
      </c>
      <c r="E25" s="102">
        <f>+E26+E27+E28+E29+E30</f>
        <v>153251067</v>
      </c>
    </row>
    <row r="26" spans="1:5" s="178" customFormat="1" ht="12" customHeight="1">
      <c r="A26" s="13" t="s">
        <v>53</v>
      </c>
      <c r="B26" s="179" t="s">
        <v>175</v>
      </c>
      <c r="C26" s="168">
        <v>15000000</v>
      </c>
      <c r="D26" s="168">
        <v>47000000</v>
      </c>
      <c r="E26" s="104">
        <v>47000000</v>
      </c>
    </row>
    <row r="27" spans="1:5" s="178" customFormat="1" ht="12" customHeight="1">
      <c r="A27" s="12" t="s">
        <v>54</v>
      </c>
      <c r="B27" s="180" t="s">
        <v>176</v>
      </c>
      <c r="C27" s="167"/>
      <c r="D27" s="167"/>
      <c r="E27" s="103"/>
    </row>
    <row r="28" spans="1:5" s="178" customFormat="1" ht="12" customHeight="1">
      <c r="A28" s="12" t="s">
        <v>55</v>
      </c>
      <c r="B28" s="180" t="s">
        <v>331</v>
      </c>
      <c r="C28" s="167"/>
      <c r="D28" s="167"/>
      <c r="E28" s="103"/>
    </row>
    <row r="29" spans="1:5" s="178" customFormat="1" ht="12" customHeight="1">
      <c r="A29" s="12" t="s">
        <v>56</v>
      </c>
      <c r="B29" s="180" t="s">
        <v>332</v>
      </c>
      <c r="C29" s="167"/>
      <c r="D29" s="167"/>
      <c r="E29" s="103"/>
    </row>
    <row r="30" spans="1:5" s="178" customFormat="1" ht="12" customHeight="1">
      <c r="A30" s="12" t="s">
        <v>112</v>
      </c>
      <c r="B30" s="180" t="s">
        <v>177</v>
      </c>
      <c r="C30" s="167"/>
      <c r="D30" s="167">
        <v>100387544</v>
      </c>
      <c r="E30" s="103">
        <v>106251067</v>
      </c>
    </row>
    <row r="31" spans="1:5" s="178" customFormat="1" ht="12" customHeight="1" thickBot="1">
      <c r="A31" s="14" t="s">
        <v>113</v>
      </c>
      <c r="B31" s="181" t="s">
        <v>178</v>
      </c>
      <c r="C31" s="169"/>
      <c r="D31" s="169">
        <v>100387544</v>
      </c>
      <c r="E31" s="169">
        <v>100387544</v>
      </c>
    </row>
    <row r="32" spans="1:5" s="178" customFormat="1" ht="12" customHeight="1" thickBot="1">
      <c r="A32" s="18" t="s">
        <v>114</v>
      </c>
      <c r="B32" s="19" t="s">
        <v>488</v>
      </c>
      <c r="C32" s="172">
        <f>SUM(C33:C39)</f>
        <v>75300000</v>
      </c>
      <c r="D32" s="172">
        <f>SUM(D33:D39)</f>
        <v>75300000</v>
      </c>
      <c r="E32" s="208">
        <f>SUM(E33:E39)</f>
        <v>86582279</v>
      </c>
    </row>
    <row r="33" spans="1:5" s="178" customFormat="1" ht="12" customHeight="1">
      <c r="A33" s="13" t="s">
        <v>179</v>
      </c>
      <c r="B33" s="179" t="s">
        <v>489</v>
      </c>
      <c r="C33" s="168"/>
      <c r="D33" s="168"/>
      <c r="E33" s="168"/>
    </row>
    <row r="34" spans="1:5" s="178" customFormat="1" ht="12" customHeight="1">
      <c r="A34" s="12" t="s">
        <v>180</v>
      </c>
      <c r="B34" s="180" t="s">
        <v>490</v>
      </c>
      <c r="C34" s="167"/>
      <c r="D34" s="167"/>
      <c r="E34" s="103"/>
    </row>
    <row r="35" spans="1:5" s="178" customFormat="1" ht="12" customHeight="1">
      <c r="A35" s="12" t="s">
        <v>181</v>
      </c>
      <c r="B35" s="180" t="s">
        <v>491</v>
      </c>
      <c r="C35" s="167">
        <v>67000000</v>
      </c>
      <c r="D35" s="167">
        <v>67000000</v>
      </c>
      <c r="E35" s="103">
        <v>77649972</v>
      </c>
    </row>
    <row r="36" spans="1:5" s="178" customFormat="1" ht="12" customHeight="1">
      <c r="A36" s="12" t="s">
        <v>182</v>
      </c>
      <c r="B36" s="180" t="s">
        <v>492</v>
      </c>
      <c r="C36" s="167"/>
      <c r="D36" s="167"/>
      <c r="E36" s="103"/>
    </row>
    <row r="37" spans="1:5" s="178" customFormat="1" ht="12" customHeight="1">
      <c r="A37" s="12" t="s">
        <v>493</v>
      </c>
      <c r="B37" s="180" t="s">
        <v>183</v>
      </c>
      <c r="C37" s="167">
        <v>7500000</v>
      </c>
      <c r="D37" s="167">
        <v>7500000</v>
      </c>
      <c r="E37" s="103">
        <v>8042326</v>
      </c>
    </row>
    <row r="38" spans="1:5" s="178" customFormat="1" ht="12" customHeight="1">
      <c r="A38" s="12" t="s">
        <v>494</v>
      </c>
      <c r="B38" s="180" t="s">
        <v>184</v>
      </c>
      <c r="C38" s="167">
        <v>800000</v>
      </c>
      <c r="D38" s="167"/>
      <c r="E38" s="103"/>
    </row>
    <row r="39" spans="1:5" s="178" customFormat="1" ht="12" customHeight="1" thickBot="1">
      <c r="A39" s="14" t="s">
        <v>495</v>
      </c>
      <c r="B39" s="325" t="s">
        <v>185</v>
      </c>
      <c r="C39" s="169"/>
      <c r="D39" s="169">
        <v>800000</v>
      </c>
      <c r="E39" s="105">
        <v>889981</v>
      </c>
    </row>
    <row r="40" spans="1:5" s="178" customFormat="1" ht="12" customHeight="1" thickBot="1">
      <c r="A40" s="18" t="s">
        <v>10</v>
      </c>
      <c r="B40" s="19" t="s">
        <v>339</v>
      </c>
      <c r="C40" s="166">
        <f>SUM(C41:C51)</f>
        <v>31746705</v>
      </c>
      <c r="D40" s="166">
        <f>SUM(D41:D51)</f>
        <v>31746705</v>
      </c>
      <c r="E40" s="102">
        <f>SUM(E41:E51)</f>
        <v>34469421</v>
      </c>
    </row>
    <row r="41" spans="1:5" s="178" customFormat="1" ht="12" customHeight="1">
      <c r="A41" s="13" t="s">
        <v>57</v>
      </c>
      <c r="B41" s="179" t="s">
        <v>188</v>
      </c>
      <c r="C41" s="168"/>
      <c r="D41" s="168"/>
      <c r="E41" s="104">
        <v>152783</v>
      </c>
    </row>
    <row r="42" spans="1:5" s="178" customFormat="1" ht="12" customHeight="1">
      <c r="A42" s="12" t="s">
        <v>58</v>
      </c>
      <c r="B42" s="180" t="s">
        <v>189</v>
      </c>
      <c r="C42" s="167">
        <v>11900000</v>
      </c>
      <c r="D42" s="167">
        <v>11900000</v>
      </c>
      <c r="E42" s="103">
        <v>13110787</v>
      </c>
    </row>
    <row r="43" spans="1:5" s="178" customFormat="1" ht="12" customHeight="1">
      <c r="A43" s="12" t="s">
        <v>59</v>
      </c>
      <c r="B43" s="180" t="s">
        <v>190</v>
      </c>
      <c r="C43" s="167">
        <v>2670000</v>
      </c>
      <c r="D43" s="167">
        <v>2670000</v>
      </c>
      <c r="E43" s="103">
        <v>1292984</v>
      </c>
    </row>
    <row r="44" spans="1:5" s="178" customFormat="1" ht="12" customHeight="1">
      <c r="A44" s="12" t="s">
        <v>116</v>
      </c>
      <c r="B44" s="180" t="s">
        <v>191</v>
      </c>
      <c r="C44" s="167">
        <v>7874000</v>
      </c>
      <c r="D44" s="167">
        <v>10000000</v>
      </c>
      <c r="E44" s="103">
        <v>9411190</v>
      </c>
    </row>
    <row r="45" spans="1:5" s="178" customFormat="1" ht="12" customHeight="1">
      <c r="A45" s="12" t="s">
        <v>117</v>
      </c>
      <c r="B45" s="180" t="s">
        <v>192</v>
      </c>
      <c r="C45" s="167">
        <v>5650949</v>
      </c>
      <c r="D45" s="167">
        <v>5650949</v>
      </c>
      <c r="E45" s="103">
        <v>5367037</v>
      </c>
    </row>
    <row r="46" spans="1:5" s="178" customFormat="1" ht="12" customHeight="1">
      <c r="A46" s="12" t="s">
        <v>118</v>
      </c>
      <c r="B46" s="180" t="s">
        <v>193</v>
      </c>
      <c r="C46" s="167">
        <v>3651756</v>
      </c>
      <c r="D46" s="167">
        <v>1525756</v>
      </c>
      <c r="E46" s="103">
        <v>4786092</v>
      </c>
    </row>
    <row r="47" spans="1:5" s="178" customFormat="1" ht="12" customHeight="1">
      <c r="A47" s="12" t="s">
        <v>119</v>
      </c>
      <c r="B47" s="180" t="s">
        <v>194</v>
      </c>
      <c r="C47" s="167"/>
      <c r="D47" s="167"/>
      <c r="E47" s="103"/>
    </row>
    <row r="48" spans="1:5" s="178" customFormat="1" ht="12" customHeight="1">
      <c r="A48" s="12" t="s">
        <v>120</v>
      </c>
      <c r="B48" s="180" t="s">
        <v>496</v>
      </c>
      <c r="C48" s="167"/>
      <c r="D48" s="167"/>
      <c r="E48" s="103">
        <v>24037</v>
      </c>
    </row>
    <row r="49" spans="1:5" s="178" customFormat="1" ht="12" customHeight="1">
      <c r="A49" s="12" t="s">
        <v>186</v>
      </c>
      <c r="B49" s="180" t="s">
        <v>196</v>
      </c>
      <c r="C49" s="170"/>
      <c r="D49" s="170"/>
      <c r="E49" s="106">
        <v>2801</v>
      </c>
    </row>
    <row r="50" spans="1:5" s="178" customFormat="1" ht="12" customHeight="1">
      <c r="A50" s="14" t="s">
        <v>187</v>
      </c>
      <c r="B50" s="181" t="s">
        <v>341</v>
      </c>
      <c r="C50" s="171"/>
      <c r="D50" s="171"/>
      <c r="E50" s="107"/>
    </row>
    <row r="51" spans="1:5" s="178" customFormat="1" ht="12" customHeight="1" thickBot="1">
      <c r="A51" s="14" t="s">
        <v>340</v>
      </c>
      <c r="B51" s="111" t="s">
        <v>197</v>
      </c>
      <c r="C51" s="171"/>
      <c r="D51" s="171"/>
      <c r="E51" s="107">
        <v>321710</v>
      </c>
    </row>
    <row r="52" spans="1:5" s="178" customFormat="1" ht="12" customHeight="1" thickBot="1">
      <c r="A52" s="18" t="s">
        <v>11</v>
      </c>
      <c r="B52" s="19" t="s">
        <v>198</v>
      </c>
      <c r="C52" s="166">
        <f>SUM(C53:C57)</f>
        <v>3000000</v>
      </c>
      <c r="D52" s="166">
        <f>SUM(D53:D57)</f>
        <v>37400000</v>
      </c>
      <c r="E52" s="102">
        <f>SUM(E53:E57)</f>
        <v>39429800</v>
      </c>
    </row>
    <row r="53" spans="1:5" s="178" customFormat="1" ht="12" customHeight="1">
      <c r="A53" s="13" t="s">
        <v>60</v>
      </c>
      <c r="B53" s="179" t="s">
        <v>202</v>
      </c>
      <c r="C53" s="219"/>
      <c r="D53" s="219"/>
      <c r="E53" s="108"/>
    </row>
    <row r="54" spans="1:5" s="178" customFormat="1" ht="12" customHeight="1">
      <c r="A54" s="12" t="s">
        <v>61</v>
      </c>
      <c r="B54" s="180" t="s">
        <v>203</v>
      </c>
      <c r="C54" s="170">
        <v>3000000</v>
      </c>
      <c r="D54" s="170">
        <v>37400000</v>
      </c>
      <c r="E54" s="106">
        <v>39429800</v>
      </c>
    </row>
    <row r="55" spans="1:5" s="178" customFormat="1" ht="12" customHeight="1">
      <c r="A55" s="12" t="s">
        <v>199</v>
      </c>
      <c r="B55" s="180" t="s">
        <v>204</v>
      </c>
      <c r="C55" s="170"/>
      <c r="D55" s="170"/>
      <c r="E55" s="106"/>
    </row>
    <row r="56" spans="1:5" s="178" customFormat="1" ht="12" customHeight="1">
      <c r="A56" s="12" t="s">
        <v>200</v>
      </c>
      <c r="B56" s="180" t="s">
        <v>205</v>
      </c>
      <c r="C56" s="170"/>
      <c r="D56" s="170"/>
      <c r="E56" s="106"/>
    </row>
    <row r="57" spans="1:5" s="178" customFormat="1" ht="12" customHeight="1" thickBot="1">
      <c r="A57" s="14" t="s">
        <v>201</v>
      </c>
      <c r="B57" s="111" t="s">
        <v>206</v>
      </c>
      <c r="C57" s="171"/>
      <c r="D57" s="171"/>
      <c r="E57" s="107"/>
    </row>
    <row r="58" spans="1:5" s="178" customFormat="1" ht="12" customHeight="1" thickBot="1">
      <c r="A58" s="18" t="s">
        <v>121</v>
      </c>
      <c r="B58" s="19" t="s">
        <v>207</v>
      </c>
      <c r="C58" s="166">
        <f>SUM(C59:C61)</f>
        <v>1600000</v>
      </c>
      <c r="D58" s="166">
        <f>SUM(D59:D61)</f>
        <v>1600000</v>
      </c>
      <c r="E58" s="102">
        <f>SUM(E59:E61)</f>
        <v>1840000</v>
      </c>
    </row>
    <row r="59" spans="1:5" s="178" customFormat="1" ht="12" customHeight="1">
      <c r="A59" s="13" t="s">
        <v>62</v>
      </c>
      <c r="B59" s="179" t="s">
        <v>208</v>
      </c>
      <c r="C59" s="168"/>
      <c r="D59" s="168"/>
      <c r="E59" s="104"/>
    </row>
    <row r="60" spans="1:5" s="178" customFormat="1" ht="12" customHeight="1">
      <c r="A60" s="12" t="s">
        <v>63</v>
      </c>
      <c r="B60" s="180" t="s">
        <v>333</v>
      </c>
      <c r="C60" s="167">
        <v>1600000</v>
      </c>
      <c r="D60" s="167">
        <v>1600000</v>
      </c>
      <c r="E60" s="103">
        <v>1810000</v>
      </c>
    </row>
    <row r="61" spans="1:5" s="178" customFormat="1" ht="12" customHeight="1">
      <c r="A61" s="12" t="s">
        <v>211</v>
      </c>
      <c r="B61" s="180" t="s">
        <v>209</v>
      </c>
      <c r="C61" s="167"/>
      <c r="D61" s="167"/>
      <c r="E61" s="103">
        <v>30000</v>
      </c>
    </row>
    <row r="62" spans="1:5" s="178" customFormat="1" ht="12" customHeight="1" thickBot="1">
      <c r="A62" s="14" t="s">
        <v>212</v>
      </c>
      <c r="B62" s="111" t="s">
        <v>210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213</v>
      </c>
      <c r="C63" s="166">
        <f>SUM(C64:C66)</f>
        <v>13500000</v>
      </c>
      <c r="D63" s="166">
        <f>SUM(D64:D66)</f>
        <v>13500000</v>
      </c>
      <c r="E63" s="102">
        <f>SUM(E64:E66)</f>
        <v>11720000</v>
      </c>
    </row>
    <row r="64" spans="1:5" s="178" customFormat="1" ht="12" customHeight="1">
      <c r="A64" s="13" t="s">
        <v>122</v>
      </c>
      <c r="B64" s="179" t="s">
        <v>215</v>
      </c>
      <c r="C64" s="170"/>
      <c r="D64" s="170"/>
      <c r="E64" s="106"/>
    </row>
    <row r="65" spans="1:5" s="178" customFormat="1" ht="12" customHeight="1">
      <c r="A65" s="12" t="s">
        <v>123</v>
      </c>
      <c r="B65" s="180" t="s">
        <v>334</v>
      </c>
      <c r="C65" s="170"/>
      <c r="D65" s="170"/>
      <c r="E65" s="106">
        <v>120000</v>
      </c>
    </row>
    <row r="66" spans="1:5" s="178" customFormat="1" ht="12" customHeight="1">
      <c r="A66" s="12" t="s">
        <v>146</v>
      </c>
      <c r="B66" s="180" t="s">
        <v>216</v>
      </c>
      <c r="C66" s="170">
        <v>13500000</v>
      </c>
      <c r="D66" s="170">
        <v>13500000</v>
      </c>
      <c r="E66" s="106">
        <v>11600000</v>
      </c>
    </row>
    <row r="67" spans="1:5" s="178" customFormat="1" ht="12" customHeight="1" thickBot="1">
      <c r="A67" s="14" t="s">
        <v>214</v>
      </c>
      <c r="B67" s="111" t="s">
        <v>217</v>
      </c>
      <c r="C67" s="170"/>
      <c r="D67" s="170"/>
      <c r="E67" s="106"/>
    </row>
    <row r="68" spans="1:5" s="178" customFormat="1" ht="12" customHeight="1" thickBot="1">
      <c r="A68" s="229" t="s">
        <v>381</v>
      </c>
      <c r="B68" s="19" t="s">
        <v>218</v>
      </c>
      <c r="C68" s="172">
        <f>+C11+C18+C25+C32+C40+C52+C58+C63</f>
        <v>455997348</v>
      </c>
      <c r="D68" s="172">
        <f>+D11+D18+D25+D32+D40+D52+D58+D63</f>
        <v>667033107</v>
      </c>
      <c r="E68" s="208">
        <f>+E11+E18+E25+E32+E40+E52+E58+E63</f>
        <v>762726562</v>
      </c>
    </row>
    <row r="69" spans="1:5" s="178" customFormat="1" ht="12" customHeight="1" thickBot="1">
      <c r="A69" s="220" t="s">
        <v>219</v>
      </c>
      <c r="B69" s="109" t="s">
        <v>220</v>
      </c>
      <c r="C69" s="166">
        <f>SUM(C70:C72)</f>
        <v>0</v>
      </c>
      <c r="D69" s="166">
        <f>SUM(D70:D72)</f>
        <v>50000000</v>
      </c>
      <c r="E69" s="102">
        <f>SUM(E70:E72)</f>
        <v>37577030</v>
      </c>
    </row>
    <row r="70" spans="1:5" s="178" customFormat="1" ht="12" customHeight="1">
      <c r="A70" s="13" t="s">
        <v>248</v>
      </c>
      <c r="B70" s="179" t="s">
        <v>221</v>
      </c>
      <c r="C70" s="170"/>
      <c r="D70" s="170"/>
      <c r="E70" s="106"/>
    </row>
    <row r="71" spans="1:5" s="178" customFormat="1" ht="12" customHeight="1">
      <c r="A71" s="12" t="s">
        <v>257</v>
      </c>
      <c r="B71" s="180" t="s">
        <v>222</v>
      </c>
      <c r="C71" s="170"/>
      <c r="D71" s="170">
        <v>50000000</v>
      </c>
      <c r="E71" s="106">
        <v>37577030</v>
      </c>
    </row>
    <row r="72" spans="1:5" s="178" customFormat="1" ht="12" customHeight="1" thickBot="1">
      <c r="A72" s="14" t="s">
        <v>258</v>
      </c>
      <c r="B72" s="225" t="s">
        <v>366</v>
      </c>
      <c r="C72" s="170"/>
      <c r="D72" s="170"/>
      <c r="E72" s="106"/>
    </row>
    <row r="73" spans="1:5" s="178" customFormat="1" ht="12" customHeight="1" thickBot="1">
      <c r="A73" s="220" t="s">
        <v>224</v>
      </c>
      <c r="B73" s="109" t="s">
        <v>225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100</v>
      </c>
      <c r="B74" s="363" t="s">
        <v>226</v>
      </c>
      <c r="C74" s="170"/>
      <c r="D74" s="170"/>
      <c r="E74" s="106"/>
    </row>
    <row r="75" spans="1:5" s="178" customFormat="1" ht="12" customHeight="1">
      <c r="A75" s="12" t="s">
        <v>101</v>
      </c>
      <c r="B75" s="363" t="s">
        <v>503</v>
      </c>
      <c r="C75" s="170"/>
      <c r="D75" s="170"/>
      <c r="E75" s="106"/>
    </row>
    <row r="76" spans="1:5" s="178" customFormat="1" ht="12" customHeight="1">
      <c r="A76" s="12" t="s">
        <v>249</v>
      </c>
      <c r="B76" s="363" t="s">
        <v>227</v>
      </c>
      <c r="C76" s="170"/>
      <c r="D76" s="170"/>
      <c r="E76" s="106"/>
    </row>
    <row r="77" spans="1:5" s="178" customFormat="1" ht="12" customHeight="1" thickBot="1">
      <c r="A77" s="14" t="s">
        <v>250</v>
      </c>
      <c r="B77" s="364" t="s">
        <v>504</v>
      </c>
      <c r="C77" s="170"/>
      <c r="D77" s="170"/>
      <c r="E77" s="106"/>
    </row>
    <row r="78" spans="1:5" s="178" customFormat="1" ht="12" customHeight="1" thickBot="1">
      <c r="A78" s="220" t="s">
        <v>228</v>
      </c>
      <c r="B78" s="109" t="s">
        <v>229</v>
      </c>
      <c r="C78" s="166">
        <f>SUM(C79:C80)</f>
        <v>992078683</v>
      </c>
      <c r="D78" s="166">
        <f>SUM(D79:D80)</f>
        <v>1007075914</v>
      </c>
      <c r="E78" s="102">
        <f>SUM(E79:E80)</f>
        <v>1007075914</v>
      </c>
    </row>
    <row r="79" spans="1:5" s="178" customFormat="1" ht="12" customHeight="1">
      <c r="A79" s="13" t="s">
        <v>251</v>
      </c>
      <c r="B79" s="179" t="s">
        <v>230</v>
      </c>
      <c r="C79" s="170">
        <v>992078683</v>
      </c>
      <c r="D79" s="170">
        <v>1007075914</v>
      </c>
      <c r="E79" s="170">
        <v>1007075914</v>
      </c>
    </row>
    <row r="80" spans="1:5" s="178" customFormat="1" ht="12" customHeight="1" thickBot="1">
      <c r="A80" s="14" t="s">
        <v>252</v>
      </c>
      <c r="B80" s="111" t="s">
        <v>231</v>
      </c>
      <c r="C80" s="170"/>
      <c r="D80" s="170"/>
      <c r="E80" s="106"/>
    </row>
    <row r="81" spans="1:5" s="178" customFormat="1" ht="12" customHeight="1" thickBot="1">
      <c r="A81" s="220" t="s">
        <v>232</v>
      </c>
      <c r="B81" s="109" t="s">
        <v>233</v>
      </c>
      <c r="C81" s="166">
        <f>SUM(C82:C84)</f>
        <v>0</v>
      </c>
      <c r="D81" s="166">
        <f>SUM(D82:D84)</f>
        <v>0</v>
      </c>
      <c r="E81" s="102">
        <f>SUM(E82:E84)</f>
        <v>8583031</v>
      </c>
    </row>
    <row r="82" spans="1:5" s="178" customFormat="1" ht="12" customHeight="1">
      <c r="A82" s="13" t="s">
        <v>253</v>
      </c>
      <c r="B82" s="179" t="s">
        <v>234</v>
      </c>
      <c r="C82" s="170"/>
      <c r="D82" s="170"/>
      <c r="E82" s="106">
        <v>8583031</v>
      </c>
    </row>
    <row r="83" spans="1:5" s="178" customFormat="1" ht="12" customHeight="1">
      <c r="A83" s="12" t="s">
        <v>254</v>
      </c>
      <c r="B83" s="180" t="s">
        <v>235</v>
      </c>
      <c r="C83" s="170"/>
      <c r="D83" s="170"/>
      <c r="E83" s="106"/>
    </row>
    <row r="84" spans="1:5" s="178" customFormat="1" ht="12" customHeight="1" thickBot="1">
      <c r="A84" s="14" t="s">
        <v>255</v>
      </c>
      <c r="B84" s="111" t="s">
        <v>505</v>
      </c>
      <c r="C84" s="170"/>
      <c r="D84" s="170"/>
      <c r="E84" s="106"/>
    </row>
    <row r="85" spans="1:5" s="178" customFormat="1" ht="12" customHeight="1" thickBot="1">
      <c r="A85" s="220" t="s">
        <v>236</v>
      </c>
      <c r="B85" s="109" t="s">
        <v>256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3" t="s">
        <v>237</v>
      </c>
      <c r="B86" s="179" t="s">
        <v>238</v>
      </c>
      <c r="C86" s="170"/>
      <c r="D86" s="170"/>
      <c r="E86" s="106"/>
    </row>
    <row r="87" spans="1:5" s="178" customFormat="1" ht="12" customHeight="1">
      <c r="A87" s="184" t="s">
        <v>239</v>
      </c>
      <c r="B87" s="180" t="s">
        <v>240</v>
      </c>
      <c r="C87" s="170"/>
      <c r="D87" s="170"/>
      <c r="E87" s="106"/>
    </row>
    <row r="88" spans="1:5" s="178" customFormat="1" ht="12" customHeight="1">
      <c r="A88" s="184" t="s">
        <v>241</v>
      </c>
      <c r="B88" s="180" t="s">
        <v>242</v>
      </c>
      <c r="C88" s="170"/>
      <c r="D88" s="170"/>
      <c r="E88" s="106"/>
    </row>
    <row r="89" spans="1:5" s="178" customFormat="1" ht="12" customHeight="1" thickBot="1">
      <c r="A89" s="185" t="s">
        <v>243</v>
      </c>
      <c r="B89" s="111" t="s">
        <v>244</v>
      </c>
      <c r="C89" s="170"/>
      <c r="D89" s="170"/>
      <c r="E89" s="106"/>
    </row>
    <row r="90" spans="1:5" s="178" customFormat="1" ht="12" customHeight="1" thickBot="1">
      <c r="A90" s="220" t="s">
        <v>245</v>
      </c>
      <c r="B90" s="109" t="s">
        <v>380</v>
      </c>
      <c r="C90" s="222"/>
      <c r="D90" s="222"/>
      <c r="E90" s="223"/>
    </row>
    <row r="91" spans="1:5" s="178" customFormat="1" ht="13.5" customHeight="1" thickBot="1">
      <c r="A91" s="220" t="s">
        <v>247</v>
      </c>
      <c r="B91" s="109" t="s">
        <v>246</v>
      </c>
      <c r="C91" s="222"/>
      <c r="D91" s="222"/>
      <c r="E91" s="223"/>
    </row>
    <row r="92" spans="1:5" s="178" customFormat="1" ht="15.75" customHeight="1" thickBot="1">
      <c r="A92" s="220" t="s">
        <v>259</v>
      </c>
      <c r="B92" s="186" t="s">
        <v>383</v>
      </c>
      <c r="C92" s="172">
        <f>+C69+C73+C78+C81+C85+C91+C90</f>
        <v>992078683</v>
      </c>
      <c r="D92" s="172">
        <f>+D69+D73+D78+D81+D85+D91+D90</f>
        <v>1057075914</v>
      </c>
      <c r="E92" s="208">
        <f>+E69+E73+E78+E81+E85+E91+E90</f>
        <v>1053235975</v>
      </c>
    </row>
    <row r="93" spans="1:5" s="178" customFormat="1" ht="25.5" customHeight="1" thickBot="1">
      <c r="A93" s="221" t="s">
        <v>382</v>
      </c>
      <c r="B93" s="187" t="s">
        <v>384</v>
      </c>
      <c r="C93" s="172">
        <f>+C68+C92</f>
        <v>1448076031</v>
      </c>
      <c r="D93" s="172">
        <f>+D68+D92</f>
        <v>1724109021</v>
      </c>
      <c r="E93" s="208">
        <f>+E68+E92</f>
        <v>1815962537</v>
      </c>
    </row>
    <row r="94" spans="1:3" s="178" customFormat="1" ht="15" customHeight="1">
      <c r="A94" s="3"/>
      <c r="B94" s="4"/>
      <c r="C94" s="113"/>
    </row>
    <row r="95" spans="1:5" ht="16.5" customHeight="1">
      <c r="A95" s="771" t="s">
        <v>34</v>
      </c>
      <c r="B95" s="771"/>
      <c r="C95" s="771"/>
      <c r="D95" s="771"/>
      <c r="E95" s="771"/>
    </row>
    <row r="96" spans="1:5" s="188" customFormat="1" ht="16.5" customHeight="1" thickBot="1">
      <c r="A96" s="773" t="s">
        <v>103</v>
      </c>
      <c r="B96" s="773"/>
      <c r="C96" s="60"/>
      <c r="E96" s="60" t="str">
        <f>E7</f>
        <v> Forintban!</v>
      </c>
    </row>
    <row r="97" spans="1:5" ht="15.75">
      <c r="A97" s="762" t="s">
        <v>52</v>
      </c>
      <c r="B97" s="764" t="s">
        <v>424</v>
      </c>
      <c r="C97" s="766" t="str">
        <f>+CONCATENATE(LEFT(Z_ÖSSZEFÜGGÉSEK!A6,4),". évi")</f>
        <v>2018. évi</v>
      </c>
      <c r="D97" s="767"/>
      <c r="E97" s="768"/>
    </row>
    <row r="98" spans="1:5" ht="24.75" thickBot="1">
      <c r="A98" s="763"/>
      <c r="B98" s="765"/>
      <c r="C98" s="246" t="s">
        <v>422</v>
      </c>
      <c r="D98" s="245" t="s">
        <v>423</v>
      </c>
      <c r="E98" s="365" t="str">
        <f>CONCATENATE(E9)</f>
        <v>2018. XII. 31.
teljesítés</v>
      </c>
    </row>
    <row r="99" spans="1:5" s="177" customFormat="1" ht="12" customHeight="1" thickBot="1">
      <c r="A99" s="25" t="s">
        <v>389</v>
      </c>
      <c r="B99" s="26" t="s">
        <v>390</v>
      </c>
      <c r="C99" s="26" t="s">
        <v>391</v>
      </c>
      <c r="D99" s="26" t="s">
        <v>393</v>
      </c>
      <c r="E99" s="257" t="s">
        <v>392</v>
      </c>
    </row>
    <row r="100" spans="1:5" ht="12" customHeight="1" thickBot="1">
      <c r="A100" s="20" t="s">
        <v>6</v>
      </c>
      <c r="B100" s="24" t="s">
        <v>342</v>
      </c>
      <c r="C100" s="165">
        <f>C101+C102+C103+C104+C105+C118</f>
        <v>513930428</v>
      </c>
      <c r="D100" s="165">
        <f>D101+D102+D103+D104+D105+D118</f>
        <v>594942468</v>
      </c>
      <c r="E100" s="232">
        <f>E101+E102+E103+E104+E105+E118</f>
        <v>492167956</v>
      </c>
    </row>
    <row r="101" spans="1:5" ht="12" customHeight="1">
      <c r="A101" s="15" t="s">
        <v>64</v>
      </c>
      <c r="B101" s="8" t="s">
        <v>35</v>
      </c>
      <c r="C101" s="239">
        <v>187908100</v>
      </c>
      <c r="D101" s="239">
        <v>210455271</v>
      </c>
      <c r="E101" s="233">
        <v>192259671</v>
      </c>
    </row>
    <row r="102" spans="1:5" ht="12" customHeight="1">
      <c r="A102" s="12" t="s">
        <v>65</v>
      </c>
      <c r="B102" s="6" t="s">
        <v>124</v>
      </c>
      <c r="C102" s="167">
        <v>33515055</v>
      </c>
      <c r="D102" s="167">
        <v>37547922</v>
      </c>
      <c r="E102" s="103">
        <v>34819709</v>
      </c>
    </row>
    <row r="103" spans="1:5" ht="12" customHeight="1">
      <c r="A103" s="12" t="s">
        <v>66</v>
      </c>
      <c r="B103" s="6" t="s">
        <v>92</v>
      </c>
      <c r="C103" s="169">
        <v>168432934</v>
      </c>
      <c r="D103" s="169">
        <v>195340120</v>
      </c>
      <c r="E103" s="105">
        <v>140065793</v>
      </c>
    </row>
    <row r="104" spans="1:5" ht="12" customHeight="1">
      <c r="A104" s="12" t="s">
        <v>67</v>
      </c>
      <c r="B104" s="9" t="s">
        <v>125</v>
      </c>
      <c r="C104" s="169">
        <v>12068319</v>
      </c>
      <c r="D104" s="169">
        <v>12424000</v>
      </c>
      <c r="E104" s="105">
        <v>12300732</v>
      </c>
    </row>
    <row r="105" spans="1:5" ht="12" customHeight="1">
      <c r="A105" s="12" t="s">
        <v>76</v>
      </c>
      <c r="B105" s="17" t="s">
        <v>126</v>
      </c>
      <c r="C105" s="169">
        <v>112006020</v>
      </c>
      <c r="D105" s="169">
        <v>124064414</v>
      </c>
      <c r="E105" s="105">
        <v>112722051</v>
      </c>
    </row>
    <row r="106" spans="1:5" ht="12" customHeight="1">
      <c r="A106" s="12" t="s">
        <v>68</v>
      </c>
      <c r="B106" s="6" t="s">
        <v>347</v>
      </c>
      <c r="C106" s="169"/>
      <c r="D106" s="169"/>
      <c r="E106" s="105"/>
    </row>
    <row r="107" spans="1:5" ht="12" customHeight="1">
      <c r="A107" s="12" t="s">
        <v>69</v>
      </c>
      <c r="B107" s="64" t="s">
        <v>346</v>
      </c>
      <c r="C107" s="169"/>
      <c r="D107" s="169"/>
      <c r="E107" s="105"/>
    </row>
    <row r="108" spans="1:5" ht="12" customHeight="1">
      <c r="A108" s="12" t="s">
        <v>77</v>
      </c>
      <c r="B108" s="64" t="s">
        <v>345</v>
      </c>
      <c r="C108" s="169"/>
      <c r="D108" s="169">
        <v>27233</v>
      </c>
      <c r="E108" s="169">
        <v>27233</v>
      </c>
    </row>
    <row r="109" spans="1:5" ht="12" customHeight="1">
      <c r="A109" s="12" t="s">
        <v>78</v>
      </c>
      <c r="B109" s="62" t="s">
        <v>262</v>
      </c>
      <c r="C109" s="169"/>
      <c r="D109" s="169"/>
      <c r="E109" s="105"/>
    </row>
    <row r="110" spans="1:5" ht="12" customHeight="1">
      <c r="A110" s="12" t="s">
        <v>79</v>
      </c>
      <c r="B110" s="63" t="s">
        <v>263</v>
      </c>
      <c r="C110" s="169"/>
      <c r="D110" s="169"/>
      <c r="E110" s="105"/>
    </row>
    <row r="111" spans="1:5" ht="12" customHeight="1">
      <c r="A111" s="12" t="s">
        <v>80</v>
      </c>
      <c r="B111" s="63" t="s">
        <v>264</v>
      </c>
      <c r="C111" s="169">
        <v>93296020</v>
      </c>
      <c r="D111" s="169">
        <v>99327181</v>
      </c>
      <c r="E111" s="105">
        <v>99187181</v>
      </c>
    </row>
    <row r="112" spans="1:5" ht="12" customHeight="1">
      <c r="A112" s="12" t="s">
        <v>82</v>
      </c>
      <c r="B112" s="62" t="s">
        <v>265</v>
      </c>
      <c r="C112" s="169"/>
      <c r="D112" s="169"/>
      <c r="E112" s="105"/>
    </row>
    <row r="113" spans="1:5" ht="12" customHeight="1">
      <c r="A113" s="12" t="s">
        <v>127</v>
      </c>
      <c r="B113" s="62" t="s">
        <v>266</v>
      </c>
      <c r="C113" s="169"/>
      <c r="D113" s="169"/>
      <c r="E113" s="105"/>
    </row>
    <row r="114" spans="1:5" ht="12" customHeight="1">
      <c r="A114" s="12" t="s">
        <v>260</v>
      </c>
      <c r="B114" s="63" t="s">
        <v>267</v>
      </c>
      <c r="C114" s="169"/>
      <c r="D114" s="169">
        <v>10000000</v>
      </c>
      <c r="E114" s="105">
        <v>6540000</v>
      </c>
    </row>
    <row r="115" spans="1:5" ht="12" customHeight="1">
      <c r="A115" s="11" t="s">
        <v>261</v>
      </c>
      <c r="B115" s="64" t="s">
        <v>268</v>
      </c>
      <c r="C115" s="169"/>
      <c r="D115" s="169"/>
      <c r="E115" s="105"/>
    </row>
    <row r="116" spans="1:5" ht="12" customHeight="1">
      <c r="A116" s="12" t="s">
        <v>343</v>
      </c>
      <c r="B116" s="64" t="s">
        <v>269</v>
      </c>
      <c r="C116" s="169"/>
      <c r="D116" s="169"/>
      <c r="E116" s="105"/>
    </row>
    <row r="117" spans="1:5" ht="12" customHeight="1">
      <c r="A117" s="14" t="s">
        <v>344</v>
      </c>
      <c r="B117" s="64" t="s">
        <v>270</v>
      </c>
      <c r="C117" s="169">
        <v>18710000</v>
      </c>
      <c r="D117" s="169">
        <v>14710000</v>
      </c>
      <c r="E117" s="105">
        <v>6967637</v>
      </c>
    </row>
    <row r="118" spans="1:5" ht="12" customHeight="1">
      <c r="A118" s="12" t="s">
        <v>348</v>
      </c>
      <c r="B118" s="9" t="s">
        <v>36</v>
      </c>
      <c r="C118" s="167"/>
      <c r="D118" s="167">
        <v>15110741</v>
      </c>
      <c r="E118" s="103"/>
    </row>
    <row r="119" spans="1:5" ht="12" customHeight="1">
      <c r="A119" s="12" t="s">
        <v>349</v>
      </c>
      <c r="B119" s="6" t="s">
        <v>351</v>
      </c>
      <c r="C119" s="167"/>
      <c r="D119" s="167">
        <v>15110741</v>
      </c>
      <c r="E119" s="103"/>
    </row>
    <row r="120" spans="1:5" ht="12" customHeight="1" thickBot="1">
      <c r="A120" s="16" t="s">
        <v>350</v>
      </c>
      <c r="B120" s="228" t="s">
        <v>352</v>
      </c>
      <c r="C120" s="240"/>
      <c r="D120" s="240"/>
      <c r="E120" s="234"/>
    </row>
    <row r="121" spans="1:5" ht="12" customHeight="1" thickBot="1">
      <c r="A121" s="226" t="s">
        <v>7</v>
      </c>
      <c r="B121" s="227" t="s">
        <v>271</v>
      </c>
      <c r="C121" s="241">
        <f>+C122+C124+C126</f>
        <v>925543972</v>
      </c>
      <c r="D121" s="166">
        <f>+D122+D124+D126</f>
        <v>1070564922</v>
      </c>
      <c r="E121" s="235">
        <f>+E122+E124+E126</f>
        <v>141907624</v>
      </c>
    </row>
    <row r="122" spans="1:5" ht="12" customHeight="1">
      <c r="A122" s="13" t="s">
        <v>70</v>
      </c>
      <c r="B122" s="6" t="s">
        <v>145</v>
      </c>
      <c r="C122" s="168">
        <v>779304032</v>
      </c>
      <c r="D122" s="250">
        <v>917262531</v>
      </c>
      <c r="E122" s="104">
        <v>132575138</v>
      </c>
    </row>
    <row r="123" spans="1:5" ht="12" customHeight="1">
      <c r="A123" s="13" t="s">
        <v>71</v>
      </c>
      <c r="B123" s="10" t="s">
        <v>275</v>
      </c>
      <c r="C123" s="168">
        <v>752156457</v>
      </c>
      <c r="D123" s="250">
        <v>841061550</v>
      </c>
      <c r="E123" s="104">
        <v>64530983</v>
      </c>
    </row>
    <row r="124" spans="1:5" ht="12" customHeight="1">
      <c r="A124" s="13" t="s">
        <v>72</v>
      </c>
      <c r="B124" s="10" t="s">
        <v>128</v>
      </c>
      <c r="C124" s="167">
        <v>140239940</v>
      </c>
      <c r="D124" s="251">
        <v>152852391</v>
      </c>
      <c r="E124" s="103">
        <v>8882486</v>
      </c>
    </row>
    <row r="125" spans="1:5" ht="12" customHeight="1">
      <c r="A125" s="13" t="s">
        <v>73</v>
      </c>
      <c r="B125" s="10" t="s">
        <v>276</v>
      </c>
      <c r="C125" s="167">
        <v>133686998</v>
      </c>
      <c r="D125" s="251">
        <v>145169449</v>
      </c>
      <c r="E125" s="103">
        <v>6921500</v>
      </c>
    </row>
    <row r="126" spans="1:5" ht="12" customHeight="1">
      <c r="A126" s="13" t="s">
        <v>74</v>
      </c>
      <c r="B126" s="111" t="s">
        <v>147</v>
      </c>
      <c r="C126" s="167">
        <v>6000000</v>
      </c>
      <c r="D126" s="251">
        <v>450000</v>
      </c>
      <c r="E126" s="251">
        <v>450000</v>
      </c>
    </row>
    <row r="127" spans="1:5" ht="12" customHeight="1">
      <c r="A127" s="13" t="s">
        <v>81</v>
      </c>
      <c r="B127" s="110" t="s">
        <v>335</v>
      </c>
      <c r="C127" s="167"/>
      <c r="D127" s="251"/>
      <c r="E127" s="103"/>
    </row>
    <row r="128" spans="1:5" ht="12" customHeight="1">
      <c r="A128" s="13" t="s">
        <v>83</v>
      </c>
      <c r="B128" s="175" t="s">
        <v>281</v>
      </c>
      <c r="C128" s="167"/>
      <c r="D128" s="251"/>
      <c r="E128" s="103"/>
    </row>
    <row r="129" spans="1:5" ht="15.75">
      <c r="A129" s="13" t="s">
        <v>129</v>
      </c>
      <c r="B129" s="63" t="s">
        <v>264</v>
      </c>
      <c r="C129" s="167"/>
      <c r="D129" s="251"/>
      <c r="E129" s="103"/>
    </row>
    <row r="130" spans="1:5" ht="12" customHeight="1">
      <c r="A130" s="13" t="s">
        <v>130</v>
      </c>
      <c r="B130" s="63" t="s">
        <v>280</v>
      </c>
      <c r="C130" s="167"/>
      <c r="D130" s="251"/>
      <c r="E130" s="103"/>
    </row>
    <row r="131" spans="1:5" ht="12" customHeight="1">
      <c r="A131" s="13" t="s">
        <v>131</v>
      </c>
      <c r="B131" s="63" t="s">
        <v>279</v>
      </c>
      <c r="C131" s="167"/>
      <c r="D131" s="251"/>
      <c r="E131" s="103"/>
    </row>
    <row r="132" spans="1:5" ht="12" customHeight="1">
      <c r="A132" s="13" t="s">
        <v>272</v>
      </c>
      <c r="B132" s="63" t="s">
        <v>267</v>
      </c>
      <c r="C132" s="167">
        <v>6000000</v>
      </c>
      <c r="D132" s="251">
        <v>450000</v>
      </c>
      <c r="E132" s="103">
        <v>450000</v>
      </c>
    </row>
    <row r="133" spans="1:5" ht="12" customHeight="1">
      <c r="A133" s="13" t="s">
        <v>273</v>
      </c>
      <c r="B133" s="63" t="s">
        <v>278</v>
      </c>
      <c r="C133" s="167"/>
      <c r="D133" s="251"/>
      <c r="E133" s="103"/>
    </row>
    <row r="134" spans="1:5" ht="16.5" thickBot="1">
      <c r="A134" s="11" t="s">
        <v>274</v>
      </c>
      <c r="B134" s="63" t="s">
        <v>277</v>
      </c>
      <c r="C134" s="169"/>
      <c r="D134" s="252"/>
      <c r="E134" s="105"/>
    </row>
    <row r="135" spans="1:5" ht="12" customHeight="1" thickBot="1">
      <c r="A135" s="18" t="s">
        <v>8</v>
      </c>
      <c r="B135" s="56" t="s">
        <v>353</v>
      </c>
      <c r="C135" s="166">
        <f>+C100+C121</f>
        <v>1439474400</v>
      </c>
      <c r="D135" s="249">
        <f>+D100+D121</f>
        <v>1665507390</v>
      </c>
      <c r="E135" s="102">
        <f>+E100+E121</f>
        <v>634075580</v>
      </c>
    </row>
    <row r="136" spans="1:5" ht="12" customHeight="1" thickBot="1">
      <c r="A136" s="18" t="s">
        <v>9</v>
      </c>
      <c r="B136" s="56" t="s">
        <v>425</v>
      </c>
      <c r="C136" s="166">
        <f>+C137+C138+C139</f>
        <v>0</v>
      </c>
      <c r="D136" s="249">
        <f>+D137+D138+D139</f>
        <v>50000000</v>
      </c>
      <c r="E136" s="102">
        <f>+E137+E138+E139</f>
        <v>37577030</v>
      </c>
    </row>
    <row r="137" spans="1:5" ht="12" customHeight="1">
      <c r="A137" s="13" t="s">
        <v>179</v>
      </c>
      <c r="B137" s="10" t="s">
        <v>361</v>
      </c>
      <c r="C137" s="167"/>
      <c r="D137" s="251"/>
      <c r="E137" s="103"/>
    </row>
    <row r="138" spans="1:5" ht="12" customHeight="1">
      <c r="A138" s="13" t="s">
        <v>180</v>
      </c>
      <c r="B138" s="10" t="s">
        <v>362</v>
      </c>
      <c r="C138" s="167"/>
      <c r="D138" s="251">
        <v>50000000</v>
      </c>
      <c r="E138" s="103">
        <v>37577030</v>
      </c>
    </row>
    <row r="139" spans="1:5" ht="12" customHeight="1" thickBot="1">
      <c r="A139" s="11" t="s">
        <v>181</v>
      </c>
      <c r="B139" s="10" t="s">
        <v>363</v>
      </c>
      <c r="C139" s="167"/>
      <c r="D139" s="251"/>
      <c r="E139" s="103"/>
    </row>
    <row r="140" spans="1:5" ht="12" customHeight="1" thickBot="1">
      <c r="A140" s="18" t="s">
        <v>10</v>
      </c>
      <c r="B140" s="56" t="s">
        <v>355</v>
      </c>
      <c r="C140" s="166">
        <f>SUM(C141:C146)</f>
        <v>0</v>
      </c>
      <c r="D140" s="249">
        <f>SUM(D141:D146)</f>
        <v>0</v>
      </c>
      <c r="E140" s="102">
        <f>SUM(E141:E146)</f>
        <v>0</v>
      </c>
    </row>
    <row r="141" spans="1:5" ht="12" customHeight="1">
      <c r="A141" s="13" t="s">
        <v>57</v>
      </c>
      <c r="B141" s="7" t="s">
        <v>364</v>
      </c>
      <c r="C141" s="167"/>
      <c r="D141" s="251"/>
      <c r="E141" s="103"/>
    </row>
    <row r="142" spans="1:5" ht="12" customHeight="1">
      <c r="A142" s="13" t="s">
        <v>58</v>
      </c>
      <c r="B142" s="7" t="s">
        <v>356</v>
      </c>
      <c r="C142" s="167"/>
      <c r="D142" s="251"/>
      <c r="E142" s="103"/>
    </row>
    <row r="143" spans="1:5" ht="12" customHeight="1">
      <c r="A143" s="13" t="s">
        <v>59</v>
      </c>
      <c r="B143" s="7" t="s">
        <v>357</v>
      </c>
      <c r="C143" s="167"/>
      <c r="D143" s="251"/>
      <c r="E143" s="103"/>
    </row>
    <row r="144" spans="1:5" ht="12" customHeight="1">
      <c r="A144" s="13" t="s">
        <v>116</v>
      </c>
      <c r="B144" s="7" t="s">
        <v>358</v>
      </c>
      <c r="C144" s="167"/>
      <c r="D144" s="251"/>
      <c r="E144" s="103"/>
    </row>
    <row r="145" spans="1:5" ht="12" customHeight="1">
      <c r="A145" s="13" t="s">
        <v>117</v>
      </c>
      <c r="B145" s="7" t="s">
        <v>359</v>
      </c>
      <c r="C145" s="167"/>
      <c r="D145" s="251"/>
      <c r="E145" s="103"/>
    </row>
    <row r="146" spans="1:5" ht="12" customHeight="1" thickBot="1">
      <c r="A146" s="16" t="s">
        <v>118</v>
      </c>
      <c r="B146" s="375" t="s">
        <v>360</v>
      </c>
      <c r="C146" s="240"/>
      <c r="D146" s="316"/>
      <c r="E146" s="234"/>
    </row>
    <row r="147" spans="1:5" ht="12" customHeight="1" thickBot="1">
      <c r="A147" s="18" t="s">
        <v>11</v>
      </c>
      <c r="B147" s="56" t="s">
        <v>368</v>
      </c>
      <c r="C147" s="172">
        <f>+C148+C149+C150+C151</f>
        <v>8601631</v>
      </c>
      <c r="D147" s="253">
        <f>+D148+D149+D150+D151</f>
        <v>8601631</v>
      </c>
      <c r="E147" s="208">
        <f>+E148+E149+E150+E151</f>
        <v>8601631</v>
      </c>
    </row>
    <row r="148" spans="1:5" ht="12" customHeight="1">
      <c r="A148" s="13" t="s">
        <v>60</v>
      </c>
      <c r="B148" s="7" t="s">
        <v>282</v>
      </c>
      <c r="C148" s="167"/>
      <c r="D148" s="251"/>
      <c r="E148" s="103"/>
    </row>
    <row r="149" spans="1:5" ht="12" customHeight="1">
      <c r="A149" s="13" t="s">
        <v>61</v>
      </c>
      <c r="B149" s="7" t="s">
        <v>283</v>
      </c>
      <c r="C149" s="167">
        <v>8601631</v>
      </c>
      <c r="D149" s="167">
        <v>8601631</v>
      </c>
      <c r="E149" s="167">
        <v>8601631</v>
      </c>
    </row>
    <row r="150" spans="1:5" ht="12" customHeight="1">
      <c r="A150" s="13" t="s">
        <v>199</v>
      </c>
      <c r="B150" s="7" t="s">
        <v>369</v>
      </c>
      <c r="C150" s="167"/>
      <c r="D150" s="251"/>
      <c r="E150" s="103"/>
    </row>
    <row r="151" spans="1:5" ht="12" customHeight="1" thickBot="1">
      <c r="A151" s="11" t="s">
        <v>200</v>
      </c>
      <c r="B151" s="5" t="s">
        <v>299</v>
      </c>
      <c r="C151" s="167"/>
      <c r="D151" s="251"/>
      <c r="E151" s="103"/>
    </row>
    <row r="152" spans="1:5" ht="12" customHeight="1" thickBot="1">
      <c r="A152" s="18" t="s">
        <v>12</v>
      </c>
      <c r="B152" s="56" t="s">
        <v>370</v>
      </c>
      <c r="C152" s="242">
        <f>SUM(C153:C157)</f>
        <v>0</v>
      </c>
      <c r="D152" s="254">
        <f>SUM(D153:D157)</f>
        <v>0</v>
      </c>
      <c r="E152" s="236">
        <f>SUM(E153:E157)</f>
        <v>0</v>
      </c>
    </row>
    <row r="153" spans="1:5" ht="12" customHeight="1">
      <c r="A153" s="13" t="s">
        <v>62</v>
      </c>
      <c r="B153" s="7" t="s">
        <v>365</v>
      </c>
      <c r="C153" s="167"/>
      <c r="D153" s="251"/>
      <c r="E153" s="103"/>
    </row>
    <row r="154" spans="1:5" ht="12" customHeight="1">
      <c r="A154" s="13" t="s">
        <v>63</v>
      </c>
      <c r="B154" s="7" t="s">
        <v>372</v>
      </c>
      <c r="C154" s="167"/>
      <c r="D154" s="251"/>
      <c r="E154" s="103"/>
    </row>
    <row r="155" spans="1:5" ht="12" customHeight="1">
      <c r="A155" s="13" t="s">
        <v>211</v>
      </c>
      <c r="B155" s="7" t="s">
        <v>367</v>
      </c>
      <c r="C155" s="167"/>
      <c r="D155" s="251"/>
      <c r="E155" s="103"/>
    </row>
    <row r="156" spans="1:5" ht="12" customHeight="1">
      <c r="A156" s="13" t="s">
        <v>212</v>
      </c>
      <c r="B156" s="7" t="s">
        <v>373</v>
      </c>
      <c r="C156" s="167"/>
      <c r="D156" s="251"/>
      <c r="E156" s="103"/>
    </row>
    <row r="157" spans="1:5" ht="12" customHeight="1" thickBot="1">
      <c r="A157" s="13" t="s">
        <v>371</v>
      </c>
      <c r="B157" s="7" t="s">
        <v>374</v>
      </c>
      <c r="C157" s="167"/>
      <c r="D157" s="251"/>
      <c r="E157" s="103"/>
    </row>
    <row r="158" spans="1:5" ht="12" customHeight="1" thickBot="1">
      <c r="A158" s="18" t="s">
        <v>13</v>
      </c>
      <c r="B158" s="56" t="s">
        <v>375</v>
      </c>
      <c r="C158" s="243"/>
      <c r="D158" s="255"/>
      <c r="E158" s="237"/>
    </row>
    <row r="159" spans="1:5" ht="12" customHeight="1" thickBot="1">
      <c r="A159" s="18" t="s">
        <v>14</v>
      </c>
      <c r="B159" s="56" t="s">
        <v>376</v>
      </c>
      <c r="C159" s="243"/>
      <c r="D159" s="255"/>
      <c r="E159" s="237"/>
    </row>
    <row r="160" spans="1:9" ht="15" customHeight="1" thickBot="1">
      <c r="A160" s="18" t="s">
        <v>15</v>
      </c>
      <c r="B160" s="56" t="s">
        <v>378</v>
      </c>
      <c r="C160" s="244">
        <f>+C136+C140+C147+C152+C158+C159</f>
        <v>8601631</v>
      </c>
      <c r="D160" s="256">
        <f>+D136+D140+D147+D152+D158+D159</f>
        <v>58601631</v>
      </c>
      <c r="E160" s="238">
        <f>+E136+E140+E147+E152+E158+E159</f>
        <v>46178661</v>
      </c>
      <c r="F160" s="189"/>
      <c r="G160" s="190"/>
      <c r="H160" s="190"/>
      <c r="I160" s="190"/>
    </row>
    <row r="161" spans="1:5" s="178" customFormat="1" ht="12.75" customHeight="1" thickBot="1">
      <c r="A161" s="112" t="s">
        <v>16</v>
      </c>
      <c r="B161" s="153" t="s">
        <v>377</v>
      </c>
      <c r="C161" s="244">
        <f>+C135+C160</f>
        <v>1448076031</v>
      </c>
      <c r="D161" s="256">
        <f>+D135+D160</f>
        <v>1724109021</v>
      </c>
      <c r="E161" s="238">
        <f>+E135+E160</f>
        <v>680254241</v>
      </c>
    </row>
    <row r="162" spans="3:4" ht="15.75">
      <c r="C162" s="658">
        <f>C93-C161</f>
        <v>0</v>
      </c>
      <c r="D162" s="658">
        <f>D93-D161</f>
        <v>0</v>
      </c>
    </row>
    <row r="163" spans="1:5" ht="15.75">
      <c r="A163" s="769" t="s">
        <v>284</v>
      </c>
      <c r="B163" s="769"/>
      <c r="C163" s="769"/>
      <c r="D163" s="769"/>
      <c r="E163" s="769"/>
    </row>
    <row r="164" spans="1:5" ht="15" customHeight="1" thickBot="1">
      <c r="A164" s="761" t="s">
        <v>104</v>
      </c>
      <c r="B164" s="761"/>
      <c r="C164" s="114"/>
      <c r="E164" s="114" t="str">
        <f>E96</f>
        <v> Forintban!</v>
      </c>
    </row>
    <row r="165" spans="1:5" ht="25.5" customHeight="1" thickBot="1">
      <c r="A165" s="18">
        <v>1</v>
      </c>
      <c r="B165" s="23" t="s">
        <v>379</v>
      </c>
      <c r="C165" s="248">
        <f>+C68-C135</f>
        <v>-983477052</v>
      </c>
      <c r="D165" s="166">
        <f>+D68-D135</f>
        <v>-998474283</v>
      </c>
      <c r="E165" s="102">
        <f>+E68-E135</f>
        <v>128650982</v>
      </c>
    </row>
    <row r="166" spans="1:5" ht="32.25" customHeight="1" thickBot="1">
      <c r="A166" s="18" t="s">
        <v>7</v>
      </c>
      <c r="B166" s="23" t="s">
        <v>385</v>
      </c>
      <c r="C166" s="166">
        <f>+C92-C160</f>
        <v>983477052</v>
      </c>
      <c r="D166" s="166">
        <f>+D92-D160</f>
        <v>998474283</v>
      </c>
      <c r="E166" s="102">
        <f>+E92-E160</f>
        <v>1007057314</v>
      </c>
    </row>
  </sheetData>
  <sheetProtection sheet="1"/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G8" sqref="G8"/>
    </sheetView>
  </sheetViews>
  <sheetFormatPr defaultColWidth="9.00390625" defaultRowHeight="12.75"/>
  <cols>
    <col min="1" max="1" width="9.00390625" style="154" customWidth="1"/>
    <col min="2" max="2" width="68.875" style="154" customWidth="1"/>
    <col min="3" max="3" width="18.875" style="154" customWidth="1"/>
    <col min="4" max="5" width="18.875" style="155" customWidth="1"/>
    <col min="6" max="16384" width="9.375" style="176" customWidth="1"/>
  </cols>
  <sheetData>
    <row r="1" spans="1:5" ht="15.75">
      <c r="A1" s="756" t="str">
        <f>CONCATENATE("1. tájékoztató tábla ",Z_ALAPADATOK!A7," ",Z_ALAPADATOK!B7," ",Z_ALAPADATOK!C7," ",Z_ALAPADATOK!D7," ",Z_ALAPADATOK!E7," ",Z_ALAPADATOK!F7," ",Z_ALAPADATOK!G7," ",Z_ALAPADATOK!H7)</f>
        <v>1. tájékoztató tábla a … / 2019. ( … ) önkormányzati rendelethez</v>
      </c>
      <c r="B1" s="757"/>
      <c r="C1" s="757"/>
      <c r="D1" s="757"/>
      <c r="E1" s="757"/>
    </row>
    <row r="2" spans="1:5" ht="15.75">
      <c r="A2" s="758" t="str">
        <f>CONCATENATE(Z_ALAPADATOK!A3)</f>
        <v>Besenyszög Város Önkormányzata</v>
      </c>
      <c r="B2" s="759"/>
      <c r="C2" s="759"/>
      <c r="D2" s="759"/>
      <c r="E2" s="759"/>
    </row>
    <row r="3" spans="1:5" ht="15.75">
      <c r="A3" s="758" t="s">
        <v>998</v>
      </c>
      <c r="B3" s="759"/>
      <c r="C3" s="759"/>
      <c r="D3" s="759"/>
      <c r="E3" s="759"/>
    </row>
    <row r="4" spans="1:5" ht="15.75" customHeight="1">
      <c r="A4" s="770" t="s">
        <v>3</v>
      </c>
      <c r="B4" s="770"/>
      <c r="C4" s="770"/>
      <c r="D4" s="770"/>
      <c r="E4" s="770"/>
    </row>
    <row r="5" spans="1:5" ht="15.75" customHeight="1" thickBot="1">
      <c r="A5" s="601" t="s">
        <v>102</v>
      </c>
      <c r="B5" s="601"/>
      <c r="C5" s="601"/>
      <c r="D5" s="602"/>
      <c r="E5" s="602" t="str">
        <f>CONCATENATE('Z_8.sz.mell'!E2)</f>
        <v>Forintban</v>
      </c>
    </row>
    <row r="6" spans="1:5" ht="15.75" customHeight="1">
      <c r="A6" s="848" t="s">
        <v>52</v>
      </c>
      <c r="B6" s="837" t="s">
        <v>5</v>
      </c>
      <c r="C6" s="839" t="s">
        <v>858</v>
      </c>
      <c r="D6" s="841" t="s">
        <v>859</v>
      </c>
      <c r="E6" s="842"/>
    </row>
    <row r="7" spans="1:5" ht="37.5" customHeight="1" thickBot="1">
      <c r="A7" s="849"/>
      <c r="B7" s="838"/>
      <c r="C7" s="840"/>
      <c r="D7" s="603" t="s">
        <v>462</v>
      </c>
      <c r="E7" s="365" t="s">
        <v>450</v>
      </c>
    </row>
    <row r="8" spans="1:5" s="177" customFormat="1" ht="12" customHeight="1" thickBot="1">
      <c r="A8" s="604" t="s">
        <v>389</v>
      </c>
      <c r="B8" s="605" t="s">
        <v>390</v>
      </c>
      <c r="C8" s="605" t="s">
        <v>391</v>
      </c>
      <c r="D8" s="605" t="s">
        <v>392</v>
      </c>
      <c r="E8" s="606" t="s">
        <v>394</v>
      </c>
    </row>
    <row r="9" spans="1:5" s="178" customFormat="1" ht="12" customHeight="1" thickBot="1">
      <c r="A9" s="18" t="s">
        <v>6</v>
      </c>
      <c r="B9" s="428" t="s">
        <v>164</v>
      </c>
      <c r="C9" s="166">
        <f>+C10+C11+C12+C13+C14+C15</f>
        <v>259687749</v>
      </c>
      <c r="D9" s="166">
        <f>+D10+D11+D12+D13+D14+D15</f>
        <v>256157810</v>
      </c>
      <c r="E9" s="102">
        <f>+E10+E11+E12+E13+E14+E15</f>
        <v>256157810</v>
      </c>
    </row>
    <row r="10" spans="1:5" s="178" customFormat="1" ht="12" customHeight="1">
      <c r="A10" s="13" t="s">
        <v>64</v>
      </c>
      <c r="B10" s="429" t="s">
        <v>165</v>
      </c>
      <c r="C10" s="168">
        <v>114617045</v>
      </c>
      <c r="D10" s="168">
        <v>115073392</v>
      </c>
      <c r="E10" s="168">
        <v>115073392</v>
      </c>
    </row>
    <row r="11" spans="1:5" s="178" customFormat="1" ht="12" customHeight="1">
      <c r="A11" s="12" t="s">
        <v>65</v>
      </c>
      <c r="B11" s="430" t="s">
        <v>166</v>
      </c>
      <c r="C11" s="167">
        <v>69676167</v>
      </c>
      <c r="D11" s="167">
        <v>73095866</v>
      </c>
      <c r="E11" s="167">
        <v>73095866</v>
      </c>
    </row>
    <row r="12" spans="1:5" s="178" customFormat="1" ht="12" customHeight="1">
      <c r="A12" s="12" t="s">
        <v>66</v>
      </c>
      <c r="B12" s="430" t="s">
        <v>167</v>
      </c>
      <c r="C12" s="167">
        <v>49772964</v>
      </c>
      <c r="D12" s="167">
        <v>46820830</v>
      </c>
      <c r="E12" s="167">
        <v>46820830</v>
      </c>
    </row>
    <row r="13" spans="1:5" s="178" customFormat="1" ht="12" customHeight="1">
      <c r="A13" s="12" t="s">
        <v>67</v>
      </c>
      <c r="B13" s="430" t="s">
        <v>168</v>
      </c>
      <c r="C13" s="167">
        <v>4934378</v>
      </c>
      <c r="D13" s="167">
        <v>5163320</v>
      </c>
      <c r="E13" s="167">
        <v>5163320</v>
      </c>
    </row>
    <row r="14" spans="1:5" s="178" customFormat="1" ht="12" customHeight="1">
      <c r="A14" s="12" t="s">
        <v>99</v>
      </c>
      <c r="B14" s="432" t="s">
        <v>534</v>
      </c>
      <c r="C14" s="431">
        <v>20004325</v>
      </c>
      <c r="D14" s="167">
        <v>14137299</v>
      </c>
      <c r="E14" s="167">
        <v>14137299</v>
      </c>
    </row>
    <row r="15" spans="1:5" s="178" customFormat="1" ht="12" customHeight="1" thickBot="1">
      <c r="A15" s="14" t="s">
        <v>68</v>
      </c>
      <c r="B15" s="432" t="s">
        <v>338</v>
      </c>
      <c r="C15" s="433">
        <v>682870</v>
      </c>
      <c r="D15" s="169">
        <v>1867103</v>
      </c>
      <c r="E15" s="169">
        <v>1867103</v>
      </c>
    </row>
    <row r="16" spans="1:5" s="178" customFormat="1" ht="12" customHeight="1" thickBot="1">
      <c r="A16" s="18" t="s">
        <v>7</v>
      </c>
      <c r="B16" s="434" t="s">
        <v>169</v>
      </c>
      <c r="C16" s="166">
        <f>+C17+C18+C19+C20+C21</f>
        <v>67762691</v>
      </c>
      <c r="D16" s="166">
        <f>+D17+D18+D19+D20+D21</f>
        <v>103941048</v>
      </c>
      <c r="E16" s="102">
        <f>+E17+E18+E19+E20+E21</f>
        <v>179276185</v>
      </c>
    </row>
    <row r="17" spans="1:5" s="178" customFormat="1" ht="12" customHeight="1">
      <c r="A17" s="13" t="s">
        <v>70</v>
      </c>
      <c r="B17" s="429" t="s">
        <v>170</v>
      </c>
      <c r="C17" s="168"/>
      <c r="D17" s="168"/>
      <c r="E17" s="104"/>
    </row>
    <row r="18" spans="1:5" s="178" customFormat="1" ht="12" customHeight="1">
      <c r="A18" s="12" t="s">
        <v>71</v>
      </c>
      <c r="B18" s="430" t="s">
        <v>171</v>
      </c>
      <c r="C18" s="167"/>
      <c r="D18" s="167"/>
      <c r="E18" s="103"/>
    </row>
    <row r="19" spans="1:5" s="178" customFormat="1" ht="12" customHeight="1">
      <c r="A19" s="12" t="s">
        <v>72</v>
      </c>
      <c r="B19" s="430" t="s">
        <v>329</v>
      </c>
      <c r="C19" s="167"/>
      <c r="D19" s="167"/>
      <c r="E19" s="103"/>
    </row>
    <row r="20" spans="1:5" s="178" customFormat="1" ht="12" customHeight="1">
      <c r="A20" s="12" t="s">
        <v>73</v>
      </c>
      <c r="B20" s="430" t="s">
        <v>330</v>
      </c>
      <c r="C20" s="167"/>
      <c r="D20" s="167"/>
      <c r="E20" s="103"/>
    </row>
    <row r="21" spans="1:5" s="178" customFormat="1" ht="12" customHeight="1">
      <c r="A21" s="12" t="s">
        <v>74</v>
      </c>
      <c r="B21" s="430" t="s">
        <v>172</v>
      </c>
      <c r="C21" s="167">
        <v>67762691</v>
      </c>
      <c r="D21" s="167">
        <v>103941048</v>
      </c>
      <c r="E21" s="103">
        <v>179276185</v>
      </c>
    </row>
    <row r="22" spans="1:5" s="178" customFormat="1" ht="12" customHeight="1" thickBot="1">
      <c r="A22" s="14" t="s">
        <v>81</v>
      </c>
      <c r="B22" s="432" t="s">
        <v>173</v>
      </c>
      <c r="C22" s="169"/>
      <c r="D22" s="169">
        <v>18280650</v>
      </c>
      <c r="E22" s="105">
        <v>104659394</v>
      </c>
    </row>
    <row r="23" spans="1:5" s="178" customFormat="1" ht="12" customHeight="1" thickBot="1">
      <c r="A23" s="18" t="s">
        <v>8</v>
      </c>
      <c r="B23" s="428" t="s">
        <v>174</v>
      </c>
      <c r="C23" s="166">
        <f>+C24+C25+C26+C27+C28</f>
        <v>959504239</v>
      </c>
      <c r="D23" s="166">
        <f>+D24+D25+D26+D27+D28</f>
        <v>147387544</v>
      </c>
      <c r="E23" s="102">
        <f>+E24+E25+E26+E27+E28</f>
        <v>153251067</v>
      </c>
    </row>
    <row r="24" spans="1:5" s="178" customFormat="1" ht="12" customHeight="1">
      <c r="A24" s="13" t="s">
        <v>53</v>
      </c>
      <c r="B24" s="429" t="s">
        <v>175</v>
      </c>
      <c r="C24" s="168">
        <v>1200000</v>
      </c>
      <c r="D24" s="168">
        <v>47000000</v>
      </c>
      <c r="E24" s="168">
        <v>47000000</v>
      </c>
    </row>
    <row r="25" spans="1:5" s="178" customFormat="1" ht="12" customHeight="1">
      <c r="A25" s="12" t="s">
        <v>54</v>
      </c>
      <c r="B25" s="430" t="s">
        <v>176</v>
      </c>
      <c r="C25" s="167"/>
      <c r="D25" s="167"/>
      <c r="E25" s="103"/>
    </row>
    <row r="26" spans="1:5" s="178" customFormat="1" ht="12" customHeight="1">
      <c r="A26" s="12" t="s">
        <v>55</v>
      </c>
      <c r="B26" s="430" t="s">
        <v>331</v>
      </c>
      <c r="C26" s="167"/>
      <c r="D26" s="167"/>
      <c r="E26" s="103"/>
    </row>
    <row r="27" spans="1:5" s="178" customFormat="1" ht="12" customHeight="1">
      <c r="A27" s="12" t="s">
        <v>56</v>
      </c>
      <c r="B27" s="430" t="s">
        <v>332</v>
      </c>
      <c r="C27" s="167"/>
      <c r="D27" s="167"/>
      <c r="E27" s="103"/>
    </row>
    <row r="28" spans="1:5" s="178" customFormat="1" ht="12" customHeight="1">
      <c r="A28" s="12" t="s">
        <v>112</v>
      </c>
      <c r="B28" s="430" t="s">
        <v>177</v>
      </c>
      <c r="C28" s="167">
        <v>958304239</v>
      </c>
      <c r="D28" s="167">
        <v>100387544</v>
      </c>
      <c r="E28" s="103">
        <v>106251067</v>
      </c>
    </row>
    <row r="29" spans="1:5" s="178" customFormat="1" ht="12" customHeight="1" thickBot="1">
      <c r="A29" s="14" t="s">
        <v>113</v>
      </c>
      <c r="B29" s="432" t="s">
        <v>178</v>
      </c>
      <c r="C29" s="169">
        <v>951304239</v>
      </c>
      <c r="D29" s="167">
        <v>100387544</v>
      </c>
      <c r="E29" s="167">
        <v>100387544</v>
      </c>
    </row>
    <row r="30" spans="1:5" s="178" customFormat="1" ht="12" customHeight="1" thickBot="1">
      <c r="A30" s="25" t="s">
        <v>114</v>
      </c>
      <c r="B30" s="19" t="s">
        <v>535</v>
      </c>
      <c r="C30" s="172">
        <f>SUM(C31:C36)</f>
        <v>76677028</v>
      </c>
      <c r="D30" s="172">
        <f>SUM(D31:D36)</f>
        <v>75300000</v>
      </c>
      <c r="E30" s="208">
        <f>SUM(E31:E36)</f>
        <v>86582279</v>
      </c>
    </row>
    <row r="31" spans="1:5" s="178" customFormat="1" ht="12" customHeight="1">
      <c r="A31" s="196" t="s">
        <v>179</v>
      </c>
      <c r="B31" s="179" t="s">
        <v>489</v>
      </c>
      <c r="C31" s="168"/>
      <c r="D31" s="168"/>
      <c r="E31" s="104"/>
    </row>
    <row r="32" spans="1:5" s="178" customFormat="1" ht="12" customHeight="1">
      <c r="A32" s="197" t="s">
        <v>180</v>
      </c>
      <c r="B32" s="180" t="s">
        <v>490</v>
      </c>
      <c r="C32" s="167"/>
      <c r="D32" s="167"/>
      <c r="E32" s="103"/>
    </row>
    <row r="33" spans="1:5" s="178" customFormat="1" ht="12" customHeight="1">
      <c r="A33" s="197" t="s">
        <v>181</v>
      </c>
      <c r="B33" s="180" t="s">
        <v>491</v>
      </c>
      <c r="C33" s="167">
        <v>68109336</v>
      </c>
      <c r="D33" s="167">
        <v>67000000</v>
      </c>
      <c r="E33" s="103">
        <v>77649972</v>
      </c>
    </row>
    <row r="34" spans="1:5" s="178" customFormat="1" ht="12" customHeight="1">
      <c r="A34" s="197" t="s">
        <v>493</v>
      </c>
      <c r="B34" s="180" t="s">
        <v>935</v>
      </c>
      <c r="C34" s="167">
        <v>7509106</v>
      </c>
      <c r="D34" s="167">
        <v>7500000</v>
      </c>
      <c r="E34" s="103">
        <v>8042326</v>
      </c>
    </row>
    <row r="35" spans="1:5" s="178" customFormat="1" ht="12" customHeight="1">
      <c r="A35" s="197" t="s">
        <v>494</v>
      </c>
      <c r="B35" s="180" t="s">
        <v>184</v>
      </c>
      <c r="C35" s="167"/>
      <c r="D35" s="167"/>
      <c r="E35" s="103"/>
    </row>
    <row r="36" spans="1:5" s="178" customFormat="1" ht="12" customHeight="1" thickBot="1">
      <c r="A36" s="198" t="s">
        <v>495</v>
      </c>
      <c r="B36" s="111" t="s">
        <v>185</v>
      </c>
      <c r="C36" s="169">
        <v>1058586</v>
      </c>
      <c r="D36" s="169">
        <v>800000</v>
      </c>
      <c r="E36" s="105">
        <v>889981</v>
      </c>
    </row>
    <row r="37" spans="1:5" s="178" customFormat="1" ht="12" customHeight="1" thickBot="1">
      <c r="A37" s="18" t="s">
        <v>10</v>
      </c>
      <c r="B37" s="428" t="s">
        <v>536</v>
      </c>
      <c r="C37" s="166">
        <f>SUM(C38:C47)</f>
        <v>42568430</v>
      </c>
      <c r="D37" s="166">
        <f>SUM(D38:D47)</f>
        <v>31746705</v>
      </c>
      <c r="E37" s="102">
        <f>SUM(E38:E47)</f>
        <v>34469421</v>
      </c>
    </row>
    <row r="38" spans="1:5" s="178" customFormat="1" ht="12" customHeight="1">
      <c r="A38" s="13" t="s">
        <v>57</v>
      </c>
      <c r="B38" s="429" t="s">
        <v>188</v>
      </c>
      <c r="C38" s="168">
        <v>1838400</v>
      </c>
      <c r="D38" s="168"/>
      <c r="E38" s="104">
        <v>152783</v>
      </c>
    </row>
    <row r="39" spans="1:5" s="178" customFormat="1" ht="12" customHeight="1">
      <c r="A39" s="12" t="s">
        <v>58</v>
      </c>
      <c r="B39" s="430" t="s">
        <v>189</v>
      </c>
      <c r="C39" s="167">
        <v>23894481</v>
      </c>
      <c r="D39" s="167">
        <v>11900000</v>
      </c>
      <c r="E39" s="103">
        <v>13110787</v>
      </c>
    </row>
    <row r="40" spans="1:5" s="178" customFormat="1" ht="12" customHeight="1">
      <c r="A40" s="12" t="s">
        <v>59</v>
      </c>
      <c r="B40" s="430" t="s">
        <v>190</v>
      </c>
      <c r="C40" s="167">
        <v>1099990</v>
      </c>
      <c r="D40" s="167">
        <v>2670000</v>
      </c>
      <c r="E40" s="103">
        <v>1292984</v>
      </c>
    </row>
    <row r="41" spans="1:5" s="178" customFormat="1" ht="12" customHeight="1">
      <c r="A41" s="12" t="s">
        <v>116</v>
      </c>
      <c r="B41" s="430" t="s">
        <v>191</v>
      </c>
      <c r="C41" s="167">
        <v>2487594</v>
      </c>
      <c r="D41" s="167">
        <v>10000000</v>
      </c>
      <c r="E41" s="103">
        <v>9411190</v>
      </c>
    </row>
    <row r="42" spans="1:5" s="178" customFormat="1" ht="12" customHeight="1">
      <c r="A42" s="12" t="s">
        <v>117</v>
      </c>
      <c r="B42" s="430" t="s">
        <v>192</v>
      </c>
      <c r="C42" s="167">
        <v>5721235</v>
      </c>
      <c r="D42" s="167">
        <v>5650949</v>
      </c>
      <c r="E42" s="103">
        <v>5367037</v>
      </c>
    </row>
    <row r="43" spans="1:5" s="178" customFormat="1" ht="12" customHeight="1">
      <c r="A43" s="12" t="s">
        <v>118</v>
      </c>
      <c r="B43" s="430" t="s">
        <v>193</v>
      </c>
      <c r="C43" s="167">
        <v>4880531</v>
      </c>
      <c r="D43" s="167">
        <v>1525756</v>
      </c>
      <c r="E43" s="103">
        <v>4786092</v>
      </c>
    </row>
    <row r="44" spans="1:5" s="178" customFormat="1" ht="12" customHeight="1">
      <c r="A44" s="12" t="s">
        <v>119</v>
      </c>
      <c r="B44" s="430" t="s">
        <v>194</v>
      </c>
      <c r="C44" s="167">
        <v>1756000</v>
      </c>
      <c r="D44" s="167"/>
      <c r="E44" s="103"/>
    </row>
    <row r="45" spans="1:5" s="178" customFormat="1" ht="12" customHeight="1">
      <c r="A45" s="12" t="s">
        <v>120</v>
      </c>
      <c r="B45" s="430" t="s">
        <v>195</v>
      </c>
      <c r="C45" s="167">
        <v>39968</v>
      </c>
      <c r="D45" s="167"/>
      <c r="E45" s="103">
        <v>24037</v>
      </c>
    </row>
    <row r="46" spans="1:5" s="178" customFormat="1" ht="12" customHeight="1">
      <c r="A46" s="12" t="s">
        <v>186</v>
      </c>
      <c r="B46" s="430" t="s">
        <v>196</v>
      </c>
      <c r="C46" s="170"/>
      <c r="D46" s="170"/>
      <c r="E46" s="106">
        <v>2801</v>
      </c>
    </row>
    <row r="47" spans="1:5" s="178" customFormat="1" ht="12" customHeight="1" thickBot="1">
      <c r="A47" s="14" t="s">
        <v>187</v>
      </c>
      <c r="B47" s="432" t="s">
        <v>197</v>
      </c>
      <c r="C47" s="171">
        <v>850231</v>
      </c>
      <c r="D47" s="171"/>
      <c r="E47" s="107">
        <v>321710</v>
      </c>
    </row>
    <row r="48" spans="1:5" s="178" customFormat="1" ht="12" customHeight="1" thickBot="1">
      <c r="A48" s="18" t="s">
        <v>11</v>
      </c>
      <c r="B48" s="428" t="s">
        <v>198</v>
      </c>
      <c r="C48" s="166">
        <f>SUM(C49:C53)</f>
        <v>4096500</v>
      </c>
      <c r="D48" s="166">
        <f>SUM(D49:D53)</f>
        <v>37400000</v>
      </c>
      <c r="E48" s="102">
        <f>SUM(E49:E53)</f>
        <v>39429800</v>
      </c>
    </row>
    <row r="49" spans="1:5" s="178" customFormat="1" ht="12" customHeight="1">
      <c r="A49" s="13" t="s">
        <v>60</v>
      </c>
      <c r="B49" s="429" t="s">
        <v>202</v>
      </c>
      <c r="C49" s="219"/>
      <c r="D49" s="219"/>
      <c r="E49" s="108"/>
    </row>
    <row r="50" spans="1:5" s="178" customFormat="1" ht="12" customHeight="1">
      <c r="A50" s="12" t="s">
        <v>61</v>
      </c>
      <c r="B50" s="430" t="s">
        <v>203</v>
      </c>
      <c r="C50" s="170">
        <v>4061500</v>
      </c>
      <c r="D50" s="170">
        <v>37400000</v>
      </c>
      <c r="E50" s="106">
        <v>39429800</v>
      </c>
    </row>
    <row r="51" spans="1:5" s="178" customFormat="1" ht="12" customHeight="1">
      <c r="A51" s="12" t="s">
        <v>199</v>
      </c>
      <c r="B51" s="430" t="s">
        <v>204</v>
      </c>
      <c r="C51" s="170">
        <v>35000</v>
      </c>
      <c r="D51" s="170"/>
      <c r="E51" s="106"/>
    </row>
    <row r="52" spans="1:5" s="178" customFormat="1" ht="12" customHeight="1">
      <c r="A52" s="12" t="s">
        <v>200</v>
      </c>
      <c r="B52" s="430" t="s">
        <v>205</v>
      </c>
      <c r="C52" s="170"/>
      <c r="D52" s="170"/>
      <c r="E52" s="106"/>
    </row>
    <row r="53" spans="1:5" s="178" customFormat="1" ht="12" customHeight="1" thickBot="1">
      <c r="A53" s="14" t="s">
        <v>201</v>
      </c>
      <c r="B53" s="432" t="s">
        <v>206</v>
      </c>
      <c r="C53" s="171"/>
      <c r="D53" s="171"/>
      <c r="E53" s="107"/>
    </row>
    <row r="54" spans="1:5" s="178" customFormat="1" ht="13.5" thickBot="1">
      <c r="A54" s="18" t="s">
        <v>121</v>
      </c>
      <c r="B54" s="428" t="s">
        <v>207</v>
      </c>
      <c r="C54" s="166">
        <f>SUM(C55:C57)</f>
        <v>1203346</v>
      </c>
      <c r="D54" s="166">
        <f>SUM(D55:D57)</f>
        <v>1600000</v>
      </c>
      <c r="E54" s="102">
        <f>SUM(E55:E57)</f>
        <v>1840000</v>
      </c>
    </row>
    <row r="55" spans="1:5" s="178" customFormat="1" ht="12.75">
      <c r="A55" s="13" t="s">
        <v>62</v>
      </c>
      <c r="B55" s="429" t="s">
        <v>208</v>
      </c>
      <c r="C55" s="168"/>
      <c r="D55" s="168"/>
      <c r="E55" s="104"/>
    </row>
    <row r="56" spans="1:5" s="178" customFormat="1" ht="14.25" customHeight="1">
      <c r="A56" s="12" t="s">
        <v>63</v>
      </c>
      <c r="B56" s="430" t="s">
        <v>537</v>
      </c>
      <c r="C56" s="167">
        <v>1125000</v>
      </c>
      <c r="D56" s="167">
        <v>1600000</v>
      </c>
      <c r="E56" s="103">
        <v>1810000</v>
      </c>
    </row>
    <row r="57" spans="1:5" s="178" customFormat="1" ht="12.75">
      <c r="A57" s="12" t="s">
        <v>211</v>
      </c>
      <c r="B57" s="430" t="s">
        <v>209</v>
      </c>
      <c r="C57" s="167">
        <v>78346</v>
      </c>
      <c r="D57" s="167"/>
      <c r="E57" s="103">
        <v>30000</v>
      </c>
    </row>
    <row r="58" spans="1:5" s="178" customFormat="1" ht="13.5" thickBot="1">
      <c r="A58" s="14" t="s">
        <v>212</v>
      </c>
      <c r="B58" s="432" t="s">
        <v>210</v>
      </c>
      <c r="C58" s="169"/>
      <c r="D58" s="169"/>
      <c r="E58" s="105"/>
    </row>
    <row r="59" spans="1:5" s="178" customFormat="1" ht="13.5" thickBot="1">
      <c r="A59" s="18" t="s">
        <v>13</v>
      </c>
      <c r="B59" s="434" t="s">
        <v>213</v>
      </c>
      <c r="C59" s="166">
        <f>SUM(C60:C62)</f>
        <v>23803934</v>
      </c>
      <c r="D59" s="166">
        <f>SUM(D60:D62)</f>
        <v>13500000</v>
      </c>
      <c r="E59" s="102">
        <f>SUM(E60:E62)</f>
        <v>11720000</v>
      </c>
    </row>
    <row r="60" spans="1:5" s="178" customFormat="1" ht="12.75">
      <c r="A60" s="12" t="s">
        <v>122</v>
      </c>
      <c r="B60" s="429" t="s">
        <v>215</v>
      </c>
      <c r="C60" s="170"/>
      <c r="D60" s="170"/>
      <c r="E60" s="106"/>
    </row>
    <row r="61" spans="1:5" s="178" customFormat="1" ht="12.75" customHeight="1">
      <c r="A61" s="12" t="s">
        <v>123</v>
      </c>
      <c r="B61" s="430" t="s">
        <v>538</v>
      </c>
      <c r="C61" s="170"/>
      <c r="D61" s="170"/>
      <c r="E61" s="106">
        <v>120000</v>
      </c>
    </row>
    <row r="62" spans="1:5" s="178" customFormat="1" ht="12.75">
      <c r="A62" s="12" t="s">
        <v>146</v>
      </c>
      <c r="B62" s="430" t="s">
        <v>216</v>
      </c>
      <c r="C62" s="170">
        <v>23803934</v>
      </c>
      <c r="D62" s="170">
        <v>13500000</v>
      </c>
      <c r="E62" s="106">
        <v>11600000</v>
      </c>
    </row>
    <row r="63" spans="1:5" s="178" customFormat="1" ht="13.5" thickBot="1">
      <c r="A63" s="12" t="s">
        <v>214</v>
      </c>
      <c r="B63" s="432" t="s">
        <v>217</v>
      </c>
      <c r="C63" s="170"/>
      <c r="D63" s="170"/>
      <c r="E63" s="106"/>
    </row>
    <row r="64" spans="1:5" s="178" customFormat="1" ht="13.5" thickBot="1">
      <c r="A64" s="18" t="s">
        <v>14</v>
      </c>
      <c r="B64" s="428" t="s">
        <v>218</v>
      </c>
      <c r="C64" s="172">
        <f>+C9+C16+C23+C30+C37+C48+C54+C59</f>
        <v>1435303917</v>
      </c>
      <c r="D64" s="172">
        <f>+D9+D16+D23+D30+D37+D48+D54+D59</f>
        <v>667033107</v>
      </c>
      <c r="E64" s="208">
        <f>+E9+E16+E23+E30+E37+E48+E54+E59</f>
        <v>762726562</v>
      </c>
    </row>
    <row r="65" spans="1:5" s="178" customFormat="1" ht="13.5" thickBot="1">
      <c r="A65" s="220" t="s">
        <v>219</v>
      </c>
      <c r="B65" s="434" t="s">
        <v>539</v>
      </c>
      <c r="C65" s="166">
        <f>SUM(C66:C68)</f>
        <v>45230518</v>
      </c>
      <c r="D65" s="166">
        <f>SUM(D66:D68)</f>
        <v>50000000</v>
      </c>
      <c r="E65" s="102">
        <f>SUM(E66:E68)</f>
        <v>37577030</v>
      </c>
    </row>
    <row r="66" spans="1:5" s="178" customFormat="1" ht="12.75">
      <c r="A66" s="12" t="s">
        <v>248</v>
      </c>
      <c r="B66" s="429" t="s">
        <v>221</v>
      </c>
      <c r="C66" s="170"/>
      <c r="D66" s="170"/>
      <c r="E66" s="106"/>
    </row>
    <row r="67" spans="1:5" s="178" customFormat="1" ht="12.75">
      <c r="A67" s="12" t="s">
        <v>257</v>
      </c>
      <c r="B67" s="430" t="s">
        <v>222</v>
      </c>
      <c r="C67" s="170">
        <v>45230518</v>
      </c>
      <c r="D67" s="170">
        <v>50000000</v>
      </c>
      <c r="E67" s="106">
        <v>37577030</v>
      </c>
    </row>
    <row r="68" spans="1:5" s="178" customFormat="1" ht="13.5" thickBot="1">
      <c r="A68" s="12" t="s">
        <v>258</v>
      </c>
      <c r="B68" s="225" t="s">
        <v>366</v>
      </c>
      <c r="C68" s="170"/>
      <c r="D68" s="170"/>
      <c r="E68" s="106"/>
    </row>
    <row r="69" spans="1:5" s="178" customFormat="1" ht="13.5" thickBot="1">
      <c r="A69" s="220" t="s">
        <v>224</v>
      </c>
      <c r="B69" s="434" t="s">
        <v>225</v>
      </c>
      <c r="C69" s="166">
        <f>SUM(C70:C73)</f>
        <v>0</v>
      </c>
      <c r="D69" s="166">
        <f>SUM(D70:D73)</f>
        <v>0</v>
      </c>
      <c r="E69" s="102">
        <f>SUM(E70:E73)</f>
        <v>0</v>
      </c>
    </row>
    <row r="70" spans="1:5" s="178" customFormat="1" ht="12.75">
      <c r="A70" s="12" t="s">
        <v>100</v>
      </c>
      <c r="B70" s="435" t="s">
        <v>226</v>
      </c>
      <c r="C70" s="170"/>
      <c r="D70" s="170"/>
      <c r="E70" s="106"/>
    </row>
    <row r="71" spans="1:5" s="178" customFormat="1" ht="12.75">
      <c r="A71" s="12" t="s">
        <v>101</v>
      </c>
      <c r="B71" s="435" t="s">
        <v>503</v>
      </c>
      <c r="C71" s="170"/>
      <c r="D71" s="170"/>
      <c r="E71" s="106"/>
    </row>
    <row r="72" spans="1:5" s="178" customFormat="1" ht="12" customHeight="1">
      <c r="A72" s="12" t="s">
        <v>249</v>
      </c>
      <c r="B72" s="435" t="s">
        <v>227</v>
      </c>
      <c r="C72" s="170"/>
      <c r="D72" s="170"/>
      <c r="E72" s="106"/>
    </row>
    <row r="73" spans="1:5" s="178" customFormat="1" ht="12" customHeight="1" thickBot="1">
      <c r="A73" s="12" t="s">
        <v>250</v>
      </c>
      <c r="B73" s="436" t="s">
        <v>504</v>
      </c>
      <c r="C73" s="170"/>
      <c r="D73" s="170"/>
      <c r="E73" s="106"/>
    </row>
    <row r="74" spans="1:5" s="178" customFormat="1" ht="12" customHeight="1" thickBot="1">
      <c r="A74" s="220" t="s">
        <v>228</v>
      </c>
      <c r="B74" s="434" t="s">
        <v>229</v>
      </c>
      <c r="C74" s="166">
        <f>SUM(C75:C76)</f>
        <v>113834925</v>
      </c>
      <c r="D74" s="166">
        <f>SUM(D75:D76)</f>
        <v>1007075914</v>
      </c>
      <c r="E74" s="102">
        <f>SUM(E75:E76)</f>
        <v>1007075914</v>
      </c>
    </row>
    <row r="75" spans="1:5" s="178" customFormat="1" ht="12" customHeight="1">
      <c r="A75" s="12" t="s">
        <v>251</v>
      </c>
      <c r="B75" s="429" t="s">
        <v>230</v>
      </c>
      <c r="C75" s="170">
        <v>113834925</v>
      </c>
      <c r="D75" s="170">
        <v>1007075914</v>
      </c>
      <c r="E75" s="170">
        <v>1007075914</v>
      </c>
    </row>
    <row r="76" spans="1:5" s="178" customFormat="1" ht="12" customHeight="1" thickBot="1">
      <c r="A76" s="12" t="s">
        <v>252</v>
      </c>
      <c r="B76" s="432" t="s">
        <v>231</v>
      </c>
      <c r="C76" s="170"/>
      <c r="D76" s="170"/>
      <c r="E76" s="106"/>
    </row>
    <row r="77" spans="1:5" s="178" customFormat="1" ht="12" customHeight="1" thickBot="1">
      <c r="A77" s="220" t="s">
        <v>232</v>
      </c>
      <c r="B77" s="434" t="s">
        <v>233</v>
      </c>
      <c r="C77" s="166">
        <f>SUM(C78:C80)</f>
        <v>8601631</v>
      </c>
      <c r="D77" s="166">
        <f>SUM(D78:D80)</f>
        <v>0</v>
      </c>
      <c r="E77" s="102">
        <f>SUM(E78:E80)</f>
        <v>8583031</v>
      </c>
    </row>
    <row r="78" spans="1:5" s="178" customFormat="1" ht="12" customHeight="1">
      <c r="A78" s="12" t="s">
        <v>253</v>
      </c>
      <c r="B78" s="429" t="s">
        <v>234</v>
      </c>
      <c r="C78" s="170">
        <v>8601631</v>
      </c>
      <c r="D78" s="170"/>
      <c r="E78" s="106">
        <v>8583031</v>
      </c>
    </row>
    <row r="79" spans="1:5" s="178" customFormat="1" ht="12" customHeight="1">
      <c r="A79" s="12" t="s">
        <v>254</v>
      </c>
      <c r="B79" s="430" t="s">
        <v>235</v>
      </c>
      <c r="C79" s="170"/>
      <c r="D79" s="170"/>
      <c r="E79" s="106"/>
    </row>
    <row r="80" spans="1:5" s="178" customFormat="1" ht="12" customHeight="1" thickBot="1">
      <c r="A80" s="12" t="s">
        <v>255</v>
      </c>
      <c r="B80" s="437" t="s">
        <v>540</v>
      </c>
      <c r="C80" s="170"/>
      <c r="D80" s="170"/>
      <c r="E80" s="106"/>
    </row>
    <row r="81" spans="1:5" s="178" customFormat="1" ht="12" customHeight="1" thickBot="1">
      <c r="A81" s="220" t="s">
        <v>236</v>
      </c>
      <c r="B81" s="434" t="s">
        <v>256</v>
      </c>
      <c r="C81" s="166">
        <f>SUM(C82:C85)</f>
        <v>0</v>
      </c>
      <c r="D81" s="166">
        <f>SUM(D82:D85)</f>
        <v>0</v>
      </c>
      <c r="E81" s="102">
        <f>SUM(E82:E85)</f>
        <v>0</v>
      </c>
    </row>
    <row r="82" spans="1:5" s="178" customFormat="1" ht="12" customHeight="1">
      <c r="A82" s="438" t="s">
        <v>237</v>
      </c>
      <c r="B82" s="429" t="s">
        <v>238</v>
      </c>
      <c r="C82" s="170"/>
      <c r="D82" s="170"/>
      <c r="E82" s="106"/>
    </row>
    <row r="83" spans="1:5" s="178" customFormat="1" ht="12" customHeight="1">
      <c r="A83" s="439" t="s">
        <v>239</v>
      </c>
      <c r="B83" s="430" t="s">
        <v>240</v>
      </c>
      <c r="C83" s="170"/>
      <c r="D83" s="170"/>
      <c r="E83" s="106"/>
    </row>
    <row r="84" spans="1:5" s="178" customFormat="1" ht="12" customHeight="1">
      <c r="A84" s="439" t="s">
        <v>241</v>
      </c>
      <c r="B84" s="430" t="s">
        <v>242</v>
      </c>
      <c r="C84" s="170"/>
      <c r="D84" s="170"/>
      <c r="E84" s="106"/>
    </row>
    <row r="85" spans="1:5" s="178" customFormat="1" ht="12" customHeight="1" thickBot="1">
      <c r="A85" s="440" t="s">
        <v>243</v>
      </c>
      <c r="B85" s="432" t="s">
        <v>244</v>
      </c>
      <c r="C85" s="170"/>
      <c r="D85" s="170"/>
      <c r="E85" s="106"/>
    </row>
    <row r="86" spans="1:5" s="178" customFormat="1" ht="12" customHeight="1" thickBot="1">
      <c r="A86" s="220" t="s">
        <v>245</v>
      </c>
      <c r="B86" s="434" t="s">
        <v>246</v>
      </c>
      <c r="C86" s="222"/>
      <c r="D86" s="222"/>
      <c r="E86" s="223"/>
    </row>
    <row r="87" spans="1:5" s="178" customFormat="1" ht="13.5" customHeight="1" thickBot="1">
      <c r="A87" s="220" t="s">
        <v>247</v>
      </c>
      <c r="B87" s="441" t="s">
        <v>541</v>
      </c>
      <c r="C87" s="172">
        <f>+C65+C69+C74+C77+C81+C86</f>
        <v>167667074</v>
      </c>
      <c r="D87" s="172">
        <f>+D65+D69+D74+D77+D81+D86</f>
        <v>1057075914</v>
      </c>
      <c r="E87" s="208">
        <f>+E65+E69+E74+E77+E81+E86</f>
        <v>1053235975</v>
      </c>
    </row>
    <row r="88" spans="1:5" s="178" customFormat="1" ht="12" customHeight="1" thickBot="1">
      <c r="A88" s="221" t="s">
        <v>259</v>
      </c>
      <c r="B88" s="442" t="s">
        <v>542</v>
      </c>
      <c r="C88" s="172">
        <f>+C64+C87</f>
        <v>1602970991</v>
      </c>
      <c r="D88" s="172">
        <f>+D64+D87</f>
        <v>1724109021</v>
      </c>
      <c r="E88" s="208">
        <f>+E64+E87</f>
        <v>1815962537</v>
      </c>
    </row>
    <row r="89" spans="1:5" ht="16.5" customHeight="1">
      <c r="A89" s="771" t="s">
        <v>34</v>
      </c>
      <c r="B89" s="771"/>
      <c r="C89" s="771"/>
      <c r="D89" s="771"/>
      <c r="E89" s="771"/>
    </row>
    <row r="90" spans="1:5" s="188" customFormat="1" ht="16.5" customHeight="1" thickBot="1">
      <c r="A90" s="443" t="s">
        <v>103</v>
      </c>
      <c r="B90" s="443"/>
      <c r="C90" s="443"/>
      <c r="D90" s="60"/>
      <c r="E90" s="60" t="str">
        <f>E5</f>
        <v>Forintban</v>
      </c>
    </row>
    <row r="91" spans="1:5" s="188" customFormat="1" ht="16.5" customHeight="1">
      <c r="A91" s="843" t="s">
        <v>52</v>
      </c>
      <c r="B91" s="767" t="s">
        <v>424</v>
      </c>
      <c r="C91" s="764" t="str">
        <f>+C6</f>
        <v>2017. évi tény</v>
      </c>
      <c r="D91" s="846" t="str">
        <f>+D6</f>
        <v>2018. évi</v>
      </c>
      <c r="E91" s="847"/>
    </row>
    <row r="92" spans="1:5" ht="37.5" customHeight="1" thickBot="1">
      <c r="A92" s="844"/>
      <c r="B92" s="845"/>
      <c r="C92" s="765"/>
      <c r="D92" s="245" t="s">
        <v>462</v>
      </c>
      <c r="E92" s="427" t="s">
        <v>450</v>
      </c>
    </row>
    <row r="93" spans="1:5" s="177" customFormat="1" ht="12" customHeight="1" thickBot="1">
      <c r="A93" s="25" t="s">
        <v>389</v>
      </c>
      <c r="B93" s="26" t="s">
        <v>390</v>
      </c>
      <c r="C93" s="26" t="s">
        <v>391</v>
      </c>
      <c r="D93" s="26" t="s">
        <v>392</v>
      </c>
      <c r="E93" s="444" t="s">
        <v>394</v>
      </c>
    </row>
    <row r="94" spans="1:5" ht="12" customHeight="1" thickBot="1">
      <c r="A94" s="20" t="s">
        <v>6</v>
      </c>
      <c r="B94" s="24" t="s">
        <v>543</v>
      </c>
      <c r="C94" s="165">
        <f>SUM(C95:C99)</f>
        <v>453000419</v>
      </c>
      <c r="D94" s="165">
        <f>+D95+D96+D97+D98+D99</f>
        <v>579831727</v>
      </c>
      <c r="E94" s="232">
        <f>+E95+E96+E97+E98+E99</f>
        <v>492167956</v>
      </c>
    </row>
    <row r="95" spans="1:5" ht="12" customHeight="1">
      <c r="A95" s="15" t="s">
        <v>64</v>
      </c>
      <c r="B95" s="445" t="s">
        <v>35</v>
      </c>
      <c r="C95" s="239">
        <v>173466321</v>
      </c>
      <c r="D95" s="239">
        <v>210455271</v>
      </c>
      <c r="E95" s="233">
        <v>192259671</v>
      </c>
    </row>
    <row r="96" spans="1:5" ht="12" customHeight="1">
      <c r="A96" s="12" t="s">
        <v>65</v>
      </c>
      <c r="B96" s="446" t="s">
        <v>124</v>
      </c>
      <c r="C96" s="167">
        <v>32961500</v>
      </c>
      <c r="D96" s="167">
        <v>37547922</v>
      </c>
      <c r="E96" s="103">
        <v>34819709</v>
      </c>
    </row>
    <row r="97" spans="1:5" ht="12" customHeight="1">
      <c r="A97" s="12" t="s">
        <v>66</v>
      </c>
      <c r="B97" s="446" t="s">
        <v>92</v>
      </c>
      <c r="C97" s="169">
        <v>121655335</v>
      </c>
      <c r="D97" s="169">
        <v>195340120</v>
      </c>
      <c r="E97" s="105">
        <v>140065793</v>
      </c>
    </row>
    <row r="98" spans="1:5" ht="12" customHeight="1">
      <c r="A98" s="12" t="s">
        <v>67</v>
      </c>
      <c r="B98" s="447" t="s">
        <v>125</v>
      </c>
      <c r="C98" s="169">
        <v>12902545</v>
      </c>
      <c r="D98" s="169">
        <v>12424000</v>
      </c>
      <c r="E98" s="105">
        <v>12300732</v>
      </c>
    </row>
    <row r="99" spans="1:5" ht="12" customHeight="1">
      <c r="A99" s="12" t="s">
        <v>76</v>
      </c>
      <c r="B99" s="448" t="s">
        <v>126</v>
      </c>
      <c r="C99" s="169">
        <v>112014718</v>
      </c>
      <c r="D99" s="169">
        <v>124064414</v>
      </c>
      <c r="E99" s="105">
        <v>112722051</v>
      </c>
    </row>
    <row r="100" spans="1:5" ht="12" customHeight="1">
      <c r="A100" s="12" t="s">
        <v>68</v>
      </c>
      <c r="B100" s="446" t="s">
        <v>544</v>
      </c>
      <c r="C100" s="169"/>
      <c r="D100" s="169">
        <v>27233</v>
      </c>
      <c r="E100" s="105">
        <v>27233</v>
      </c>
    </row>
    <row r="101" spans="1:5" ht="12" customHeight="1">
      <c r="A101" s="12" t="s">
        <v>69</v>
      </c>
      <c r="B101" s="449" t="s">
        <v>262</v>
      </c>
      <c r="C101" s="169"/>
      <c r="D101" s="169"/>
      <c r="E101" s="105"/>
    </row>
    <row r="102" spans="1:5" ht="12" customHeight="1">
      <c r="A102" s="12" t="s">
        <v>77</v>
      </c>
      <c r="B102" s="446" t="s">
        <v>263</v>
      </c>
      <c r="C102" s="169"/>
      <c r="D102" s="169"/>
      <c r="E102" s="105"/>
    </row>
    <row r="103" spans="1:5" ht="12" customHeight="1">
      <c r="A103" s="12" t="s">
        <v>78</v>
      </c>
      <c r="B103" s="446" t="s">
        <v>264</v>
      </c>
      <c r="C103" s="169">
        <v>102214803</v>
      </c>
      <c r="D103" s="169">
        <v>99327181</v>
      </c>
      <c r="E103" s="105">
        <v>99187181</v>
      </c>
    </row>
    <row r="104" spans="1:5" ht="12" customHeight="1">
      <c r="A104" s="12" t="s">
        <v>79</v>
      </c>
      <c r="B104" s="449" t="s">
        <v>265</v>
      </c>
      <c r="C104" s="169"/>
      <c r="D104" s="169"/>
      <c r="E104" s="105"/>
    </row>
    <row r="105" spans="1:5" ht="12" customHeight="1">
      <c r="A105" s="12" t="s">
        <v>80</v>
      </c>
      <c r="B105" s="449" t="s">
        <v>266</v>
      </c>
      <c r="C105" s="169"/>
      <c r="D105" s="169"/>
      <c r="E105" s="105"/>
    </row>
    <row r="106" spans="1:5" ht="12" customHeight="1">
      <c r="A106" s="12" t="s">
        <v>82</v>
      </c>
      <c r="B106" s="446" t="s">
        <v>267</v>
      </c>
      <c r="C106" s="169">
        <v>3600000</v>
      </c>
      <c r="D106" s="169">
        <v>10000000</v>
      </c>
      <c r="E106" s="105">
        <v>6540000</v>
      </c>
    </row>
    <row r="107" spans="1:5" ht="12" customHeight="1">
      <c r="A107" s="11" t="s">
        <v>127</v>
      </c>
      <c r="B107" s="450" t="s">
        <v>268</v>
      </c>
      <c r="C107" s="169"/>
      <c r="D107" s="169"/>
      <c r="E107" s="105"/>
    </row>
    <row r="108" spans="1:5" ht="12" customHeight="1">
      <c r="A108" s="12" t="s">
        <v>260</v>
      </c>
      <c r="B108" s="450" t="s">
        <v>269</v>
      </c>
      <c r="C108" s="169"/>
      <c r="D108" s="169"/>
      <c r="E108" s="105"/>
    </row>
    <row r="109" spans="1:5" ht="12" customHeight="1" thickBot="1">
      <c r="A109" s="16" t="s">
        <v>261</v>
      </c>
      <c r="B109" s="451" t="s">
        <v>270</v>
      </c>
      <c r="C109" s="240">
        <v>6199915</v>
      </c>
      <c r="D109" s="240">
        <v>14710000</v>
      </c>
      <c r="E109" s="234">
        <v>6967637</v>
      </c>
    </row>
    <row r="110" spans="1:5" ht="12" customHeight="1" thickBot="1">
      <c r="A110" s="18" t="s">
        <v>7</v>
      </c>
      <c r="B110" s="23" t="s">
        <v>545</v>
      </c>
      <c r="C110" s="166">
        <f>+C111+C113+C115</f>
        <v>89289051</v>
      </c>
      <c r="D110" s="166">
        <f>+D111+D113+D115</f>
        <v>1070564922</v>
      </c>
      <c r="E110" s="102">
        <f>+E111+E113+E115</f>
        <v>141907624</v>
      </c>
    </row>
    <row r="111" spans="1:5" ht="12" customHeight="1">
      <c r="A111" s="13" t="s">
        <v>70</v>
      </c>
      <c r="B111" s="446" t="s">
        <v>145</v>
      </c>
      <c r="C111" s="168">
        <v>48367070</v>
      </c>
      <c r="D111" s="168">
        <v>917262531</v>
      </c>
      <c r="E111" s="104">
        <v>132575138</v>
      </c>
    </row>
    <row r="112" spans="1:5" ht="12" customHeight="1">
      <c r="A112" s="13" t="s">
        <v>71</v>
      </c>
      <c r="B112" s="450" t="s">
        <v>275</v>
      </c>
      <c r="C112" s="168">
        <v>7643401</v>
      </c>
      <c r="D112" s="250">
        <v>841061550</v>
      </c>
      <c r="E112" s="104">
        <v>64530983</v>
      </c>
    </row>
    <row r="113" spans="1:5" ht="15.75">
      <c r="A113" s="13" t="s">
        <v>72</v>
      </c>
      <c r="B113" s="450" t="s">
        <v>128</v>
      </c>
      <c r="C113" s="167">
        <v>39753581</v>
      </c>
      <c r="D113" s="167">
        <v>152852391</v>
      </c>
      <c r="E113" s="103">
        <v>8882486</v>
      </c>
    </row>
    <row r="114" spans="1:5" ht="12" customHeight="1">
      <c r="A114" s="13" t="s">
        <v>73</v>
      </c>
      <c r="B114" s="450" t="s">
        <v>276</v>
      </c>
      <c r="C114" s="167">
        <v>31840951</v>
      </c>
      <c r="D114" s="251">
        <v>145169449</v>
      </c>
      <c r="E114" s="103">
        <v>6921500</v>
      </c>
    </row>
    <row r="115" spans="1:5" ht="12" customHeight="1">
      <c r="A115" s="13" t="s">
        <v>74</v>
      </c>
      <c r="B115" s="432" t="s">
        <v>147</v>
      </c>
      <c r="C115" s="167">
        <v>1168400</v>
      </c>
      <c r="D115" s="167">
        <v>450000</v>
      </c>
      <c r="E115" s="103">
        <v>450000</v>
      </c>
    </row>
    <row r="116" spans="1:5" ht="15.75">
      <c r="A116" s="13" t="s">
        <v>81</v>
      </c>
      <c r="B116" s="430" t="s">
        <v>335</v>
      </c>
      <c r="C116" s="167"/>
      <c r="D116" s="167"/>
      <c r="E116" s="103"/>
    </row>
    <row r="117" spans="1:5" ht="15.75">
      <c r="A117" s="13" t="s">
        <v>83</v>
      </c>
      <c r="B117" s="452" t="s">
        <v>281</v>
      </c>
      <c r="C117" s="167"/>
      <c r="D117" s="167"/>
      <c r="E117" s="103"/>
    </row>
    <row r="118" spans="1:5" ht="12" customHeight="1">
      <c r="A118" s="13" t="s">
        <v>129</v>
      </c>
      <c r="B118" s="446" t="s">
        <v>264</v>
      </c>
      <c r="C118" s="167"/>
      <c r="D118" s="167"/>
      <c r="E118" s="103"/>
    </row>
    <row r="119" spans="1:5" ht="12" customHeight="1">
      <c r="A119" s="13" t="s">
        <v>130</v>
      </c>
      <c r="B119" s="446" t="s">
        <v>280</v>
      </c>
      <c r="C119" s="167"/>
      <c r="D119" s="167"/>
      <c r="E119" s="103"/>
    </row>
    <row r="120" spans="1:5" ht="12" customHeight="1">
      <c r="A120" s="13" t="s">
        <v>131</v>
      </c>
      <c r="B120" s="446" t="s">
        <v>279</v>
      </c>
      <c r="C120" s="167"/>
      <c r="D120" s="167"/>
      <c r="E120" s="103"/>
    </row>
    <row r="121" spans="1:5" s="453" customFormat="1" ht="12" customHeight="1">
      <c r="A121" s="13" t="s">
        <v>272</v>
      </c>
      <c r="B121" s="446" t="s">
        <v>267</v>
      </c>
      <c r="C121" s="167"/>
      <c r="D121" s="167">
        <v>450000</v>
      </c>
      <c r="E121" s="103">
        <v>450000</v>
      </c>
    </row>
    <row r="122" spans="1:5" ht="12" customHeight="1">
      <c r="A122" s="13" t="s">
        <v>273</v>
      </c>
      <c r="B122" s="446" t="s">
        <v>278</v>
      </c>
      <c r="C122" s="167"/>
      <c r="D122" s="167"/>
      <c r="E122" s="103"/>
    </row>
    <row r="123" spans="1:5" ht="12" customHeight="1" thickBot="1">
      <c r="A123" s="11" t="s">
        <v>274</v>
      </c>
      <c r="B123" s="446" t="s">
        <v>277</v>
      </c>
      <c r="C123" s="169">
        <v>1168400</v>
      </c>
      <c r="D123" s="169"/>
      <c r="E123" s="105"/>
    </row>
    <row r="124" spans="1:5" ht="12" customHeight="1" thickBot="1">
      <c r="A124" s="18" t="s">
        <v>8</v>
      </c>
      <c r="B124" s="454" t="s">
        <v>546</v>
      </c>
      <c r="C124" s="166">
        <f>+C125+C126</f>
        <v>0</v>
      </c>
      <c r="D124" s="166">
        <f>+D125+D126</f>
        <v>15110741</v>
      </c>
      <c r="E124" s="102">
        <f>+E125+E126</f>
        <v>0</v>
      </c>
    </row>
    <row r="125" spans="1:5" ht="12" customHeight="1">
      <c r="A125" s="13" t="s">
        <v>53</v>
      </c>
      <c r="B125" s="452" t="s">
        <v>547</v>
      </c>
      <c r="C125" s="168"/>
      <c r="D125" s="168">
        <v>15110741</v>
      </c>
      <c r="E125" s="104"/>
    </row>
    <row r="126" spans="1:5" ht="12" customHeight="1" thickBot="1">
      <c r="A126" s="14" t="s">
        <v>54</v>
      </c>
      <c r="B126" s="450" t="s">
        <v>548</v>
      </c>
      <c r="C126" s="169"/>
      <c r="D126" s="169"/>
      <c r="E126" s="105"/>
    </row>
    <row r="127" spans="1:5" ht="12" customHeight="1" thickBot="1">
      <c r="A127" s="18" t="s">
        <v>9</v>
      </c>
      <c r="B127" s="454" t="s">
        <v>549</v>
      </c>
      <c r="C127" s="166">
        <f>+C94+C110+C124</f>
        <v>542289470</v>
      </c>
      <c r="D127" s="166">
        <f>+D94+D110+D124</f>
        <v>1665507390</v>
      </c>
      <c r="E127" s="102">
        <f>+E94+E110+E124</f>
        <v>634075580</v>
      </c>
    </row>
    <row r="128" spans="1:5" ht="12" customHeight="1" thickBot="1">
      <c r="A128" s="18" t="s">
        <v>10</v>
      </c>
      <c r="B128" s="454" t="s">
        <v>550</v>
      </c>
      <c r="C128" s="166">
        <f>+C129+C130+C131</f>
        <v>45230518</v>
      </c>
      <c r="D128" s="166">
        <f>+D129+D130+D131</f>
        <v>50000000</v>
      </c>
      <c r="E128" s="102">
        <f>+E129+E130+E131</f>
        <v>37577030</v>
      </c>
    </row>
    <row r="129" spans="1:5" ht="12" customHeight="1">
      <c r="A129" s="13" t="s">
        <v>57</v>
      </c>
      <c r="B129" s="452" t="s">
        <v>408</v>
      </c>
      <c r="C129" s="167"/>
      <c r="D129" s="167"/>
      <c r="E129" s="103"/>
    </row>
    <row r="130" spans="1:5" ht="12" customHeight="1">
      <c r="A130" s="13" t="s">
        <v>58</v>
      </c>
      <c r="B130" s="452" t="s">
        <v>362</v>
      </c>
      <c r="C130" s="167">
        <v>45230518</v>
      </c>
      <c r="D130" s="167">
        <v>50000000</v>
      </c>
      <c r="E130" s="103">
        <v>37577030</v>
      </c>
    </row>
    <row r="131" spans="1:5" ht="12" customHeight="1" thickBot="1">
      <c r="A131" s="11" t="s">
        <v>59</v>
      </c>
      <c r="B131" s="455" t="s">
        <v>407</v>
      </c>
      <c r="C131" s="167"/>
      <c r="D131" s="167"/>
      <c r="E131" s="103"/>
    </row>
    <row r="132" spans="1:5" ht="12" customHeight="1" thickBot="1">
      <c r="A132" s="18" t="s">
        <v>11</v>
      </c>
      <c r="B132" s="454" t="s">
        <v>551</v>
      </c>
      <c r="C132" s="166">
        <f>+C133+C134+C135+C136</f>
        <v>0</v>
      </c>
      <c r="D132" s="166">
        <f>+D133+D134+D135+D136</f>
        <v>0</v>
      </c>
      <c r="E132" s="102">
        <f>+E133+E134+E135+E136</f>
        <v>0</v>
      </c>
    </row>
    <row r="133" spans="1:5" ht="12" customHeight="1">
      <c r="A133" s="13" t="s">
        <v>60</v>
      </c>
      <c r="B133" s="452" t="s">
        <v>364</v>
      </c>
      <c r="C133" s="167"/>
      <c r="D133" s="167"/>
      <c r="E133" s="103"/>
    </row>
    <row r="134" spans="1:5" ht="12" customHeight="1">
      <c r="A134" s="13" t="s">
        <v>61</v>
      </c>
      <c r="B134" s="452" t="s">
        <v>552</v>
      </c>
      <c r="C134" s="167"/>
      <c r="D134" s="167"/>
      <c r="E134" s="103"/>
    </row>
    <row r="135" spans="1:5" ht="12" customHeight="1">
      <c r="A135" s="13" t="s">
        <v>199</v>
      </c>
      <c r="B135" s="452" t="s">
        <v>356</v>
      </c>
      <c r="C135" s="167"/>
      <c r="D135" s="167"/>
      <c r="E135" s="103"/>
    </row>
    <row r="136" spans="1:5" ht="12" customHeight="1" thickBot="1">
      <c r="A136" s="11" t="s">
        <v>200</v>
      </c>
      <c r="B136" s="455" t="s">
        <v>553</v>
      </c>
      <c r="C136" s="167"/>
      <c r="D136" s="167"/>
      <c r="E136" s="103"/>
    </row>
    <row r="137" spans="1:5" ht="12" customHeight="1" thickBot="1">
      <c r="A137" s="18" t="s">
        <v>12</v>
      </c>
      <c r="B137" s="454" t="s">
        <v>554</v>
      </c>
      <c r="C137" s="172">
        <f>+C138+C139+C140+C141</f>
        <v>8375089</v>
      </c>
      <c r="D137" s="172">
        <f>+D138+D139+D140+D141</f>
        <v>8601631</v>
      </c>
      <c r="E137" s="208">
        <f>+E138+E139+E140+E141</f>
        <v>8601631</v>
      </c>
    </row>
    <row r="138" spans="1:5" ht="12" customHeight="1">
      <c r="A138" s="13" t="s">
        <v>62</v>
      </c>
      <c r="B138" s="452" t="s">
        <v>282</v>
      </c>
      <c r="C138" s="167"/>
      <c r="D138" s="167"/>
      <c r="E138" s="103"/>
    </row>
    <row r="139" spans="1:5" ht="12" customHeight="1">
      <c r="A139" s="13" t="s">
        <v>63</v>
      </c>
      <c r="B139" s="452" t="s">
        <v>283</v>
      </c>
      <c r="C139" s="167">
        <v>8375089</v>
      </c>
      <c r="D139" s="167">
        <v>8601631</v>
      </c>
      <c r="E139" s="103">
        <v>8601631</v>
      </c>
    </row>
    <row r="140" spans="1:5" ht="12" customHeight="1">
      <c r="A140" s="13" t="s">
        <v>211</v>
      </c>
      <c r="B140" s="452" t="s">
        <v>555</v>
      </c>
      <c r="C140" s="167"/>
      <c r="D140" s="167"/>
      <c r="E140" s="103"/>
    </row>
    <row r="141" spans="1:5" ht="12" customHeight="1" thickBot="1">
      <c r="A141" s="11" t="s">
        <v>212</v>
      </c>
      <c r="B141" s="455" t="s">
        <v>299</v>
      </c>
      <c r="C141" s="167"/>
      <c r="D141" s="167"/>
      <c r="E141" s="103"/>
    </row>
    <row r="142" spans="1:9" ht="15" customHeight="1" thickBot="1">
      <c r="A142" s="18" t="s">
        <v>13</v>
      </c>
      <c r="B142" s="454" t="s">
        <v>556</v>
      </c>
      <c r="C142" s="242">
        <f>+C143+C144+C145+C146</f>
        <v>0</v>
      </c>
      <c r="D142" s="242">
        <f>+D143+D144+D145+D146</f>
        <v>0</v>
      </c>
      <c r="E142" s="236">
        <f>+E143+E144+E145+E146</f>
        <v>0</v>
      </c>
      <c r="F142" s="189"/>
      <c r="G142" s="190"/>
      <c r="H142" s="190"/>
      <c r="I142" s="190"/>
    </row>
    <row r="143" spans="1:5" s="178" customFormat="1" ht="12.75" customHeight="1">
      <c r="A143" s="13" t="s">
        <v>122</v>
      </c>
      <c r="B143" s="452" t="s">
        <v>557</v>
      </c>
      <c r="C143" s="167"/>
      <c r="D143" s="167"/>
      <c r="E143" s="103"/>
    </row>
    <row r="144" spans="1:5" ht="13.5" customHeight="1">
      <c r="A144" s="13" t="s">
        <v>123</v>
      </c>
      <c r="B144" s="452" t="s">
        <v>558</v>
      </c>
      <c r="C144" s="167"/>
      <c r="D144" s="167"/>
      <c r="E144" s="103"/>
    </row>
    <row r="145" spans="1:5" ht="13.5" customHeight="1">
      <c r="A145" s="13" t="s">
        <v>146</v>
      </c>
      <c r="B145" s="452" t="s">
        <v>559</v>
      </c>
      <c r="C145" s="167"/>
      <c r="D145" s="167"/>
      <c r="E145" s="103"/>
    </row>
    <row r="146" spans="1:5" ht="13.5" customHeight="1" thickBot="1">
      <c r="A146" s="13" t="s">
        <v>214</v>
      </c>
      <c r="B146" s="452" t="s">
        <v>560</v>
      </c>
      <c r="C146" s="167"/>
      <c r="D146" s="167"/>
      <c r="E146" s="103"/>
    </row>
    <row r="147" spans="1:5" ht="12.75" customHeight="1" thickBot="1">
      <c r="A147" s="18" t="s">
        <v>14</v>
      </c>
      <c r="B147" s="454" t="s">
        <v>561</v>
      </c>
      <c r="C147" s="244">
        <f>+C128+C132+C137+C142</f>
        <v>53605607</v>
      </c>
      <c r="D147" s="244">
        <f>+D128+D132+D137+D142</f>
        <v>58601631</v>
      </c>
      <c r="E147" s="238">
        <f>+E128+E132+E137+E142</f>
        <v>46178661</v>
      </c>
    </row>
    <row r="148" spans="1:5" ht="13.5" customHeight="1" thickBot="1">
      <c r="A148" s="112" t="s">
        <v>15</v>
      </c>
      <c r="B148" s="456" t="s">
        <v>562</v>
      </c>
      <c r="C148" s="244">
        <f>+C127+C147</f>
        <v>595895077</v>
      </c>
      <c r="D148" s="244">
        <f>+D127+D147</f>
        <v>1724109021</v>
      </c>
      <c r="E148" s="238">
        <f>+E127+E147</f>
        <v>680254241</v>
      </c>
    </row>
    <row r="149" spans="3:4" ht="13.5" customHeight="1">
      <c r="C149" s="657"/>
      <c r="D149" s="657">
        <f>D88-D148</f>
        <v>0</v>
      </c>
    </row>
    <row r="150" ht="13.5" customHeight="1"/>
    <row r="151" ht="7.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</sheetData>
  <sheetProtection sheet="1"/>
  <mergeCells count="13">
    <mergeCell ref="A1:E1"/>
    <mergeCell ref="A2:E2"/>
    <mergeCell ref="A3:E3"/>
    <mergeCell ref="A4:E4"/>
    <mergeCell ref="A6:A7"/>
    <mergeCell ref="B6:B7"/>
    <mergeCell ref="C6:C7"/>
    <mergeCell ref="D6:E6"/>
    <mergeCell ref="A89:E89"/>
    <mergeCell ref="A91:A92"/>
    <mergeCell ref="B91:B92"/>
    <mergeCell ref="C91:C92"/>
    <mergeCell ref="D91:E91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7" r:id="rId1"/>
  <rowBreaks count="1" manualBreakCount="1">
    <brk id="88" max="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"/>
  <sheetViews>
    <sheetView zoomScale="120" zoomScaleNormal="120" workbookViewId="0" topLeftCell="A1">
      <selection activeCell="O15" sqref="O15"/>
    </sheetView>
  </sheetViews>
  <sheetFormatPr defaultColWidth="9.00390625" defaultRowHeight="12.75"/>
  <cols>
    <col min="1" max="1" width="6.875" style="28" customWidth="1"/>
    <col min="2" max="2" width="32.3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0" ht="15.75">
      <c r="A1" s="779" t="s">
        <v>763</v>
      </c>
      <c r="B1" s="850"/>
      <c r="C1" s="850"/>
      <c r="D1" s="850"/>
      <c r="E1" s="850"/>
      <c r="F1" s="850"/>
      <c r="G1" s="850"/>
      <c r="H1" s="850"/>
      <c r="I1" s="850"/>
      <c r="J1" s="850"/>
    </row>
    <row r="2" spans="1:11" ht="14.25" thickBot="1">
      <c r="A2" s="399"/>
      <c r="B2" s="400"/>
      <c r="C2" s="400"/>
      <c r="D2" s="400"/>
      <c r="E2" s="400"/>
      <c r="F2" s="400"/>
      <c r="G2" s="400"/>
      <c r="H2" s="400"/>
      <c r="I2" s="400"/>
      <c r="J2" s="408" t="str">
        <f>'Z_1.tájékoztató_t.'!E5</f>
        <v>Forintban</v>
      </c>
      <c r="K2" s="778" t="str">
        <f>CONCATENATE("2. tájékoztató tábla ",Z_ALAPADATOK!A7," ",Z_ALAPADATOK!B7," ",Z_ALAPADATOK!C7," ",Z_ALAPADATOK!D7," ",Z_ALAPADATOK!E7," ",Z_ALAPADATOK!F7," ",Z_ALAPADATOK!G7," ",Z_ALAPADATOK!H7)</f>
        <v>2. tájékoztató tábla a … / 2019. ( … ) önkormányzati rendelethez</v>
      </c>
    </row>
    <row r="3" spans="1:11" s="460" customFormat="1" ht="26.25" customHeight="1">
      <c r="A3" s="851" t="s">
        <v>52</v>
      </c>
      <c r="B3" s="853" t="s">
        <v>563</v>
      </c>
      <c r="C3" s="853" t="s">
        <v>564</v>
      </c>
      <c r="D3" s="853" t="s">
        <v>565</v>
      </c>
      <c r="E3" s="853" t="s">
        <v>860</v>
      </c>
      <c r="F3" s="457" t="s">
        <v>566</v>
      </c>
      <c r="G3" s="458"/>
      <c r="H3" s="458"/>
      <c r="I3" s="459"/>
      <c r="J3" s="856" t="s">
        <v>567</v>
      </c>
      <c r="K3" s="778"/>
    </row>
    <row r="4" spans="1:11" s="464" customFormat="1" ht="32.25" customHeight="1" thickBot="1">
      <c r="A4" s="852"/>
      <c r="B4" s="854"/>
      <c r="C4" s="854"/>
      <c r="D4" s="855"/>
      <c r="E4" s="855"/>
      <c r="F4" s="461" t="s">
        <v>832</v>
      </c>
      <c r="G4" s="462" t="s">
        <v>765</v>
      </c>
      <c r="H4" s="462" t="s">
        <v>766</v>
      </c>
      <c r="I4" s="463" t="s">
        <v>767</v>
      </c>
      <c r="J4" s="857"/>
      <c r="K4" s="778"/>
    </row>
    <row r="5" spans="1:11" s="469" customFormat="1" ht="13.5" customHeight="1" thickBot="1">
      <c r="A5" s="465" t="s">
        <v>389</v>
      </c>
      <c r="B5" s="466" t="s">
        <v>568</v>
      </c>
      <c r="C5" s="467" t="s">
        <v>391</v>
      </c>
      <c r="D5" s="467" t="s">
        <v>393</v>
      </c>
      <c r="E5" s="467" t="s">
        <v>392</v>
      </c>
      <c r="F5" s="467" t="s">
        <v>394</v>
      </c>
      <c r="G5" s="467" t="s">
        <v>395</v>
      </c>
      <c r="H5" s="467" t="s">
        <v>396</v>
      </c>
      <c r="I5" s="467" t="s">
        <v>427</v>
      </c>
      <c r="J5" s="468" t="s">
        <v>569</v>
      </c>
      <c r="K5" s="778"/>
    </row>
    <row r="6" spans="1:11" ht="33.75" customHeight="1">
      <c r="A6" s="470" t="s">
        <v>6</v>
      </c>
      <c r="B6" s="699" t="s">
        <v>950</v>
      </c>
      <c r="C6" s="471"/>
      <c r="D6" s="472">
        <v>0</v>
      </c>
      <c r="E6" s="472">
        <v>0</v>
      </c>
      <c r="F6" s="472">
        <v>0</v>
      </c>
      <c r="G6" s="472">
        <v>0</v>
      </c>
      <c r="H6" s="472">
        <v>0</v>
      </c>
      <c r="I6" s="472">
        <v>0</v>
      </c>
      <c r="J6" s="473">
        <f aca="true" t="shared" si="0" ref="J6:J19">SUM(F6:I6)</f>
        <v>0</v>
      </c>
      <c r="K6" s="778"/>
    </row>
    <row r="7" spans="1:11" ht="33" customHeight="1">
      <c r="A7" s="474" t="s">
        <v>7</v>
      </c>
      <c r="B7" s="700" t="s">
        <v>951</v>
      </c>
      <c r="C7" s="476"/>
      <c r="D7" s="711">
        <f aca="true" t="shared" si="1" ref="D7:I7">SUM(D8:D18)</f>
        <v>1487375794</v>
      </c>
      <c r="E7" s="711">
        <f t="shared" si="1"/>
        <v>115553612</v>
      </c>
      <c r="F7" s="711">
        <f t="shared" si="1"/>
        <v>842374961</v>
      </c>
      <c r="G7" s="711">
        <f t="shared" si="1"/>
        <v>494019429</v>
      </c>
      <c r="H7" s="711">
        <f t="shared" si="1"/>
        <v>11780780</v>
      </c>
      <c r="I7" s="712">
        <f t="shared" si="1"/>
        <v>2945197</v>
      </c>
      <c r="J7" s="713">
        <f t="shared" si="0"/>
        <v>1351120367</v>
      </c>
      <c r="K7" s="778"/>
    </row>
    <row r="8" spans="1:11" ht="21" customHeight="1">
      <c r="A8" s="474" t="s">
        <v>8</v>
      </c>
      <c r="B8" s="701" t="s">
        <v>953</v>
      </c>
      <c r="C8" s="475" t="s">
        <v>952</v>
      </c>
      <c r="D8" s="703">
        <v>111582072</v>
      </c>
      <c r="E8" s="703">
        <v>54839867</v>
      </c>
      <c r="F8" s="703">
        <v>53854705</v>
      </c>
      <c r="G8" s="703"/>
      <c r="H8" s="703"/>
      <c r="I8" s="704"/>
      <c r="J8" s="705">
        <f t="shared" si="0"/>
        <v>53854705</v>
      </c>
      <c r="K8" s="778"/>
    </row>
    <row r="9" spans="1:11" ht="20.25" customHeight="1">
      <c r="A9" s="474" t="s">
        <v>9</v>
      </c>
      <c r="B9" s="701" t="s">
        <v>954</v>
      </c>
      <c r="C9" s="475" t="s">
        <v>894</v>
      </c>
      <c r="D9" s="703">
        <v>100387544</v>
      </c>
      <c r="E9" s="703"/>
      <c r="F9" s="703">
        <v>100387544</v>
      </c>
      <c r="G9" s="703"/>
      <c r="H9" s="703"/>
      <c r="I9" s="704"/>
      <c r="J9" s="705">
        <f t="shared" si="0"/>
        <v>100387544</v>
      </c>
      <c r="K9" s="778"/>
    </row>
    <row r="10" spans="1:11" ht="21" customHeight="1">
      <c r="A10" s="474" t="s">
        <v>10</v>
      </c>
      <c r="B10" s="701" t="s">
        <v>955</v>
      </c>
      <c r="C10" s="475" t="s">
        <v>952</v>
      </c>
      <c r="D10" s="706">
        <v>118357246</v>
      </c>
      <c r="E10" s="706">
        <v>3841750</v>
      </c>
      <c r="F10" s="706">
        <v>112356496</v>
      </c>
      <c r="G10" s="706"/>
      <c r="H10" s="706"/>
      <c r="I10" s="707"/>
      <c r="J10" s="705">
        <f t="shared" si="0"/>
        <v>112356496</v>
      </c>
      <c r="K10" s="778"/>
    </row>
    <row r="11" spans="1:11" ht="21" customHeight="1">
      <c r="A11" s="474" t="s">
        <v>11</v>
      </c>
      <c r="B11" s="701" t="s">
        <v>956</v>
      </c>
      <c r="C11" s="475" t="s">
        <v>952</v>
      </c>
      <c r="D11" s="703">
        <v>140020421</v>
      </c>
      <c r="E11" s="703">
        <v>5105700</v>
      </c>
      <c r="F11" s="703">
        <v>66028611</v>
      </c>
      <c r="G11" s="703">
        <v>66028610</v>
      </c>
      <c r="H11" s="703"/>
      <c r="I11" s="704"/>
      <c r="J11" s="705">
        <f t="shared" si="0"/>
        <v>132057221</v>
      </c>
      <c r="K11" s="778"/>
    </row>
    <row r="12" spans="1:11" ht="21" customHeight="1">
      <c r="A12" s="474" t="s">
        <v>12</v>
      </c>
      <c r="B12" s="701" t="s">
        <v>958</v>
      </c>
      <c r="C12" s="475" t="s">
        <v>952</v>
      </c>
      <c r="D12" s="706">
        <v>262926689</v>
      </c>
      <c r="E12" s="706">
        <v>1600200</v>
      </c>
      <c r="F12" s="706">
        <v>126558195</v>
      </c>
      <c r="G12" s="706">
        <v>126558194</v>
      </c>
      <c r="H12" s="706"/>
      <c r="I12" s="707"/>
      <c r="J12" s="705">
        <f t="shared" si="0"/>
        <v>253116389</v>
      </c>
      <c r="K12" s="778"/>
    </row>
    <row r="13" spans="1:11" ht="21" customHeight="1">
      <c r="A13" s="474" t="s">
        <v>13</v>
      </c>
      <c r="B13" s="701" t="s">
        <v>959</v>
      </c>
      <c r="C13" s="475" t="s">
        <v>952</v>
      </c>
      <c r="D13" s="706">
        <v>88775335</v>
      </c>
      <c r="E13" s="706">
        <v>4318000</v>
      </c>
      <c r="F13" s="706">
        <v>41559060</v>
      </c>
      <c r="G13" s="706">
        <v>41559060</v>
      </c>
      <c r="H13" s="706"/>
      <c r="I13" s="707"/>
      <c r="J13" s="705">
        <f t="shared" si="0"/>
        <v>83118120</v>
      </c>
      <c r="K13" s="778"/>
    </row>
    <row r="14" spans="1:11" ht="21" customHeight="1">
      <c r="A14" s="474" t="s">
        <v>14</v>
      </c>
      <c r="B14" s="701" t="s">
        <v>960</v>
      </c>
      <c r="C14" s="475" t="s">
        <v>952</v>
      </c>
      <c r="D14" s="706">
        <v>244679045</v>
      </c>
      <c r="E14" s="706">
        <v>8470971</v>
      </c>
      <c r="F14" s="706">
        <v>117384762</v>
      </c>
      <c r="G14" s="706">
        <v>117384763</v>
      </c>
      <c r="H14" s="706"/>
      <c r="I14" s="707"/>
      <c r="J14" s="705">
        <f t="shared" si="0"/>
        <v>234769525</v>
      </c>
      <c r="K14" s="778"/>
    </row>
    <row r="15" spans="1:11" ht="21" customHeight="1">
      <c r="A15" s="474" t="s">
        <v>15</v>
      </c>
      <c r="B15" s="701" t="s">
        <v>880</v>
      </c>
      <c r="C15" s="475" t="s">
        <v>952</v>
      </c>
      <c r="D15" s="706">
        <v>213644716</v>
      </c>
      <c r="E15" s="706">
        <v>2644529</v>
      </c>
      <c r="F15" s="706">
        <v>104595118</v>
      </c>
      <c r="G15" s="706">
        <v>104595118</v>
      </c>
      <c r="H15" s="706"/>
      <c r="I15" s="707"/>
      <c r="J15" s="705">
        <f t="shared" si="0"/>
        <v>209190236</v>
      </c>
      <c r="K15" s="778"/>
    </row>
    <row r="16" spans="1:11" ht="21" customHeight="1">
      <c r="A16" s="474" t="s">
        <v>16</v>
      </c>
      <c r="B16" s="701" t="s">
        <v>961</v>
      </c>
      <c r="C16" s="475" t="s">
        <v>957</v>
      </c>
      <c r="D16" s="706">
        <v>150070000</v>
      </c>
      <c r="E16" s="706">
        <v>28050665</v>
      </c>
      <c r="F16" s="706">
        <v>97615468</v>
      </c>
      <c r="G16" s="706">
        <v>24403867</v>
      </c>
      <c r="H16" s="706"/>
      <c r="I16" s="707"/>
      <c r="J16" s="705">
        <f t="shared" si="0"/>
        <v>122019335</v>
      </c>
      <c r="K16" s="778"/>
    </row>
    <row r="17" spans="1:11" ht="21" customHeight="1">
      <c r="A17" s="474" t="s">
        <v>17</v>
      </c>
      <c r="B17" s="701" t="s">
        <v>962</v>
      </c>
      <c r="C17" s="475" t="s">
        <v>957</v>
      </c>
      <c r="D17" s="706">
        <v>15128926</v>
      </c>
      <c r="E17" s="706">
        <v>3165667</v>
      </c>
      <c r="F17" s="706">
        <v>10254222</v>
      </c>
      <c r="G17" s="706">
        <v>1709037</v>
      </c>
      <c r="H17" s="706"/>
      <c r="I17" s="707"/>
      <c r="J17" s="705">
        <f t="shared" si="0"/>
        <v>11963259</v>
      </c>
      <c r="K17" s="778"/>
    </row>
    <row r="18" spans="1:11" ht="21" customHeight="1">
      <c r="A18" s="474" t="s">
        <v>18</v>
      </c>
      <c r="B18" s="701" t="s">
        <v>963</v>
      </c>
      <c r="C18" s="475" t="s">
        <v>957</v>
      </c>
      <c r="D18" s="703">
        <v>41803800</v>
      </c>
      <c r="E18" s="703">
        <v>3516263</v>
      </c>
      <c r="F18" s="703">
        <v>11780780</v>
      </c>
      <c r="G18" s="703">
        <v>11780780</v>
      </c>
      <c r="H18" s="703">
        <v>11780780</v>
      </c>
      <c r="I18" s="704">
        <v>2945197</v>
      </c>
      <c r="J18" s="705">
        <f t="shared" si="0"/>
        <v>38287537</v>
      </c>
      <c r="K18" s="778"/>
    </row>
    <row r="19" spans="1:11" ht="21" customHeight="1" thickBot="1">
      <c r="A19" s="710" t="s">
        <v>19</v>
      </c>
      <c r="B19" s="477" t="s">
        <v>571</v>
      </c>
      <c r="C19" s="478"/>
      <c r="D19" s="708">
        <v>0</v>
      </c>
      <c r="E19" s="708">
        <v>0</v>
      </c>
      <c r="F19" s="708">
        <v>0</v>
      </c>
      <c r="G19" s="708">
        <v>0</v>
      </c>
      <c r="H19" s="708">
        <v>0</v>
      </c>
      <c r="I19" s="708">
        <v>0</v>
      </c>
      <c r="J19" s="702">
        <f t="shared" si="0"/>
        <v>0</v>
      </c>
      <c r="K19" s="778"/>
    </row>
    <row r="20" spans="1:11" ht="21" customHeight="1" thickBot="1">
      <c r="A20" s="479" t="s">
        <v>20</v>
      </c>
      <c r="B20" s="715" t="s">
        <v>572</v>
      </c>
      <c r="C20" s="480"/>
      <c r="D20" s="714">
        <f aca="true" t="shared" si="2" ref="D20:J20">D6+D7+D19</f>
        <v>1487375794</v>
      </c>
      <c r="E20" s="714">
        <f t="shared" si="2"/>
        <v>115553612</v>
      </c>
      <c r="F20" s="714">
        <f t="shared" si="2"/>
        <v>842374961</v>
      </c>
      <c r="G20" s="714">
        <f t="shared" si="2"/>
        <v>494019429</v>
      </c>
      <c r="H20" s="714">
        <f t="shared" si="2"/>
        <v>11780780</v>
      </c>
      <c r="I20" s="714">
        <f t="shared" si="2"/>
        <v>2945197</v>
      </c>
      <c r="J20" s="709">
        <f t="shared" si="2"/>
        <v>1351120367</v>
      </c>
      <c r="K20" s="778"/>
    </row>
  </sheetData>
  <sheetProtection/>
  <mergeCells count="8">
    <mergeCell ref="A1:J1"/>
    <mergeCell ref="K2:K20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20" zoomScaleNormal="120" workbookViewId="0" topLeftCell="A1">
      <selection activeCell="D23" sqref="D23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6384" width="9.375" style="27" customWidth="1"/>
  </cols>
  <sheetData>
    <row r="1" spans="1:8" ht="17.25" customHeight="1">
      <c r="A1" s="779" t="s">
        <v>829</v>
      </c>
      <c r="B1" s="850"/>
      <c r="C1" s="850"/>
      <c r="D1" s="850"/>
      <c r="E1" s="850"/>
      <c r="F1" s="850"/>
      <c r="G1" s="850"/>
      <c r="H1" s="850"/>
    </row>
    <row r="2" spans="1:8" ht="12.75">
      <c r="A2" s="399"/>
      <c r="B2" s="400"/>
      <c r="C2" s="400"/>
      <c r="D2" s="400"/>
      <c r="E2" s="400"/>
      <c r="F2" s="400"/>
      <c r="G2" s="400"/>
      <c r="H2" s="400"/>
    </row>
    <row r="3" spans="1:9" s="481" customFormat="1" ht="15.75" thickBot="1">
      <c r="A3" s="607"/>
      <c r="B3" s="398"/>
      <c r="C3" s="398"/>
      <c r="D3" s="398"/>
      <c r="E3" s="398"/>
      <c r="F3" s="398"/>
      <c r="G3" s="398"/>
      <c r="H3" s="408" t="str">
        <f>'Z_2.tájékoztató_t.'!J2</f>
        <v>Forintban</v>
      </c>
      <c r="I3" s="858" t="str">
        <f>CONCATENATE("3. tájékoztató tábla ",Z_ALAPADATOK!A7," ",Z_ALAPADATOK!B7," ",Z_ALAPADATOK!C7," ",Z_ALAPADATOK!D7," ",Z_ALAPADATOK!E7," ",Z_ALAPADATOK!F7," ",Z_ALAPADATOK!G7," ",Z_ALAPADATOK!H7)</f>
        <v>3. tájékoztató tábla a … / 2019. ( … ) önkormányzati rendelethez</v>
      </c>
    </row>
    <row r="4" spans="1:9" s="460" customFormat="1" ht="26.25" customHeight="1">
      <c r="A4" s="859" t="s">
        <v>52</v>
      </c>
      <c r="B4" s="861" t="s">
        <v>573</v>
      </c>
      <c r="C4" s="859" t="s">
        <v>574</v>
      </c>
      <c r="D4" s="859" t="s">
        <v>575</v>
      </c>
      <c r="E4" s="863" t="s">
        <v>861</v>
      </c>
      <c r="F4" s="865" t="s">
        <v>576</v>
      </c>
      <c r="G4" s="866"/>
      <c r="H4" s="867" t="s">
        <v>862</v>
      </c>
      <c r="I4" s="858"/>
    </row>
    <row r="5" spans="1:9" s="464" customFormat="1" ht="40.5" customHeight="1" thickBot="1">
      <c r="A5" s="860"/>
      <c r="B5" s="862"/>
      <c r="C5" s="862"/>
      <c r="D5" s="860"/>
      <c r="E5" s="864"/>
      <c r="F5" s="608" t="s">
        <v>832</v>
      </c>
      <c r="G5" s="609" t="s">
        <v>765</v>
      </c>
      <c r="H5" s="868"/>
      <c r="I5" s="858"/>
    </row>
    <row r="6" spans="1:9" s="482" customFormat="1" ht="12.75" customHeight="1" thickBot="1">
      <c r="A6" s="610" t="s">
        <v>389</v>
      </c>
      <c r="B6" s="611" t="s">
        <v>390</v>
      </c>
      <c r="C6" s="611" t="s">
        <v>391</v>
      </c>
      <c r="D6" s="612" t="s">
        <v>393</v>
      </c>
      <c r="E6" s="610" t="s">
        <v>392</v>
      </c>
      <c r="F6" s="612" t="s">
        <v>394</v>
      </c>
      <c r="G6" s="612" t="s">
        <v>395</v>
      </c>
      <c r="H6" s="369" t="s">
        <v>396</v>
      </c>
      <c r="I6" s="858"/>
    </row>
    <row r="7" spans="1:9" ht="22.5" customHeight="1" thickBot="1">
      <c r="A7" s="483" t="s">
        <v>6</v>
      </c>
      <c r="B7" s="484" t="s">
        <v>577</v>
      </c>
      <c r="C7" s="485"/>
      <c r="D7" s="486"/>
      <c r="E7" s="487">
        <f>SUM(E8:E13)</f>
        <v>0</v>
      </c>
      <c r="F7" s="488">
        <f>SUM(F8:F13)</f>
        <v>0</v>
      </c>
      <c r="G7" s="488">
        <f>SUM(G8:G13)</f>
        <v>0</v>
      </c>
      <c r="H7" s="489">
        <f>SUM(H8:H13)</f>
        <v>0</v>
      </c>
      <c r="I7" s="858"/>
    </row>
    <row r="8" spans="1:9" ht="22.5" customHeight="1">
      <c r="A8" s="490" t="s">
        <v>7</v>
      </c>
      <c r="B8" s="491" t="s">
        <v>570</v>
      </c>
      <c r="C8" s="492"/>
      <c r="D8" s="493"/>
      <c r="E8" s="494"/>
      <c r="F8" s="21"/>
      <c r="G8" s="21"/>
      <c r="H8" s="495"/>
      <c r="I8" s="858"/>
    </row>
    <row r="9" spans="1:9" ht="22.5" customHeight="1">
      <c r="A9" s="490" t="s">
        <v>8</v>
      </c>
      <c r="B9" s="491" t="s">
        <v>570</v>
      </c>
      <c r="C9" s="492"/>
      <c r="D9" s="493"/>
      <c r="E9" s="494"/>
      <c r="F9" s="21"/>
      <c r="G9" s="21"/>
      <c r="H9" s="495"/>
      <c r="I9" s="858"/>
    </row>
    <row r="10" spans="1:9" ht="22.5" customHeight="1">
      <c r="A10" s="490" t="s">
        <v>9</v>
      </c>
      <c r="B10" s="491" t="s">
        <v>570</v>
      </c>
      <c r="C10" s="492"/>
      <c r="D10" s="493"/>
      <c r="E10" s="494"/>
      <c r="F10" s="21"/>
      <c r="G10" s="21"/>
      <c r="H10" s="495"/>
      <c r="I10" s="858"/>
    </row>
    <row r="11" spans="1:9" ht="22.5" customHeight="1">
      <c r="A11" s="490" t="s">
        <v>10</v>
      </c>
      <c r="B11" s="491" t="s">
        <v>570</v>
      </c>
      <c r="C11" s="492"/>
      <c r="D11" s="493"/>
      <c r="E11" s="494"/>
      <c r="F11" s="21"/>
      <c r="G11" s="21"/>
      <c r="H11" s="495"/>
      <c r="I11" s="858"/>
    </row>
    <row r="12" spans="1:9" ht="22.5" customHeight="1">
      <c r="A12" s="490" t="s">
        <v>11</v>
      </c>
      <c r="B12" s="491" t="s">
        <v>570</v>
      </c>
      <c r="C12" s="492"/>
      <c r="D12" s="493"/>
      <c r="E12" s="494"/>
      <c r="F12" s="21"/>
      <c r="G12" s="21"/>
      <c r="H12" s="495"/>
      <c r="I12" s="858"/>
    </row>
    <row r="13" spans="1:9" ht="22.5" customHeight="1" thickBot="1">
      <c r="A13" s="490" t="s">
        <v>12</v>
      </c>
      <c r="B13" s="491" t="s">
        <v>570</v>
      </c>
      <c r="C13" s="492"/>
      <c r="D13" s="493"/>
      <c r="E13" s="494"/>
      <c r="F13" s="21"/>
      <c r="G13" s="21"/>
      <c r="H13" s="495"/>
      <c r="I13" s="858"/>
    </row>
    <row r="14" spans="1:9" ht="22.5" customHeight="1" thickBot="1">
      <c r="A14" s="483" t="s">
        <v>13</v>
      </c>
      <c r="B14" s="484" t="s">
        <v>578</v>
      </c>
      <c r="C14" s="496"/>
      <c r="D14" s="497"/>
      <c r="E14" s="487">
        <f>SUM(E15:E20)</f>
        <v>51374267</v>
      </c>
      <c r="F14" s="488">
        <f>SUM(F15:F20)</f>
        <v>1140000</v>
      </c>
      <c r="G14" s="488">
        <f>SUM(G15:G20)</f>
        <v>415000</v>
      </c>
      <c r="H14" s="489">
        <f>SUM(H15:H20)</f>
        <v>49819267</v>
      </c>
      <c r="I14" s="858"/>
    </row>
    <row r="15" spans="1:9" ht="22.5" customHeight="1">
      <c r="A15" s="490" t="s">
        <v>14</v>
      </c>
      <c r="B15" s="716" t="s">
        <v>964</v>
      </c>
      <c r="C15" s="492" t="s">
        <v>965</v>
      </c>
      <c r="D15" s="493"/>
      <c r="E15" s="494">
        <v>49819267</v>
      </c>
      <c r="F15" s="21"/>
      <c r="G15" s="21"/>
      <c r="H15" s="495">
        <v>49819267</v>
      </c>
      <c r="I15" s="858"/>
    </row>
    <row r="16" spans="1:9" ht="22.5" customHeight="1">
      <c r="A16" s="490" t="s">
        <v>15</v>
      </c>
      <c r="B16" s="716" t="s">
        <v>966</v>
      </c>
      <c r="C16" s="492" t="s">
        <v>957</v>
      </c>
      <c r="D16" s="493" t="s">
        <v>765</v>
      </c>
      <c r="E16" s="494">
        <v>1225000</v>
      </c>
      <c r="F16" s="21">
        <v>900000</v>
      </c>
      <c r="G16" s="21">
        <v>325000</v>
      </c>
      <c r="H16" s="495"/>
      <c r="I16" s="858"/>
    </row>
    <row r="17" spans="1:9" ht="22.5" customHeight="1">
      <c r="A17" s="490" t="s">
        <v>16</v>
      </c>
      <c r="B17" s="716" t="s">
        <v>967</v>
      </c>
      <c r="C17" s="492" t="s">
        <v>894</v>
      </c>
      <c r="D17" s="493" t="s">
        <v>765</v>
      </c>
      <c r="E17" s="494">
        <v>330000</v>
      </c>
      <c r="F17" s="21">
        <v>240000</v>
      </c>
      <c r="G17" s="21">
        <v>90000</v>
      </c>
      <c r="H17" s="495"/>
      <c r="I17" s="858"/>
    </row>
    <row r="18" spans="1:9" ht="22.5" customHeight="1">
      <c r="A18" s="490" t="s">
        <v>17</v>
      </c>
      <c r="B18" s="491" t="s">
        <v>570</v>
      </c>
      <c r="C18" s="492"/>
      <c r="D18" s="493"/>
      <c r="E18" s="494"/>
      <c r="F18" s="21"/>
      <c r="G18" s="21"/>
      <c r="H18" s="495"/>
      <c r="I18" s="858"/>
    </row>
    <row r="19" spans="1:9" ht="22.5" customHeight="1">
      <c r="A19" s="490" t="s">
        <v>18</v>
      </c>
      <c r="B19" s="491" t="s">
        <v>570</v>
      </c>
      <c r="C19" s="492"/>
      <c r="D19" s="493"/>
      <c r="E19" s="494"/>
      <c r="F19" s="21"/>
      <c r="G19" s="21"/>
      <c r="H19" s="495"/>
      <c r="I19" s="858"/>
    </row>
    <row r="20" spans="1:9" ht="22.5" customHeight="1" thickBot="1">
      <c r="A20" s="490" t="s">
        <v>19</v>
      </c>
      <c r="B20" s="491" t="s">
        <v>570</v>
      </c>
      <c r="C20" s="492"/>
      <c r="D20" s="493"/>
      <c r="E20" s="494"/>
      <c r="F20" s="21"/>
      <c r="G20" s="21"/>
      <c r="H20" s="495"/>
      <c r="I20" s="858"/>
    </row>
    <row r="21" spans="1:9" ht="22.5" customHeight="1" thickBot="1">
      <c r="A21" s="483" t="s">
        <v>20</v>
      </c>
      <c r="B21" s="484" t="s">
        <v>579</v>
      </c>
      <c r="C21" s="485"/>
      <c r="D21" s="486"/>
      <c r="E21" s="487">
        <f>E7+E14</f>
        <v>51374267</v>
      </c>
      <c r="F21" s="488">
        <f>F7+F14</f>
        <v>1140000</v>
      </c>
      <c r="G21" s="488">
        <f>G7+G14</f>
        <v>415000</v>
      </c>
      <c r="H21" s="489">
        <f>H7+H14</f>
        <v>49819267</v>
      </c>
      <c r="I21" s="858"/>
    </row>
    <row r="22" ht="19.5" customHeight="1"/>
  </sheetData>
  <sheetProtection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="120" zoomScaleNormal="120" workbookViewId="0" topLeftCell="A1">
      <selection activeCell="A15" sqref="A15:I15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881" t="s">
        <v>863</v>
      </c>
      <c r="B1" s="882"/>
      <c r="C1" s="882"/>
      <c r="D1" s="882"/>
      <c r="E1" s="882"/>
      <c r="F1" s="882"/>
      <c r="G1" s="882"/>
      <c r="H1" s="882"/>
      <c r="I1" s="882"/>
      <c r="J1" s="858" t="str">
        <f>CONCATENATE("4. tájékoztató tábla ",Z_ALAPADATOK!A7," ",Z_ALAPADATOK!B7," ",Z_ALAPADATOK!C7," ",Z_ALAPADATOK!D7," ",Z_ALAPADATOK!E7," ",Z_ALAPADATOK!F7," ",Z_ALAPADATOK!G7," ",Z_ALAPADATOK!H7)</f>
        <v>4. tájékoztató tábla a … / 2019. ( … ) önkormányzati rendelethez</v>
      </c>
    </row>
    <row r="2" spans="1:10" ht="14.25" thickBot="1">
      <c r="A2" s="67"/>
      <c r="B2" s="67"/>
      <c r="C2" s="67"/>
      <c r="D2" s="67"/>
      <c r="E2" s="67"/>
      <c r="F2" s="67"/>
      <c r="G2" s="67"/>
      <c r="H2" s="883" t="str">
        <f>'Z_3.tájékoztató_t.'!H3</f>
        <v>Forintban</v>
      </c>
      <c r="I2" s="883"/>
      <c r="J2" s="858"/>
    </row>
    <row r="3" spans="1:10" ht="13.5" thickBot="1">
      <c r="A3" s="884" t="s">
        <v>4</v>
      </c>
      <c r="B3" s="886" t="s">
        <v>580</v>
      </c>
      <c r="C3" s="888" t="s">
        <v>581</v>
      </c>
      <c r="D3" s="890" t="s">
        <v>582</v>
      </c>
      <c r="E3" s="891"/>
      <c r="F3" s="891"/>
      <c r="G3" s="891"/>
      <c r="H3" s="891"/>
      <c r="I3" s="869" t="s">
        <v>583</v>
      </c>
      <c r="J3" s="858"/>
    </row>
    <row r="4" spans="1:10" s="45" customFormat="1" ht="42" customHeight="1" thickBot="1">
      <c r="A4" s="885"/>
      <c r="B4" s="887"/>
      <c r="C4" s="889"/>
      <c r="D4" s="391" t="s">
        <v>584</v>
      </c>
      <c r="E4" s="391" t="s">
        <v>585</v>
      </c>
      <c r="F4" s="391" t="s">
        <v>586</v>
      </c>
      <c r="G4" s="613" t="s">
        <v>587</v>
      </c>
      <c r="H4" s="613" t="s">
        <v>588</v>
      </c>
      <c r="I4" s="870"/>
      <c r="J4" s="858"/>
    </row>
    <row r="5" spans="1:10" s="45" customFormat="1" ht="12" customHeight="1" thickBot="1">
      <c r="A5" s="422" t="s">
        <v>389</v>
      </c>
      <c r="B5" s="423" t="s">
        <v>390</v>
      </c>
      <c r="C5" s="423" t="s">
        <v>391</v>
      </c>
      <c r="D5" s="423" t="s">
        <v>393</v>
      </c>
      <c r="E5" s="423" t="s">
        <v>392</v>
      </c>
      <c r="F5" s="423" t="s">
        <v>394</v>
      </c>
      <c r="G5" s="423" t="s">
        <v>395</v>
      </c>
      <c r="H5" s="423" t="s">
        <v>589</v>
      </c>
      <c r="I5" s="425" t="s">
        <v>590</v>
      </c>
      <c r="J5" s="858"/>
    </row>
    <row r="6" spans="1:10" s="45" customFormat="1" ht="18" customHeight="1">
      <c r="A6" s="871" t="s">
        <v>591</v>
      </c>
      <c r="B6" s="872"/>
      <c r="C6" s="872"/>
      <c r="D6" s="872"/>
      <c r="E6" s="872"/>
      <c r="F6" s="872"/>
      <c r="G6" s="872"/>
      <c r="H6" s="872"/>
      <c r="I6" s="873"/>
      <c r="J6" s="858"/>
    </row>
    <row r="7" spans="1:10" ht="15.75" customHeight="1">
      <c r="A7" s="96" t="s">
        <v>6</v>
      </c>
      <c r="B7" s="77" t="s">
        <v>592</v>
      </c>
      <c r="C7" s="68"/>
      <c r="D7" s="68"/>
      <c r="E7" s="68"/>
      <c r="F7" s="68"/>
      <c r="G7" s="498"/>
      <c r="H7" s="499">
        <f aca="true" t="shared" si="0" ref="H7:H13">SUM(D7:G7)</f>
        <v>0</v>
      </c>
      <c r="I7" s="97">
        <f aca="true" t="shared" si="1" ref="I7:I13">C7+H7</f>
        <v>0</v>
      </c>
      <c r="J7" s="858"/>
    </row>
    <row r="8" spans="1:10" ht="22.5">
      <c r="A8" s="96" t="s">
        <v>7</v>
      </c>
      <c r="B8" s="77" t="s">
        <v>139</v>
      </c>
      <c r="C8" s="68">
        <v>8583031</v>
      </c>
      <c r="D8" s="68"/>
      <c r="E8" s="68"/>
      <c r="F8" s="68"/>
      <c r="G8" s="498"/>
      <c r="H8" s="499">
        <f t="shared" si="0"/>
        <v>0</v>
      </c>
      <c r="I8" s="97">
        <f t="shared" si="1"/>
        <v>8583031</v>
      </c>
      <c r="J8" s="858"/>
    </row>
    <row r="9" spans="1:10" ht="22.5">
      <c r="A9" s="96" t="s">
        <v>8</v>
      </c>
      <c r="B9" s="77" t="s">
        <v>140</v>
      </c>
      <c r="C9" s="68"/>
      <c r="D9" s="68"/>
      <c r="E9" s="68"/>
      <c r="F9" s="68"/>
      <c r="G9" s="498"/>
      <c r="H9" s="499">
        <f t="shared" si="0"/>
        <v>0</v>
      </c>
      <c r="I9" s="97">
        <f t="shared" si="1"/>
        <v>0</v>
      </c>
      <c r="J9" s="858"/>
    </row>
    <row r="10" spans="1:10" ht="15.75" customHeight="1">
      <c r="A10" s="96" t="s">
        <v>9</v>
      </c>
      <c r="B10" s="77" t="s">
        <v>141</v>
      </c>
      <c r="C10" s="68"/>
      <c r="D10" s="68"/>
      <c r="E10" s="68"/>
      <c r="F10" s="68"/>
      <c r="G10" s="498"/>
      <c r="H10" s="499">
        <f t="shared" si="0"/>
        <v>0</v>
      </c>
      <c r="I10" s="97">
        <f t="shared" si="1"/>
        <v>0</v>
      </c>
      <c r="J10" s="858"/>
    </row>
    <row r="11" spans="1:10" ht="22.5">
      <c r="A11" s="96" t="s">
        <v>10</v>
      </c>
      <c r="B11" s="77" t="s">
        <v>142</v>
      </c>
      <c r="C11" s="68"/>
      <c r="D11" s="68"/>
      <c r="E11" s="68"/>
      <c r="F11" s="68"/>
      <c r="G11" s="498"/>
      <c r="H11" s="499">
        <f t="shared" si="0"/>
        <v>0</v>
      </c>
      <c r="I11" s="97">
        <f t="shared" si="1"/>
        <v>0</v>
      </c>
      <c r="J11" s="858"/>
    </row>
    <row r="12" spans="1:10" ht="15.75" customHeight="1">
      <c r="A12" s="98" t="s">
        <v>11</v>
      </c>
      <c r="B12" s="99" t="s">
        <v>593</v>
      </c>
      <c r="C12" s="69">
        <v>24781161</v>
      </c>
      <c r="D12" s="69">
        <v>228556</v>
      </c>
      <c r="E12" s="69"/>
      <c r="F12" s="69"/>
      <c r="G12" s="500"/>
      <c r="H12" s="499">
        <f t="shared" si="0"/>
        <v>228556</v>
      </c>
      <c r="I12" s="97">
        <f t="shared" si="1"/>
        <v>25009717</v>
      </c>
      <c r="J12" s="858"/>
    </row>
    <row r="13" spans="1:10" ht="15.75" customHeight="1" thickBot="1">
      <c r="A13" s="501" t="s">
        <v>12</v>
      </c>
      <c r="B13" s="502" t="s">
        <v>594</v>
      </c>
      <c r="C13" s="503">
        <v>4755612</v>
      </c>
      <c r="D13" s="503"/>
      <c r="E13" s="503"/>
      <c r="F13" s="503"/>
      <c r="G13" s="504"/>
      <c r="H13" s="499">
        <f t="shared" si="0"/>
        <v>0</v>
      </c>
      <c r="I13" s="97">
        <f t="shared" si="1"/>
        <v>4755612</v>
      </c>
      <c r="J13" s="858"/>
    </row>
    <row r="14" spans="1:10" s="70" customFormat="1" ht="18" customHeight="1" thickBot="1">
      <c r="A14" s="874" t="s">
        <v>595</v>
      </c>
      <c r="B14" s="875"/>
      <c r="C14" s="100">
        <f aca="true" t="shared" si="2" ref="C14:I14">SUM(C7:C13)</f>
        <v>38119804</v>
      </c>
      <c r="D14" s="100">
        <f>SUM(D7:D13)</f>
        <v>228556</v>
      </c>
      <c r="E14" s="100">
        <f t="shared" si="2"/>
        <v>0</v>
      </c>
      <c r="F14" s="100">
        <f t="shared" si="2"/>
        <v>0</v>
      </c>
      <c r="G14" s="505">
        <f t="shared" si="2"/>
        <v>0</v>
      </c>
      <c r="H14" s="505">
        <f t="shared" si="2"/>
        <v>228556</v>
      </c>
      <c r="I14" s="101">
        <f t="shared" si="2"/>
        <v>38348360</v>
      </c>
      <c r="J14" s="858"/>
    </row>
    <row r="15" spans="1:10" s="67" customFormat="1" ht="18" customHeight="1">
      <c r="A15" s="876" t="s">
        <v>596</v>
      </c>
      <c r="B15" s="877"/>
      <c r="C15" s="877"/>
      <c r="D15" s="877"/>
      <c r="E15" s="877"/>
      <c r="F15" s="877"/>
      <c r="G15" s="877"/>
      <c r="H15" s="877"/>
      <c r="I15" s="878"/>
      <c r="J15" s="858"/>
    </row>
    <row r="16" spans="1:10" s="67" customFormat="1" ht="12.75">
      <c r="A16" s="96" t="s">
        <v>6</v>
      </c>
      <c r="B16" s="77" t="s">
        <v>597</v>
      </c>
      <c r="C16" s="68"/>
      <c r="D16" s="68"/>
      <c r="E16" s="68"/>
      <c r="F16" s="68"/>
      <c r="G16" s="498"/>
      <c r="H16" s="499">
        <f>SUM(D16:G16)</f>
        <v>0</v>
      </c>
      <c r="I16" s="97">
        <f>C16+H16</f>
        <v>0</v>
      </c>
      <c r="J16" s="858"/>
    </row>
    <row r="17" spans="1:10" ht="13.5" thickBot="1">
      <c r="A17" s="501" t="s">
        <v>7</v>
      </c>
      <c r="B17" s="502" t="s">
        <v>594</v>
      </c>
      <c r="C17" s="503"/>
      <c r="D17" s="503"/>
      <c r="E17" s="503"/>
      <c r="F17" s="503"/>
      <c r="G17" s="504"/>
      <c r="H17" s="499">
        <f>SUM(D17:G17)</f>
        <v>0</v>
      </c>
      <c r="I17" s="506">
        <f>C17+H17</f>
        <v>0</v>
      </c>
      <c r="J17" s="858"/>
    </row>
    <row r="18" spans="1:10" ht="15.75" customHeight="1" thickBot="1">
      <c r="A18" s="874" t="s">
        <v>598</v>
      </c>
      <c r="B18" s="875"/>
      <c r="C18" s="100">
        <f aca="true" t="shared" si="3" ref="C18:I18">SUM(C16:C17)</f>
        <v>0</v>
      </c>
      <c r="D18" s="100">
        <f t="shared" si="3"/>
        <v>0</v>
      </c>
      <c r="E18" s="100">
        <f t="shared" si="3"/>
        <v>0</v>
      </c>
      <c r="F18" s="100">
        <f t="shared" si="3"/>
        <v>0</v>
      </c>
      <c r="G18" s="505">
        <f t="shared" si="3"/>
        <v>0</v>
      </c>
      <c r="H18" s="505">
        <f t="shared" si="3"/>
        <v>0</v>
      </c>
      <c r="I18" s="101">
        <f t="shared" si="3"/>
        <v>0</v>
      </c>
      <c r="J18" s="858"/>
    </row>
    <row r="19" spans="1:10" ht="18" customHeight="1" thickBot="1">
      <c r="A19" s="879" t="s">
        <v>599</v>
      </c>
      <c r="B19" s="880"/>
      <c r="C19" s="507">
        <f aca="true" t="shared" si="4" ref="C19:I19">C14+C18</f>
        <v>38119804</v>
      </c>
      <c r="D19" s="507">
        <f t="shared" si="4"/>
        <v>228556</v>
      </c>
      <c r="E19" s="507">
        <f t="shared" si="4"/>
        <v>0</v>
      </c>
      <c r="F19" s="507">
        <f t="shared" si="4"/>
        <v>0</v>
      </c>
      <c r="G19" s="507">
        <f t="shared" si="4"/>
        <v>0</v>
      </c>
      <c r="H19" s="507">
        <f t="shared" si="4"/>
        <v>228556</v>
      </c>
      <c r="I19" s="101">
        <f t="shared" si="4"/>
        <v>38348360</v>
      </c>
      <c r="J19" s="858"/>
    </row>
  </sheetData>
  <sheetProtection sheet="1"/>
  <mergeCells count="13"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  <mergeCell ref="A19:B19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zoomScale="120" zoomScaleNormal="120" workbookViewId="0" topLeftCell="A1">
      <selection activeCell="C33" sqref="C33"/>
    </sheetView>
  </sheetViews>
  <sheetFormatPr defaultColWidth="9.00390625" defaultRowHeight="12.75"/>
  <cols>
    <col min="1" max="1" width="5.875" style="525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893" t="str">
        <f>CONCATENATE("5. tájékoztató tábla ",Z_ALAPADATOK!A7," ",Z_ALAPADATOK!B7," ",Z_ALAPADATOK!C7," ",Z_ALAPADATOK!D7," ",Z_ALAPADATOK!E7," ",Z_ALAPADATOK!F7," ",Z_ALAPADATOK!G7," ",Z_ALAPADATOK!H7)</f>
        <v>5. tájékoztató tábla a … / 2019. ( … ) önkormányzati rendelethez</v>
      </c>
      <c r="B1" s="781"/>
      <c r="C1" s="781"/>
      <c r="D1" s="781"/>
    </row>
    <row r="2" spans="1:4" ht="12.75">
      <c r="A2" s="615"/>
      <c r="B2" s="616"/>
      <c r="C2" s="616"/>
      <c r="D2" s="616"/>
    </row>
    <row r="3" spans="1:4" ht="15.75">
      <c r="A3" s="881" t="s">
        <v>771</v>
      </c>
      <c r="B3" s="850"/>
      <c r="C3" s="850"/>
      <c r="D3" s="850"/>
    </row>
    <row r="4" spans="1:4" ht="15.75">
      <c r="A4" s="881" t="s">
        <v>772</v>
      </c>
      <c r="B4" s="850"/>
      <c r="C4" s="850"/>
      <c r="D4" s="850"/>
    </row>
    <row r="5" spans="1:4" s="481" customFormat="1" ht="15.75" thickBot="1">
      <c r="A5" s="607"/>
      <c r="B5" s="398"/>
      <c r="C5" s="398"/>
      <c r="D5" s="408" t="str">
        <f>'Z_3.tájékoztató_t.'!H3</f>
        <v>Forintban</v>
      </c>
    </row>
    <row r="6" spans="1:4" s="45" customFormat="1" ht="48" customHeight="1" thickBot="1">
      <c r="A6" s="384" t="s">
        <v>4</v>
      </c>
      <c r="B6" s="391" t="s">
        <v>5</v>
      </c>
      <c r="C6" s="391" t="s">
        <v>600</v>
      </c>
      <c r="D6" s="617" t="s">
        <v>601</v>
      </c>
    </row>
    <row r="7" spans="1:4" s="45" customFormat="1" ht="13.5" customHeight="1" thickBot="1">
      <c r="A7" s="618" t="s">
        <v>389</v>
      </c>
      <c r="B7" s="619" t="s">
        <v>390</v>
      </c>
      <c r="C7" s="619" t="s">
        <v>391</v>
      </c>
      <c r="D7" s="620" t="s">
        <v>393</v>
      </c>
    </row>
    <row r="8" spans="1:4" ht="18" customHeight="1">
      <c r="A8" s="508" t="s">
        <v>6</v>
      </c>
      <c r="B8" s="509" t="s">
        <v>602</v>
      </c>
      <c r="C8" s="510">
        <v>0</v>
      </c>
      <c r="D8" s="511">
        <v>0</v>
      </c>
    </row>
    <row r="9" spans="1:4" ht="18" customHeight="1">
      <c r="A9" s="512" t="s">
        <v>7</v>
      </c>
      <c r="B9" s="513" t="s">
        <v>603</v>
      </c>
      <c r="C9" s="510">
        <v>0</v>
      </c>
      <c r="D9" s="511">
        <v>0</v>
      </c>
    </row>
    <row r="10" spans="1:4" ht="18" customHeight="1">
      <c r="A10" s="512" t="s">
        <v>8</v>
      </c>
      <c r="B10" s="513" t="s">
        <v>604</v>
      </c>
      <c r="C10" s="510">
        <v>0</v>
      </c>
      <c r="D10" s="511">
        <v>0</v>
      </c>
    </row>
    <row r="11" spans="1:4" ht="18" customHeight="1">
      <c r="A11" s="512" t="s">
        <v>9</v>
      </c>
      <c r="B11" s="513" t="s">
        <v>605</v>
      </c>
      <c r="C11" s="510">
        <v>0</v>
      </c>
      <c r="D11" s="511">
        <v>0</v>
      </c>
    </row>
    <row r="12" spans="1:4" ht="18" customHeight="1">
      <c r="A12" s="516" t="s">
        <v>10</v>
      </c>
      <c r="B12" s="513" t="s">
        <v>606</v>
      </c>
      <c r="C12" s="510">
        <v>0</v>
      </c>
      <c r="D12" s="511">
        <v>0</v>
      </c>
    </row>
    <row r="13" spans="1:4" ht="18" customHeight="1">
      <c r="A13" s="512" t="s">
        <v>11</v>
      </c>
      <c r="B13" s="513" t="s">
        <v>607</v>
      </c>
      <c r="C13" s="510">
        <v>0</v>
      </c>
      <c r="D13" s="511">
        <v>0</v>
      </c>
    </row>
    <row r="14" spans="1:4" ht="18" customHeight="1">
      <c r="A14" s="516" t="s">
        <v>12</v>
      </c>
      <c r="B14" s="517" t="s">
        <v>608</v>
      </c>
      <c r="C14" s="510">
        <v>0</v>
      </c>
      <c r="D14" s="511">
        <v>0</v>
      </c>
    </row>
    <row r="15" spans="1:4" ht="18" customHeight="1">
      <c r="A15" s="516" t="s">
        <v>13</v>
      </c>
      <c r="B15" s="517" t="s">
        <v>609</v>
      </c>
      <c r="C15" s="510">
        <v>0</v>
      </c>
      <c r="D15" s="511">
        <v>0</v>
      </c>
    </row>
    <row r="16" spans="1:4" ht="18" customHeight="1">
      <c r="A16" s="512" t="s">
        <v>14</v>
      </c>
      <c r="B16" s="517" t="s">
        <v>610</v>
      </c>
      <c r="C16" s="510">
        <v>0</v>
      </c>
      <c r="D16" s="511">
        <v>0</v>
      </c>
    </row>
    <row r="17" spans="1:4" ht="18" customHeight="1">
      <c r="A17" s="516" t="s">
        <v>15</v>
      </c>
      <c r="B17" s="517" t="s">
        <v>611</v>
      </c>
      <c r="C17" s="510">
        <v>0</v>
      </c>
      <c r="D17" s="511">
        <v>0</v>
      </c>
    </row>
    <row r="18" spans="1:4" ht="22.5">
      <c r="A18" s="512" t="s">
        <v>16</v>
      </c>
      <c r="B18" s="517" t="s">
        <v>612</v>
      </c>
      <c r="C18" s="510">
        <v>0</v>
      </c>
      <c r="D18" s="511">
        <v>0</v>
      </c>
    </row>
    <row r="19" spans="1:4" ht="18" customHeight="1">
      <c r="A19" s="516" t="s">
        <v>17</v>
      </c>
      <c r="B19" s="513" t="s">
        <v>613</v>
      </c>
      <c r="C19" s="510">
        <v>0</v>
      </c>
      <c r="D19" s="511">
        <v>0</v>
      </c>
    </row>
    <row r="20" spans="1:4" ht="18" customHeight="1">
      <c r="A20" s="512" t="s">
        <v>18</v>
      </c>
      <c r="B20" s="513" t="s">
        <v>614</v>
      </c>
      <c r="C20" s="510">
        <v>0</v>
      </c>
      <c r="D20" s="511">
        <v>0</v>
      </c>
    </row>
    <row r="21" spans="1:4" ht="18" customHeight="1">
      <c r="A21" s="516" t="s">
        <v>19</v>
      </c>
      <c r="B21" s="513" t="s">
        <v>615</v>
      </c>
      <c r="C21" s="510">
        <v>0</v>
      </c>
      <c r="D21" s="511">
        <v>0</v>
      </c>
    </row>
    <row r="22" spans="1:4" ht="18" customHeight="1">
      <c r="A22" s="512" t="s">
        <v>20</v>
      </c>
      <c r="B22" s="513" t="s">
        <v>616</v>
      </c>
      <c r="C22" s="510">
        <v>0</v>
      </c>
      <c r="D22" s="511">
        <v>0</v>
      </c>
    </row>
    <row r="23" spans="1:4" ht="18" customHeight="1">
      <c r="A23" s="516" t="s">
        <v>21</v>
      </c>
      <c r="B23" s="513" t="s">
        <v>617</v>
      </c>
      <c r="C23" s="510">
        <v>0</v>
      </c>
      <c r="D23" s="511">
        <v>0</v>
      </c>
    </row>
    <row r="24" spans="1:4" ht="18" customHeight="1">
      <c r="A24" s="512" t="s">
        <v>22</v>
      </c>
      <c r="B24" s="518"/>
      <c r="C24" s="514"/>
      <c r="D24" s="515"/>
    </row>
    <row r="25" spans="1:4" ht="18" customHeight="1">
      <c r="A25" s="516" t="s">
        <v>23</v>
      </c>
      <c r="B25" s="518"/>
      <c r="C25" s="514"/>
      <c r="D25" s="515"/>
    </row>
    <row r="26" spans="1:4" ht="18" customHeight="1">
      <c r="A26" s="512" t="s">
        <v>24</v>
      </c>
      <c r="B26" s="518"/>
      <c r="C26" s="514"/>
      <c r="D26" s="515"/>
    </row>
    <row r="27" spans="1:4" ht="18" customHeight="1">
      <c r="A27" s="516" t="s">
        <v>25</v>
      </c>
      <c r="B27" s="518"/>
      <c r="C27" s="514"/>
      <c r="D27" s="515"/>
    </row>
    <row r="28" spans="1:4" ht="18" customHeight="1">
      <c r="A28" s="512" t="s">
        <v>26</v>
      </c>
      <c r="B28" s="518"/>
      <c r="C28" s="514"/>
      <c r="D28" s="515"/>
    </row>
    <row r="29" spans="1:4" ht="18" customHeight="1">
      <c r="A29" s="516" t="s">
        <v>27</v>
      </c>
      <c r="B29" s="518"/>
      <c r="C29" s="514"/>
      <c r="D29" s="515"/>
    </row>
    <row r="30" spans="1:4" ht="18" customHeight="1">
      <c r="A30" s="512" t="s">
        <v>28</v>
      </c>
      <c r="B30" s="518"/>
      <c r="C30" s="514"/>
      <c r="D30" s="515"/>
    </row>
    <row r="31" spans="1:4" ht="18" customHeight="1">
      <c r="A31" s="516" t="s">
        <v>29</v>
      </c>
      <c r="B31" s="518"/>
      <c r="C31" s="514"/>
      <c r="D31" s="515"/>
    </row>
    <row r="32" spans="1:4" ht="18" customHeight="1" thickBot="1">
      <c r="A32" s="519" t="s">
        <v>30</v>
      </c>
      <c r="B32" s="520"/>
      <c r="C32" s="521"/>
      <c r="D32" s="522"/>
    </row>
    <row r="33" spans="1:4" ht="18" customHeight="1" thickBot="1">
      <c r="A33" s="523" t="s">
        <v>31</v>
      </c>
      <c r="B33" s="614" t="s">
        <v>38</v>
      </c>
      <c r="C33" s="488">
        <f>+C8+C9+C10+C11+C12+C19+C20+C21+C22+C23+C24+C25+C26+C27+C28+C29+C30+C31+C32</f>
        <v>0</v>
      </c>
      <c r="D33" s="489">
        <f>+D8+D9+D10+D11+D12+D19+D20+D21+D22+D23+D24+D25+D26+D27+D28+D29+D30+D31+D32</f>
        <v>0</v>
      </c>
    </row>
    <row r="34" spans="1:4" ht="25.5" customHeight="1">
      <c r="A34" s="524"/>
      <c r="B34" s="892" t="s">
        <v>618</v>
      </c>
      <c r="C34" s="892"/>
      <c r="D34" s="892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zoomScale="120" zoomScaleNormal="120" workbookViewId="0" topLeftCell="A19">
      <selection activeCell="H37" sqref="H37"/>
    </sheetView>
  </sheetViews>
  <sheetFormatPr defaultColWidth="9.00390625" defaultRowHeight="12.75"/>
  <cols>
    <col min="1" max="1" width="6.625" style="31" customWidth="1"/>
    <col min="2" max="2" width="40.875" style="31" customWidth="1"/>
    <col min="3" max="3" width="20.875" style="31" customWidth="1"/>
    <col min="4" max="5" width="12.875" style="31" customWidth="1"/>
    <col min="6" max="16384" width="9.375" style="31" customWidth="1"/>
  </cols>
  <sheetData>
    <row r="1" spans="1:5" ht="15">
      <c r="A1" s="896" t="str">
        <f>CONCATENATE("6. tájékoztató tábla ",Z_ALAPADATOK!A7," ",Z_ALAPADATOK!B7," ",Z_ALAPADATOK!C7," ",Z_ALAPADATOK!D7," ",Z_ALAPADATOK!E7," ",Z_ALAPADATOK!F7," ",Z_ALAPADATOK!G7," ",Z_ALAPADATOK!H7)</f>
        <v>6. tájékoztató tábla a … / 2019. ( … ) önkormányzati rendelethez</v>
      </c>
      <c r="B1" s="896"/>
      <c r="C1" s="896"/>
      <c r="D1" s="896"/>
      <c r="E1" s="896"/>
    </row>
    <row r="2" spans="1:5" ht="12.75">
      <c r="A2" s="67"/>
      <c r="B2" s="67"/>
      <c r="C2" s="67"/>
      <c r="D2" s="67"/>
      <c r="E2" s="67"/>
    </row>
    <row r="3" spans="1:5" ht="15.75">
      <c r="A3" s="787" t="s">
        <v>773</v>
      </c>
      <c r="B3" s="787"/>
      <c r="C3" s="787"/>
      <c r="D3" s="787"/>
      <c r="E3" s="787"/>
    </row>
    <row r="4" spans="1:5" ht="15.75">
      <c r="A4" s="787" t="s">
        <v>857</v>
      </c>
      <c r="B4" s="787"/>
      <c r="C4" s="787"/>
      <c r="D4" s="787"/>
      <c r="E4" s="787"/>
    </row>
    <row r="5" spans="1:5" ht="12.75">
      <c r="A5" s="67"/>
      <c r="B5" s="67"/>
      <c r="C5" s="67"/>
      <c r="D5" s="67"/>
      <c r="E5" s="67"/>
    </row>
    <row r="6" spans="1:5" ht="14.25" thickBot="1">
      <c r="A6" s="67"/>
      <c r="B6" s="67"/>
      <c r="C6" s="621"/>
      <c r="D6" s="621"/>
      <c r="E6" s="621" t="str">
        <f>'Z_5.tájékoztató_t.'!D5</f>
        <v>Forintban</v>
      </c>
    </row>
    <row r="7" spans="1:5" ht="42.75" customHeight="1" thickBot="1">
      <c r="A7" s="622" t="s">
        <v>52</v>
      </c>
      <c r="B7" s="623" t="s">
        <v>619</v>
      </c>
      <c r="C7" s="623" t="s">
        <v>620</v>
      </c>
      <c r="D7" s="624" t="s">
        <v>621</v>
      </c>
      <c r="E7" s="625" t="s">
        <v>622</v>
      </c>
    </row>
    <row r="8" spans="1:5" ht="15.75" customHeight="1">
      <c r="A8" s="526" t="s">
        <v>6</v>
      </c>
      <c r="B8" s="729" t="s">
        <v>977</v>
      </c>
      <c r="C8" s="729" t="s">
        <v>976</v>
      </c>
      <c r="D8" s="731">
        <v>27233</v>
      </c>
      <c r="E8" s="732">
        <v>27233</v>
      </c>
    </row>
    <row r="9" spans="1:5" ht="15.75" customHeight="1">
      <c r="A9" s="527" t="s">
        <v>7</v>
      </c>
      <c r="B9" s="730" t="s">
        <v>972</v>
      </c>
      <c r="C9" s="730" t="s">
        <v>971</v>
      </c>
      <c r="D9" s="733">
        <v>770000</v>
      </c>
      <c r="E9" s="734">
        <v>630000</v>
      </c>
    </row>
    <row r="10" spans="1:5" ht="15.75" customHeight="1">
      <c r="A10" s="527" t="s">
        <v>8</v>
      </c>
      <c r="B10" s="730" t="s">
        <v>973</v>
      </c>
      <c r="C10" s="730" t="s">
        <v>974</v>
      </c>
      <c r="D10" s="734">
        <v>84973270</v>
      </c>
      <c r="E10" s="734">
        <v>84973270</v>
      </c>
    </row>
    <row r="11" spans="1:5" ht="15.75" customHeight="1">
      <c r="A11" s="527" t="s">
        <v>9</v>
      </c>
      <c r="B11" s="730" t="s">
        <v>975</v>
      </c>
      <c r="C11" s="730" t="s">
        <v>974</v>
      </c>
      <c r="D11" s="734">
        <v>13583911</v>
      </c>
      <c r="E11" s="734">
        <v>13583911</v>
      </c>
    </row>
    <row r="12" spans="1:5" ht="15.75" customHeight="1">
      <c r="A12" s="527" t="s">
        <v>10</v>
      </c>
      <c r="B12" s="730" t="s">
        <v>964</v>
      </c>
      <c r="C12" s="730" t="s">
        <v>999</v>
      </c>
      <c r="D12" s="733">
        <v>10000000</v>
      </c>
      <c r="E12" s="734">
        <v>6540000</v>
      </c>
    </row>
    <row r="13" spans="1:5" ht="15.75" customHeight="1">
      <c r="A13" s="527" t="s">
        <v>11</v>
      </c>
      <c r="B13" s="730" t="s">
        <v>978</v>
      </c>
      <c r="C13" s="730" t="s">
        <v>980</v>
      </c>
      <c r="D13" s="734">
        <v>102440</v>
      </c>
      <c r="E13" s="734">
        <v>102440</v>
      </c>
    </row>
    <row r="14" spans="1:5" ht="15.75" customHeight="1">
      <c r="A14" s="527" t="s">
        <v>12</v>
      </c>
      <c r="B14" s="730" t="s">
        <v>979</v>
      </c>
      <c r="C14" s="730" t="s">
        <v>981</v>
      </c>
      <c r="D14" s="734">
        <v>14200</v>
      </c>
      <c r="E14" s="734">
        <v>14200</v>
      </c>
    </row>
    <row r="15" spans="1:5" ht="15.75" customHeight="1">
      <c r="A15" s="527" t="s">
        <v>13</v>
      </c>
      <c r="B15" s="730" t="s">
        <v>982</v>
      </c>
      <c r="C15" s="730" t="s">
        <v>983</v>
      </c>
      <c r="D15" s="734">
        <v>266700</v>
      </c>
      <c r="E15" s="734">
        <v>266700</v>
      </c>
    </row>
    <row r="16" spans="1:5" ht="15.75" customHeight="1">
      <c r="A16" s="527" t="s">
        <v>14</v>
      </c>
      <c r="B16" s="730" t="s">
        <v>984</v>
      </c>
      <c r="C16" s="730" t="s">
        <v>974</v>
      </c>
      <c r="D16" s="734">
        <v>3500000</v>
      </c>
      <c r="E16" s="734">
        <v>3500000</v>
      </c>
    </row>
    <row r="17" spans="1:5" ht="15.75" customHeight="1">
      <c r="A17" s="527" t="s">
        <v>15</v>
      </c>
      <c r="B17" s="730" t="s">
        <v>985</v>
      </c>
      <c r="C17" s="730" t="s">
        <v>974</v>
      </c>
      <c r="D17" s="734">
        <v>150000</v>
      </c>
      <c r="E17" s="734">
        <v>150000</v>
      </c>
    </row>
    <row r="18" spans="1:5" ht="15.75" customHeight="1">
      <c r="A18" s="527" t="s">
        <v>16</v>
      </c>
      <c r="B18" s="730" t="s">
        <v>986</v>
      </c>
      <c r="C18" s="730" t="s">
        <v>974</v>
      </c>
      <c r="D18" s="734">
        <v>100000</v>
      </c>
      <c r="E18" s="734">
        <v>100000</v>
      </c>
    </row>
    <row r="19" spans="1:5" ht="15.75" customHeight="1">
      <c r="A19" s="527" t="s">
        <v>17</v>
      </c>
      <c r="B19" s="730" t="s">
        <v>987</v>
      </c>
      <c r="C19" s="730" t="s">
        <v>974</v>
      </c>
      <c r="D19" s="733">
        <v>410000</v>
      </c>
      <c r="E19" s="734">
        <v>374916</v>
      </c>
    </row>
    <row r="20" spans="1:5" ht="15.75" customHeight="1">
      <c r="A20" s="527" t="s">
        <v>18</v>
      </c>
      <c r="B20" s="730" t="s">
        <v>988</v>
      </c>
      <c r="C20" s="730" t="s">
        <v>974</v>
      </c>
      <c r="D20" s="734">
        <v>250000</v>
      </c>
      <c r="E20" s="734">
        <v>250000</v>
      </c>
    </row>
    <row r="21" spans="1:5" ht="15.75" customHeight="1">
      <c r="A21" s="527" t="s">
        <v>19</v>
      </c>
      <c r="B21" s="730" t="s">
        <v>989</v>
      </c>
      <c r="C21" s="730" t="s">
        <v>974</v>
      </c>
      <c r="D21" s="734">
        <v>300000</v>
      </c>
      <c r="E21" s="734">
        <v>300000</v>
      </c>
    </row>
    <row r="22" spans="1:5" ht="15.75" customHeight="1">
      <c r="A22" s="527" t="s">
        <v>20</v>
      </c>
      <c r="B22" s="730" t="s">
        <v>990</v>
      </c>
      <c r="C22" s="730" t="s">
        <v>974</v>
      </c>
      <c r="D22" s="734">
        <v>100000</v>
      </c>
      <c r="E22" s="734">
        <v>100000</v>
      </c>
    </row>
    <row r="23" spans="1:5" ht="15.75" customHeight="1">
      <c r="A23" s="527" t="s">
        <v>21</v>
      </c>
      <c r="B23" s="730" t="s">
        <v>991</v>
      </c>
      <c r="C23" s="730" t="s">
        <v>974</v>
      </c>
      <c r="D23" s="734">
        <v>300000</v>
      </c>
      <c r="E23" s="734">
        <v>300000</v>
      </c>
    </row>
    <row r="24" spans="1:5" ht="15.75" customHeight="1">
      <c r="A24" s="527" t="s">
        <v>22</v>
      </c>
      <c r="B24" s="730" t="s">
        <v>992</v>
      </c>
      <c r="C24" s="730" t="s">
        <v>974</v>
      </c>
      <c r="D24" s="734">
        <v>100000</v>
      </c>
      <c r="E24" s="734">
        <v>100000</v>
      </c>
    </row>
    <row r="25" spans="1:5" ht="15.75" customHeight="1">
      <c r="A25" s="527" t="s">
        <v>23</v>
      </c>
      <c r="B25" s="730" t="s">
        <v>993</v>
      </c>
      <c r="C25" s="730" t="s">
        <v>974</v>
      </c>
      <c r="D25" s="733">
        <v>600000</v>
      </c>
      <c r="E25" s="734">
        <v>443714</v>
      </c>
    </row>
    <row r="26" spans="1:5" ht="15.75" customHeight="1">
      <c r="A26" s="527" t="s">
        <v>24</v>
      </c>
      <c r="B26" s="730" t="s">
        <v>994</v>
      </c>
      <c r="C26" s="730" t="s">
        <v>974</v>
      </c>
      <c r="D26" s="733">
        <v>1200000</v>
      </c>
      <c r="E26" s="734">
        <v>965667</v>
      </c>
    </row>
    <row r="27" spans="1:5" ht="15.75" customHeight="1">
      <c r="A27" s="527" t="s">
        <v>25</v>
      </c>
      <c r="B27" s="730" t="s">
        <v>995</v>
      </c>
      <c r="C27" s="730" t="s">
        <v>1000</v>
      </c>
      <c r="D27" s="733">
        <v>450000</v>
      </c>
      <c r="E27" s="734">
        <v>450000</v>
      </c>
    </row>
    <row r="28" spans="1:5" ht="15.75" customHeight="1">
      <c r="A28" s="527" t="s">
        <v>26</v>
      </c>
      <c r="B28" s="730" t="s">
        <v>996</v>
      </c>
      <c r="C28" s="730" t="s">
        <v>997</v>
      </c>
      <c r="D28" s="733">
        <v>7316660</v>
      </c>
      <c r="E28" s="734">
        <v>0</v>
      </c>
    </row>
    <row r="29" spans="1:5" ht="15.75" customHeight="1">
      <c r="A29" s="527" t="s">
        <v>27</v>
      </c>
      <c r="B29" s="528"/>
      <c r="C29" s="528"/>
      <c r="D29" s="529"/>
      <c r="E29" s="530"/>
    </row>
    <row r="30" spans="1:5" ht="15.75" customHeight="1">
      <c r="A30" s="527" t="s">
        <v>28</v>
      </c>
      <c r="B30" s="528"/>
      <c r="C30" s="528"/>
      <c r="D30" s="529"/>
      <c r="E30" s="530"/>
    </row>
    <row r="31" spans="1:5" ht="15.75" customHeight="1">
      <c r="A31" s="527" t="s">
        <v>29</v>
      </c>
      <c r="B31" s="528"/>
      <c r="C31" s="528"/>
      <c r="D31" s="529"/>
      <c r="E31" s="530"/>
    </row>
    <row r="32" spans="1:5" ht="15.75" customHeight="1">
      <c r="A32" s="527" t="s">
        <v>30</v>
      </c>
      <c r="B32" s="528"/>
      <c r="C32" s="528"/>
      <c r="D32" s="529"/>
      <c r="E32" s="530"/>
    </row>
    <row r="33" spans="1:5" ht="15.75" customHeight="1">
      <c r="A33" s="527" t="s">
        <v>31</v>
      </c>
      <c r="B33" s="528"/>
      <c r="C33" s="528"/>
      <c r="D33" s="529"/>
      <c r="E33" s="530"/>
    </row>
    <row r="34" spans="1:5" ht="15.75" customHeight="1">
      <c r="A34" s="527" t="s">
        <v>32</v>
      </c>
      <c r="B34" s="528"/>
      <c r="C34" s="528"/>
      <c r="D34" s="529"/>
      <c r="E34" s="530"/>
    </row>
    <row r="35" spans="1:5" ht="15.75" customHeight="1">
      <c r="A35" s="527" t="s">
        <v>33</v>
      </c>
      <c r="B35" s="528"/>
      <c r="C35" s="528"/>
      <c r="D35" s="529"/>
      <c r="E35" s="530"/>
    </row>
    <row r="36" spans="1:5" ht="15.75" customHeight="1">
      <c r="A36" s="527" t="s">
        <v>623</v>
      </c>
      <c r="B36" s="528"/>
      <c r="C36" s="528"/>
      <c r="D36" s="529"/>
      <c r="E36" s="530"/>
    </row>
    <row r="37" spans="1:5" ht="15.75" customHeight="1">
      <c r="A37" s="527" t="s">
        <v>624</v>
      </c>
      <c r="B37" s="528"/>
      <c r="C37" s="528"/>
      <c r="D37" s="529"/>
      <c r="E37" s="530"/>
    </row>
    <row r="38" spans="1:5" ht="15.75" customHeight="1">
      <c r="A38" s="527" t="s">
        <v>625</v>
      </c>
      <c r="B38" s="528"/>
      <c r="C38" s="528"/>
      <c r="D38" s="529"/>
      <c r="E38" s="530"/>
    </row>
    <row r="39" spans="1:5" ht="15.75" customHeight="1">
      <c r="A39" s="527" t="s">
        <v>626</v>
      </c>
      <c r="B39" s="528"/>
      <c r="C39" s="528"/>
      <c r="D39" s="529"/>
      <c r="E39" s="530"/>
    </row>
    <row r="40" spans="1:5" ht="15.75" customHeight="1" thickBot="1">
      <c r="A40" s="531" t="s">
        <v>627</v>
      </c>
      <c r="B40" s="532"/>
      <c r="C40" s="532"/>
      <c r="D40" s="533"/>
      <c r="E40" s="534"/>
    </row>
    <row r="41" spans="1:5" ht="15.75" customHeight="1" thickBot="1">
      <c r="A41" s="894" t="s">
        <v>38</v>
      </c>
      <c r="B41" s="895"/>
      <c r="C41" s="535"/>
      <c r="D41" s="735">
        <f>SUM(D8:D40)</f>
        <v>124514414</v>
      </c>
      <c r="E41" s="736">
        <f>SUM(E8:E40)</f>
        <v>113172051</v>
      </c>
    </row>
  </sheetData>
  <sheetProtection/>
  <mergeCells count="4">
    <mergeCell ref="A41:B41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E76"/>
  <sheetViews>
    <sheetView zoomScale="120" zoomScaleNormal="120" zoomScaleSheetLayoutView="120" workbookViewId="0" topLeftCell="A1">
      <selection activeCell="A76" sqref="A76:E76"/>
    </sheetView>
  </sheetViews>
  <sheetFormatPr defaultColWidth="12.00390625" defaultRowHeight="12.75"/>
  <cols>
    <col min="1" max="1" width="67.125" style="536" customWidth="1"/>
    <col min="2" max="2" width="6.125" style="537" customWidth="1"/>
    <col min="3" max="4" width="12.125" style="536" customWidth="1"/>
    <col min="5" max="5" width="12.125" style="557" customWidth="1"/>
    <col min="6" max="16384" width="12.00390625" style="536" customWidth="1"/>
  </cols>
  <sheetData>
    <row r="1" spans="1:5" ht="15.75">
      <c r="A1" s="904" t="str">
        <f>CONCATENATE("7.1. tájékoztató tábla ",Z_ALAPADATOK!A7," ",Z_ALAPADATOK!B7," ",Z_ALAPADATOK!C7," ",Z_ALAPADATOK!D7," ",Z_ALAPADATOK!E7," ",Z_ALAPADATOK!F7," ",Z_ALAPADATOK!G7," ",Z_ALAPADATOK!H7)</f>
        <v>7.1. tájékoztató tábla a … / 2019. ( … ) önkormányzati rendelethez</v>
      </c>
      <c r="B1" s="757"/>
      <c r="C1" s="757"/>
      <c r="D1" s="757"/>
      <c r="E1" s="757"/>
    </row>
    <row r="2" spans="1:5" ht="15.75">
      <c r="A2" s="905" t="s">
        <v>777</v>
      </c>
      <c r="B2" s="906"/>
      <c r="C2" s="906"/>
      <c r="D2" s="906"/>
      <c r="E2" s="906"/>
    </row>
    <row r="3" spans="1:5" ht="16.5" customHeight="1">
      <c r="A3" s="905" t="s">
        <v>778</v>
      </c>
      <c r="B3" s="906"/>
      <c r="C3" s="906"/>
      <c r="D3" s="906"/>
      <c r="E3" s="906"/>
    </row>
    <row r="4" spans="1:5" ht="16.5" customHeight="1">
      <c r="A4" s="907" t="s">
        <v>864</v>
      </c>
      <c r="B4" s="908"/>
      <c r="C4" s="908"/>
      <c r="D4" s="908"/>
      <c r="E4" s="908"/>
    </row>
    <row r="5" spans="1:5" ht="16.5" customHeight="1" thickBot="1">
      <c r="A5" s="626"/>
      <c r="B5" s="627"/>
      <c r="C5" s="909" t="str">
        <f>'Z_6.tájékoztató_t.'!E6</f>
        <v>Forintban</v>
      </c>
      <c r="D5" s="909"/>
      <c r="E5" s="909"/>
    </row>
    <row r="6" spans="1:5" ht="15.75" customHeight="1">
      <c r="A6" s="910" t="s">
        <v>628</v>
      </c>
      <c r="B6" s="913" t="s">
        <v>629</v>
      </c>
      <c r="C6" s="897" t="s">
        <v>630</v>
      </c>
      <c r="D6" s="897" t="s">
        <v>631</v>
      </c>
      <c r="E6" s="899" t="s">
        <v>632</v>
      </c>
    </row>
    <row r="7" spans="1:5" ht="11.25" customHeight="1">
      <c r="A7" s="911"/>
      <c r="B7" s="914"/>
      <c r="C7" s="898"/>
      <c r="D7" s="898"/>
      <c r="E7" s="900"/>
    </row>
    <row r="8" spans="1:5" ht="15.75">
      <c r="A8" s="912"/>
      <c r="B8" s="915"/>
      <c r="C8" s="901" t="s">
        <v>633</v>
      </c>
      <c r="D8" s="901"/>
      <c r="E8" s="902"/>
    </row>
    <row r="9" spans="1:5" s="538" customFormat="1" ht="16.5" thickBot="1">
      <c r="A9" s="628" t="s">
        <v>634</v>
      </c>
      <c r="B9" s="629" t="s">
        <v>390</v>
      </c>
      <c r="C9" s="629" t="s">
        <v>391</v>
      </c>
      <c r="D9" s="629" t="s">
        <v>393</v>
      </c>
      <c r="E9" s="630" t="s">
        <v>392</v>
      </c>
    </row>
    <row r="10" spans="1:5" s="542" customFormat="1" ht="15.75">
      <c r="A10" s="539" t="s">
        <v>635</v>
      </c>
      <c r="B10" s="540" t="s">
        <v>636</v>
      </c>
      <c r="C10" s="737">
        <v>41121762</v>
      </c>
      <c r="D10" s="737">
        <v>6811749</v>
      </c>
      <c r="E10" s="541"/>
    </row>
    <row r="11" spans="1:5" s="542" customFormat="1" ht="15.75">
      <c r="A11" s="543" t="s">
        <v>637</v>
      </c>
      <c r="B11" s="544" t="s">
        <v>638</v>
      </c>
      <c r="C11" s="738">
        <f>+C12+C17+C22+C27+C32</f>
        <v>3978000838</v>
      </c>
      <c r="D11" s="738">
        <f>+D12+D17+D22+D27+D32</f>
        <v>2869443849</v>
      </c>
      <c r="E11" s="545">
        <f>+E12+E17+E22+E27+E32</f>
        <v>0</v>
      </c>
    </row>
    <row r="12" spans="1:5" s="542" customFormat="1" ht="15.75">
      <c r="A12" s="543" t="s">
        <v>639</v>
      </c>
      <c r="B12" s="544" t="s">
        <v>640</v>
      </c>
      <c r="C12" s="738">
        <f>+C13+C14+C15+C16</f>
        <v>3557342985</v>
      </c>
      <c r="D12" s="738">
        <f>+D13+D14+D15+D16</f>
        <v>2714609685</v>
      </c>
      <c r="E12" s="545">
        <f>+E13+E14+E15+E16</f>
        <v>0</v>
      </c>
    </row>
    <row r="13" spans="1:5" s="542" customFormat="1" ht="15.75">
      <c r="A13" s="546" t="s">
        <v>641</v>
      </c>
      <c r="B13" s="544" t="s">
        <v>642</v>
      </c>
      <c r="C13" s="739"/>
      <c r="D13" s="739"/>
      <c r="E13" s="547"/>
    </row>
    <row r="14" spans="1:5" s="542" customFormat="1" ht="26.25" customHeight="1">
      <c r="A14" s="546" t="s">
        <v>643</v>
      </c>
      <c r="B14" s="544" t="s">
        <v>644</v>
      </c>
      <c r="C14" s="740">
        <v>2282332349</v>
      </c>
      <c r="D14" s="740">
        <v>1612328776</v>
      </c>
      <c r="E14" s="548"/>
    </row>
    <row r="15" spans="1:5" s="542" customFormat="1" ht="15.75">
      <c r="A15" s="546" t="s">
        <v>645</v>
      </c>
      <c r="B15" s="544" t="s">
        <v>646</v>
      </c>
      <c r="C15" s="740">
        <v>534346815</v>
      </c>
      <c r="D15" s="740">
        <v>491765395</v>
      </c>
      <c r="E15" s="548"/>
    </row>
    <row r="16" spans="1:5" s="542" customFormat="1" ht="15.75">
      <c r="A16" s="546" t="s">
        <v>647</v>
      </c>
      <c r="B16" s="544" t="s">
        <v>648</v>
      </c>
      <c r="C16" s="740">
        <v>740663821</v>
      </c>
      <c r="D16" s="740">
        <v>610515514</v>
      </c>
      <c r="E16" s="548"/>
    </row>
    <row r="17" spans="1:5" s="542" customFormat="1" ht="15.75">
      <c r="A17" s="543" t="s">
        <v>649</v>
      </c>
      <c r="B17" s="544" t="s">
        <v>650</v>
      </c>
      <c r="C17" s="741">
        <f>+C18+C19+C20+C21</f>
        <v>353874248</v>
      </c>
      <c r="D17" s="741">
        <f>+D18+D19+D20+D21</f>
        <v>88050559</v>
      </c>
      <c r="E17" s="549">
        <f>+E18+E19+E20+E21</f>
        <v>0</v>
      </c>
    </row>
    <row r="18" spans="1:5" s="542" customFormat="1" ht="15.75">
      <c r="A18" s="546" t="s">
        <v>651</v>
      </c>
      <c r="B18" s="544" t="s">
        <v>652</v>
      </c>
      <c r="C18" s="740">
        <v>2299831</v>
      </c>
      <c r="D18" s="740">
        <v>1370656</v>
      </c>
      <c r="E18" s="548"/>
    </row>
    <row r="19" spans="1:5" s="542" customFormat="1" ht="22.5">
      <c r="A19" s="546" t="s">
        <v>653</v>
      </c>
      <c r="B19" s="544" t="s">
        <v>15</v>
      </c>
      <c r="C19" s="740"/>
      <c r="D19" s="740"/>
      <c r="E19" s="548"/>
    </row>
    <row r="20" spans="1:5" s="542" customFormat="1" ht="15.75">
      <c r="A20" s="546" t="s">
        <v>654</v>
      </c>
      <c r="B20" s="544" t="s">
        <v>16</v>
      </c>
      <c r="C20" s="740">
        <v>161573551</v>
      </c>
      <c r="D20" s="740">
        <v>73763643</v>
      </c>
      <c r="E20" s="548"/>
    </row>
    <row r="21" spans="1:5" s="542" customFormat="1" ht="15.75">
      <c r="A21" s="546" t="s">
        <v>655</v>
      </c>
      <c r="B21" s="544" t="s">
        <v>17</v>
      </c>
      <c r="C21" s="740">
        <v>190000866</v>
      </c>
      <c r="D21" s="740">
        <v>12916260</v>
      </c>
      <c r="E21" s="548"/>
    </row>
    <row r="22" spans="1:5" s="542" customFormat="1" ht="15.75">
      <c r="A22" s="543" t="s">
        <v>656</v>
      </c>
      <c r="B22" s="544" t="s">
        <v>18</v>
      </c>
      <c r="C22" s="741">
        <f>+C23+C24+C25+C26</f>
        <v>0</v>
      </c>
      <c r="D22" s="741">
        <f>+D23+D24+D25+D26</f>
        <v>0</v>
      </c>
      <c r="E22" s="549">
        <f>+E23+E24+E25+E26</f>
        <v>0</v>
      </c>
    </row>
    <row r="23" spans="1:5" s="542" customFormat="1" ht="15.75">
      <c r="A23" s="546" t="s">
        <v>657</v>
      </c>
      <c r="B23" s="544" t="s">
        <v>19</v>
      </c>
      <c r="C23" s="740"/>
      <c r="D23" s="740"/>
      <c r="E23" s="548"/>
    </row>
    <row r="24" spans="1:5" s="542" customFormat="1" ht="15.75">
      <c r="A24" s="546" t="s">
        <v>658</v>
      </c>
      <c r="B24" s="544" t="s">
        <v>20</v>
      </c>
      <c r="C24" s="740"/>
      <c r="D24" s="740"/>
      <c r="E24" s="548"/>
    </row>
    <row r="25" spans="1:5" s="542" customFormat="1" ht="15.75">
      <c r="A25" s="546" t="s">
        <v>659</v>
      </c>
      <c r="B25" s="544" t="s">
        <v>21</v>
      </c>
      <c r="C25" s="740"/>
      <c r="D25" s="740"/>
      <c r="E25" s="548"/>
    </row>
    <row r="26" spans="1:5" s="542" customFormat="1" ht="15.75">
      <c r="A26" s="546" t="s">
        <v>660</v>
      </c>
      <c r="B26" s="544" t="s">
        <v>22</v>
      </c>
      <c r="C26" s="740"/>
      <c r="D26" s="740"/>
      <c r="E26" s="548"/>
    </row>
    <row r="27" spans="1:5" s="542" customFormat="1" ht="15.75">
      <c r="A27" s="543" t="s">
        <v>661</v>
      </c>
      <c r="B27" s="544" t="s">
        <v>23</v>
      </c>
      <c r="C27" s="741">
        <f>+C28+C29+C30+C31</f>
        <v>66783605</v>
      </c>
      <c r="D27" s="741">
        <f>+D28+D29+D30+D31</f>
        <v>66783605</v>
      </c>
      <c r="E27" s="549">
        <f>+E28+E29+E30+E31</f>
        <v>0</v>
      </c>
    </row>
    <row r="28" spans="1:5" s="542" customFormat="1" ht="15.75">
      <c r="A28" s="546" t="s">
        <v>662</v>
      </c>
      <c r="B28" s="544" t="s">
        <v>24</v>
      </c>
      <c r="C28" s="740"/>
      <c r="D28" s="740"/>
      <c r="E28" s="548"/>
    </row>
    <row r="29" spans="1:5" s="542" customFormat="1" ht="15.75">
      <c r="A29" s="546" t="s">
        <v>663</v>
      </c>
      <c r="B29" s="544" t="s">
        <v>25</v>
      </c>
      <c r="C29" s="740"/>
      <c r="D29" s="740"/>
      <c r="E29" s="548"/>
    </row>
    <row r="30" spans="1:5" s="542" customFormat="1" ht="15.75">
      <c r="A30" s="546" t="s">
        <v>664</v>
      </c>
      <c r="B30" s="544" t="s">
        <v>26</v>
      </c>
      <c r="C30" s="740">
        <v>66783605</v>
      </c>
      <c r="D30" s="740">
        <v>66783605</v>
      </c>
      <c r="E30" s="548"/>
    </row>
    <row r="31" spans="1:5" s="542" customFormat="1" ht="15.75">
      <c r="A31" s="546" t="s">
        <v>665</v>
      </c>
      <c r="B31" s="544" t="s">
        <v>27</v>
      </c>
      <c r="C31" s="740"/>
      <c r="D31" s="740"/>
      <c r="E31" s="548"/>
    </row>
    <row r="32" spans="1:5" s="542" customFormat="1" ht="15.75">
      <c r="A32" s="543" t="s">
        <v>666</v>
      </c>
      <c r="B32" s="544" t="s">
        <v>28</v>
      </c>
      <c r="C32" s="741">
        <f>+C33+C34+C35+C36</f>
        <v>0</v>
      </c>
      <c r="D32" s="741">
        <f>+D33+D34+D35+D36</f>
        <v>0</v>
      </c>
      <c r="E32" s="549">
        <f>+E33+E34+E35+E36</f>
        <v>0</v>
      </c>
    </row>
    <row r="33" spans="1:5" s="542" customFormat="1" ht="15.75">
      <c r="A33" s="546" t="s">
        <v>667</v>
      </c>
      <c r="B33" s="544" t="s">
        <v>29</v>
      </c>
      <c r="C33" s="740"/>
      <c r="D33" s="740"/>
      <c r="E33" s="548"/>
    </row>
    <row r="34" spans="1:5" s="542" customFormat="1" ht="22.5">
      <c r="A34" s="546" t="s">
        <v>668</v>
      </c>
      <c r="B34" s="544" t="s">
        <v>30</v>
      </c>
      <c r="C34" s="740"/>
      <c r="D34" s="740"/>
      <c r="E34" s="548"/>
    </row>
    <row r="35" spans="1:5" s="542" customFormat="1" ht="15.75">
      <c r="A35" s="546" t="s">
        <v>669</v>
      </c>
      <c r="B35" s="544" t="s">
        <v>31</v>
      </c>
      <c r="C35" s="740"/>
      <c r="D35" s="740"/>
      <c r="E35" s="548"/>
    </row>
    <row r="36" spans="1:5" s="542" customFormat="1" ht="15.75">
      <c r="A36" s="546" t="s">
        <v>670</v>
      </c>
      <c r="B36" s="544" t="s">
        <v>32</v>
      </c>
      <c r="C36" s="740"/>
      <c r="D36" s="740"/>
      <c r="E36" s="548"/>
    </row>
    <row r="37" spans="1:5" s="542" customFormat="1" ht="15.75">
      <c r="A37" s="543" t="s">
        <v>671</v>
      </c>
      <c r="B37" s="544" t="s">
        <v>33</v>
      </c>
      <c r="C37" s="741">
        <f>+C38+C43+C48</f>
        <v>6538200</v>
      </c>
      <c r="D37" s="741">
        <f>+D38+D43+D48</f>
        <v>3538200</v>
      </c>
      <c r="E37" s="549">
        <f>+E38+E43+E48</f>
        <v>0</v>
      </c>
    </row>
    <row r="38" spans="1:5" s="542" customFormat="1" ht="15.75">
      <c r="A38" s="543" t="s">
        <v>672</v>
      </c>
      <c r="B38" s="544" t="s">
        <v>623</v>
      </c>
      <c r="C38" s="741">
        <f>+C39+C40+C41+C42</f>
        <v>6538200</v>
      </c>
      <c r="D38" s="741">
        <f>+D39+D40+D41+D42</f>
        <v>3538200</v>
      </c>
      <c r="E38" s="549">
        <f>+E39+E40+E41+E42</f>
        <v>0</v>
      </c>
    </row>
    <row r="39" spans="1:5" s="542" customFormat="1" ht="15.75">
      <c r="A39" s="546" t="s">
        <v>673</v>
      </c>
      <c r="B39" s="544" t="s">
        <v>624</v>
      </c>
      <c r="C39" s="740"/>
      <c r="D39" s="740"/>
      <c r="E39" s="548"/>
    </row>
    <row r="40" spans="1:5" s="542" customFormat="1" ht="15.75">
      <c r="A40" s="546" t="s">
        <v>674</v>
      </c>
      <c r="B40" s="544" t="s">
        <v>625</v>
      </c>
      <c r="C40" s="740">
        <v>38200</v>
      </c>
      <c r="D40" s="740">
        <v>38200</v>
      </c>
      <c r="E40" s="548"/>
    </row>
    <row r="41" spans="1:5" s="542" customFormat="1" ht="15.75">
      <c r="A41" s="546" t="s">
        <v>675</v>
      </c>
      <c r="B41" s="544" t="s">
        <v>626</v>
      </c>
      <c r="C41" s="740">
        <v>3000000</v>
      </c>
      <c r="D41" s="740">
        <v>0</v>
      </c>
      <c r="E41" s="548"/>
    </row>
    <row r="42" spans="1:5" s="542" customFormat="1" ht="15.75">
      <c r="A42" s="546" t="s">
        <v>676</v>
      </c>
      <c r="B42" s="544" t="s">
        <v>627</v>
      </c>
      <c r="C42" s="740">
        <v>3500000</v>
      </c>
      <c r="D42" s="740">
        <v>3500000</v>
      </c>
      <c r="E42" s="548"/>
    </row>
    <row r="43" spans="1:5" s="542" customFormat="1" ht="15.75">
      <c r="A43" s="543" t="s">
        <v>677</v>
      </c>
      <c r="B43" s="544" t="s">
        <v>678</v>
      </c>
      <c r="C43" s="741">
        <f>+C44+C45+C46+C47</f>
        <v>0</v>
      </c>
      <c r="D43" s="741">
        <f>+D44+D45+D46+D47</f>
        <v>0</v>
      </c>
      <c r="E43" s="549">
        <f>+E44+E45+E46+E47</f>
        <v>0</v>
      </c>
    </row>
    <row r="44" spans="1:5" s="542" customFormat="1" ht="15.75">
      <c r="A44" s="546" t="s">
        <v>679</v>
      </c>
      <c r="B44" s="544" t="s">
        <v>680</v>
      </c>
      <c r="C44" s="740"/>
      <c r="D44" s="740"/>
      <c r="E44" s="548"/>
    </row>
    <row r="45" spans="1:5" s="542" customFormat="1" ht="22.5">
      <c r="A45" s="546" t="s">
        <v>681</v>
      </c>
      <c r="B45" s="544" t="s">
        <v>682</v>
      </c>
      <c r="C45" s="740"/>
      <c r="D45" s="740"/>
      <c r="E45" s="548"/>
    </row>
    <row r="46" spans="1:5" s="542" customFormat="1" ht="15.75">
      <c r="A46" s="546" t="s">
        <v>683</v>
      </c>
      <c r="B46" s="544" t="s">
        <v>684</v>
      </c>
      <c r="C46" s="740"/>
      <c r="D46" s="740"/>
      <c r="E46" s="548"/>
    </row>
    <row r="47" spans="1:5" s="542" customFormat="1" ht="15.75">
      <c r="A47" s="546" t="s">
        <v>685</v>
      </c>
      <c r="B47" s="544" t="s">
        <v>686</v>
      </c>
      <c r="C47" s="740"/>
      <c r="D47" s="740"/>
      <c r="E47" s="548"/>
    </row>
    <row r="48" spans="1:5" s="542" customFormat="1" ht="15.75">
      <c r="A48" s="543" t="s">
        <v>687</v>
      </c>
      <c r="B48" s="544" t="s">
        <v>688</v>
      </c>
      <c r="C48" s="741">
        <f>+C49+C50+C51+C52</f>
        <v>0</v>
      </c>
      <c r="D48" s="741">
        <f>+D49+D50+D51+D52</f>
        <v>0</v>
      </c>
      <c r="E48" s="549">
        <f>+E49+E50+E51+E52</f>
        <v>0</v>
      </c>
    </row>
    <row r="49" spans="1:5" s="542" customFormat="1" ht="15.75">
      <c r="A49" s="546" t="s">
        <v>689</v>
      </c>
      <c r="B49" s="544" t="s">
        <v>690</v>
      </c>
      <c r="C49" s="740"/>
      <c r="D49" s="740"/>
      <c r="E49" s="548"/>
    </row>
    <row r="50" spans="1:5" s="542" customFormat="1" ht="22.5">
      <c r="A50" s="546" t="s">
        <v>691</v>
      </c>
      <c r="B50" s="544" t="s">
        <v>692</v>
      </c>
      <c r="C50" s="740"/>
      <c r="D50" s="740"/>
      <c r="E50" s="548"/>
    </row>
    <row r="51" spans="1:5" s="542" customFormat="1" ht="15.75">
      <c r="A51" s="546" t="s">
        <v>693</v>
      </c>
      <c r="B51" s="544" t="s">
        <v>694</v>
      </c>
      <c r="C51" s="740"/>
      <c r="D51" s="740"/>
      <c r="E51" s="548"/>
    </row>
    <row r="52" spans="1:5" s="542" customFormat="1" ht="15.75">
      <c r="A52" s="546" t="s">
        <v>695</v>
      </c>
      <c r="B52" s="544" t="s">
        <v>696</v>
      </c>
      <c r="C52" s="740"/>
      <c r="D52" s="740"/>
      <c r="E52" s="548"/>
    </row>
    <row r="53" spans="1:5" s="542" customFormat="1" ht="15.75">
      <c r="A53" s="543" t="s">
        <v>697</v>
      </c>
      <c r="B53" s="544" t="s">
        <v>698</v>
      </c>
      <c r="C53" s="740"/>
      <c r="D53" s="740"/>
      <c r="E53" s="548"/>
    </row>
    <row r="54" spans="1:5" s="542" customFormat="1" ht="21">
      <c r="A54" s="543" t="s">
        <v>699</v>
      </c>
      <c r="B54" s="544" t="s">
        <v>700</v>
      </c>
      <c r="C54" s="741">
        <f>+C10+C11+C37+C53</f>
        <v>4025660800</v>
      </c>
      <c r="D54" s="741">
        <f>+D10+D11+D37+D53</f>
        <v>2879793798</v>
      </c>
      <c r="E54" s="549">
        <f>+E10+E11+E37+E53</f>
        <v>0</v>
      </c>
    </row>
    <row r="55" spans="1:5" s="542" customFormat="1" ht="15.75">
      <c r="A55" s="543" t="s">
        <v>701</v>
      </c>
      <c r="B55" s="544" t="s">
        <v>702</v>
      </c>
      <c r="C55" s="740"/>
      <c r="D55" s="740"/>
      <c r="E55" s="548"/>
    </row>
    <row r="56" spans="1:5" s="542" customFormat="1" ht="15.75">
      <c r="A56" s="543" t="s">
        <v>703</v>
      </c>
      <c r="B56" s="544" t="s">
        <v>704</v>
      </c>
      <c r="C56" s="740"/>
      <c r="D56" s="740"/>
      <c r="E56" s="548"/>
    </row>
    <row r="57" spans="1:5" s="542" customFormat="1" ht="15.75">
      <c r="A57" s="543" t="s">
        <v>705</v>
      </c>
      <c r="B57" s="544" t="s">
        <v>706</v>
      </c>
      <c r="C57" s="741">
        <f>+C55+C56</f>
        <v>0</v>
      </c>
      <c r="D57" s="741">
        <f>+D55+D56</f>
        <v>0</v>
      </c>
      <c r="E57" s="549">
        <f>+E55+E56</f>
        <v>0</v>
      </c>
    </row>
    <row r="58" spans="1:5" s="542" customFormat="1" ht="15.75">
      <c r="A58" s="543" t="s">
        <v>707</v>
      </c>
      <c r="B58" s="544" t="s">
        <v>708</v>
      </c>
      <c r="C58" s="740"/>
      <c r="D58" s="740"/>
      <c r="E58" s="548"/>
    </row>
    <row r="59" spans="1:5" s="542" customFormat="1" ht="15.75">
      <c r="A59" s="543" t="s">
        <v>709</v>
      </c>
      <c r="B59" s="544" t="s">
        <v>710</v>
      </c>
      <c r="C59" s="740">
        <v>544285</v>
      </c>
      <c r="D59" s="740">
        <v>544285</v>
      </c>
      <c r="E59" s="548"/>
    </row>
    <row r="60" spans="1:5" s="542" customFormat="1" ht="15.75">
      <c r="A60" s="543" t="s">
        <v>711</v>
      </c>
      <c r="B60" s="544" t="s">
        <v>712</v>
      </c>
      <c r="C60" s="740">
        <v>1060357453</v>
      </c>
      <c r="D60" s="740">
        <v>1060357453</v>
      </c>
      <c r="E60" s="548"/>
    </row>
    <row r="61" spans="1:5" s="542" customFormat="1" ht="15.75">
      <c r="A61" s="543" t="s">
        <v>713</v>
      </c>
      <c r="B61" s="544" t="s">
        <v>714</v>
      </c>
      <c r="C61" s="740">
        <v>78551</v>
      </c>
      <c r="D61" s="740">
        <v>78551</v>
      </c>
      <c r="E61" s="548"/>
    </row>
    <row r="62" spans="1:5" s="542" customFormat="1" ht="15.75">
      <c r="A62" s="543" t="s">
        <v>715</v>
      </c>
      <c r="B62" s="544" t="s">
        <v>716</v>
      </c>
      <c r="C62" s="741">
        <f>+C58+C59+C60+C61</f>
        <v>1060980289</v>
      </c>
      <c r="D62" s="741">
        <f>+D58+D59+D60+D61</f>
        <v>1060980289</v>
      </c>
      <c r="E62" s="549">
        <f>+E58+E59+E60+E61</f>
        <v>0</v>
      </c>
    </row>
    <row r="63" spans="1:5" s="542" customFormat="1" ht="15.75">
      <c r="A63" s="543" t="s">
        <v>717</v>
      </c>
      <c r="B63" s="544" t="s">
        <v>718</v>
      </c>
      <c r="C63" s="740">
        <v>24419595</v>
      </c>
      <c r="D63" s="740">
        <v>18470561</v>
      </c>
      <c r="E63" s="548"/>
    </row>
    <row r="64" spans="1:5" s="542" customFormat="1" ht="15.75">
      <c r="A64" s="543" t="s">
        <v>719</v>
      </c>
      <c r="B64" s="544" t="s">
        <v>720</v>
      </c>
      <c r="C64" s="740">
        <v>60894107</v>
      </c>
      <c r="D64" s="740">
        <v>60894107</v>
      </c>
      <c r="E64" s="548"/>
    </row>
    <row r="65" spans="1:5" s="542" customFormat="1" ht="15.75">
      <c r="A65" s="543" t="s">
        <v>721</v>
      </c>
      <c r="B65" s="544" t="s">
        <v>722</v>
      </c>
      <c r="C65" s="740">
        <v>63844036</v>
      </c>
      <c r="D65" s="740">
        <v>63844036</v>
      </c>
      <c r="E65" s="548"/>
    </row>
    <row r="66" spans="1:5" s="542" customFormat="1" ht="15.75">
      <c r="A66" s="543" t="s">
        <v>723</v>
      </c>
      <c r="B66" s="544" t="s">
        <v>724</v>
      </c>
      <c r="C66" s="741">
        <f>+C63+C64+C65</f>
        <v>149157738</v>
      </c>
      <c r="D66" s="741">
        <f>+D63+D64+D65</f>
        <v>143208704</v>
      </c>
      <c r="E66" s="549">
        <f>+E63+E64+E65</f>
        <v>0</v>
      </c>
    </row>
    <row r="67" spans="1:5" s="542" customFormat="1" ht="15.75">
      <c r="A67" s="543" t="s">
        <v>725</v>
      </c>
      <c r="B67" s="544" t="s">
        <v>726</v>
      </c>
      <c r="C67" s="740"/>
      <c r="D67" s="740"/>
      <c r="E67" s="548"/>
    </row>
    <row r="68" spans="1:5" s="542" customFormat="1" ht="21">
      <c r="A68" s="543" t="s">
        <v>727</v>
      </c>
      <c r="B68" s="544" t="s">
        <v>728</v>
      </c>
      <c r="C68" s="740">
        <v>9649024</v>
      </c>
      <c r="D68" s="740">
        <v>9649024</v>
      </c>
      <c r="E68" s="548"/>
    </row>
    <row r="69" spans="1:5" s="542" customFormat="1" ht="15.75">
      <c r="A69" s="543" t="s">
        <v>775</v>
      </c>
      <c r="B69" s="544" t="s">
        <v>729</v>
      </c>
      <c r="C69" s="741">
        <f>+C67+C68</f>
        <v>9649024</v>
      </c>
      <c r="D69" s="741">
        <f>+D67+D68</f>
        <v>9649024</v>
      </c>
      <c r="E69" s="549">
        <f>+E67+E68</f>
        <v>0</v>
      </c>
    </row>
    <row r="70" spans="1:5" s="542" customFormat="1" ht="15.75">
      <c r="A70" s="543" t="s">
        <v>730</v>
      </c>
      <c r="B70" s="544" t="s">
        <v>731</v>
      </c>
      <c r="C70" s="740">
        <v>904484</v>
      </c>
      <c r="D70" s="740">
        <v>904484</v>
      </c>
      <c r="E70" s="548"/>
    </row>
    <row r="71" spans="1:5" s="542" customFormat="1" ht="16.5" thickBot="1">
      <c r="A71" s="550" t="s">
        <v>732</v>
      </c>
      <c r="B71" s="551" t="s">
        <v>733</v>
      </c>
      <c r="C71" s="742">
        <f>+C54+C57+C62+C66+C69+C70</f>
        <v>5246352335</v>
      </c>
      <c r="D71" s="742">
        <f>+D54+D57+D62+D66+D69+D70</f>
        <v>4094536299</v>
      </c>
      <c r="E71" s="552">
        <f>+E54+E57+E62+E66+E69+E70</f>
        <v>0</v>
      </c>
    </row>
    <row r="72" spans="1:5" ht="15.75">
      <c r="A72" s="553"/>
      <c r="C72" s="554"/>
      <c r="D72" s="554"/>
      <c r="E72" s="555"/>
    </row>
    <row r="73" spans="1:5" ht="15.75">
      <c r="A73" s="553"/>
      <c r="C73" s="554"/>
      <c r="D73" s="554"/>
      <c r="E73" s="555"/>
    </row>
    <row r="74" spans="1:5" ht="15.75">
      <c r="A74" s="556"/>
      <c r="C74" s="554"/>
      <c r="D74" s="554"/>
      <c r="E74" s="555"/>
    </row>
    <row r="75" spans="1:5" ht="15.75">
      <c r="A75" s="903"/>
      <c r="B75" s="903"/>
      <c r="C75" s="903"/>
      <c r="D75" s="903"/>
      <c r="E75" s="903"/>
    </row>
    <row r="76" spans="1:5" ht="15.75">
      <c r="A76" s="903"/>
      <c r="B76" s="903"/>
      <c r="C76" s="903"/>
      <c r="D76" s="903"/>
      <c r="E76" s="903"/>
    </row>
  </sheetData>
  <sheetProtection/>
  <mergeCells count="13">
    <mergeCell ref="A6:A8"/>
    <mergeCell ref="B6:B8"/>
    <mergeCell ref="C6:C7"/>
    <mergeCell ref="D6:D7"/>
    <mergeCell ref="E6:E7"/>
    <mergeCell ref="C8:E8"/>
    <mergeCell ref="A75:E75"/>
    <mergeCell ref="A76:E76"/>
    <mergeCell ref="A1:E1"/>
    <mergeCell ref="A2:E2"/>
    <mergeCell ref="A3:E3"/>
    <mergeCell ref="A4:E4"/>
    <mergeCell ref="C5:E5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="120" zoomScaleNormal="120" workbookViewId="0" topLeftCell="A15">
      <selection activeCell="C23" sqref="C10:C23"/>
    </sheetView>
  </sheetViews>
  <sheetFormatPr defaultColWidth="9.00390625" defaultRowHeight="12.75"/>
  <cols>
    <col min="1" max="1" width="71.125" style="559" customWidth="1"/>
    <col min="2" max="2" width="6.125" style="566" customWidth="1"/>
    <col min="3" max="3" width="18.00390625" style="558" customWidth="1"/>
    <col min="4" max="16384" width="9.375" style="558" customWidth="1"/>
  </cols>
  <sheetData>
    <row r="1" spans="1:3" ht="16.5" customHeight="1">
      <c r="A1" s="917" t="str">
        <f>CONCATENATE("7.2. tájékoztató tábla ",Z_ALAPADATOK!A7," ",Z_ALAPADATOK!B7," ",Z_ALAPADATOK!C7," ",Z_ALAPADATOK!D7," ",Z_ALAPADATOK!E7," ",Z_ALAPADATOK!F7," ",Z_ALAPADATOK!G7," ",Z_ALAPADATOK!H7)</f>
        <v>7.2. tájékoztató tábla a … / 2019. ( … ) önkormányzati rendelethez</v>
      </c>
      <c r="B1" s="918"/>
      <c r="C1" s="918"/>
    </row>
    <row r="2" spans="1:3" ht="16.5" customHeight="1">
      <c r="A2" s="631"/>
      <c r="B2" s="632"/>
      <c r="C2" s="633"/>
    </row>
    <row r="3" spans="1:3" ht="16.5" customHeight="1">
      <c r="A3" s="921" t="s">
        <v>777</v>
      </c>
      <c r="B3" s="921"/>
      <c r="C3" s="921"/>
    </row>
    <row r="4" spans="1:3" ht="16.5" customHeight="1">
      <c r="A4" s="919" t="s">
        <v>820</v>
      </c>
      <c r="B4" s="919"/>
      <c r="C4" s="919"/>
    </row>
    <row r="5" spans="1:3" ht="16.5" customHeight="1">
      <c r="A5" s="919" t="s">
        <v>864</v>
      </c>
      <c r="B5" s="920"/>
      <c r="C5" s="920"/>
    </row>
    <row r="6" spans="1:3" ht="13.5" thickBot="1">
      <c r="A6" s="631"/>
      <c r="B6" s="922" t="str">
        <f>'Z_6.tájékoztató_t.'!E6</f>
        <v>Forintban</v>
      </c>
      <c r="C6" s="922"/>
    </row>
    <row r="7" spans="1:3" s="560" customFormat="1" ht="31.5" customHeight="1">
      <c r="A7" s="923" t="s">
        <v>734</v>
      </c>
      <c r="B7" s="925" t="s">
        <v>629</v>
      </c>
      <c r="C7" s="927" t="s">
        <v>735</v>
      </c>
    </row>
    <row r="8" spans="1:3" s="560" customFormat="1" ht="12.75">
      <c r="A8" s="924"/>
      <c r="B8" s="926"/>
      <c r="C8" s="928"/>
    </row>
    <row r="9" spans="1:3" s="561" customFormat="1" ht="13.5" thickBot="1">
      <c r="A9" s="634" t="s">
        <v>389</v>
      </c>
      <c r="B9" s="635" t="s">
        <v>390</v>
      </c>
      <c r="C9" s="636" t="s">
        <v>391</v>
      </c>
    </row>
    <row r="10" spans="1:3" ht="15.75" customHeight="1">
      <c r="A10" s="543" t="s">
        <v>736</v>
      </c>
      <c r="B10" s="562" t="s">
        <v>636</v>
      </c>
      <c r="C10" s="743">
        <v>3202648580</v>
      </c>
    </row>
    <row r="11" spans="1:3" ht="15.75" customHeight="1">
      <c r="A11" s="543" t="s">
        <v>737</v>
      </c>
      <c r="B11" s="544" t="s">
        <v>638</v>
      </c>
      <c r="C11" s="743"/>
    </row>
    <row r="12" spans="1:3" ht="15.75" customHeight="1">
      <c r="A12" s="543" t="s">
        <v>738</v>
      </c>
      <c r="B12" s="544" t="s">
        <v>640</v>
      </c>
      <c r="C12" s="743">
        <v>41967338</v>
      </c>
    </row>
    <row r="13" spans="1:3" ht="15.75" customHeight="1">
      <c r="A13" s="543" t="s">
        <v>739</v>
      </c>
      <c r="B13" s="544" t="s">
        <v>642</v>
      </c>
      <c r="C13" s="744">
        <v>-314492476</v>
      </c>
    </row>
    <row r="14" spans="1:3" ht="15.75" customHeight="1">
      <c r="A14" s="543" t="s">
        <v>740</v>
      </c>
      <c r="B14" s="544" t="s">
        <v>644</v>
      </c>
      <c r="C14" s="744"/>
    </row>
    <row r="15" spans="1:3" ht="15.75" customHeight="1">
      <c r="A15" s="543" t="s">
        <v>741</v>
      </c>
      <c r="B15" s="544" t="s">
        <v>646</v>
      </c>
      <c r="C15" s="744">
        <v>-13997189</v>
      </c>
    </row>
    <row r="16" spans="1:3" ht="15.75" customHeight="1">
      <c r="A16" s="543" t="s">
        <v>742</v>
      </c>
      <c r="B16" s="544" t="s">
        <v>648</v>
      </c>
      <c r="C16" s="745">
        <f>+C10+C11+C12+C13+C14+C15</f>
        <v>2916126253</v>
      </c>
    </row>
    <row r="17" spans="1:3" ht="15.75" customHeight="1">
      <c r="A17" s="543" t="s">
        <v>743</v>
      </c>
      <c r="B17" s="544" t="s">
        <v>650</v>
      </c>
      <c r="C17" s="746">
        <v>228556</v>
      </c>
    </row>
    <row r="18" spans="1:3" ht="15.75" customHeight="1">
      <c r="A18" s="543" t="s">
        <v>744</v>
      </c>
      <c r="B18" s="544" t="s">
        <v>652</v>
      </c>
      <c r="C18" s="744">
        <v>33364192</v>
      </c>
    </row>
    <row r="19" spans="1:3" ht="15.75" customHeight="1">
      <c r="A19" s="543" t="s">
        <v>745</v>
      </c>
      <c r="B19" s="544" t="s">
        <v>15</v>
      </c>
      <c r="C19" s="744">
        <v>4755612</v>
      </c>
    </row>
    <row r="20" spans="1:3" ht="15.75" customHeight="1">
      <c r="A20" s="543" t="s">
        <v>746</v>
      </c>
      <c r="B20" s="544" t="s">
        <v>16</v>
      </c>
      <c r="C20" s="745">
        <f>+C17+C18+C19</f>
        <v>38348360</v>
      </c>
    </row>
    <row r="21" spans="1:3" s="563" customFormat="1" ht="15.75" customHeight="1">
      <c r="A21" s="543" t="s">
        <v>747</v>
      </c>
      <c r="B21" s="544" t="s">
        <v>17</v>
      </c>
      <c r="C21" s="744"/>
    </row>
    <row r="22" spans="1:3" ht="15.75" customHeight="1">
      <c r="A22" s="543" t="s">
        <v>748</v>
      </c>
      <c r="B22" s="544" t="s">
        <v>18</v>
      </c>
      <c r="C22" s="744">
        <v>1140061686</v>
      </c>
    </row>
    <row r="23" spans="1:3" ht="15.75" customHeight="1" thickBot="1">
      <c r="A23" s="564" t="s">
        <v>749</v>
      </c>
      <c r="B23" s="551" t="s">
        <v>19</v>
      </c>
      <c r="C23" s="747">
        <f>+C16+C20+C21+C22</f>
        <v>4094536299</v>
      </c>
    </row>
    <row r="24" spans="1:5" ht="15.75">
      <c r="A24" s="553"/>
      <c r="B24" s="556"/>
      <c r="C24" s="554"/>
      <c r="D24" s="554"/>
      <c r="E24" s="554"/>
    </row>
    <row r="25" spans="1:5" ht="15.75">
      <c r="A25" s="553"/>
      <c r="B25" s="556"/>
      <c r="C25" s="554"/>
      <c r="D25" s="554"/>
      <c r="E25" s="554"/>
    </row>
    <row r="26" spans="1:5" ht="15.75">
      <c r="A26" s="556"/>
      <c r="B26" s="556"/>
      <c r="C26" s="554"/>
      <c r="D26" s="554"/>
      <c r="E26" s="554"/>
    </row>
    <row r="27" spans="1:5" ht="15.75">
      <c r="A27" s="916"/>
      <c r="B27" s="916"/>
      <c r="C27" s="916"/>
      <c r="D27" s="565"/>
      <c r="E27" s="565"/>
    </row>
    <row r="28" spans="1:5" ht="15.75">
      <c r="A28" s="916"/>
      <c r="B28" s="916"/>
      <c r="C28" s="916"/>
      <c r="D28" s="565"/>
      <c r="E28" s="565"/>
    </row>
  </sheetData>
  <sheetProtection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zoomScalePageLayoutView="0" workbookViewId="0" topLeftCell="A1">
      <selection activeCell="E10" sqref="E10"/>
    </sheetView>
  </sheetViews>
  <sheetFormatPr defaultColWidth="9.00390625" defaultRowHeight="12.75"/>
  <cols>
    <col min="1" max="1" width="9.375" style="79" customWidth="1"/>
    <col min="2" max="2" width="51.875" style="79" customWidth="1"/>
    <col min="3" max="3" width="25.00390625" style="79" customWidth="1"/>
    <col min="4" max="4" width="22.875" style="79" customWidth="1"/>
    <col min="5" max="5" width="25.00390625" style="79" customWidth="1"/>
    <col min="6" max="6" width="5.50390625" style="79" customWidth="1"/>
    <col min="7" max="16384" width="9.375" style="79" customWidth="1"/>
  </cols>
  <sheetData>
    <row r="1" spans="1:5" ht="12.75">
      <c r="A1" s="640"/>
      <c r="B1" s="640"/>
      <c r="C1" s="640"/>
      <c r="D1" s="640"/>
      <c r="E1" s="640"/>
    </row>
    <row r="2" spans="1:5" ht="15.75">
      <c r="A2" s="774" t="str">
        <f>CONCATENATE(PROPER(Z_ALAPADATOK!A3)," tulajdonában álló gazdálkodó szervezetek működéséből származó")</f>
        <v>Besenyszög Város Önkormányzata tulajdonában álló gazdálkodó szervezetek működéséből származó</v>
      </c>
      <c r="B2" s="774"/>
      <c r="C2" s="774"/>
      <c r="D2" s="774"/>
      <c r="E2" s="774"/>
    </row>
    <row r="3" spans="1:6" ht="15.75">
      <c r="A3" s="932" t="s">
        <v>865</v>
      </c>
      <c r="B3" s="774"/>
      <c r="C3" s="774"/>
      <c r="D3" s="774"/>
      <c r="E3" s="774"/>
      <c r="F3" s="929" t="str">
        <f>CONCATENATE("8. tájékoztató tábla ",Z_ALAPADATOK!A7," ",Z_ALAPADATOK!B7," ",Z_ALAPADATOK!C7," ",Z_ALAPADATOK!D7," ",Z_ALAPADATOK!E7," ",Z_ALAPADATOK!F7," ",Z_ALAPADATOK!G7," ",Z_ALAPADATOK!H7)</f>
        <v>8. tájékoztató tábla a … / 2019. ( … ) önkormányzati rendelethez</v>
      </c>
    </row>
    <row r="4" spans="1:6" ht="16.5" thickBot="1">
      <c r="A4" s="641"/>
      <c r="B4" s="640"/>
      <c r="C4" s="640"/>
      <c r="D4" s="640"/>
      <c r="E4" s="640"/>
      <c r="F4" s="929"/>
    </row>
    <row r="5" spans="1:6" ht="79.5" thickBot="1">
      <c r="A5" s="642" t="s">
        <v>629</v>
      </c>
      <c r="B5" s="643" t="s">
        <v>750</v>
      </c>
      <c r="C5" s="643" t="s">
        <v>751</v>
      </c>
      <c r="D5" s="643" t="s">
        <v>752</v>
      </c>
      <c r="E5" s="644" t="s">
        <v>753</v>
      </c>
      <c r="F5" s="929"/>
    </row>
    <row r="6" spans="1:6" ht="15.75">
      <c r="A6" s="637" t="s">
        <v>6</v>
      </c>
      <c r="B6" s="568" t="s">
        <v>964</v>
      </c>
      <c r="C6" s="569">
        <v>1</v>
      </c>
      <c r="D6" s="570">
        <v>3000000</v>
      </c>
      <c r="E6" s="571">
        <v>53062000</v>
      </c>
      <c r="F6" s="929"/>
    </row>
    <row r="7" spans="1:6" ht="15.75">
      <c r="A7" s="638" t="s">
        <v>7</v>
      </c>
      <c r="B7" s="572" t="s">
        <v>968</v>
      </c>
      <c r="C7" s="573">
        <v>1</v>
      </c>
      <c r="D7" s="574">
        <v>0</v>
      </c>
      <c r="E7" s="575">
        <v>13047000</v>
      </c>
      <c r="F7" s="929"/>
    </row>
    <row r="8" spans="1:6" ht="15.75">
      <c r="A8" s="638" t="s">
        <v>8</v>
      </c>
      <c r="B8" s="572" t="s">
        <v>969</v>
      </c>
      <c r="C8" s="573"/>
      <c r="D8" s="574">
        <v>38200</v>
      </c>
      <c r="E8" s="575"/>
      <c r="F8" s="929"/>
    </row>
    <row r="9" spans="1:6" ht="15.75">
      <c r="A9" s="638" t="s">
        <v>9</v>
      </c>
      <c r="B9" s="572" t="s">
        <v>970</v>
      </c>
      <c r="C9" s="573">
        <v>1</v>
      </c>
      <c r="D9" s="574">
        <v>500000</v>
      </c>
      <c r="E9" s="575"/>
      <c r="F9" s="929"/>
    </row>
    <row r="10" spans="1:6" ht="15.75">
      <c r="A10" s="638" t="s">
        <v>10</v>
      </c>
      <c r="B10" s="572"/>
      <c r="C10" s="573"/>
      <c r="D10" s="574"/>
      <c r="E10" s="575"/>
      <c r="F10" s="929"/>
    </row>
    <row r="11" spans="1:6" ht="15.75">
      <c r="A11" s="638" t="s">
        <v>11</v>
      </c>
      <c r="B11" s="572"/>
      <c r="C11" s="573"/>
      <c r="D11" s="574"/>
      <c r="E11" s="575"/>
      <c r="F11" s="929"/>
    </row>
    <row r="12" spans="1:6" ht="15.75">
      <c r="A12" s="638" t="s">
        <v>12</v>
      </c>
      <c r="B12" s="572"/>
      <c r="C12" s="573"/>
      <c r="D12" s="574"/>
      <c r="E12" s="575"/>
      <c r="F12" s="929"/>
    </row>
    <row r="13" spans="1:6" ht="15.75">
      <c r="A13" s="638" t="s">
        <v>13</v>
      </c>
      <c r="B13" s="572"/>
      <c r="C13" s="573"/>
      <c r="D13" s="574"/>
      <c r="E13" s="575"/>
      <c r="F13" s="929"/>
    </row>
    <row r="14" spans="1:6" ht="15.75">
      <c r="A14" s="638" t="s">
        <v>14</v>
      </c>
      <c r="B14" s="572"/>
      <c r="C14" s="573"/>
      <c r="D14" s="574"/>
      <c r="E14" s="575"/>
      <c r="F14" s="929"/>
    </row>
    <row r="15" spans="1:6" ht="15.75">
      <c r="A15" s="638" t="s">
        <v>15</v>
      </c>
      <c r="B15" s="572"/>
      <c r="C15" s="573"/>
      <c r="D15" s="574"/>
      <c r="E15" s="575"/>
      <c r="F15" s="929"/>
    </row>
    <row r="16" spans="1:6" ht="15.75">
      <c r="A16" s="638" t="s">
        <v>16</v>
      </c>
      <c r="B16" s="572"/>
      <c r="C16" s="573"/>
      <c r="D16" s="574"/>
      <c r="E16" s="575"/>
      <c r="F16" s="929"/>
    </row>
    <row r="17" spans="1:6" ht="15.75">
      <c r="A17" s="638" t="s">
        <v>17</v>
      </c>
      <c r="B17" s="572"/>
      <c r="C17" s="573"/>
      <c r="D17" s="574"/>
      <c r="E17" s="575"/>
      <c r="F17" s="929"/>
    </row>
    <row r="18" spans="1:6" ht="15.75">
      <c r="A18" s="638" t="s">
        <v>18</v>
      </c>
      <c r="B18" s="572"/>
      <c r="C18" s="573"/>
      <c r="D18" s="574"/>
      <c r="E18" s="575"/>
      <c r="F18" s="929"/>
    </row>
    <row r="19" spans="1:6" ht="15.75">
      <c r="A19" s="638" t="s">
        <v>19</v>
      </c>
      <c r="B19" s="572"/>
      <c r="C19" s="573"/>
      <c r="D19" s="574"/>
      <c r="E19" s="575"/>
      <c r="F19" s="929"/>
    </row>
    <row r="20" spans="1:6" ht="15.75">
      <c r="A20" s="638" t="s">
        <v>20</v>
      </c>
      <c r="B20" s="572"/>
      <c r="C20" s="573"/>
      <c r="D20" s="574"/>
      <c r="E20" s="575"/>
      <c r="F20" s="929"/>
    </row>
    <row r="21" spans="1:6" ht="15.75">
      <c r="A21" s="638" t="s">
        <v>21</v>
      </c>
      <c r="B21" s="572"/>
      <c r="C21" s="573"/>
      <c r="D21" s="574"/>
      <c r="E21" s="575"/>
      <c r="F21" s="929"/>
    </row>
    <row r="22" spans="1:6" ht="16.5" thickBot="1">
      <c r="A22" s="639" t="s">
        <v>22</v>
      </c>
      <c r="B22" s="576"/>
      <c r="C22" s="577"/>
      <c r="D22" s="578"/>
      <c r="E22" s="579"/>
      <c r="F22" s="929"/>
    </row>
    <row r="23" spans="1:6" ht="16.5" thickBot="1">
      <c r="A23" s="930" t="s">
        <v>754</v>
      </c>
      <c r="B23" s="931"/>
      <c r="C23" s="580"/>
      <c r="D23" s="581">
        <f>IF(SUM(D6:D22)=0,"",SUM(D6:D22))</f>
        <v>3538200</v>
      </c>
      <c r="E23" s="582">
        <f>IF(SUM(E6:E22)=0,"",SUM(E6:E22))</f>
        <v>66109000</v>
      </c>
      <c r="F23" s="929"/>
    </row>
    <row r="24" ht="15.75">
      <c r="A24" s="567"/>
    </row>
  </sheetData>
  <sheetProtection sheet="1"/>
  <mergeCells count="4">
    <mergeCell ref="F3:F23"/>
    <mergeCell ref="A23:B23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zoomScale="120" zoomScaleNormal="120" workbookViewId="0" topLeftCell="A4">
      <selection activeCell="C14" sqref="C14:C15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16384" width="9.375" style="31" customWidth="1"/>
  </cols>
  <sheetData>
    <row r="2" spans="1:3" ht="15">
      <c r="A2" s="896" t="str">
        <f>CONCATENATE("9. tájékoztató tábla ",Z_ALAPADATOK!A7," ",Z_ALAPADATOK!B7," ",Z_ALAPADATOK!C7," ",Z_ALAPADATOK!D7," ",Z_ALAPADATOK!E7," ",Z_ALAPADATOK!F7," ",Z_ALAPADATOK!G7," ",Z_ALAPADATOK!H7)</f>
        <v>9. tájékoztató tábla a … / 2019. ( … ) önkormányzati rendelethez</v>
      </c>
      <c r="B2" s="934"/>
      <c r="C2" s="934"/>
    </row>
    <row r="3" spans="1:3" ht="14.25">
      <c r="A3" s="583"/>
      <c r="B3" s="583"/>
      <c r="C3" s="583"/>
    </row>
    <row r="4" spans="1:3" ht="33.75" customHeight="1">
      <c r="A4" s="933" t="s">
        <v>755</v>
      </c>
      <c r="B4" s="933"/>
      <c r="C4" s="933"/>
    </row>
    <row r="5" ht="13.5" thickBot="1">
      <c r="C5" s="584"/>
    </row>
    <row r="6" spans="1:3" s="588" customFormat="1" ht="43.5" customHeight="1" thickBot="1">
      <c r="A6" s="585" t="s">
        <v>4</v>
      </c>
      <c r="B6" s="586" t="s">
        <v>45</v>
      </c>
      <c r="C6" s="587" t="s">
        <v>756</v>
      </c>
    </row>
    <row r="7" spans="1:3" ht="28.5" customHeight="1">
      <c r="A7" s="589" t="s">
        <v>6</v>
      </c>
      <c r="B7" s="590" t="s">
        <v>866</v>
      </c>
      <c r="C7" s="688">
        <v>1003764103</v>
      </c>
    </row>
    <row r="8" spans="1:3" ht="18" customHeight="1">
      <c r="A8" s="591" t="s">
        <v>7</v>
      </c>
      <c r="B8" s="592" t="s">
        <v>757</v>
      </c>
      <c r="C8" s="645">
        <v>1003559538</v>
      </c>
    </row>
    <row r="9" spans="1:3" ht="18" customHeight="1">
      <c r="A9" s="591" t="s">
        <v>8</v>
      </c>
      <c r="B9" s="592" t="s">
        <v>758</v>
      </c>
      <c r="C9" s="645">
        <v>204565</v>
      </c>
    </row>
    <row r="10" spans="1:3" ht="18" customHeight="1">
      <c r="A10" s="591" t="s">
        <v>9</v>
      </c>
      <c r="B10" s="593" t="s">
        <v>759</v>
      </c>
      <c r="C10" s="645">
        <v>808886623</v>
      </c>
    </row>
    <row r="11" spans="1:3" ht="18" customHeight="1">
      <c r="A11" s="594" t="s">
        <v>10</v>
      </c>
      <c r="B11" s="595" t="s">
        <v>760</v>
      </c>
      <c r="C11" s="646">
        <v>680254241</v>
      </c>
    </row>
    <row r="12" spans="1:3" ht="18" customHeight="1" thickBot="1">
      <c r="A12" s="596" t="s">
        <v>11</v>
      </c>
      <c r="B12" s="597" t="s">
        <v>761</v>
      </c>
      <c r="C12" s="647">
        <v>-71416196</v>
      </c>
    </row>
    <row r="13" spans="1:3" ht="25.5" customHeight="1">
      <c r="A13" s="598" t="s">
        <v>12</v>
      </c>
      <c r="B13" s="599" t="s">
        <v>867</v>
      </c>
      <c r="C13" s="648">
        <f>C7+C10-C11+C12</f>
        <v>1060980289</v>
      </c>
    </row>
    <row r="14" spans="1:3" ht="18" customHeight="1">
      <c r="A14" s="591" t="s">
        <v>13</v>
      </c>
      <c r="B14" s="592" t="s">
        <v>757</v>
      </c>
      <c r="C14" s="645">
        <v>1060436004</v>
      </c>
    </row>
    <row r="15" spans="1:3" ht="18" customHeight="1" thickBot="1">
      <c r="A15" s="596" t="s">
        <v>14</v>
      </c>
      <c r="B15" s="600" t="s">
        <v>758</v>
      </c>
      <c r="C15" s="647">
        <v>544285</v>
      </c>
    </row>
  </sheetData>
  <sheetProtection sheet="1"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94">
      <selection activeCell="D31" sqref="D31:E31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76"/>
      <c r="B1" s="756" t="str">
        <f>CONCATENATE("1.2. melléklet ",Z_ALAPADATOK!A7," ",Z_ALAPADATOK!B7," ",Z_ALAPADATOK!C7," ",Z_ALAPADATOK!D7," ",Z_ALAPADATOK!E7," ",Z_ALAPADATOK!F7," ",Z_ALAPADATOK!G7," ",Z_ALAPADATOK!H7)</f>
        <v>1.2. melléklet a … / 2019. ( … ) önkormányzati rendelethez</v>
      </c>
      <c r="C1" s="757"/>
      <c r="D1" s="757"/>
      <c r="E1" s="757"/>
    </row>
    <row r="2" spans="1:5" ht="15.75">
      <c r="A2" s="758" t="str">
        <f>CONCATENATE(Z_ALAPADATOK!A3)</f>
        <v>Besenyszög Város Önkormányzata</v>
      </c>
      <c r="B2" s="759"/>
      <c r="C2" s="759"/>
      <c r="D2" s="759"/>
      <c r="E2" s="759"/>
    </row>
    <row r="3" spans="1:5" ht="15.75">
      <c r="A3" s="758" t="s">
        <v>853</v>
      </c>
      <c r="B3" s="758"/>
      <c r="C3" s="760"/>
      <c r="D3" s="758"/>
      <c r="E3" s="758"/>
    </row>
    <row r="4" spans="1:5" ht="17.25" customHeight="1">
      <c r="A4" s="758" t="s">
        <v>854</v>
      </c>
      <c r="B4" s="758"/>
      <c r="C4" s="760"/>
      <c r="D4" s="758"/>
      <c r="E4" s="758"/>
    </row>
    <row r="5" spans="1:5" ht="15.75">
      <c r="A5" s="376"/>
      <c r="B5" s="376"/>
      <c r="C5" s="377"/>
      <c r="D5" s="378"/>
      <c r="E5" s="378"/>
    </row>
    <row r="6" spans="1:5" ht="15.75" customHeight="1">
      <c r="A6" s="770" t="s">
        <v>3</v>
      </c>
      <c r="B6" s="770"/>
      <c r="C6" s="770"/>
      <c r="D6" s="770"/>
      <c r="E6" s="770"/>
    </row>
    <row r="7" spans="1:5" ht="15.75" customHeight="1" thickBot="1">
      <c r="A7" s="772" t="s">
        <v>102</v>
      </c>
      <c r="B7" s="772"/>
      <c r="C7" s="379"/>
      <c r="D7" s="378"/>
      <c r="E7" s="379" t="str">
        <f>CONCATENATE('Z_1.1.sz.mell.'!E7)</f>
        <v> Forintban!</v>
      </c>
    </row>
    <row r="8" spans="1:5" ht="15.75">
      <c r="A8" s="762" t="s">
        <v>52</v>
      </c>
      <c r="B8" s="764" t="s">
        <v>5</v>
      </c>
      <c r="C8" s="766" t="str">
        <f>+CONCATENATE(LEFT(Z_ÖSSZEFÜGGÉSEK!A6,4),". évi")</f>
        <v>2018. évi</v>
      </c>
      <c r="D8" s="767"/>
      <c r="E8" s="768"/>
    </row>
    <row r="9" spans="1:5" ht="24.75" thickBot="1">
      <c r="A9" s="763"/>
      <c r="B9" s="765"/>
      <c r="C9" s="246" t="s">
        <v>422</v>
      </c>
      <c r="D9" s="245" t="s">
        <v>423</v>
      </c>
      <c r="E9" s="365" t="str">
        <f>CONCATENATE('Z_1.1.sz.mell.'!E9)</f>
        <v>2018. XII. 31.
teljesítés</v>
      </c>
    </row>
    <row r="10" spans="1:5" s="177" customFormat="1" ht="12" customHeight="1" thickBot="1">
      <c r="A10" s="173" t="s">
        <v>389</v>
      </c>
      <c r="B10" s="174" t="s">
        <v>390</v>
      </c>
      <c r="C10" s="174" t="s">
        <v>391</v>
      </c>
      <c r="D10" s="174" t="s">
        <v>393</v>
      </c>
      <c r="E10" s="247" t="s">
        <v>392</v>
      </c>
    </row>
    <row r="11" spans="1:5" s="178" customFormat="1" ht="12" customHeight="1" thickBot="1">
      <c r="A11" s="18" t="s">
        <v>6</v>
      </c>
      <c r="B11" s="19" t="s">
        <v>164</v>
      </c>
      <c r="C11" s="166">
        <f>+C12+C13+C14+C15+C16+C17</f>
        <v>196597588</v>
      </c>
      <c r="D11" s="166">
        <f>+D12+D13+D14+D15+D16+D17</f>
        <v>212350360</v>
      </c>
      <c r="E11" s="102">
        <f>+E12+E13+E14+E15+E16+E17</f>
        <v>211252920</v>
      </c>
    </row>
    <row r="12" spans="1:5" s="178" customFormat="1" ht="12" customHeight="1">
      <c r="A12" s="13" t="s">
        <v>64</v>
      </c>
      <c r="B12" s="179" t="s">
        <v>165</v>
      </c>
      <c r="C12" s="168">
        <v>71565810</v>
      </c>
      <c r="D12" s="168">
        <v>71265942</v>
      </c>
      <c r="E12" s="104">
        <v>70168502</v>
      </c>
    </row>
    <row r="13" spans="1:5" s="178" customFormat="1" ht="12" customHeight="1">
      <c r="A13" s="12" t="s">
        <v>65</v>
      </c>
      <c r="B13" s="180" t="s">
        <v>166</v>
      </c>
      <c r="C13" s="167">
        <v>73083700</v>
      </c>
      <c r="D13" s="167">
        <v>73095866</v>
      </c>
      <c r="E13" s="167">
        <v>73095866</v>
      </c>
    </row>
    <row r="14" spans="1:5" s="178" customFormat="1" ht="12" customHeight="1">
      <c r="A14" s="12" t="s">
        <v>66</v>
      </c>
      <c r="B14" s="180" t="s">
        <v>167</v>
      </c>
      <c r="C14" s="167">
        <v>47860698</v>
      </c>
      <c r="D14" s="167">
        <v>46820830</v>
      </c>
      <c r="E14" s="167">
        <v>46820830</v>
      </c>
    </row>
    <row r="15" spans="1:5" s="178" customFormat="1" ht="12" customHeight="1">
      <c r="A15" s="12" t="s">
        <v>67</v>
      </c>
      <c r="B15" s="180" t="s">
        <v>168</v>
      </c>
      <c r="C15" s="167">
        <v>4087380</v>
      </c>
      <c r="D15" s="167">
        <v>5163320</v>
      </c>
      <c r="E15" s="167">
        <v>5163320</v>
      </c>
    </row>
    <row r="16" spans="1:5" s="178" customFormat="1" ht="12" customHeight="1">
      <c r="A16" s="12" t="s">
        <v>99</v>
      </c>
      <c r="B16" s="110" t="s">
        <v>337</v>
      </c>
      <c r="C16" s="167"/>
      <c r="D16" s="167">
        <v>14137299</v>
      </c>
      <c r="E16" s="167">
        <v>14137299</v>
      </c>
    </row>
    <row r="17" spans="1:5" s="178" customFormat="1" ht="12" customHeight="1" thickBot="1">
      <c r="A17" s="14" t="s">
        <v>68</v>
      </c>
      <c r="B17" s="111" t="s">
        <v>338</v>
      </c>
      <c r="C17" s="167"/>
      <c r="D17" s="167">
        <v>1867103</v>
      </c>
      <c r="E17" s="167">
        <v>1867103</v>
      </c>
    </row>
    <row r="18" spans="1:5" s="178" customFormat="1" ht="12" customHeight="1" thickBot="1">
      <c r="A18" s="18" t="s">
        <v>7</v>
      </c>
      <c r="B18" s="109" t="s">
        <v>169</v>
      </c>
      <c r="C18" s="166">
        <f>+C19+C20+C21+C22+C23</f>
        <v>69229978</v>
      </c>
      <c r="D18" s="166">
        <f>+D19+D20+D21+D22+D23</f>
        <v>96968191</v>
      </c>
      <c r="E18" s="102">
        <f>+E19+E20+E21+E22+E23</f>
        <v>174588148</v>
      </c>
    </row>
    <row r="19" spans="1:5" s="178" customFormat="1" ht="12" customHeight="1">
      <c r="A19" s="13" t="s">
        <v>70</v>
      </c>
      <c r="B19" s="179" t="s">
        <v>170</v>
      </c>
      <c r="C19" s="168"/>
      <c r="D19" s="168"/>
      <c r="E19" s="104"/>
    </row>
    <row r="20" spans="1:5" s="178" customFormat="1" ht="12" customHeight="1">
      <c r="A20" s="12" t="s">
        <v>71</v>
      </c>
      <c r="B20" s="180" t="s">
        <v>171</v>
      </c>
      <c r="C20" s="167"/>
      <c r="D20" s="167"/>
      <c r="E20" s="103"/>
    </row>
    <row r="21" spans="1:5" s="178" customFormat="1" ht="12" customHeight="1">
      <c r="A21" s="12" t="s">
        <v>72</v>
      </c>
      <c r="B21" s="180" t="s">
        <v>329</v>
      </c>
      <c r="C21" s="167"/>
      <c r="D21" s="167"/>
      <c r="E21" s="103"/>
    </row>
    <row r="22" spans="1:5" s="178" customFormat="1" ht="12" customHeight="1">
      <c r="A22" s="12" t="s">
        <v>73</v>
      </c>
      <c r="B22" s="180" t="s">
        <v>330</v>
      </c>
      <c r="C22" s="167"/>
      <c r="D22" s="167"/>
      <c r="E22" s="103"/>
    </row>
    <row r="23" spans="1:5" s="178" customFormat="1" ht="12" customHeight="1">
      <c r="A23" s="12" t="s">
        <v>74</v>
      </c>
      <c r="B23" s="180" t="s">
        <v>172</v>
      </c>
      <c r="C23" s="167">
        <v>69229978</v>
      </c>
      <c r="D23" s="167">
        <v>96968191</v>
      </c>
      <c r="E23" s="103">
        <v>174588148</v>
      </c>
    </row>
    <row r="24" spans="1:5" s="178" customFormat="1" ht="12" customHeight="1" thickBot="1">
      <c r="A24" s="14" t="s">
        <v>81</v>
      </c>
      <c r="B24" s="111" t="s">
        <v>173</v>
      </c>
      <c r="C24" s="169"/>
      <c r="D24" s="169">
        <v>18280650</v>
      </c>
      <c r="E24" s="105">
        <v>104659394</v>
      </c>
    </row>
    <row r="25" spans="1:5" s="178" customFormat="1" ht="12" customHeight="1" thickBot="1">
      <c r="A25" s="18" t="s">
        <v>8</v>
      </c>
      <c r="B25" s="19" t="s">
        <v>174</v>
      </c>
      <c r="C25" s="166">
        <f>+C26+C27+C28+C29+C30</f>
        <v>15000000</v>
      </c>
      <c r="D25" s="166">
        <f>+D26+D27+D28+D29+D30</f>
        <v>147387544</v>
      </c>
      <c r="E25" s="102">
        <f>+E26+E27+E28+E29+E30</f>
        <v>153251067</v>
      </c>
    </row>
    <row r="26" spans="1:5" s="178" customFormat="1" ht="12" customHeight="1">
      <c r="A26" s="13" t="s">
        <v>53</v>
      </c>
      <c r="B26" s="179" t="s">
        <v>175</v>
      </c>
      <c r="C26" s="168">
        <v>15000000</v>
      </c>
      <c r="D26" s="168">
        <v>47000000</v>
      </c>
      <c r="E26" s="104">
        <v>47000000</v>
      </c>
    </row>
    <row r="27" spans="1:5" s="178" customFormat="1" ht="12" customHeight="1">
      <c r="A27" s="12" t="s">
        <v>54</v>
      </c>
      <c r="B27" s="180" t="s">
        <v>176</v>
      </c>
      <c r="C27" s="167"/>
      <c r="D27" s="167"/>
      <c r="E27" s="103"/>
    </row>
    <row r="28" spans="1:5" s="178" customFormat="1" ht="12" customHeight="1">
      <c r="A28" s="12" t="s">
        <v>55</v>
      </c>
      <c r="B28" s="180" t="s">
        <v>331</v>
      </c>
      <c r="C28" s="167"/>
      <c r="D28" s="167"/>
      <c r="E28" s="103"/>
    </row>
    <row r="29" spans="1:5" s="178" customFormat="1" ht="12" customHeight="1">
      <c r="A29" s="12" t="s">
        <v>56</v>
      </c>
      <c r="B29" s="180" t="s">
        <v>332</v>
      </c>
      <c r="C29" s="167"/>
      <c r="D29" s="167"/>
      <c r="E29" s="103"/>
    </row>
    <row r="30" spans="1:5" s="178" customFormat="1" ht="12" customHeight="1">
      <c r="A30" s="12" t="s">
        <v>112</v>
      </c>
      <c r="B30" s="180" t="s">
        <v>177</v>
      </c>
      <c r="C30" s="167"/>
      <c r="D30" s="167">
        <v>100387544</v>
      </c>
      <c r="E30" s="103">
        <v>106251067</v>
      </c>
    </row>
    <row r="31" spans="1:5" s="178" customFormat="1" ht="12" customHeight="1" thickBot="1">
      <c r="A31" s="14" t="s">
        <v>113</v>
      </c>
      <c r="B31" s="181" t="s">
        <v>178</v>
      </c>
      <c r="C31" s="169"/>
      <c r="D31" s="169">
        <v>100387544</v>
      </c>
      <c r="E31" s="169">
        <v>100387544</v>
      </c>
    </row>
    <row r="32" spans="1:5" s="178" customFormat="1" ht="12" customHeight="1" thickBot="1">
      <c r="A32" s="18" t="s">
        <v>114</v>
      </c>
      <c r="B32" s="19" t="s">
        <v>488</v>
      </c>
      <c r="C32" s="172">
        <f>SUM(C33:C39)</f>
        <v>65690000</v>
      </c>
      <c r="D32" s="172">
        <f>SUM(D33:D39)</f>
        <v>65240000</v>
      </c>
      <c r="E32" s="208">
        <f>SUM(E33:E39)</f>
        <v>86154642</v>
      </c>
    </row>
    <row r="33" spans="1:5" s="178" customFormat="1" ht="12" customHeight="1">
      <c r="A33" s="13" t="s">
        <v>179</v>
      </c>
      <c r="B33" s="179" t="s">
        <v>489</v>
      </c>
      <c r="C33" s="168"/>
      <c r="D33" s="168"/>
      <c r="E33" s="104"/>
    </row>
    <row r="34" spans="1:5" s="178" customFormat="1" ht="12" customHeight="1">
      <c r="A34" s="12" t="s">
        <v>180</v>
      </c>
      <c r="B34" s="180" t="s">
        <v>490</v>
      </c>
      <c r="C34" s="167"/>
      <c r="D34" s="167"/>
      <c r="E34" s="103"/>
    </row>
    <row r="35" spans="1:5" s="178" customFormat="1" ht="12" customHeight="1">
      <c r="A35" s="12" t="s">
        <v>181</v>
      </c>
      <c r="B35" s="180" t="s">
        <v>491</v>
      </c>
      <c r="C35" s="167">
        <v>57390000</v>
      </c>
      <c r="D35" s="167">
        <v>56940000</v>
      </c>
      <c r="E35" s="103">
        <v>77222335</v>
      </c>
    </row>
    <row r="36" spans="1:5" s="178" customFormat="1" ht="12" customHeight="1">
      <c r="A36" s="12" t="s">
        <v>182</v>
      </c>
      <c r="B36" s="180" t="s">
        <v>492</v>
      </c>
      <c r="C36" s="167"/>
      <c r="D36" s="167"/>
      <c r="E36" s="103"/>
    </row>
    <row r="37" spans="1:5" s="178" customFormat="1" ht="12" customHeight="1">
      <c r="A37" s="12" t="s">
        <v>493</v>
      </c>
      <c r="B37" s="180" t="s">
        <v>183</v>
      </c>
      <c r="C37" s="167">
        <v>7500000</v>
      </c>
      <c r="D37" s="167">
        <v>7500000</v>
      </c>
      <c r="E37" s="103">
        <v>8042326</v>
      </c>
    </row>
    <row r="38" spans="1:5" s="178" customFormat="1" ht="12" customHeight="1">
      <c r="A38" s="12" t="s">
        <v>494</v>
      </c>
      <c r="B38" s="180" t="s">
        <v>184</v>
      </c>
      <c r="C38" s="167">
        <v>800000</v>
      </c>
      <c r="D38" s="167"/>
      <c r="E38" s="103"/>
    </row>
    <row r="39" spans="1:5" s="178" customFormat="1" ht="12" customHeight="1" thickBot="1">
      <c r="A39" s="14" t="s">
        <v>495</v>
      </c>
      <c r="B39" s="325" t="s">
        <v>185</v>
      </c>
      <c r="C39" s="169"/>
      <c r="D39" s="169">
        <v>800000</v>
      </c>
      <c r="E39" s="105">
        <v>889981</v>
      </c>
    </row>
    <row r="40" spans="1:5" s="178" customFormat="1" ht="12" customHeight="1" thickBot="1">
      <c r="A40" s="18" t="s">
        <v>10</v>
      </c>
      <c r="B40" s="19" t="s">
        <v>339</v>
      </c>
      <c r="C40" s="166">
        <f>SUM(C41:C51)</f>
        <v>31746705</v>
      </c>
      <c r="D40" s="166">
        <f>SUM(D41:D51)</f>
        <v>31746705</v>
      </c>
      <c r="E40" s="102">
        <f>SUM(E41:E51)</f>
        <v>34394064</v>
      </c>
    </row>
    <row r="41" spans="1:5" s="178" customFormat="1" ht="12" customHeight="1">
      <c r="A41" s="13" t="s">
        <v>57</v>
      </c>
      <c r="B41" s="179" t="s">
        <v>188</v>
      </c>
      <c r="C41" s="168"/>
      <c r="D41" s="168"/>
      <c r="E41" s="104">
        <v>152783</v>
      </c>
    </row>
    <row r="42" spans="1:5" s="178" customFormat="1" ht="12" customHeight="1">
      <c r="A42" s="12" t="s">
        <v>58</v>
      </c>
      <c r="B42" s="180" t="s">
        <v>189</v>
      </c>
      <c r="C42" s="167">
        <v>11900000</v>
      </c>
      <c r="D42" s="167">
        <v>11900000</v>
      </c>
      <c r="E42" s="103">
        <v>13047602</v>
      </c>
    </row>
    <row r="43" spans="1:5" s="178" customFormat="1" ht="12" customHeight="1">
      <c r="A43" s="12" t="s">
        <v>59</v>
      </c>
      <c r="B43" s="180" t="s">
        <v>190</v>
      </c>
      <c r="C43" s="167">
        <v>2670000</v>
      </c>
      <c r="D43" s="167">
        <v>2670000</v>
      </c>
      <c r="E43" s="103">
        <v>1291484</v>
      </c>
    </row>
    <row r="44" spans="1:5" s="178" customFormat="1" ht="12" customHeight="1">
      <c r="A44" s="12" t="s">
        <v>116</v>
      </c>
      <c r="B44" s="180" t="s">
        <v>191</v>
      </c>
      <c r="C44" s="167">
        <v>7874000</v>
      </c>
      <c r="D44" s="167">
        <v>10000000</v>
      </c>
      <c r="E44" s="103">
        <v>9411190</v>
      </c>
    </row>
    <row r="45" spans="1:5" s="178" customFormat="1" ht="12" customHeight="1">
      <c r="A45" s="12" t="s">
        <v>117</v>
      </c>
      <c r="B45" s="180" t="s">
        <v>192</v>
      </c>
      <c r="C45" s="167">
        <v>5650949</v>
      </c>
      <c r="D45" s="167">
        <v>5650949</v>
      </c>
      <c r="E45" s="103">
        <v>5367037</v>
      </c>
    </row>
    <row r="46" spans="1:5" s="178" customFormat="1" ht="12" customHeight="1">
      <c r="A46" s="12" t="s">
        <v>118</v>
      </c>
      <c r="B46" s="180" t="s">
        <v>193</v>
      </c>
      <c r="C46" s="167">
        <v>3651756</v>
      </c>
      <c r="D46" s="167">
        <v>1525756</v>
      </c>
      <c r="E46" s="103">
        <v>4784962</v>
      </c>
    </row>
    <row r="47" spans="1:5" s="178" customFormat="1" ht="12" customHeight="1">
      <c r="A47" s="12" t="s">
        <v>119</v>
      </c>
      <c r="B47" s="180" t="s">
        <v>194</v>
      </c>
      <c r="C47" s="167"/>
      <c r="D47" s="167"/>
      <c r="E47" s="103"/>
    </row>
    <row r="48" spans="1:5" s="178" customFormat="1" ht="12" customHeight="1">
      <c r="A48" s="12" t="s">
        <v>120</v>
      </c>
      <c r="B48" s="180" t="s">
        <v>496</v>
      </c>
      <c r="C48" s="167"/>
      <c r="D48" s="167"/>
      <c r="E48" s="103">
        <v>24000</v>
      </c>
    </row>
    <row r="49" spans="1:5" s="178" customFormat="1" ht="12" customHeight="1">
      <c r="A49" s="12" t="s">
        <v>186</v>
      </c>
      <c r="B49" s="180" t="s">
        <v>196</v>
      </c>
      <c r="C49" s="170"/>
      <c r="D49" s="170"/>
      <c r="E49" s="106">
        <v>2801</v>
      </c>
    </row>
    <row r="50" spans="1:5" s="178" customFormat="1" ht="12" customHeight="1">
      <c r="A50" s="14" t="s">
        <v>187</v>
      </c>
      <c r="B50" s="181" t="s">
        <v>341</v>
      </c>
      <c r="C50" s="171"/>
      <c r="D50" s="171"/>
      <c r="E50" s="107"/>
    </row>
    <row r="51" spans="1:5" s="178" customFormat="1" ht="12" customHeight="1" thickBot="1">
      <c r="A51" s="14" t="s">
        <v>340</v>
      </c>
      <c r="B51" s="111" t="s">
        <v>197</v>
      </c>
      <c r="C51" s="171"/>
      <c r="D51" s="171"/>
      <c r="E51" s="107">
        <v>312205</v>
      </c>
    </row>
    <row r="52" spans="1:5" s="178" customFormat="1" ht="12" customHeight="1" thickBot="1">
      <c r="A52" s="18" t="s">
        <v>11</v>
      </c>
      <c r="B52" s="19" t="s">
        <v>198</v>
      </c>
      <c r="C52" s="166">
        <f>SUM(C53:C57)</f>
        <v>3000000</v>
      </c>
      <c r="D52" s="166">
        <f>SUM(D53:D57)</f>
        <v>37400000</v>
      </c>
      <c r="E52" s="102">
        <f>SUM(E53:E57)</f>
        <v>39429800</v>
      </c>
    </row>
    <row r="53" spans="1:5" s="178" customFormat="1" ht="12" customHeight="1">
      <c r="A53" s="13" t="s">
        <v>60</v>
      </c>
      <c r="B53" s="179" t="s">
        <v>202</v>
      </c>
      <c r="C53" s="219"/>
      <c r="D53" s="219"/>
      <c r="E53" s="108"/>
    </row>
    <row r="54" spans="1:5" s="178" customFormat="1" ht="12" customHeight="1">
      <c r="A54" s="12" t="s">
        <v>61</v>
      </c>
      <c r="B54" s="180" t="s">
        <v>203</v>
      </c>
      <c r="C54" s="170">
        <v>3000000</v>
      </c>
      <c r="D54" s="170">
        <v>37400000</v>
      </c>
      <c r="E54" s="106">
        <v>39429800</v>
      </c>
    </row>
    <row r="55" spans="1:5" s="178" customFormat="1" ht="12" customHeight="1">
      <c r="A55" s="12" t="s">
        <v>199</v>
      </c>
      <c r="B55" s="180" t="s">
        <v>204</v>
      </c>
      <c r="C55" s="170"/>
      <c r="D55" s="170"/>
      <c r="E55" s="106"/>
    </row>
    <row r="56" spans="1:5" s="178" customFormat="1" ht="12" customHeight="1">
      <c r="A56" s="12" t="s">
        <v>200</v>
      </c>
      <c r="B56" s="180" t="s">
        <v>205</v>
      </c>
      <c r="C56" s="170"/>
      <c r="D56" s="170"/>
      <c r="E56" s="106"/>
    </row>
    <row r="57" spans="1:5" s="178" customFormat="1" ht="12" customHeight="1" thickBot="1">
      <c r="A57" s="14" t="s">
        <v>201</v>
      </c>
      <c r="B57" s="111" t="s">
        <v>206</v>
      </c>
      <c r="C57" s="171"/>
      <c r="D57" s="171"/>
      <c r="E57" s="107"/>
    </row>
    <row r="58" spans="1:5" s="178" customFormat="1" ht="12" customHeight="1" thickBot="1">
      <c r="A58" s="18" t="s">
        <v>121</v>
      </c>
      <c r="B58" s="19" t="s">
        <v>207</v>
      </c>
      <c r="C58" s="166">
        <f>SUM(C59:C61)</f>
        <v>0</v>
      </c>
      <c r="D58" s="166">
        <f>SUM(D59:D61)</f>
        <v>0</v>
      </c>
      <c r="E58" s="102">
        <f>SUM(E59:E61)</f>
        <v>0</v>
      </c>
    </row>
    <row r="59" spans="1:5" s="178" customFormat="1" ht="12" customHeight="1">
      <c r="A59" s="13" t="s">
        <v>62</v>
      </c>
      <c r="B59" s="179" t="s">
        <v>208</v>
      </c>
      <c r="C59" s="168"/>
      <c r="D59" s="168"/>
      <c r="E59" s="104"/>
    </row>
    <row r="60" spans="1:5" s="178" customFormat="1" ht="12" customHeight="1">
      <c r="A60" s="12" t="s">
        <v>63</v>
      </c>
      <c r="B60" s="180" t="s">
        <v>333</v>
      </c>
      <c r="C60" s="167"/>
      <c r="D60" s="167"/>
      <c r="E60" s="103"/>
    </row>
    <row r="61" spans="1:5" s="178" customFormat="1" ht="12" customHeight="1">
      <c r="A61" s="12" t="s">
        <v>211</v>
      </c>
      <c r="B61" s="180" t="s">
        <v>209</v>
      </c>
      <c r="C61" s="167"/>
      <c r="D61" s="167"/>
      <c r="E61" s="103"/>
    </row>
    <row r="62" spans="1:5" s="178" customFormat="1" ht="12" customHeight="1" thickBot="1">
      <c r="A62" s="14" t="s">
        <v>212</v>
      </c>
      <c r="B62" s="111" t="s">
        <v>210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213</v>
      </c>
      <c r="C63" s="166">
        <f>SUM(C64:C66)</f>
        <v>0</v>
      </c>
      <c r="D63" s="166">
        <f>SUM(D64:D66)</f>
        <v>0</v>
      </c>
      <c r="E63" s="102">
        <f>SUM(E64:E66)</f>
        <v>30000</v>
      </c>
    </row>
    <row r="64" spans="1:5" s="178" customFormat="1" ht="12" customHeight="1">
      <c r="A64" s="13" t="s">
        <v>122</v>
      </c>
      <c r="B64" s="179" t="s">
        <v>215</v>
      </c>
      <c r="C64" s="170"/>
      <c r="D64" s="170"/>
      <c r="E64" s="106"/>
    </row>
    <row r="65" spans="1:5" s="178" customFormat="1" ht="12" customHeight="1">
      <c r="A65" s="12" t="s">
        <v>123</v>
      </c>
      <c r="B65" s="180" t="s">
        <v>334</v>
      </c>
      <c r="C65" s="170"/>
      <c r="D65" s="170"/>
      <c r="E65" s="106"/>
    </row>
    <row r="66" spans="1:5" s="178" customFormat="1" ht="12" customHeight="1">
      <c r="A66" s="12" t="s">
        <v>146</v>
      </c>
      <c r="B66" s="180" t="s">
        <v>216</v>
      </c>
      <c r="C66" s="170"/>
      <c r="D66" s="170"/>
      <c r="E66" s="106">
        <v>30000</v>
      </c>
    </row>
    <row r="67" spans="1:5" s="178" customFormat="1" ht="12" customHeight="1" thickBot="1">
      <c r="A67" s="14" t="s">
        <v>214</v>
      </c>
      <c r="B67" s="111" t="s">
        <v>217</v>
      </c>
      <c r="C67" s="170"/>
      <c r="D67" s="170"/>
      <c r="E67" s="106"/>
    </row>
    <row r="68" spans="1:5" s="178" customFormat="1" ht="12" customHeight="1" thickBot="1">
      <c r="A68" s="229" t="s">
        <v>381</v>
      </c>
      <c r="B68" s="19" t="s">
        <v>218</v>
      </c>
      <c r="C68" s="172">
        <f>+C11+C18+C25+C32+C40+C52+C58+C63</f>
        <v>381264271</v>
      </c>
      <c r="D68" s="172">
        <f>+D11+D18+D25+D32+D40+D52+D58+D63</f>
        <v>591092800</v>
      </c>
      <c r="E68" s="208">
        <f>+E11+E18+E25+E32+E40+E52+E58+E63</f>
        <v>699100641</v>
      </c>
    </row>
    <row r="69" spans="1:5" s="178" customFormat="1" ht="12" customHeight="1" thickBot="1">
      <c r="A69" s="220" t="s">
        <v>219</v>
      </c>
      <c r="B69" s="109" t="s">
        <v>220</v>
      </c>
      <c r="C69" s="166">
        <f>SUM(C70:C72)</f>
        <v>0</v>
      </c>
      <c r="D69" s="166">
        <f>SUM(D70:D72)</f>
        <v>50000000</v>
      </c>
      <c r="E69" s="102">
        <f>SUM(E70:E72)</f>
        <v>37577030</v>
      </c>
    </row>
    <row r="70" spans="1:5" s="178" customFormat="1" ht="12" customHeight="1">
      <c r="A70" s="13" t="s">
        <v>248</v>
      </c>
      <c r="B70" s="179" t="s">
        <v>221</v>
      </c>
      <c r="C70" s="170"/>
      <c r="D70" s="170"/>
      <c r="E70" s="106"/>
    </row>
    <row r="71" spans="1:5" s="178" customFormat="1" ht="12" customHeight="1">
      <c r="A71" s="12" t="s">
        <v>257</v>
      </c>
      <c r="B71" s="180" t="s">
        <v>222</v>
      </c>
      <c r="C71" s="170"/>
      <c r="D71" s="170">
        <v>50000000</v>
      </c>
      <c r="E71" s="106">
        <v>37577030</v>
      </c>
    </row>
    <row r="72" spans="1:5" s="178" customFormat="1" ht="12" customHeight="1" thickBot="1">
      <c r="A72" s="14" t="s">
        <v>258</v>
      </c>
      <c r="B72" s="225" t="s">
        <v>366</v>
      </c>
      <c r="C72" s="170"/>
      <c r="D72" s="170"/>
      <c r="E72" s="106"/>
    </row>
    <row r="73" spans="1:5" s="178" customFormat="1" ht="12" customHeight="1" thickBot="1">
      <c r="A73" s="220" t="s">
        <v>224</v>
      </c>
      <c r="B73" s="109" t="s">
        <v>225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100</v>
      </c>
      <c r="B74" s="363" t="s">
        <v>226</v>
      </c>
      <c r="C74" s="170"/>
      <c r="D74" s="170"/>
      <c r="E74" s="106"/>
    </row>
    <row r="75" spans="1:5" s="178" customFormat="1" ht="12" customHeight="1">
      <c r="A75" s="12" t="s">
        <v>101</v>
      </c>
      <c r="B75" s="363" t="s">
        <v>503</v>
      </c>
      <c r="C75" s="170"/>
      <c r="D75" s="170"/>
      <c r="E75" s="106"/>
    </row>
    <row r="76" spans="1:5" s="178" customFormat="1" ht="12" customHeight="1">
      <c r="A76" s="12" t="s">
        <v>249</v>
      </c>
      <c r="B76" s="363" t="s">
        <v>227</v>
      </c>
      <c r="C76" s="170"/>
      <c r="D76" s="170"/>
      <c r="E76" s="106"/>
    </row>
    <row r="77" spans="1:5" s="178" customFormat="1" ht="12" customHeight="1" thickBot="1">
      <c r="A77" s="14" t="s">
        <v>250</v>
      </c>
      <c r="B77" s="364" t="s">
        <v>504</v>
      </c>
      <c r="C77" s="170"/>
      <c r="D77" s="170"/>
      <c r="E77" s="106"/>
    </row>
    <row r="78" spans="1:5" s="178" customFormat="1" ht="12" customHeight="1" thickBot="1">
      <c r="A78" s="220" t="s">
        <v>228</v>
      </c>
      <c r="B78" s="109" t="s">
        <v>229</v>
      </c>
      <c r="C78" s="166">
        <f>SUM(C79:C80)</f>
        <v>992078683</v>
      </c>
      <c r="D78" s="166">
        <f>SUM(D79:D80)</f>
        <v>1005014189</v>
      </c>
      <c r="E78" s="102">
        <f>SUM(E79:E80)</f>
        <v>1005014189</v>
      </c>
    </row>
    <row r="79" spans="1:5" s="178" customFormat="1" ht="12" customHeight="1">
      <c r="A79" s="13" t="s">
        <v>251</v>
      </c>
      <c r="B79" s="179" t="s">
        <v>230</v>
      </c>
      <c r="C79" s="170">
        <v>992078683</v>
      </c>
      <c r="D79" s="170">
        <v>1005014189</v>
      </c>
      <c r="E79" s="170">
        <v>1005014189</v>
      </c>
    </row>
    <row r="80" spans="1:5" s="178" customFormat="1" ht="12" customHeight="1" thickBot="1">
      <c r="A80" s="14" t="s">
        <v>252</v>
      </c>
      <c r="B80" s="111" t="s">
        <v>231</v>
      </c>
      <c r="C80" s="170"/>
      <c r="D80" s="170"/>
      <c r="E80" s="106"/>
    </row>
    <row r="81" spans="1:5" s="178" customFormat="1" ht="12" customHeight="1" thickBot="1">
      <c r="A81" s="220" t="s">
        <v>232</v>
      </c>
      <c r="B81" s="109" t="s">
        <v>233</v>
      </c>
      <c r="C81" s="166">
        <f>SUM(C82:C84)</f>
        <v>0</v>
      </c>
      <c r="D81" s="166">
        <f>SUM(D82:D84)</f>
        <v>0</v>
      </c>
      <c r="E81" s="102">
        <f>SUM(E82:E84)</f>
        <v>8583031</v>
      </c>
    </row>
    <row r="82" spans="1:5" s="178" customFormat="1" ht="12" customHeight="1">
      <c r="A82" s="13" t="s">
        <v>253</v>
      </c>
      <c r="B82" s="179" t="s">
        <v>234</v>
      </c>
      <c r="C82" s="170"/>
      <c r="D82" s="170"/>
      <c r="E82" s="106">
        <v>8583031</v>
      </c>
    </row>
    <row r="83" spans="1:5" s="178" customFormat="1" ht="12" customHeight="1">
      <c r="A83" s="12" t="s">
        <v>254</v>
      </c>
      <c r="B83" s="180" t="s">
        <v>235</v>
      </c>
      <c r="C83" s="170"/>
      <c r="D83" s="170"/>
      <c r="E83" s="106"/>
    </row>
    <row r="84" spans="1:5" s="178" customFormat="1" ht="12" customHeight="1" thickBot="1">
      <c r="A84" s="14" t="s">
        <v>255</v>
      </c>
      <c r="B84" s="111" t="s">
        <v>505</v>
      </c>
      <c r="C84" s="170"/>
      <c r="D84" s="170"/>
      <c r="E84" s="106"/>
    </row>
    <row r="85" spans="1:5" s="178" customFormat="1" ht="12" customHeight="1" thickBot="1">
      <c r="A85" s="220" t="s">
        <v>236</v>
      </c>
      <c r="B85" s="109" t="s">
        <v>256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3" t="s">
        <v>237</v>
      </c>
      <c r="B86" s="179" t="s">
        <v>238</v>
      </c>
      <c r="C86" s="170"/>
      <c r="D86" s="170"/>
      <c r="E86" s="106"/>
    </row>
    <row r="87" spans="1:5" s="178" customFormat="1" ht="12" customHeight="1">
      <c r="A87" s="184" t="s">
        <v>239</v>
      </c>
      <c r="B87" s="180" t="s">
        <v>240</v>
      </c>
      <c r="C87" s="170"/>
      <c r="D87" s="170"/>
      <c r="E87" s="106"/>
    </row>
    <row r="88" spans="1:5" s="178" customFormat="1" ht="12" customHeight="1">
      <c r="A88" s="184" t="s">
        <v>241</v>
      </c>
      <c r="B88" s="180" t="s">
        <v>242</v>
      </c>
      <c r="C88" s="170"/>
      <c r="D88" s="170"/>
      <c r="E88" s="106"/>
    </row>
    <row r="89" spans="1:5" s="178" customFormat="1" ht="12" customHeight="1" thickBot="1">
      <c r="A89" s="185" t="s">
        <v>243</v>
      </c>
      <c r="B89" s="111" t="s">
        <v>244</v>
      </c>
      <c r="C89" s="170"/>
      <c r="D89" s="170"/>
      <c r="E89" s="106"/>
    </row>
    <row r="90" spans="1:5" s="178" customFormat="1" ht="12" customHeight="1" thickBot="1">
      <c r="A90" s="220" t="s">
        <v>245</v>
      </c>
      <c r="B90" s="109" t="s">
        <v>380</v>
      </c>
      <c r="C90" s="222"/>
      <c r="D90" s="222"/>
      <c r="E90" s="223"/>
    </row>
    <row r="91" spans="1:5" s="178" customFormat="1" ht="13.5" customHeight="1" thickBot="1">
      <c r="A91" s="220" t="s">
        <v>247</v>
      </c>
      <c r="B91" s="109" t="s">
        <v>246</v>
      </c>
      <c r="C91" s="222"/>
      <c r="D91" s="222"/>
      <c r="E91" s="223"/>
    </row>
    <row r="92" spans="1:5" s="178" customFormat="1" ht="15.75" customHeight="1" thickBot="1">
      <c r="A92" s="220" t="s">
        <v>259</v>
      </c>
      <c r="B92" s="186" t="s">
        <v>383</v>
      </c>
      <c r="C92" s="172">
        <f>+C69+C73+C78+C81+C85+C91+C90</f>
        <v>992078683</v>
      </c>
      <c r="D92" s="172">
        <f>+D69+D73+D78+D81+D85+D91+D90</f>
        <v>1055014189</v>
      </c>
      <c r="E92" s="208">
        <f>+E69+E73+E78+E81+E85+E91+E90</f>
        <v>1051174250</v>
      </c>
    </row>
    <row r="93" spans="1:5" s="178" customFormat="1" ht="25.5" customHeight="1" thickBot="1">
      <c r="A93" s="221" t="s">
        <v>382</v>
      </c>
      <c r="B93" s="187" t="s">
        <v>384</v>
      </c>
      <c r="C93" s="172">
        <f>+C68+C92</f>
        <v>1373342954</v>
      </c>
      <c r="D93" s="172">
        <f>+D68+D92</f>
        <v>1646106989</v>
      </c>
      <c r="E93" s="208">
        <f>+E68+E92</f>
        <v>1750274891</v>
      </c>
    </row>
    <row r="94" spans="1:3" s="178" customFormat="1" ht="15" customHeight="1">
      <c r="A94" s="3"/>
      <c r="B94" s="4"/>
      <c r="C94" s="113"/>
    </row>
    <row r="95" spans="1:5" ht="16.5" customHeight="1">
      <c r="A95" s="771" t="s">
        <v>34</v>
      </c>
      <c r="B95" s="771"/>
      <c r="C95" s="771"/>
      <c r="D95" s="771"/>
      <c r="E95" s="771"/>
    </row>
    <row r="96" spans="1:5" s="188" customFormat="1" ht="16.5" customHeight="1" thickBot="1">
      <c r="A96" s="773" t="s">
        <v>103</v>
      </c>
      <c r="B96" s="773"/>
      <c r="C96" s="60"/>
      <c r="E96" s="60" t="str">
        <f>E7</f>
        <v> Forintban!</v>
      </c>
    </row>
    <row r="97" spans="1:5" ht="15.75">
      <c r="A97" s="762" t="s">
        <v>52</v>
      </c>
      <c r="B97" s="764" t="s">
        <v>424</v>
      </c>
      <c r="C97" s="766" t="str">
        <f>+CONCATENATE(LEFT(Z_ÖSSZEFÜGGÉSEK!A6,4),". évi")</f>
        <v>2018. évi</v>
      </c>
      <c r="D97" s="767"/>
      <c r="E97" s="768"/>
    </row>
    <row r="98" spans="1:5" ht="24.75" thickBot="1">
      <c r="A98" s="763"/>
      <c r="B98" s="765"/>
      <c r="C98" s="246" t="s">
        <v>422</v>
      </c>
      <c r="D98" s="245" t="s">
        <v>423</v>
      </c>
      <c r="E98" s="365" t="str">
        <f>CONCATENATE(E9)</f>
        <v>2018. XII. 31.
teljesítés</v>
      </c>
    </row>
    <row r="99" spans="1:5" s="177" customFormat="1" ht="12" customHeight="1" thickBot="1">
      <c r="A99" s="25" t="s">
        <v>389</v>
      </c>
      <c r="B99" s="26" t="s">
        <v>390</v>
      </c>
      <c r="C99" s="26" t="s">
        <v>391</v>
      </c>
      <c r="D99" s="26" t="s">
        <v>393</v>
      </c>
      <c r="E99" s="257" t="s">
        <v>392</v>
      </c>
    </row>
    <row r="100" spans="1:5" ht="12" customHeight="1" thickBot="1">
      <c r="A100" s="20" t="s">
        <v>6</v>
      </c>
      <c r="B100" s="24" t="s">
        <v>342</v>
      </c>
      <c r="C100" s="165">
        <f>C101+C102+C103+C104+C105+C118</f>
        <v>445197351</v>
      </c>
      <c r="D100" s="165">
        <f>D101+D102+D103+D104+D105+D118</f>
        <v>517426561</v>
      </c>
      <c r="E100" s="232">
        <f>E101+E102+E103+E104+E105+E118</f>
        <v>428349816</v>
      </c>
    </row>
    <row r="101" spans="1:5" ht="12" customHeight="1">
      <c r="A101" s="15" t="s">
        <v>64</v>
      </c>
      <c r="B101" s="8" t="s">
        <v>35</v>
      </c>
      <c r="C101" s="239">
        <v>150796050</v>
      </c>
      <c r="D101" s="239">
        <v>170958978</v>
      </c>
      <c r="E101" s="233">
        <v>153695131</v>
      </c>
    </row>
    <row r="102" spans="1:5" ht="12" customHeight="1">
      <c r="A102" s="12" t="s">
        <v>65</v>
      </c>
      <c r="B102" s="6" t="s">
        <v>124</v>
      </c>
      <c r="C102" s="167">
        <v>25932528</v>
      </c>
      <c r="D102" s="167">
        <v>29574291</v>
      </c>
      <c r="E102" s="103">
        <v>26997667</v>
      </c>
    </row>
    <row r="103" spans="1:5" ht="12" customHeight="1">
      <c r="A103" s="12" t="s">
        <v>66</v>
      </c>
      <c r="B103" s="6" t="s">
        <v>92</v>
      </c>
      <c r="C103" s="169">
        <v>163104434</v>
      </c>
      <c r="D103" s="169">
        <v>190004137</v>
      </c>
      <c r="E103" s="105">
        <v>136141872</v>
      </c>
    </row>
    <row r="104" spans="1:5" ht="12" customHeight="1">
      <c r="A104" s="12" t="s">
        <v>67</v>
      </c>
      <c r="B104" s="9" t="s">
        <v>125</v>
      </c>
      <c r="C104" s="169">
        <v>12068319</v>
      </c>
      <c r="D104" s="169">
        <v>12424000</v>
      </c>
      <c r="E104" s="105">
        <v>12300732</v>
      </c>
    </row>
    <row r="105" spans="1:5" ht="12" customHeight="1">
      <c r="A105" s="12" t="s">
        <v>76</v>
      </c>
      <c r="B105" s="17" t="s">
        <v>126</v>
      </c>
      <c r="C105" s="169">
        <v>93296020</v>
      </c>
      <c r="D105" s="169">
        <v>99354414</v>
      </c>
      <c r="E105" s="105">
        <v>99214414</v>
      </c>
    </row>
    <row r="106" spans="1:5" ht="12" customHeight="1">
      <c r="A106" s="12" t="s">
        <v>68</v>
      </c>
      <c r="B106" s="6" t="s">
        <v>347</v>
      </c>
      <c r="C106" s="169"/>
      <c r="D106" s="169"/>
      <c r="E106" s="105"/>
    </row>
    <row r="107" spans="1:5" ht="12" customHeight="1">
      <c r="A107" s="12" t="s">
        <v>69</v>
      </c>
      <c r="B107" s="64" t="s">
        <v>346</v>
      </c>
      <c r="C107" s="169"/>
      <c r="D107" s="169"/>
      <c r="E107" s="105"/>
    </row>
    <row r="108" spans="1:5" ht="12" customHeight="1">
      <c r="A108" s="12" t="s">
        <v>77</v>
      </c>
      <c r="B108" s="64" t="s">
        <v>345</v>
      </c>
      <c r="C108" s="169"/>
      <c r="D108" s="169">
        <v>27233</v>
      </c>
      <c r="E108" s="169">
        <v>27233</v>
      </c>
    </row>
    <row r="109" spans="1:5" ht="12" customHeight="1">
      <c r="A109" s="12" t="s">
        <v>78</v>
      </c>
      <c r="B109" s="62" t="s">
        <v>262</v>
      </c>
      <c r="C109" s="169"/>
      <c r="D109" s="169"/>
      <c r="E109" s="105"/>
    </row>
    <row r="110" spans="1:5" ht="12" customHeight="1">
      <c r="A110" s="12" t="s">
        <v>79</v>
      </c>
      <c r="B110" s="63" t="s">
        <v>263</v>
      </c>
      <c r="C110" s="169"/>
      <c r="D110" s="169"/>
      <c r="E110" s="105"/>
    </row>
    <row r="111" spans="1:5" ht="12" customHeight="1">
      <c r="A111" s="12" t="s">
        <v>80</v>
      </c>
      <c r="B111" s="63" t="s">
        <v>264</v>
      </c>
      <c r="C111" s="169">
        <v>93296020</v>
      </c>
      <c r="D111" s="169">
        <v>99327181</v>
      </c>
      <c r="E111" s="105">
        <v>99187181</v>
      </c>
    </row>
    <row r="112" spans="1:5" ht="12" customHeight="1">
      <c r="A112" s="12" t="s">
        <v>82</v>
      </c>
      <c r="B112" s="62" t="s">
        <v>265</v>
      </c>
      <c r="C112" s="169"/>
      <c r="D112" s="169"/>
      <c r="E112" s="105"/>
    </row>
    <row r="113" spans="1:5" ht="12" customHeight="1">
      <c r="A113" s="12" t="s">
        <v>127</v>
      </c>
      <c r="B113" s="62" t="s">
        <v>266</v>
      </c>
      <c r="C113" s="169"/>
      <c r="D113" s="169"/>
      <c r="E113" s="105"/>
    </row>
    <row r="114" spans="1:5" ht="12" customHeight="1">
      <c r="A114" s="12" t="s">
        <v>260</v>
      </c>
      <c r="B114" s="63" t="s">
        <v>267</v>
      </c>
      <c r="C114" s="169"/>
      <c r="D114" s="169"/>
      <c r="E114" s="105"/>
    </row>
    <row r="115" spans="1:5" ht="12" customHeight="1">
      <c r="A115" s="11" t="s">
        <v>261</v>
      </c>
      <c r="B115" s="64" t="s">
        <v>268</v>
      </c>
      <c r="C115" s="169"/>
      <c r="D115" s="169"/>
      <c r="E115" s="105"/>
    </row>
    <row r="116" spans="1:5" ht="12" customHeight="1">
      <c r="A116" s="12" t="s">
        <v>343</v>
      </c>
      <c r="B116" s="64" t="s">
        <v>269</v>
      </c>
      <c r="C116" s="169"/>
      <c r="D116" s="169"/>
      <c r="E116" s="105"/>
    </row>
    <row r="117" spans="1:5" ht="12" customHeight="1">
      <c r="A117" s="14" t="s">
        <v>344</v>
      </c>
      <c r="B117" s="64" t="s">
        <v>270</v>
      </c>
      <c r="C117" s="169"/>
      <c r="D117" s="169"/>
      <c r="E117" s="105"/>
    </row>
    <row r="118" spans="1:5" ht="12" customHeight="1">
      <c r="A118" s="12" t="s">
        <v>348</v>
      </c>
      <c r="B118" s="9" t="s">
        <v>36</v>
      </c>
      <c r="C118" s="167"/>
      <c r="D118" s="167">
        <v>15110741</v>
      </c>
      <c r="E118" s="103"/>
    </row>
    <row r="119" spans="1:5" ht="12" customHeight="1">
      <c r="A119" s="12" t="s">
        <v>349</v>
      </c>
      <c r="B119" s="6" t="s">
        <v>351</v>
      </c>
      <c r="C119" s="167"/>
      <c r="D119" s="167">
        <v>15110741</v>
      </c>
      <c r="E119" s="103"/>
    </row>
    <row r="120" spans="1:5" ht="12" customHeight="1" thickBot="1">
      <c r="A120" s="16" t="s">
        <v>350</v>
      </c>
      <c r="B120" s="228" t="s">
        <v>352</v>
      </c>
      <c r="C120" s="240"/>
      <c r="D120" s="240"/>
      <c r="E120" s="234"/>
    </row>
    <row r="121" spans="1:5" ht="12" customHeight="1" thickBot="1">
      <c r="A121" s="226" t="s">
        <v>7</v>
      </c>
      <c r="B121" s="227" t="s">
        <v>271</v>
      </c>
      <c r="C121" s="241">
        <f>+C122+C124+C126</f>
        <v>919543972</v>
      </c>
      <c r="D121" s="166">
        <f>+D122+D124+D126</f>
        <v>1070078797</v>
      </c>
      <c r="E121" s="235">
        <f>+E122+E124+E126</f>
        <v>141421499</v>
      </c>
    </row>
    <row r="122" spans="1:5" ht="12" customHeight="1">
      <c r="A122" s="13" t="s">
        <v>70</v>
      </c>
      <c r="B122" s="6" t="s">
        <v>145</v>
      </c>
      <c r="C122" s="168">
        <v>779304032</v>
      </c>
      <c r="D122" s="250">
        <v>917226406</v>
      </c>
      <c r="E122" s="104">
        <v>132539013</v>
      </c>
    </row>
    <row r="123" spans="1:5" ht="12" customHeight="1">
      <c r="A123" s="13" t="s">
        <v>71</v>
      </c>
      <c r="B123" s="10" t="s">
        <v>275</v>
      </c>
      <c r="C123" s="168">
        <v>752156457</v>
      </c>
      <c r="D123" s="250">
        <v>841061550</v>
      </c>
      <c r="E123" s="104">
        <v>64530983</v>
      </c>
    </row>
    <row r="124" spans="1:5" ht="12" customHeight="1">
      <c r="A124" s="13" t="s">
        <v>72</v>
      </c>
      <c r="B124" s="10" t="s">
        <v>128</v>
      </c>
      <c r="C124" s="167">
        <v>140239940</v>
      </c>
      <c r="D124" s="251">
        <v>152852391</v>
      </c>
      <c r="E124" s="103">
        <v>8882486</v>
      </c>
    </row>
    <row r="125" spans="1:5" ht="12" customHeight="1">
      <c r="A125" s="13" t="s">
        <v>73</v>
      </c>
      <c r="B125" s="10" t="s">
        <v>276</v>
      </c>
      <c r="C125" s="167">
        <v>133686998</v>
      </c>
      <c r="D125" s="251">
        <v>145169449</v>
      </c>
      <c r="E125" s="103">
        <v>6921500</v>
      </c>
    </row>
    <row r="126" spans="1:5" ht="12" customHeight="1">
      <c r="A126" s="13" t="s">
        <v>74</v>
      </c>
      <c r="B126" s="111" t="s">
        <v>147</v>
      </c>
      <c r="C126" s="167"/>
      <c r="D126" s="251"/>
      <c r="E126" s="103"/>
    </row>
    <row r="127" spans="1:5" ht="12" customHeight="1">
      <c r="A127" s="13" t="s">
        <v>81</v>
      </c>
      <c r="B127" s="110" t="s">
        <v>335</v>
      </c>
      <c r="C127" s="167"/>
      <c r="D127" s="251"/>
      <c r="E127" s="103"/>
    </row>
    <row r="128" spans="1:5" ht="12" customHeight="1">
      <c r="A128" s="13" t="s">
        <v>83</v>
      </c>
      <c r="B128" s="175" t="s">
        <v>281</v>
      </c>
      <c r="C128" s="167"/>
      <c r="D128" s="251"/>
      <c r="E128" s="103"/>
    </row>
    <row r="129" spans="1:5" ht="15.75">
      <c r="A129" s="13" t="s">
        <v>129</v>
      </c>
      <c r="B129" s="63" t="s">
        <v>264</v>
      </c>
      <c r="C129" s="167"/>
      <c r="D129" s="251"/>
      <c r="E129" s="103"/>
    </row>
    <row r="130" spans="1:5" ht="12" customHeight="1">
      <c r="A130" s="13" t="s">
        <v>130</v>
      </c>
      <c r="B130" s="63" t="s">
        <v>280</v>
      </c>
      <c r="C130" s="167"/>
      <c r="D130" s="251"/>
      <c r="E130" s="103"/>
    </row>
    <row r="131" spans="1:5" ht="12" customHeight="1">
      <c r="A131" s="13" t="s">
        <v>131</v>
      </c>
      <c r="B131" s="63" t="s">
        <v>279</v>
      </c>
      <c r="C131" s="167"/>
      <c r="D131" s="251"/>
      <c r="E131" s="103"/>
    </row>
    <row r="132" spans="1:5" ht="12" customHeight="1">
      <c r="A132" s="13" t="s">
        <v>272</v>
      </c>
      <c r="B132" s="63" t="s">
        <v>267</v>
      </c>
      <c r="C132" s="167"/>
      <c r="D132" s="251"/>
      <c r="E132" s="103"/>
    </row>
    <row r="133" spans="1:5" ht="12" customHeight="1">
      <c r="A133" s="13" t="s">
        <v>273</v>
      </c>
      <c r="B133" s="63" t="s">
        <v>278</v>
      </c>
      <c r="C133" s="167"/>
      <c r="D133" s="251"/>
      <c r="E133" s="103"/>
    </row>
    <row r="134" spans="1:5" ht="16.5" thickBot="1">
      <c r="A134" s="11" t="s">
        <v>274</v>
      </c>
      <c r="B134" s="63" t="s">
        <v>277</v>
      </c>
      <c r="C134" s="169"/>
      <c r="D134" s="252"/>
      <c r="E134" s="105"/>
    </row>
    <row r="135" spans="1:5" ht="12" customHeight="1" thickBot="1">
      <c r="A135" s="18" t="s">
        <v>8</v>
      </c>
      <c r="B135" s="56" t="s">
        <v>353</v>
      </c>
      <c r="C135" s="166">
        <f>+C100+C121</f>
        <v>1364741323</v>
      </c>
      <c r="D135" s="249">
        <f>+D100+D121</f>
        <v>1587505358</v>
      </c>
      <c r="E135" s="102">
        <f>+E100+E121</f>
        <v>569771315</v>
      </c>
    </row>
    <row r="136" spans="1:5" ht="12" customHeight="1" thickBot="1">
      <c r="A136" s="18" t="s">
        <v>9</v>
      </c>
      <c r="B136" s="56" t="s">
        <v>425</v>
      </c>
      <c r="C136" s="166">
        <f>+C137+C138+C139</f>
        <v>0</v>
      </c>
      <c r="D136" s="249">
        <f>+D137+D138+D139</f>
        <v>50000000</v>
      </c>
      <c r="E136" s="102">
        <f>+E137+E138+E139</f>
        <v>37577030</v>
      </c>
    </row>
    <row r="137" spans="1:5" ht="12" customHeight="1">
      <c r="A137" s="13" t="s">
        <v>179</v>
      </c>
      <c r="B137" s="10" t="s">
        <v>361</v>
      </c>
      <c r="C137" s="167"/>
      <c r="D137" s="251"/>
      <c r="E137" s="103"/>
    </row>
    <row r="138" spans="1:5" ht="12" customHeight="1">
      <c r="A138" s="13" t="s">
        <v>180</v>
      </c>
      <c r="B138" s="10" t="s">
        <v>362</v>
      </c>
      <c r="C138" s="167"/>
      <c r="D138" s="251">
        <v>50000000</v>
      </c>
      <c r="E138" s="103">
        <v>37577030</v>
      </c>
    </row>
    <row r="139" spans="1:5" ht="12" customHeight="1" thickBot="1">
      <c r="A139" s="11" t="s">
        <v>181</v>
      </c>
      <c r="B139" s="10" t="s">
        <v>363</v>
      </c>
      <c r="C139" s="167"/>
      <c r="D139" s="251"/>
      <c r="E139" s="103"/>
    </row>
    <row r="140" spans="1:5" ht="12" customHeight="1" thickBot="1">
      <c r="A140" s="18" t="s">
        <v>10</v>
      </c>
      <c r="B140" s="56" t="s">
        <v>355</v>
      </c>
      <c r="C140" s="166">
        <f>SUM(C141:C146)</f>
        <v>0</v>
      </c>
      <c r="D140" s="249">
        <f>SUM(D141:D146)</f>
        <v>0</v>
      </c>
      <c r="E140" s="102">
        <f>SUM(E141:E146)</f>
        <v>0</v>
      </c>
    </row>
    <row r="141" spans="1:5" ht="12" customHeight="1">
      <c r="A141" s="13" t="s">
        <v>57</v>
      </c>
      <c r="B141" s="7" t="s">
        <v>364</v>
      </c>
      <c r="C141" s="167"/>
      <c r="D141" s="251"/>
      <c r="E141" s="103"/>
    </row>
    <row r="142" spans="1:5" ht="12" customHeight="1">
      <c r="A142" s="13" t="s">
        <v>58</v>
      </c>
      <c r="B142" s="7" t="s">
        <v>356</v>
      </c>
      <c r="C142" s="167"/>
      <c r="D142" s="251"/>
      <c r="E142" s="103"/>
    </row>
    <row r="143" spans="1:5" ht="12" customHeight="1">
      <c r="A143" s="13" t="s">
        <v>59</v>
      </c>
      <c r="B143" s="7" t="s">
        <v>357</v>
      </c>
      <c r="C143" s="167"/>
      <c r="D143" s="251"/>
      <c r="E143" s="103"/>
    </row>
    <row r="144" spans="1:5" ht="12" customHeight="1">
      <c r="A144" s="13" t="s">
        <v>116</v>
      </c>
      <c r="B144" s="7" t="s">
        <v>358</v>
      </c>
      <c r="C144" s="167"/>
      <c r="D144" s="251"/>
      <c r="E144" s="103"/>
    </row>
    <row r="145" spans="1:5" ht="12" customHeight="1">
      <c r="A145" s="13" t="s">
        <v>117</v>
      </c>
      <c r="B145" s="7" t="s">
        <v>359</v>
      </c>
      <c r="C145" s="167"/>
      <c r="D145" s="251"/>
      <c r="E145" s="103"/>
    </row>
    <row r="146" spans="1:5" ht="12" customHeight="1" thickBot="1">
      <c r="A146" s="16" t="s">
        <v>118</v>
      </c>
      <c r="B146" s="375" t="s">
        <v>360</v>
      </c>
      <c r="C146" s="240"/>
      <c r="D146" s="316"/>
      <c r="E146" s="234"/>
    </row>
    <row r="147" spans="1:5" ht="12" customHeight="1" thickBot="1">
      <c r="A147" s="18" t="s">
        <v>11</v>
      </c>
      <c r="B147" s="56" t="s">
        <v>368</v>
      </c>
      <c r="C147" s="172">
        <f>+C148+C149+C150+C151</f>
        <v>8601631</v>
      </c>
      <c r="D147" s="253">
        <f>+D148+D149+D150+D151</f>
        <v>8601631</v>
      </c>
      <c r="E147" s="208">
        <f>+E148+E149+E150+E151</f>
        <v>8601631</v>
      </c>
    </row>
    <row r="148" spans="1:5" ht="12" customHeight="1">
      <c r="A148" s="13" t="s">
        <v>60</v>
      </c>
      <c r="B148" s="7" t="s">
        <v>282</v>
      </c>
      <c r="C148" s="167"/>
      <c r="D148" s="251"/>
      <c r="E148" s="103"/>
    </row>
    <row r="149" spans="1:5" ht="12" customHeight="1">
      <c r="A149" s="13" t="s">
        <v>61</v>
      </c>
      <c r="B149" s="7" t="s">
        <v>283</v>
      </c>
      <c r="C149" s="167">
        <v>8601631</v>
      </c>
      <c r="D149" s="167">
        <v>8601631</v>
      </c>
      <c r="E149" s="167">
        <v>8601631</v>
      </c>
    </row>
    <row r="150" spans="1:5" ht="12" customHeight="1">
      <c r="A150" s="13" t="s">
        <v>199</v>
      </c>
      <c r="B150" s="7" t="s">
        <v>369</v>
      </c>
      <c r="C150" s="167"/>
      <c r="D150" s="251"/>
      <c r="E150" s="103"/>
    </row>
    <row r="151" spans="1:5" ht="12" customHeight="1" thickBot="1">
      <c r="A151" s="11" t="s">
        <v>200</v>
      </c>
      <c r="B151" s="5" t="s">
        <v>299</v>
      </c>
      <c r="C151" s="167"/>
      <c r="D151" s="251"/>
      <c r="E151" s="103"/>
    </row>
    <row r="152" spans="1:5" ht="12" customHeight="1" thickBot="1">
      <c r="A152" s="18" t="s">
        <v>12</v>
      </c>
      <c r="B152" s="56" t="s">
        <v>370</v>
      </c>
      <c r="C152" s="242">
        <f>SUM(C153:C157)</f>
        <v>0</v>
      </c>
      <c r="D152" s="254">
        <f>SUM(D153:D157)</f>
        <v>0</v>
      </c>
      <c r="E152" s="236">
        <f>SUM(E153:E157)</f>
        <v>0</v>
      </c>
    </row>
    <row r="153" spans="1:5" ht="12" customHeight="1">
      <c r="A153" s="13" t="s">
        <v>62</v>
      </c>
      <c r="B153" s="7" t="s">
        <v>365</v>
      </c>
      <c r="C153" s="167"/>
      <c r="D153" s="251"/>
      <c r="E153" s="103"/>
    </row>
    <row r="154" spans="1:5" ht="12" customHeight="1">
      <c r="A154" s="13" t="s">
        <v>63</v>
      </c>
      <c r="B154" s="7" t="s">
        <v>372</v>
      </c>
      <c r="C154" s="167"/>
      <c r="D154" s="251"/>
      <c r="E154" s="103"/>
    </row>
    <row r="155" spans="1:5" ht="12" customHeight="1">
      <c r="A155" s="13" t="s">
        <v>211</v>
      </c>
      <c r="B155" s="7" t="s">
        <v>367</v>
      </c>
      <c r="C155" s="167"/>
      <c r="D155" s="251"/>
      <c r="E155" s="103"/>
    </row>
    <row r="156" spans="1:5" ht="12" customHeight="1">
      <c r="A156" s="13" t="s">
        <v>212</v>
      </c>
      <c r="B156" s="7" t="s">
        <v>373</v>
      </c>
      <c r="C156" s="167"/>
      <c r="D156" s="251"/>
      <c r="E156" s="103"/>
    </row>
    <row r="157" spans="1:5" ht="12" customHeight="1" thickBot="1">
      <c r="A157" s="13" t="s">
        <v>371</v>
      </c>
      <c r="B157" s="7" t="s">
        <v>374</v>
      </c>
      <c r="C157" s="167"/>
      <c r="D157" s="251"/>
      <c r="E157" s="103"/>
    </row>
    <row r="158" spans="1:5" ht="12" customHeight="1" thickBot="1">
      <c r="A158" s="18" t="s">
        <v>13</v>
      </c>
      <c r="B158" s="56" t="s">
        <v>375</v>
      </c>
      <c r="C158" s="243"/>
      <c r="D158" s="255"/>
      <c r="E158" s="237"/>
    </row>
    <row r="159" spans="1:5" ht="12" customHeight="1" thickBot="1">
      <c r="A159" s="18" t="s">
        <v>14</v>
      </c>
      <c r="B159" s="56" t="s">
        <v>376</v>
      </c>
      <c r="C159" s="243"/>
      <c r="D159" s="255"/>
      <c r="E159" s="237"/>
    </row>
    <row r="160" spans="1:9" ht="15" customHeight="1" thickBot="1">
      <c r="A160" s="18" t="s">
        <v>15</v>
      </c>
      <c r="B160" s="56" t="s">
        <v>378</v>
      </c>
      <c r="C160" s="244">
        <f>+C136+C140+C147+C152+C158+C159</f>
        <v>8601631</v>
      </c>
      <c r="D160" s="256">
        <f>+D136+D140+D147+D152+D158+D159</f>
        <v>58601631</v>
      </c>
      <c r="E160" s="238">
        <f>+E136+E140+E147+E152+E158+E159</f>
        <v>46178661</v>
      </c>
      <c r="F160" s="189"/>
      <c r="G160" s="190"/>
      <c r="H160" s="190"/>
      <c r="I160" s="190"/>
    </row>
    <row r="161" spans="1:5" s="178" customFormat="1" ht="12.75" customHeight="1" thickBot="1">
      <c r="A161" s="112" t="s">
        <v>16</v>
      </c>
      <c r="B161" s="153" t="s">
        <v>377</v>
      </c>
      <c r="C161" s="244">
        <f>+C135+C160</f>
        <v>1373342954</v>
      </c>
      <c r="D161" s="256">
        <f>+D135+D160</f>
        <v>1646106989</v>
      </c>
      <c r="E161" s="238">
        <f>+E135+E160</f>
        <v>615949976</v>
      </c>
    </row>
    <row r="162" spans="3:4" ht="15.75">
      <c r="C162" s="658">
        <f>C93-C161</f>
        <v>0</v>
      </c>
      <c r="D162" s="658">
        <f>D93-D161</f>
        <v>0</v>
      </c>
    </row>
    <row r="163" spans="1:5" ht="15.75">
      <c r="A163" s="769" t="s">
        <v>284</v>
      </c>
      <c r="B163" s="769"/>
      <c r="C163" s="769"/>
      <c r="D163" s="769"/>
      <c r="E163" s="769"/>
    </row>
    <row r="164" spans="1:5" ht="15" customHeight="1" thickBot="1">
      <c r="A164" s="761" t="s">
        <v>104</v>
      </c>
      <c r="B164" s="761"/>
      <c r="C164" s="114"/>
      <c r="E164" s="114" t="str">
        <f>E96</f>
        <v> Forintban!</v>
      </c>
    </row>
    <row r="165" spans="1:5" ht="25.5" customHeight="1" thickBot="1">
      <c r="A165" s="18">
        <v>1</v>
      </c>
      <c r="B165" s="23" t="s">
        <v>379</v>
      </c>
      <c r="C165" s="248">
        <f>+C68-C135</f>
        <v>-983477052</v>
      </c>
      <c r="D165" s="166">
        <f>+D68-D135</f>
        <v>-996412558</v>
      </c>
      <c r="E165" s="102">
        <f>+E68-E135</f>
        <v>129329326</v>
      </c>
    </row>
    <row r="166" spans="1:5" ht="32.25" customHeight="1" thickBot="1">
      <c r="A166" s="18" t="s">
        <v>7</v>
      </c>
      <c r="B166" s="23" t="s">
        <v>385</v>
      </c>
      <c r="C166" s="166">
        <f>+C92-C160</f>
        <v>983477052</v>
      </c>
      <c r="D166" s="166">
        <f>+D92-D160</f>
        <v>996412558</v>
      </c>
      <c r="E166" s="102">
        <f>+E92-E160</f>
        <v>1004995589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24">
      <selection activeCell="E133" sqref="E133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76"/>
      <c r="B1" s="756" t="str">
        <f>CONCATENATE("1.3. melléklet ",Z_ALAPADATOK!A7," ",Z_ALAPADATOK!B7," ",Z_ALAPADATOK!C7," ",Z_ALAPADATOK!D7," ",Z_ALAPADATOK!E7," ",Z_ALAPADATOK!F7," ",Z_ALAPADATOK!G7," ",Z_ALAPADATOK!H7)</f>
        <v>1.3. melléklet a … / 2019. ( … ) önkormányzati rendelethez</v>
      </c>
      <c r="C1" s="757"/>
      <c r="D1" s="757"/>
      <c r="E1" s="757"/>
    </row>
    <row r="2" spans="1:5" ht="15.75">
      <c r="A2" s="758" t="str">
        <f>CONCATENATE(Z_ALAPADATOK!A3)</f>
        <v>Besenyszög Város Önkormányzata</v>
      </c>
      <c r="B2" s="759"/>
      <c r="C2" s="759"/>
      <c r="D2" s="759"/>
      <c r="E2" s="759"/>
    </row>
    <row r="3" spans="1:5" ht="15.75">
      <c r="A3" s="758" t="s">
        <v>853</v>
      </c>
      <c r="B3" s="758"/>
      <c r="C3" s="760"/>
      <c r="D3" s="758"/>
      <c r="E3" s="758"/>
    </row>
    <row r="4" spans="1:5" ht="19.5" customHeight="1">
      <c r="A4" s="758" t="s">
        <v>855</v>
      </c>
      <c r="B4" s="758"/>
      <c r="C4" s="760"/>
      <c r="D4" s="758"/>
      <c r="E4" s="758"/>
    </row>
    <row r="5" spans="1:5" ht="15.75">
      <c r="A5" s="376"/>
      <c r="B5" s="376"/>
      <c r="C5" s="377"/>
      <c r="D5" s="378"/>
      <c r="E5" s="378"/>
    </row>
    <row r="6" spans="1:5" ht="15.75" customHeight="1">
      <c r="A6" s="770" t="s">
        <v>3</v>
      </c>
      <c r="B6" s="770"/>
      <c r="C6" s="770"/>
      <c r="D6" s="770"/>
      <c r="E6" s="770"/>
    </row>
    <row r="7" spans="1:5" ht="15.75" customHeight="1" thickBot="1">
      <c r="A7" s="772" t="s">
        <v>102</v>
      </c>
      <c r="B7" s="772"/>
      <c r="C7" s="379"/>
      <c r="D7" s="378"/>
      <c r="E7" s="379" t="str">
        <f>CONCATENATE('Z_1.2.sz.mell.'!E7)</f>
        <v> Forintban!</v>
      </c>
    </row>
    <row r="8" spans="1:5" ht="15.75">
      <c r="A8" s="762" t="s">
        <v>52</v>
      </c>
      <c r="B8" s="764" t="s">
        <v>5</v>
      </c>
      <c r="C8" s="766" t="str">
        <f>+CONCATENATE(LEFT(Z_ÖSSZEFÜGGÉSEK!A6,4),". évi")</f>
        <v>2018. évi</v>
      </c>
      <c r="D8" s="767"/>
      <c r="E8" s="768"/>
    </row>
    <row r="9" spans="1:5" ht="24.75" thickBot="1">
      <c r="A9" s="763"/>
      <c r="B9" s="765"/>
      <c r="C9" s="246" t="s">
        <v>422</v>
      </c>
      <c r="D9" s="245" t="s">
        <v>423</v>
      </c>
      <c r="E9" s="365" t="str">
        <f>CONCATENATE('Z_1.2.sz.mell.'!E9)</f>
        <v>2018. XII. 31.
teljesítés</v>
      </c>
    </row>
    <row r="10" spans="1:5" s="177" customFormat="1" ht="12" customHeight="1" thickBot="1">
      <c r="A10" s="173" t="s">
        <v>389</v>
      </c>
      <c r="B10" s="174" t="s">
        <v>390</v>
      </c>
      <c r="C10" s="174" t="s">
        <v>391</v>
      </c>
      <c r="D10" s="174" t="s">
        <v>393</v>
      </c>
      <c r="E10" s="247" t="s">
        <v>392</v>
      </c>
    </row>
    <row r="11" spans="1:5" s="178" customFormat="1" ht="12" customHeight="1" thickBot="1">
      <c r="A11" s="18" t="s">
        <v>6</v>
      </c>
      <c r="B11" s="19" t="s">
        <v>164</v>
      </c>
      <c r="C11" s="166">
        <f>+C12+C13+C14+C15+C16+C17</f>
        <v>0</v>
      </c>
      <c r="D11" s="166">
        <f>+D12+D13+D14+D15+D16+D17</f>
        <v>0</v>
      </c>
      <c r="E11" s="102">
        <f>+E12+E13+E14+E15+E16+E17</f>
        <v>0</v>
      </c>
    </row>
    <row r="12" spans="1:5" s="178" customFormat="1" ht="12" customHeight="1">
      <c r="A12" s="13" t="s">
        <v>64</v>
      </c>
      <c r="B12" s="179" t="s">
        <v>165</v>
      </c>
      <c r="C12" s="168"/>
      <c r="D12" s="168"/>
      <c r="E12" s="104"/>
    </row>
    <row r="13" spans="1:5" s="178" customFormat="1" ht="12" customHeight="1">
      <c r="A13" s="12" t="s">
        <v>65</v>
      </c>
      <c r="B13" s="180" t="s">
        <v>166</v>
      </c>
      <c r="C13" s="167"/>
      <c r="D13" s="167"/>
      <c r="E13" s="103"/>
    </row>
    <row r="14" spans="1:5" s="178" customFormat="1" ht="12" customHeight="1">
      <c r="A14" s="12" t="s">
        <v>66</v>
      </c>
      <c r="B14" s="180" t="s">
        <v>167</v>
      </c>
      <c r="C14" s="167"/>
      <c r="D14" s="167"/>
      <c r="E14" s="103"/>
    </row>
    <row r="15" spans="1:5" s="178" customFormat="1" ht="12" customHeight="1">
      <c r="A15" s="12" t="s">
        <v>67</v>
      </c>
      <c r="B15" s="180" t="s">
        <v>168</v>
      </c>
      <c r="C15" s="167"/>
      <c r="D15" s="167"/>
      <c r="E15" s="103"/>
    </row>
    <row r="16" spans="1:5" s="178" customFormat="1" ht="12" customHeight="1">
      <c r="A16" s="12" t="s">
        <v>99</v>
      </c>
      <c r="B16" s="110" t="s">
        <v>337</v>
      </c>
      <c r="C16" s="167"/>
      <c r="D16" s="167"/>
      <c r="E16" s="103"/>
    </row>
    <row r="17" spans="1:5" s="178" customFormat="1" ht="12" customHeight="1" thickBot="1">
      <c r="A17" s="14" t="s">
        <v>68</v>
      </c>
      <c r="B17" s="111" t="s">
        <v>338</v>
      </c>
      <c r="C17" s="167"/>
      <c r="D17" s="167"/>
      <c r="E17" s="103"/>
    </row>
    <row r="18" spans="1:5" s="178" customFormat="1" ht="12" customHeight="1" thickBot="1">
      <c r="A18" s="18" t="s">
        <v>7</v>
      </c>
      <c r="B18" s="109" t="s">
        <v>169</v>
      </c>
      <c r="C18" s="166">
        <f>+C19+C20+C21+C22+C23</f>
        <v>0</v>
      </c>
      <c r="D18" s="166">
        <f>+D19+D20+D21+D22+D23</f>
        <v>0</v>
      </c>
      <c r="E18" s="102">
        <f>+E19+E20+E21+E22+E23</f>
        <v>0</v>
      </c>
    </row>
    <row r="19" spans="1:5" s="178" customFormat="1" ht="12" customHeight="1">
      <c r="A19" s="13" t="s">
        <v>70</v>
      </c>
      <c r="B19" s="179" t="s">
        <v>170</v>
      </c>
      <c r="C19" s="168"/>
      <c r="D19" s="168"/>
      <c r="E19" s="104"/>
    </row>
    <row r="20" spans="1:5" s="178" customFormat="1" ht="12" customHeight="1">
      <c r="A20" s="12" t="s">
        <v>71</v>
      </c>
      <c r="B20" s="180" t="s">
        <v>171</v>
      </c>
      <c r="C20" s="167"/>
      <c r="D20" s="167"/>
      <c r="E20" s="103"/>
    </row>
    <row r="21" spans="1:5" s="178" customFormat="1" ht="12" customHeight="1">
      <c r="A21" s="12" t="s">
        <v>72</v>
      </c>
      <c r="B21" s="180" t="s">
        <v>329</v>
      </c>
      <c r="C21" s="167"/>
      <c r="D21" s="167"/>
      <c r="E21" s="103"/>
    </row>
    <row r="22" spans="1:5" s="178" customFormat="1" ht="12" customHeight="1">
      <c r="A22" s="12" t="s">
        <v>73</v>
      </c>
      <c r="B22" s="180" t="s">
        <v>330</v>
      </c>
      <c r="C22" s="167"/>
      <c r="D22" s="167"/>
      <c r="E22" s="103"/>
    </row>
    <row r="23" spans="1:5" s="178" customFormat="1" ht="12" customHeight="1">
      <c r="A23" s="12" t="s">
        <v>74</v>
      </c>
      <c r="B23" s="180" t="s">
        <v>172</v>
      </c>
      <c r="C23" s="167"/>
      <c r="D23" s="167"/>
      <c r="E23" s="103"/>
    </row>
    <row r="24" spans="1:5" s="178" customFormat="1" ht="12" customHeight="1" thickBot="1">
      <c r="A24" s="14" t="s">
        <v>81</v>
      </c>
      <c r="B24" s="111" t="s">
        <v>173</v>
      </c>
      <c r="C24" s="169"/>
      <c r="D24" s="169"/>
      <c r="E24" s="105"/>
    </row>
    <row r="25" spans="1:5" s="178" customFormat="1" ht="12" customHeight="1" thickBot="1">
      <c r="A25" s="18" t="s">
        <v>8</v>
      </c>
      <c r="B25" s="19" t="s">
        <v>174</v>
      </c>
      <c r="C25" s="166">
        <f>+C26+C27+C28+C29+C30</f>
        <v>0</v>
      </c>
      <c r="D25" s="166">
        <f>+D26+D27+D28+D29+D30</f>
        <v>0</v>
      </c>
      <c r="E25" s="102">
        <f>+E26+E27+E28+E29+E30</f>
        <v>0</v>
      </c>
    </row>
    <row r="26" spans="1:5" s="178" customFormat="1" ht="12" customHeight="1">
      <c r="A26" s="13" t="s">
        <v>53</v>
      </c>
      <c r="B26" s="179" t="s">
        <v>175</v>
      </c>
      <c r="C26" s="168"/>
      <c r="D26" s="168"/>
      <c r="E26" s="104"/>
    </row>
    <row r="27" spans="1:5" s="178" customFormat="1" ht="12" customHeight="1">
      <c r="A27" s="12" t="s">
        <v>54</v>
      </c>
      <c r="B27" s="180" t="s">
        <v>176</v>
      </c>
      <c r="C27" s="167"/>
      <c r="D27" s="167"/>
      <c r="E27" s="103"/>
    </row>
    <row r="28" spans="1:5" s="178" customFormat="1" ht="12" customHeight="1">
      <c r="A28" s="12" t="s">
        <v>55</v>
      </c>
      <c r="B28" s="180" t="s">
        <v>331</v>
      </c>
      <c r="C28" s="167"/>
      <c r="D28" s="167"/>
      <c r="E28" s="103"/>
    </row>
    <row r="29" spans="1:5" s="178" customFormat="1" ht="12" customHeight="1">
      <c r="A29" s="12" t="s">
        <v>56</v>
      </c>
      <c r="B29" s="180" t="s">
        <v>332</v>
      </c>
      <c r="C29" s="167"/>
      <c r="D29" s="167"/>
      <c r="E29" s="103"/>
    </row>
    <row r="30" spans="1:5" s="178" customFormat="1" ht="12" customHeight="1">
      <c r="A30" s="12" t="s">
        <v>112</v>
      </c>
      <c r="B30" s="180" t="s">
        <v>177</v>
      </c>
      <c r="C30" s="167"/>
      <c r="D30" s="167"/>
      <c r="E30" s="103"/>
    </row>
    <row r="31" spans="1:5" s="178" customFormat="1" ht="12" customHeight="1" thickBot="1">
      <c r="A31" s="14" t="s">
        <v>113</v>
      </c>
      <c r="B31" s="181" t="s">
        <v>178</v>
      </c>
      <c r="C31" s="169"/>
      <c r="D31" s="169"/>
      <c r="E31" s="105"/>
    </row>
    <row r="32" spans="1:5" s="178" customFormat="1" ht="12" customHeight="1" thickBot="1">
      <c r="A32" s="18" t="s">
        <v>114</v>
      </c>
      <c r="B32" s="19" t="s">
        <v>488</v>
      </c>
      <c r="C32" s="172">
        <f>SUM(C33:C39)</f>
        <v>9610000</v>
      </c>
      <c r="D32" s="172">
        <f>SUM(D33:D39)</f>
        <v>10060000</v>
      </c>
      <c r="E32" s="208">
        <f>SUM(E33:E39)</f>
        <v>427637</v>
      </c>
    </row>
    <row r="33" spans="1:5" s="178" customFormat="1" ht="12" customHeight="1">
      <c r="A33" s="13" t="s">
        <v>179</v>
      </c>
      <c r="B33" s="179" t="s">
        <v>489</v>
      </c>
      <c r="C33" s="168"/>
      <c r="D33" s="168"/>
      <c r="E33" s="104"/>
    </row>
    <row r="34" spans="1:5" s="178" customFormat="1" ht="12" customHeight="1">
      <c r="A34" s="12" t="s">
        <v>180</v>
      </c>
      <c r="B34" s="180" t="s">
        <v>490</v>
      </c>
      <c r="C34" s="167"/>
      <c r="D34" s="167"/>
      <c r="E34" s="103"/>
    </row>
    <row r="35" spans="1:5" s="178" customFormat="1" ht="12" customHeight="1">
      <c r="A35" s="12" t="s">
        <v>181</v>
      </c>
      <c r="B35" s="180" t="s">
        <v>491</v>
      </c>
      <c r="C35" s="167">
        <v>9610000</v>
      </c>
      <c r="D35" s="167">
        <v>10060000</v>
      </c>
      <c r="E35" s="103">
        <v>427637</v>
      </c>
    </row>
    <row r="36" spans="1:5" s="178" customFormat="1" ht="12" customHeight="1">
      <c r="A36" s="12" t="s">
        <v>182</v>
      </c>
      <c r="B36" s="180" t="s">
        <v>492</v>
      </c>
      <c r="C36" s="167"/>
      <c r="D36" s="167"/>
      <c r="E36" s="103"/>
    </row>
    <row r="37" spans="1:5" s="178" customFormat="1" ht="12" customHeight="1">
      <c r="A37" s="12" t="s">
        <v>493</v>
      </c>
      <c r="B37" s="180" t="s">
        <v>183</v>
      </c>
      <c r="C37" s="167"/>
      <c r="D37" s="167"/>
      <c r="E37" s="103"/>
    </row>
    <row r="38" spans="1:5" s="178" customFormat="1" ht="12" customHeight="1">
      <c r="A38" s="12" t="s">
        <v>494</v>
      </c>
      <c r="B38" s="180" t="s">
        <v>184</v>
      </c>
      <c r="C38" s="167"/>
      <c r="D38" s="167"/>
      <c r="E38" s="103"/>
    </row>
    <row r="39" spans="1:5" s="178" customFormat="1" ht="12" customHeight="1" thickBot="1">
      <c r="A39" s="14" t="s">
        <v>495</v>
      </c>
      <c r="B39" s="325" t="s">
        <v>185</v>
      </c>
      <c r="C39" s="169"/>
      <c r="D39" s="169"/>
      <c r="E39" s="105"/>
    </row>
    <row r="40" spans="1:5" s="178" customFormat="1" ht="12" customHeight="1" thickBot="1">
      <c r="A40" s="18" t="s">
        <v>10</v>
      </c>
      <c r="B40" s="19" t="s">
        <v>339</v>
      </c>
      <c r="C40" s="166">
        <f>SUM(C41:C51)</f>
        <v>0</v>
      </c>
      <c r="D40" s="166">
        <f>SUM(D41:D51)</f>
        <v>0</v>
      </c>
      <c r="E40" s="102">
        <f>SUM(E41:E51)</f>
        <v>0</v>
      </c>
    </row>
    <row r="41" spans="1:5" s="178" customFormat="1" ht="12" customHeight="1">
      <c r="A41" s="13" t="s">
        <v>57</v>
      </c>
      <c r="B41" s="179" t="s">
        <v>188</v>
      </c>
      <c r="C41" s="168"/>
      <c r="D41" s="168"/>
      <c r="E41" s="104"/>
    </row>
    <row r="42" spans="1:5" s="178" customFormat="1" ht="12" customHeight="1">
      <c r="A42" s="12" t="s">
        <v>58</v>
      </c>
      <c r="B42" s="180" t="s">
        <v>189</v>
      </c>
      <c r="C42" s="167"/>
      <c r="D42" s="167"/>
      <c r="E42" s="103"/>
    </row>
    <row r="43" spans="1:5" s="178" customFormat="1" ht="12" customHeight="1">
      <c r="A43" s="12" t="s">
        <v>59</v>
      </c>
      <c r="B43" s="180" t="s">
        <v>190</v>
      </c>
      <c r="C43" s="167"/>
      <c r="D43" s="167"/>
      <c r="E43" s="103"/>
    </row>
    <row r="44" spans="1:5" s="178" customFormat="1" ht="12" customHeight="1">
      <c r="A44" s="12" t="s">
        <v>116</v>
      </c>
      <c r="B44" s="180" t="s">
        <v>191</v>
      </c>
      <c r="C44" s="167"/>
      <c r="D44" s="167"/>
      <c r="E44" s="103"/>
    </row>
    <row r="45" spans="1:5" s="178" customFormat="1" ht="12" customHeight="1">
      <c r="A45" s="12" t="s">
        <v>117</v>
      </c>
      <c r="B45" s="180" t="s">
        <v>192</v>
      </c>
      <c r="C45" s="167"/>
      <c r="D45" s="167"/>
      <c r="E45" s="103"/>
    </row>
    <row r="46" spans="1:5" s="178" customFormat="1" ht="12" customHeight="1">
      <c r="A46" s="12" t="s">
        <v>118</v>
      </c>
      <c r="B46" s="180" t="s">
        <v>193</v>
      </c>
      <c r="C46" s="167"/>
      <c r="D46" s="167"/>
      <c r="E46" s="103"/>
    </row>
    <row r="47" spans="1:5" s="178" customFormat="1" ht="12" customHeight="1">
      <c r="A47" s="12" t="s">
        <v>119</v>
      </c>
      <c r="B47" s="180" t="s">
        <v>194</v>
      </c>
      <c r="C47" s="167"/>
      <c r="D47" s="167"/>
      <c r="E47" s="103"/>
    </row>
    <row r="48" spans="1:5" s="178" customFormat="1" ht="12" customHeight="1">
      <c r="A48" s="12" t="s">
        <v>120</v>
      </c>
      <c r="B48" s="180" t="s">
        <v>496</v>
      </c>
      <c r="C48" s="167"/>
      <c r="D48" s="167"/>
      <c r="E48" s="103"/>
    </row>
    <row r="49" spans="1:5" s="178" customFormat="1" ht="12" customHeight="1">
      <c r="A49" s="12" t="s">
        <v>186</v>
      </c>
      <c r="B49" s="180" t="s">
        <v>196</v>
      </c>
      <c r="C49" s="170"/>
      <c r="D49" s="170"/>
      <c r="E49" s="106"/>
    </row>
    <row r="50" spans="1:5" s="178" customFormat="1" ht="12" customHeight="1">
      <c r="A50" s="14" t="s">
        <v>187</v>
      </c>
      <c r="B50" s="181" t="s">
        <v>341</v>
      </c>
      <c r="C50" s="171"/>
      <c r="D50" s="171"/>
      <c r="E50" s="107"/>
    </row>
    <row r="51" spans="1:5" s="178" customFormat="1" ht="12" customHeight="1" thickBot="1">
      <c r="A51" s="14" t="s">
        <v>340</v>
      </c>
      <c r="B51" s="111" t="s">
        <v>197</v>
      </c>
      <c r="C51" s="171"/>
      <c r="D51" s="171"/>
      <c r="E51" s="107"/>
    </row>
    <row r="52" spans="1:5" s="178" customFormat="1" ht="12" customHeight="1" thickBot="1">
      <c r="A52" s="18" t="s">
        <v>11</v>
      </c>
      <c r="B52" s="19" t="s">
        <v>198</v>
      </c>
      <c r="C52" s="166">
        <f>SUM(C53:C57)</f>
        <v>0</v>
      </c>
      <c r="D52" s="166">
        <f>SUM(D53:D57)</f>
        <v>0</v>
      </c>
      <c r="E52" s="102">
        <f>SUM(E53:E57)</f>
        <v>0</v>
      </c>
    </row>
    <row r="53" spans="1:5" s="178" customFormat="1" ht="12" customHeight="1">
      <c r="A53" s="13" t="s">
        <v>60</v>
      </c>
      <c r="B53" s="179" t="s">
        <v>202</v>
      </c>
      <c r="C53" s="219"/>
      <c r="D53" s="219"/>
      <c r="E53" s="108"/>
    </row>
    <row r="54" spans="1:5" s="178" customFormat="1" ht="12" customHeight="1">
      <c r="A54" s="12" t="s">
        <v>61</v>
      </c>
      <c r="B54" s="180" t="s">
        <v>203</v>
      </c>
      <c r="C54" s="170"/>
      <c r="D54" s="170"/>
      <c r="E54" s="106"/>
    </row>
    <row r="55" spans="1:5" s="178" customFormat="1" ht="12" customHeight="1">
      <c r="A55" s="12" t="s">
        <v>199</v>
      </c>
      <c r="B55" s="180" t="s">
        <v>204</v>
      </c>
      <c r="C55" s="170"/>
      <c r="D55" s="170"/>
      <c r="E55" s="106"/>
    </row>
    <row r="56" spans="1:5" s="178" customFormat="1" ht="12" customHeight="1">
      <c r="A56" s="12" t="s">
        <v>200</v>
      </c>
      <c r="B56" s="180" t="s">
        <v>205</v>
      </c>
      <c r="C56" s="170"/>
      <c r="D56" s="170"/>
      <c r="E56" s="106"/>
    </row>
    <row r="57" spans="1:5" s="178" customFormat="1" ht="12" customHeight="1" thickBot="1">
      <c r="A57" s="14" t="s">
        <v>201</v>
      </c>
      <c r="B57" s="111" t="s">
        <v>206</v>
      </c>
      <c r="C57" s="171"/>
      <c r="D57" s="171"/>
      <c r="E57" s="107"/>
    </row>
    <row r="58" spans="1:5" s="178" customFormat="1" ht="12" customHeight="1" thickBot="1">
      <c r="A58" s="18" t="s">
        <v>121</v>
      </c>
      <c r="B58" s="19" t="s">
        <v>207</v>
      </c>
      <c r="C58" s="166">
        <f>SUM(C59:C61)</f>
        <v>1600000</v>
      </c>
      <c r="D58" s="166">
        <f>SUM(D59:D61)</f>
        <v>1600000</v>
      </c>
      <c r="E58" s="102">
        <f>SUM(E59:E61)</f>
        <v>1810000</v>
      </c>
    </row>
    <row r="59" spans="1:5" s="178" customFormat="1" ht="12" customHeight="1">
      <c r="A59" s="13" t="s">
        <v>62</v>
      </c>
      <c r="B59" s="179" t="s">
        <v>208</v>
      </c>
      <c r="C59" s="168"/>
      <c r="D59" s="168"/>
      <c r="E59" s="104"/>
    </row>
    <row r="60" spans="1:5" s="178" customFormat="1" ht="12" customHeight="1">
      <c r="A60" s="12" t="s">
        <v>63</v>
      </c>
      <c r="B60" s="180" t="s">
        <v>333</v>
      </c>
      <c r="C60" s="167">
        <v>1600000</v>
      </c>
      <c r="D60" s="167">
        <v>1600000</v>
      </c>
      <c r="E60" s="103">
        <v>1810000</v>
      </c>
    </row>
    <row r="61" spans="1:5" s="178" customFormat="1" ht="12" customHeight="1">
      <c r="A61" s="12" t="s">
        <v>211</v>
      </c>
      <c r="B61" s="180" t="s">
        <v>209</v>
      </c>
      <c r="C61" s="167"/>
      <c r="D61" s="167"/>
      <c r="E61" s="103"/>
    </row>
    <row r="62" spans="1:5" s="178" customFormat="1" ht="12" customHeight="1" thickBot="1">
      <c r="A62" s="14" t="s">
        <v>212</v>
      </c>
      <c r="B62" s="111" t="s">
        <v>210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213</v>
      </c>
      <c r="C63" s="166">
        <f>SUM(C64:C66)</f>
        <v>13500000</v>
      </c>
      <c r="D63" s="166">
        <f>SUM(D64:D66)</f>
        <v>13500000</v>
      </c>
      <c r="E63" s="102">
        <f>SUM(E64:E66)</f>
        <v>11720000</v>
      </c>
    </row>
    <row r="64" spans="1:5" s="178" customFormat="1" ht="12" customHeight="1">
      <c r="A64" s="13" t="s">
        <v>122</v>
      </c>
      <c r="B64" s="179" t="s">
        <v>215</v>
      </c>
      <c r="C64" s="170"/>
      <c r="D64" s="170"/>
      <c r="E64" s="106"/>
    </row>
    <row r="65" spans="1:5" s="178" customFormat="1" ht="12" customHeight="1">
      <c r="A65" s="12" t="s">
        <v>123</v>
      </c>
      <c r="B65" s="180" t="s">
        <v>334</v>
      </c>
      <c r="C65" s="170"/>
      <c r="D65" s="170"/>
      <c r="E65" s="106">
        <v>120000</v>
      </c>
    </row>
    <row r="66" spans="1:5" s="178" customFormat="1" ht="12" customHeight="1">
      <c r="A66" s="12" t="s">
        <v>146</v>
      </c>
      <c r="B66" s="180" t="s">
        <v>216</v>
      </c>
      <c r="C66" s="170">
        <v>13500000</v>
      </c>
      <c r="D66" s="170">
        <v>13500000</v>
      </c>
      <c r="E66" s="106">
        <v>11600000</v>
      </c>
    </row>
    <row r="67" spans="1:5" s="178" customFormat="1" ht="12" customHeight="1" thickBot="1">
      <c r="A67" s="14" t="s">
        <v>214</v>
      </c>
      <c r="B67" s="111" t="s">
        <v>217</v>
      </c>
      <c r="C67" s="170"/>
      <c r="D67" s="170"/>
      <c r="E67" s="106"/>
    </row>
    <row r="68" spans="1:5" s="178" customFormat="1" ht="12" customHeight="1" thickBot="1">
      <c r="A68" s="229" t="s">
        <v>381</v>
      </c>
      <c r="B68" s="19" t="s">
        <v>218</v>
      </c>
      <c r="C68" s="172">
        <f>+C11+C18+C25+C32+C40+C52+C58+C63</f>
        <v>24710000</v>
      </c>
      <c r="D68" s="172">
        <f>+D11+D18+D25+D32+D40+D52+D58+D63</f>
        <v>25160000</v>
      </c>
      <c r="E68" s="208">
        <f>+E11+E18+E25+E32+E40+E52+E58+E63</f>
        <v>13957637</v>
      </c>
    </row>
    <row r="69" spans="1:5" s="178" customFormat="1" ht="12" customHeight="1" thickBot="1">
      <c r="A69" s="220" t="s">
        <v>219</v>
      </c>
      <c r="B69" s="109" t="s">
        <v>220</v>
      </c>
      <c r="C69" s="166">
        <f>SUM(C70:C72)</f>
        <v>0</v>
      </c>
      <c r="D69" s="166">
        <f>SUM(D70:D72)</f>
        <v>0</v>
      </c>
      <c r="E69" s="102">
        <f>SUM(E70:E72)</f>
        <v>0</v>
      </c>
    </row>
    <row r="70" spans="1:5" s="178" customFormat="1" ht="12" customHeight="1">
      <c r="A70" s="13" t="s">
        <v>248</v>
      </c>
      <c r="B70" s="179" t="s">
        <v>221</v>
      </c>
      <c r="C70" s="170"/>
      <c r="D70" s="170"/>
      <c r="E70" s="106"/>
    </row>
    <row r="71" spans="1:5" s="178" customFormat="1" ht="12" customHeight="1">
      <c r="A71" s="12" t="s">
        <v>257</v>
      </c>
      <c r="B71" s="180" t="s">
        <v>222</v>
      </c>
      <c r="C71" s="170"/>
      <c r="D71" s="170"/>
      <c r="E71" s="106"/>
    </row>
    <row r="72" spans="1:5" s="178" customFormat="1" ht="12" customHeight="1" thickBot="1">
      <c r="A72" s="14" t="s">
        <v>258</v>
      </c>
      <c r="B72" s="225" t="s">
        <v>366</v>
      </c>
      <c r="C72" s="170"/>
      <c r="D72" s="170"/>
      <c r="E72" s="106"/>
    </row>
    <row r="73" spans="1:5" s="178" customFormat="1" ht="12" customHeight="1" thickBot="1">
      <c r="A73" s="220" t="s">
        <v>224</v>
      </c>
      <c r="B73" s="109" t="s">
        <v>225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100</v>
      </c>
      <c r="B74" s="363" t="s">
        <v>226</v>
      </c>
      <c r="C74" s="170"/>
      <c r="D74" s="170"/>
      <c r="E74" s="106"/>
    </row>
    <row r="75" spans="1:5" s="178" customFormat="1" ht="12" customHeight="1">
      <c r="A75" s="12" t="s">
        <v>101</v>
      </c>
      <c r="B75" s="363" t="s">
        <v>503</v>
      </c>
      <c r="C75" s="170"/>
      <c r="D75" s="170"/>
      <c r="E75" s="106"/>
    </row>
    <row r="76" spans="1:5" s="178" customFormat="1" ht="12" customHeight="1">
      <c r="A76" s="12" t="s">
        <v>249</v>
      </c>
      <c r="B76" s="363" t="s">
        <v>227</v>
      </c>
      <c r="C76" s="170"/>
      <c r="D76" s="170"/>
      <c r="E76" s="106"/>
    </row>
    <row r="77" spans="1:5" s="178" customFormat="1" ht="12" customHeight="1" thickBot="1">
      <c r="A77" s="14" t="s">
        <v>250</v>
      </c>
      <c r="B77" s="364" t="s">
        <v>504</v>
      </c>
      <c r="C77" s="170"/>
      <c r="D77" s="170"/>
      <c r="E77" s="106"/>
    </row>
    <row r="78" spans="1:5" s="178" customFormat="1" ht="12" customHeight="1" thickBot="1">
      <c r="A78" s="220" t="s">
        <v>228</v>
      </c>
      <c r="B78" s="109" t="s">
        <v>229</v>
      </c>
      <c r="C78" s="166">
        <f>SUM(C79:C80)</f>
        <v>0</v>
      </c>
      <c r="D78" s="166">
        <f>SUM(D79:D80)</f>
        <v>0</v>
      </c>
      <c r="E78" s="102">
        <f>SUM(E79:E80)</f>
        <v>0</v>
      </c>
    </row>
    <row r="79" spans="1:5" s="178" customFormat="1" ht="12" customHeight="1">
      <c r="A79" s="13" t="s">
        <v>251</v>
      </c>
      <c r="B79" s="179" t="s">
        <v>230</v>
      </c>
      <c r="C79" s="170"/>
      <c r="D79" s="170"/>
      <c r="E79" s="106"/>
    </row>
    <row r="80" spans="1:5" s="178" customFormat="1" ht="12" customHeight="1" thickBot="1">
      <c r="A80" s="14" t="s">
        <v>252</v>
      </c>
      <c r="B80" s="111" t="s">
        <v>231</v>
      </c>
      <c r="C80" s="170"/>
      <c r="D80" s="170"/>
      <c r="E80" s="106"/>
    </row>
    <row r="81" spans="1:5" s="178" customFormat="1" ht="12" customHeight="1" thickBot="1">
      <c r="A81" s="220" t="s">
        <v>232</v>
      </c>
      <c r="B81" s="109" t="s">
        <v>233</v>
      </c>
      <c r="C81" s="166">
        <f>SUM(C82:C84)</f>
        <v>0</v>
      </c>
      <c r="D81" s="166">
        <f>SUM(D82:D84)</f>
        <v>0</v>
      </c>
      <c r="E81" s="102">
        <f>SUM(E82:E84)</f>
        <v>0</v>
      </c>
    </row>
    <row r="82" spans="1:5" s="178" customFormat="1" ht="12" customHeight="1">
      <c r="A82" s="13" t="s">
        <v>253</v>
      </c>
      <c r="B82" s="179" t="s">
        <v>234</v>
      </c>
      <c r="C82" s="170"/>
      <c r="D82" s="170"/>
      <c r="E82" s="106"/>
    </row>
    <row r="83" spans="1:5" s="178" customFormat="1" ht="12" customHeight="1">
      <c r="A83" s="12" t="s">
        <v>254</v>
      </c>
      <c r="B83" s="180" t="s">
        <v>235</v>
      </c>
      <c r="C83" s="170"/>
      <c r="D83" s="170"/>
      <c r="E83" s="106"/>
    </row>
    <row r="84" spans="1:5" s="178" customFormat="1" ht="12" customHeight="1" thickBot="1">
      <c r="A84" s="14" t="s">
        <v>255</v>
      </c>
      <c r="B84" s="111" t="s">
        <v>505</v>
      </c>
      <c r="C84" s="170"/>
      <c r="D84" s="170"/>
      <c r="E84" s="106"/>
    </row>
    <row r="85" spans="1:5" s="178" customFormat="1" ht="12" customHeight="1" thickBot="1">
      <c r="A85" s="220" t="s">
        <v>236</v>
      </c>
      <c r="B85" s="109" t="s">
        <v>256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3" t="s">
        <v>237</v>
      </c>
      <c r="B86" s="179" t="s">
        <v>238</v>
      </c>
      <c r="C86" s="170"/>
      <c r="D86" s="170"/>
      <c r="E86" s="106"/>
    </row>
    <row r="87" spans="1:5" s="178" customFormat="1" ht="12" customHeight="1">
      <c r="A87" s="184" t="s">
        <v>239</v>
      </c>
      <c r="B87" s="180" t="s">
        <v>240</v>
      </c>
      <c r="C87" s="170"/>
      <c r="D87" s="170"/>
      <c r="E87" s="106"/>
    </row>
    <row r="88" spans="1:5" s="178" customFormat="1" ht="12" customHeight="1">
      <c r="A88" s="184" t="s">
        <v>241</v>
      </c>
      <c r="B88" s="180" t="s">
        <v>242</v>
      </c>
      <c r="C88" s="170"/>
      <c r="D88" s="170"/>
      <c r="E88" s="106"/>
    </row>
    <row r="89" spans="1:5" s="178" customFormat="1" ht="12" customHeight="1" thickBot="1">
      <c r="A89" s="185" t="s">
        <v>243</v>
      </c>
      <c r="B89" s="111" t="s">
        <v>244</v>
      </c>
      <c r="C89" s="170"/>
      <c r="D89" s="170"/>
      <c r="E89" s="106"/>
    </row>
    <row r="90" spans="1:5" s="178" customFormat="1" ht="12" customHeight="1" thickBot="1">
      <c r="A90" s="220" t="s">
        <v>245</v>
      </c>
      <c r="B90" s="109" t="s">
        <v>380</v>
      </c>
      <c r="C90" s="222"/>
      <c r="D90" s="222"/>
      <c r="E90" s="223"/>
    </row>
    <row r="91" spans="1:5" s="178" customFormat="1" ht="13.5" customHeight="1" thickBot="1">
      <c r="A91" s="220" t="s">
        <v>247</v>
      </c>
      <c r="B91" s="109" t="s">
        <v>246</v>
      </c>
      <c r="C91" s="222"/>
      <c r="D91" s="222"/>
      <c r="E91" s="223"/>
    </row>
    <row r="92" spans="1:5" s="178" customFormat="1" ht="15.75" customHeight="1" thickBot="1">
      <c r="A92" s="220" t="s">
        <v>259</v>
      </c>
      <c r="B92" s="186" t="s">
        <v>383</v>
      </c>
      <c r="C92" s="172">
        <f>+C69+C73+C78+C81+C85+C91+C90</f>
        <v>0</v>
      </c>
      <c r="D92" s="172">
        <f>+D69+D73+D78+D81+D85+D91+D90</f>
        <v>0</v>
      </c>
      <c r="E92" s="208">
        <f>+E69+E73+E78+E81+E85+E91+E90</f>
        <v>0</v>
      </c>
    </row>
    <row r="93" spans="1:5" s="178" customFormat="1" ht="25.5" customHeight="1" thickBot="1">
      <c r="A93" s="221" t="s">
        <v>382</v>
      </c>
      <c r="B93" s="187" t="s">
        <v>384</v>
      </c>
      <c r="C93" s="172">
        <f>+C68+C92</f>
        <v>24710000</v>
      </c>
      <c r="D93" s="172">
        <f>+D68+D92</f>
        <v>25160000</v>
      </c>
      <c r="E93" s="208">
        <f>+E68+E92</f>
        <v>13957637</v>
      </c>
    </row>
    <row r="94" spans="1:3" s="178" customFormat="1" ht="15" customHeight="1">
      <c r="A94" s="3"/>
      <c r="B94" s="4"/>
      <c r="C94" s="113"/>
    </row>
    <row r="95" spans="1:5" ht="16.5" customHeight="1">
      <c r="A95" s="771" t="s">
        <v>34</v>
      </c>
      <c r="B95" s="771"/>
      <c r="C95" s="771"/>
      <c r="D95" s="771"/>
      <c r="E95" s="771"/>
    </row>
    <row r="96" spans="1:5" s="188" customFormat="1" ht="16.5" customHeight="1" thickBot="1">
      <c r="A96" s="773" t="s">
        <v>103</v>
      </c>
      <c r="B96" s="773"/>
      <c r="C96" s="60"/>
      <c r="E96" s="60" t="str">
        <f>E7</f>
        <v> Forintban!</v>
      </c>
    </row>
    <row r="97" spans="1:5" ht="15.75">
      <c r="A97" s="762" t="s">
        <v>52</v>
      </c>
      <c r="B97" s="764" t="s">
        <v>424</v>
      </c>
      <c r="C97" s="766" t="str">
        <f>+CONCATENATE(LEFT(Z_ÖSSZEFÜGGÉSEK!A6,4),". évi")</f>
        <v>2018. évi</v>
      </c>
      <c r="D97" s="767"/>
      <c r="E97" s="768"/>
    </row>
    <row r="98" spans="1:5" ht="24.75" thickBot="1">
      <c r="A98" s="763"/>
      <c r="B98" s="765"/>
      <c r="C98" s="246" t="s">
        <v>422</v>
      </c>
      <c r="D98" s="245" t="s">
        <v>423</v>
      </c>
      <c r="E98" s="365" t="str">
        <f>CONCATENATE(E9)</f>
        <v>2018. XII. 31.
teljesítés</v>
      </c>
    </row>
    <row r="99" spans="1:5" s="177" customFormat="1" ht="12" customHeight="1" thickBot="1">
      <c r="A99" s="25" t="s">
        <v>389</v>
      </c>
      <c r="B99" s="26" t="s">
        <v>390</v>
      </c>
      <c r="C99" s="26" t="s">
        <v>391</v>
      </c>
      <c r="D99" s="26" t="s">
        <v>393</v>
      </c>
      <c r="E99" s="257" t="s">
        <v>392</v>
      </c>
    </row>
    <row r="100" spans="1:5" ht="12" customHeight="1" thickBot="1">
      <c r="A100" s="20" t="s">
        <v>6</v>
      </c>
      <c r="B100" s="24" t="s">
        <v>342</v>
      </c>
      <c r="C100" s="165">
        <f>C101+C102+C103+C104+C105+C118</f>
        <v>18710000</v>
      </c>
      <c r="D100" s="165">
        <f>D101+D102+D103+D104+D105+D118</f>
        <v>24710000</v>
      </c>
      <c r="E100" s="232">
        <f>E101+E102+E103+E104+E105+E118</f>
        <v>13507637</v>
      </c>
    </row>
    <row r="101" spans="1:5" ht="12" customHeight="1">
      <c r="A101" s="15" t="s">
        <v>64</v>
      </c>
      <c r="B101" s="8" t="s">
        <v>35</v>
      </c>
      <c r="C101" s="239"/>
      <c r="D101" s="239"/>
      <c r="E101" s="233"/>
    </row>
    <row r="102" spans="1:5" ht="12" customHeight="1">
      <c r="A102" s="12" t="s">
        <v>65</v>
      </c>
      <c r="B102" s="6" t="s">
        <v>124</v>
      </c>
      <c r="C102" s="167"/>
      <c r="D102" s="167"/>
      <c r="E102" s="103"/>
    </row>
    <row r="103" spans="1:5" ht="12" customHeight="1">
      <c r="A103" s="12" t="s">
        <v>66</v>
      </c>
      <c r="B103" s="6" t="s">
        <v>92</v>
      </c>
      <c r="C103" s="169"/>
      <c r="D103" s="169"/>
      <c r="E103" s="105"/>
    </row>
    <row r="104" spans="1:5" ht="12" customHeight="1">
      <c r="A104" s="12" t="s">
        <v>67</v>
      </c>
      <c r="B104" s="9" t="s">
        <v>125</v>
      </c>
      <c r="C104" s="169"/>
      <c r="D104" s="169"/>
      <c r="E104" s="105"/>
    </row>
    <row r="105" spans="1:5" ht="12" customHeight="1">
      <c r="A105" s="12" t="s">
        <v>76</v>
      </c>
      <c r="B105" s="17" t="s">
        <v>126</v>
      </c>
      <c r="C105" s="169">
        <v>18710000</v>
      </c>
      <c r="D105" s="169">
        <v>24710000</v>
      </c>
      <c r="E105" s="105">
        <v>13507637</v>
      </c>
    </row>
    <row r="106" spans="1:5" ht="12" customHeight="1">
      <c r="A106" s="12" t="s">
        <v>68</v>
      </c>
      <c r="B106" s="6" t="s">
        <v>347</v>
      </c>
      <c r="C106" s="169"/>
      <c r="D106" s="169"/>
      <c r="E106" s="105"/>
    </row>
    <row r="107" spans="1:5" ht="12" customHeight="1">
      <c r="A107" s="12" t="s">
        <v>69</v>
      </c>
      <c r="B107" s="64" t="s">
        <v>346</v>
      </c>
      <c r="C107" s="169"/>
      <c r="D107" s="169"/>
      <c r="E107" s="105"/>
    </row>
    <row r="108" spans="1:5" ht="12" customHeight="1">
      <c r="A108" s="12" t="s">
        <v>77</v>
      </c>
      <c r="B108" s="64" t="s">
        <v>345</v>
      </c>
      <c r="C108" s="169"/>
      <c r="D108" s="169"/>
      <c r="E108" s="105"/>
    </row>
    <row r="109" spans="1:5" ht="12" customHeight="1">
      <c r="A109" s="12" t="s">
        <v>78</v>
      </c>
      <c r="B109" s="62" t="s">
        <v>262</v>
      </c>
      <c r="C109" s="169"/>
      <c r="D109" s="169"/>
      <c r="E109" s="105"/>
    </row>
    <row r="110" spans="1:5" ht="12" customHeight="1">
      <c r="A110" s="12" t="s">
        <v>79</v>
      </c>
      <c r="B110" s="63" t="s">
        <v>263</v>
      </c>
      <c r="C110" s="169"/>
      <c r="D110" s="169"/>
      <c r="E110" s="105"/>
    </row>
    <row r="111" spans="1:5" ht="12" customHeight="1">
      <c r="A111" s="12" t="s">
        <v>80</v>
      </c>
      <c r="B111" s="63" t="s">
        <v>264</v>
      </c>
      <c r="C111" s="169"/>
      <c r="D111" s="169">
        <v>10000000</v>
      </c>
      <c r="E111" s="105">
        <v>6540000</v>
      </c>
    </row>
    <row r="112" spans="1:5" ht="12" customHeight="1">
      <c r="A112" s="12" t="s">
        <v>82</v>
      </c>
      <c r="B112" s="62" t="s">
        <v>265</v>
      </c>
      <c r="C112" s="169"/>
      <c r="D112" s="169"/>
      <c r="E112" s="105"/>
    </row>
    <row r="113" spans="1:5" ht="12" customHeight="1">
      <c r="A113" s="12" t="s">
        <v>127</v>
      </c>
      <c r="B113" s="62" t="s">
        <v>266</v>
      </c>
      <c r="C113" s="169"/>
      <c r="D113" s="169"/>
      <c r="E113" s="105"/>
    </row>
    <row r="114" spans="1:5" ht="12" customHeight="1">
      <c r="A114" s="12" t="s">
        <v>260</v>
      </c>
      <c r="B114" s="63" t="s">
        <v>267</v>
      </c>
      <c r="C114" s="169"/>
      <c r="D114" s="169"/>
      <c r="E114" s="105"/>
    </row>
    <row r="115" spans="1:5" ht="12" customHeight="1">
      <c r="A115" s="11" t="s">
        <v>261</v>
      </c>
      <c r="B115" s="64" t="s">
        <v>268</v>
      </c>
      <c r="C115" s="169"/>
      <c r="D115" s="169"/>
      <c r="E115" s="105"/>
    </row>
    <row r="116" spans="1:5" ht="12" customHeight="1">
      <c r="A116" s="12" t="s">
        <v>343</v>
      </c>
      <c r="B116" s="64" t="s">
        <v>269</v>
      </c>
      <c r="C116" s="169"/>
      <c r="D116" s="169"/>
      <c r="E116" s="105"/>
    </row>
    <row r="117" spans="1:5" ht="12" customHeight="1">
      <c r="A117" s="14" t="s">
        <v>344</v>
      </c>
      <c r="B117" s="64" t="s">
        <v>270</v>
      </c>
      <c r="C117" s="169">
        <v>18710000</v>
      </c>
      <c r="D117" s="169">
        <v>14710000</v>
      </c>
      <c r="E117" s="105">
        <v>6967637</v>
      </c>
    </row>
    <row r="118" spans="1:5" ht="12" customHeight="1">
      <c r="A118" s="12" t="s">
        <v>348</v>
      </c>
      <c r="B118" s="9" t="s">
        <v>36</v>
      </c>
      <c r="C118" s="167"/>
      <c r="D118" s="167"/>
      <c r="E118" s="103"/>
    </row>
    <row r="119" spans="1:5" ht="12" customHeight="1">
      <c r="A119" s="12" t="s">
        <v>349</v>
      </c>
      <c r="B119" s="6" t="s">
        <v>351</v>
      </c>
      <c r="C119" s="167"/>
      <c r="D119" s="167"/>
      <c r="E119" s="103"/>
    </row>
    <row r="120" spans="1:5" ht="12" customHeight="1" thickBot="1">
      <c r="A120" s="16" t="s">
        <v>350</v>
      </c>
      <c r="B120" s="228" t="s">
        <v>352</v>
      </c>
      <c r="C120" s="240"/>
      <c r="D120" s="240"/>
      <c r="E120" s="234"/>
    </row>
    <row r="121" spans="1:5" ht="12" customHeight="1" thickBot="1">
      <c r="A121" s="226" t="s">
        <v>7</v>
      </c>
      <c r="B121" s="227" t="s">
        <v>271</v>
      </c>
      <c r="C121" s="241">
        <f>+C122+C124+C126</f>
        <v>6000000</v>
      </c>
      <c r="D121" s="166">
        <f>+D122+D124+D126</f>
        <v>450000</v>
      </c>
      <c r="E121" s="235">
        <f>+E122+E124+E126</f>
        <v>450000</v>
      </c>
    </row>
    <row r="122" spans="1:5" ht="12" customHeight="1">
      <c r="A122" s="13" t="s">
        <v>70</v>
      </c>
      <c r="B122" s="6" t="s">
        <v>145</v>
      </c>
      <c r="C122" s="168"/>
      <c r="D122" s="250"/>
      <c r="E122" s="104"/>
    </row>
    <row r="123" spans="1:5" ht="12" customHeight="1">
      <c r="A123" s="13" t="s">
        <v>71</v>
      </c>
      <c r="B123" s="10" t="s">
        <v>275</v>
      </c>
      <c r="C123" s="168"/>
      <c r="D123" s="250"/>
      <c r="E123" s="104"/>
    </row>
    <row r="124" spans="1:5" ht="12" customHeight="1">
      <c r="A124" s="13" t="s">
        <v>72</v>
      </c>
      <c r="B124" s="10" t="s">
        <v>128</v>
      </c>
      <c r="C124" s="167"/>
      <c r="D124" s="251"/>
      <c r="E124" s="103"/>
    </row>
    <row r="125" spans="1:5" ht="12" customHeight="1">
      <c r="A125" s="13" t="s">
        <v>73</v>
      </c>
      <c r="B125" s="10" t="s">
        <v>276</v>
      </c>
      <c r="C125" s="167"/>
      <c r="D125" s="251"/>
      <c r="E125" s="103"/>
    </row>
    <row r="126" spans="1:5" ht="12" customHeight="1">
      <c r="A126" s="13" t="s">
        <v>74</v>
      </c>
      <c r="B126" s="111" t="s">
        <v>147</v>
      </c>
      <c r="C126" s="167">
        <v>6000000</v>
      </c>
      <c r="D126" s="251">
        <v>450000</v>
      </c>
      <c r="E126" s="103">
        <v>450000</v>
      </c>
    </row>
    <row r="127" spans="1:5" ht="12" customHeight="1">
      <c r="A127" s="13" t="s">
        <v>81</v>
      </c>
      <c r="B127" s="110" t="s">
        <v>335</v>
      </c>
      <c r="C127" s="167"/>
      <c r="D127" s="251"/>
      <c r="E127" s="103"/>
    </row>
    <row r="128" spans="1:5" ht="12" customHeight="1">
      <c r="A128" s="13" t="s">
        <v>83</v>
      </c>
      <c r="B128" s="175" t="s">
        <v>281</v>
      </c>
      <c r="C128" s="167"/>
      <c r="D128" s="251"/>
      <c r="E128" s="103"/>
    </row>
    <row r="129" spans="1:5" ht="15.75">
      <c r="A129" s="13" t="s">
        <v>129</v>
      </c>
      <c r="B129" s="63" t="s">
        <v>264</v>
      </c>
      <c r="C129" s="167"/>
      <c r="D129" s="251"/>
      <c r="E129" s="103"/>
    </row>
    <row r="130" spans="1:5" ht="12" customHeight="1">
      <c r="A130" s="13" t="s">
        <v>130</v>
      </c>
      <c r="B130" s="63" t="s">
        <v>280</v>
      </c>
      <c r="C130" s="167"/>
      <c r="D130" s="251"/>
      <c r="E130" s="103"/>
    </row>
    <row r="131" spans="1:5" ht="12" customHeight="1">
      <c r="A131" s="13" t="s">
        <v>131</v>
      </c>
      <c r="B131" s="63" t="s">
        <v>279</v>
      </c>
      <c r="C131" s="167"/>
      <c r="D131" s="251"/>
      <c r="E131" s="103"/>
    </row>
    <row r="132" spans="1:5" ht="12" customHeight="1">
      <c r="A132" s="13" t="s">
        <v>272</v>
      </c>
      <c r="B132" s="63" t="s">
        <v>267</v>
      </c>
      <c r="C132" s="167">
        <v>6000000</v>
      </c>
      <c r="D132" s="251">
        <v>450000</v>
      </c>
      <c r="E132" s="103">
        <v>450000</v>
      </c>
    </row>
    <row r="133" spans="1:5" ht="12" customHeight="1">
      <c r="A133" s="13" t="s">
        <v>273</v>
      </c>
      <c r="B133" s="63" t="s">
        <v>278</v>
      </c>
      <c r="C133" s="167"/>
      <c r="D133" s="251"/>
      <c r="E133" s="103"/>
    </row>
    <row r="134" spans="1:5" ht="16.5" thickBot="1">
      <c r="A134" s="11" t="s">
        <v>274</v>
      </c>
      <c r="B134" s="63" t="s">
        <v>277</v>
      </c>
      <c r="C134" s="169"/>
      <c r="D134" s="252"/>
      <c r="E134" s="105"/>
    </row>
    <row r="135" spans="1:5" ht="12" customHeight="1" thickBot="1">
      <c r="A135" s="18" t="s">
        <v>8</v>
      </c>
      <c r="B135" s="56" t="s">
        <v>353</v>
      </c>
      <c r="C135" s="166">
        <f>+C100+C121</f>
        <v>24710000</v>
      </c>
      <c r="D135" s="249">
        <f>+D100+D121</f>
        <v>25160000</v>
      </c>
      <c r="E135" s="102">
        <f>+E100+E121</f>
        <v>13957637</v>
      </c>
    </row>
    <row r="136" spans="1:5" ht="12" customHeight="1" thickBot="1">
      <c r="A136" s="18" t="s">
        <v>9</v>
      </c>
      <c r="B136" s="56" t="s">
        <v>425</v>
      </c>
      <c r="C136" s="166">
        <f>+C137+C138+C139</f>
        <v>0</v>
      </c>
      <c r="D136" s="249">
        <f>+D137+D138+D139</f>
        <v>0</v>
      </c>
      <c r="E136" s="102">
        <f>+E137+E138+E139</f>
        <v>0</v>
      </c>
    </row>
    <row r="137" spans="1:5" ht="12" customHeight="1">
      <c r="A137" s="13" t="s">
        <v>179</v>
      </c>
      <c r="B137" s="10" t="s">
        <v>361</v>
      </c>
      <c r="C137" s="167"/>
      <c r="D137" s="251"/>
      <c r="E137" s="103"/>
    </row>
    <row r="138" spans="1:5" ht="12" customHeight="1">
      <c r="A138" s="13" t="s">
        <v>180</v>
      </c>
      <c r="B138" s="10" t="s">
        <v>362</v>
      </c>
      <c r="C138" s="167"/>
      <c r="D138" s="251"/>
      <c r="E138" s="103"/>
    </row>
    <row r="139" spans="1:5" ht="12" customHeight="1" thickBot="1">
      <c r="A139" s="11" t="s">
        <v>181</v>
      </c>
      <c r="B139" s="10" t="s">
        <v>363</v>
      </c>
      <c r="C139" s="167"/>
      <c r="D139" s="251"/>
      <c r="E139" s="103"/>
    </row>
    <row r="140" spans="1:5" ht="12" customHeight="1" thickBot="1">
      <c r="A140" s="18" t="s">
        <v>10</v>
      </c>
      <c r="B140" s="56" t="s">
        <v>355</v>
      </c>
      <c r="C140" s="166">
        <f>SUM(C141:C146)</f>
        <v>0</v>
      </c>
      <c r="D140" s="249">
        <f>SUM(D141:D146)</f>
        <v>0</v>
      </c>
      <c r="E140" s="102">
        <f>SUM(E141:E146)</f>
        <v>0</v>
      </c>
    </row>
    <row r="141" spans="1:5" ht="12" customHeight="1">
      <c r="A141" s="13" t="s">
        <v>57</v>
      </c>
      <c r="B141" s="7" t="s">
        <v>364</v>
      </c>
      <c r="C141" s="167"/>
      <c r="D141" s="251"/>
      <c r="E141" s="103"/>
    </row>
    <row r="142" spans="1:5" ht="12" customHeight="1">
      <c r="A142" s="13" t="s">
        <v>58</v>
      </c>
      <c r="B142" s="7" t="s">
        <v>356</v>
      </c>
      <c r="C142" s="167"/>
      <c r="D142" s="251"/>
      <c r="E142" s="103"/>
    </row>
    <row r="143" spans="1:5" ht="12" customHeight="1">
      <c r="A143" s="13" t="s">
        <v>59</v>
      </c>
      <c r="B143" s="7" t="s">
        <v>357</v>
      </c>
      <c r="C143" s="167"/>
      <c r="D143" s="251"/>
      <c r="E143" s="103"/>
    </row>
    <row r="144" spans="1:5" ht="12" customHeight="1">
      <c r="A144" s="13" t="s">
        <v>116</v>
      </c>
      <c r="B144" s="7" t="s">
        <v>358</v>
      </c>
      <c r="C144" s="167"/>
      <c r="D144" s="251"/>
      <c r="E144" s="103"/>
    </row>
    <row r="145" spans="1:5" ht="12" customHeight="1">
      <c r="A145" s="13" t="s">
        <v>117</v>
      </c>
      <c r="B145" s="7" t="s">
        <v>359</v>
      </c>
      <c r="C145" s="167"/>
      <c r="D145" s="251"/>
      <c r="E145" s="103"/>
    </row>
    <row r="146" spans="1:5" ht="12" customHeight="1" thickBot="1">
      <c r="A146" s="16" t="s">
        <v>118</v>
      </c>
      <c r="B146" s="375" t="s">
        <v>360</v>
      </c>
      <c r="C146" s="240"/>
      <c r="D146" s="316"/>
      <c r="E146" s="234"/>
    </row>
    <row r="147" spans="1:5" ht="12" customHeight="1" thickBot="1">
      <c r="A147" s="18" t="s">
        <v>11</v>
      </c>
      <c r="B147" s="56" t="s">
        <v>368</v>
      </c>
      <c r="C147" s="172">
        <f>+C148+C149+C150+C151</f>
        <v>0</v>
      </c>
      <c r="D147" s="253">
        <f>+D148+D149+D150+D151</f>
        <v>0</v>
      </c>
      <c r="E147" s="208">
        <f>+E148+E149+E150+E151</f>
        <v>0</v>
      </c>
    </row>
    <row r="148" spans="1:5" ht="12" customHeight="1">
      <c r="A148" s="13" t="s">
        <v>60</v>
      </c>
      <c r="B148" s="7" t="s">
        <v>282</v>
      </c>
      <c r="C148" s="167"/>
      <c r="D148" s="251"/>
      <c r="E148" s="103"/>
    </row>
    <row r="149" spans="1:5" ht="12" customHeight="1">
      <c r="A149" s="13" t="s">
        <v>61</v>
      </c>
      <c r="B149" s="7" t="s">
        <v>283</v>
      </c>
      <c r="C149" s="167"/>
      <c r="D149" s="251"/>
      <c r="E149" s="103"/>
    </row>
    <row r="150" spans="1:5" ht="12" customHeight="1">
      <c r="A150" s="13" t="s">
        <v>199</v>
      </c>
      <c r="B150" s="7" t="s">
        <v>369</v>
      </c>
      <c r="C150" s="167"/>
      <c r="D150" s="251"/>
      <c r="E150" s="103"/>
    </row>
    <row r="151" spans="1:5" ht="12" customHeight="1" thickBot="1">
      <c r="A151" s="11" t="s">
        <v>200</v>
      </c>
      <c r="B151" s="5" t="s">
        <v>299</v>
      </c>
      <c r="C151" s="167"/>
      <c r="D151" s="251"/>
      <c r="E151" s="103"/>
    </row>
    <row r="152" spans="1:5" ht="12" customHeight="1" thickBot="1">
      <c r="A152" s="18" t="s">
        <v>12</v>
      </c>
      <c r="B152" s="56" t="s">
        <v>370</v>
      </c>
      <c r="C152" s="242">
        <f>SUM(C153:C157)</f>
        <v>0</v>
      </c>
      <c r="D152" s="254">
        <f>SUM(D153:D157)</f>
        <v>0</v>
      </c>
      <c r="E152" s="236">
        <f>SUM(E153:E157)</f>
        <v>0</v>
      </c>
    </row>
    <row r="153" spans="1:5" ht="12" customHeight="1">
      <c r="A153" s="13" t="s">
        <v>62</v>
      </c>
      <c r="B153" s="7" t="s">
        <v>365</v>
      </c>
      <c r="C153" s="167"/>
      <c r="D153" s="251"/>
      <c r="E153" s="103"/>
    </row>
    <row r="154" spans="1:5" ht="12" customHeight="1">
      <c r="A154" s="13" t="s">
        <v>63</v>
      </c>
      <c r="B154" s="7" t="s">
        <v>372</v>
      </c>
      <c r="C154" s="167"/>
      <c r="D154" s="251"/>
      <c r="E154" s="103"/>
    </row>
    <row r="155" spans="1:5" ht="12" customHeight="1">
      <c r="A155" s="13" t="s">
        <v>211</v>
      </c>
      <c r="B155" s="7" t="s">
        <v>367</v>
      </c>
      <c r="C155" s="167"/>
      <c r="D155" s="251"/>
      <c r="E155" s="103"/>
    </row>
    <row r="156" spans="1:5" ht="12" customHeight="1">
      <c r="A156" s="13" t="s">
        <v>212</v>
      </c>
      <c r="B156" s="7" t="s">
        <v>373</v>
      </c>
      <c r="C156" s="167"/>
      <c r="D156" s="251"/>
      <c r="E156" s="103"/>
    </row>
    <row r="157" spans="1:5" ht="12" customHeight="1" thickBot="1">
      <c r="A157" s="13" t="s">
        <v>371</v>
      </c>
      <c r="B157" s="7" t="s">
        <v>374</v>
      </c>
      <c r="C157" s="167"/>
      <c r="D157" s="251"/>
      <c r="E157" s="103"/>
    </row>
    <row r="158" spans="1:5" ht="12" customHeight="1" thickBot="1">
      <c r="A158" s="18" t="s">
        <v>13</v>
      </c>
      <c r="B158" s="56" t="s">
        <v>375</v>
      </c>
      <c r="C158" s="243"/>
      <c r="D158" s="255"/>
      <c r="E158" s="237"/>
    </row>
    <row r="159" spans="1:5" ht="12" customHeight="1" thickBot="1">
      <c r="A159" s="18" t="s">
        <v>14</v>
      </c>
      <c r="B159" s="56" t="s">
        <v>376</v>
      </c>
      <c r="C159" s="243"/>
      <c r="D159" s="255"/>
      <c r="E159" s="237"/>
    </row>
    <row r="160" spans="1:9" ht="15" customHeight="1" thickBot="1">
      <c r="A160" s="18" t="s">
        <v>15</v>
      </c>
      <c r="B160" s="56" t="s">
        <v>378</v>
      </c>
      <c r="C160" s="244">
        <f>+C136+C140+C147+C152+C158+C159</f>
        <v>0</v>
      </c>
      <c r="D160" s="256">
        <f>+D136+D140+D147+D152+D158+D159</f>
        <v>0</v>
      </c>
      <c r="E160" s="238">
        <f>+E136+E140+E147+E152+E158+E159</f>
        <v>0</v>
      </c>
      <c r="F160" s="189"/>
      <c r="G160" s="190"/>
      <c r="H160" s="190"/>
      <c r="I160" s="190"/>
    </row>
    <row r="161" spans="1:5" s="178" customFormat="1" ht="12.75" customHeight="1" thickBot="1">
      <c r="A161" s="112" t="s">
        <v>16</v>
      </c>
      <c r="B161" s="153" t="s">
        <v>377</v>
      </c>
      <c r="C161" s="244">
        <f>+C135+C160</f>
        <v>24710000</v>
      </c>
      <c r="D161" s="256">
        <f>+D135+D160</f>
        <v>25160000</v>
      </c>
      <c r="E161" s="238">
        <f>+E135+E160</f>
        <v>13957637</v>
      </c>
    </row>
    <row r="162" spans="3:4" ht="15.75">
      <c r="C162" s="658">
        <f>C93-C161</f>
        <v>0</v>
      </c>
      <c r="D162" s="658">
        <f>D93-D161</f>
        <v>0</v>
      </c>
    </row>
    <row r="163" spans="1:5" ht="15.75">
      <c r="A163" s="769" t="s">
        <v>284</v>
      </c>
      <c r="B163" s="769"/>
      <c r="C163" s="769"/>
      <c r="D163" s="769"/>
      <c r="E163" s="769"/>
    </row>
    <row r="164" spans="1:5" ht="15" customHeight="1" thickBot="1">
      <c r="A164" s="761" t="s">
        <v>104</v>
      </c>
      <c r="B164" s="761"/>
      <c r="C164" s="114"/>
      <c r="E164" s="114" t="str">
        <f>E96</f>
        <v> Forintban!</v>
      </c>
    </row>
    <row r="165" spans="1:5" ht="25.5" customHeight="1" thickBot="1">
      <c r="A165" s="18">
        <v>1</v>
      </c>
      <c r="B165" s="23" t="s">
        <v>379</v>
      </c>
      <c r="C165" s="248">
        <f>+C68-C135</f>
        <v>0</v>
      </c>
      <c r="D165" s="166">
        <f>+D68-D135</f>
        <v>0</v>
      </c>
      <c r="E165" s="102">
        <f>+E68-E135</f>
        <v>0</v>
      </c>
    </row>
    <row r="166" spans="1:5" ht="32.25" customHeight="1" thickBot="1">
      <c r="A166" s="18" t="s">
        <v>7</v>
      </c>
      <c r="B166" s="23" t="s">
        <v>385</v>
      </c>
      <c r="C166" s="166">
        <f>+C92-C160</f>
        <v>0</v>
      </c>
      <c r="D166" s="166">
        <f>+D92-D160</f>
        <v>0</v>
      </c>
      <c r="E166" s="102">
        <f>+E92-E160</f>
        <v>0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30">
      <selection activeCell="E110" sqref="E110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76"/>
      <c r="B1" s="756" t="str">
        <f>CONCATENATE("1.4. melléklet ",Z_ALAPADATOK!A7," ",Z_ALAPADATOK!B7," ",Z_ALAPADATOK!C7," ",Z_ALAPADATOK!D7," ",Z_ALAPADATOK!E7," ",Z_ALAPADATOK!F7," ",Z_ALAPADATOK!G7," ",Z_ALAPADATOK!H7)</f>
        <v>1.4. melléklet a … / 2019. ( … ) önkormányzati rendelethez</v>
      </c>
      <c r="C1" s="757"/>
      <c r="D1" s="757"/>
      <c r="E1" s="757"/>
    </row>
    <row r="2" spans="1:5" ht="15.75">
      <c r="A2" s="758" t="str">
        <f>CONCATENATE(Z_ALAPADATOK!A3)</f>
        <v>Besenyszög Város Önkormányzata</v>
      </c>
      <c r="B2" s="759"/>
      <c r="C2" s="759"/>
      <c r="D2" s="759"/>
      <c r="E2" s="759"/>
    </row>
    <row r="3" spans="1:5" ht="15.75">
      <c r="A3" s="774" t="s">
        <v>853</v>
      </c>
      <c r="B3" s="774"/>
      <c r="C3" s="774"/>
      <c r="D3" s="774"/>
      <c r="E3" s="774"/>
    </row>
    <row r="4" spans="1:5" ht="17.25" customHeight="1">
      <c r="A4" s="774" t="s">
        <v>856</v>
      </c>
      <c r="B4" s="774"/>
      <c r="C4" s="774"/>
      <c r="D4" s="774"/>
      <c r="E4" s="774"/>
    </row>
    <row r="5" spans="1:5" ht="15.75">
      <c r="A5" s="376"/>
      <c r="B5" s="376"/>
      <c r="C5" s="377"/>
      <c r="D5" s="378"/>
      <c r="E5" s="378"/>
    </row>
    <row r="6" spans="1:5" ht="15.75" customHeight="1">
      <c r="A6" s="770" t="s">
        <v>3</v>
      </c>
      <c r="B6" s="770"/>
      <c r="C6" s="770"/>
      <c r="D6" s="770"/>
      <c r="E6" s="770"/>
    </row>
    <row r="7" spans="1:5" ht="15.75" customHeight="1" thickBot="1">
      <c r="A7" s="772" t="s">
        <v>102</v>
      </c>
      <c r="B7" s="772"/>
      <c r="C7" s="379"/>
      <c r="D7" s="378"/>
      <c r="E7" s="379" t="str">
        <f>CONCATENATE('Z_1.3.sz.mell.'!E7)</f>
        <v> Forintban!</v>
      </c>
    </row>
    <row r="8" spans="1:5" ht="15.75">
      <c r="A8" s="762" t="s">
        <v>52</v>
      </c>
      <c r="B8" s="764" t="s">
        <v>5</v>
      </c>
      <c r="C8" s="766" t="str">
        <f>+CONCATENATE(LEFT(Z_ÖSSZEFÜGGÉSEK!A6,4),". évi")</f>
        <v>2018. évi</v>
      </c>
      <c r="D8" s="767"/>
      <c r="E8" s="768"/>
    </row>
    <row r="9" spans="1:5" ht="24.75" thickBot="1">
      <c r="A9" s="763"/>
      <c r="B9" s="765"/>
      <c r="C9" s="246" t="s">
        <v>422</v>
      </c>
      <c r="D9" s="245" t="s">
        <v>423</v>
      </c>
      <c r="E9" s="365" t="str">
        <f>CONCATENATE('Z_1.3.sz.mell.'!E9)</f>
        <v>2018. XII. 31.
teljesítés</v>
      </c>
    </row>
    <row r="10" spans="1:5" s="177" customFormat="1" ht="12" customHeight="1" thickBot="1">
      <c r="A10" s="173" t="s">
        <v>389</v>
      </c>
      <c r="B10" s="174" t="s">
        <v>390</v>
      </c>
      <c r="C10" s="174" t="s">
        <v>391</v>
      </c>
      <c r="D10" s="174" t="s">
        <v>393</v>
      </c>
      <c r="E10" s="247" t="s">
        <v>392</v>
      </c>
    </row>
    <row r="11" spans="1:5" s="178" customFormat="1" ht="12" customHeight="1" thickBot="1">
      <c r="A11" s="18" t="s">
        <v>6</v>
      </c>
      <c r="B11" s="19" t="s">
        <v>164</v>
      </c>
      <c r="C11" s="166">
        <f>+C12+C13+C14+C15+C16+C17</f>
        <v>43339100</v>
      </c>
      <c r="D11" s="166">
        <f>+D12+D13+D14+D15+D16+D17</f>
        <v>43807450</v>
      </c>
      <c r="E11" s="102">
        <f>+E12+E13+E14+E15+E16+E17</f>
        <v>44904890</v>
      </c>
    </row>
    <row r="12" spans="1:5" s="178" customFormat="1" ht="12" customHeight="1">
      <c r="A12" s="13" t="s">
        <v>64</v>
      </c>
      <c r="B12" s="179" t="s">
        <v>165</v>
      </c>
      <c r="C12" s="168">
        <v>43339100</v>
      </c>
      <c r="D12" s="168">
        <v>43807450</v>
      </c>
      <c r="E12" s="104">
        <v>44904890</v>
      </c>
    </row>
    <row r="13" spans="1:5" s="178" customFormat="1" ht="12" customHeight="1">
      <c r="A13" s="12" t="s">
        <v>65</v>
      </c>
      <c r="B13" s="180" t="s">
        <v>166</v>
      </c>
      <c r="C13" s="167"/>
      <c r="D13" s="167"/>
      <c r="E13" s="103"/>
    </row>
    <row r="14" spans="1:5" s="178" customFormat="1" ht="12" customHeight="1">
      <c r="A14" s="12" t="s">
        <v>66</v>
      </c>
      <c r="B14" s="180" t="s">
        <v>167</v>
      </c>
      <c r="C14" s="167"/>
      <c r="D14" s="167"/>
      <c r="E14" s="103"/>
    </row>
    <row r="15" spans="1:5" s="178" customFormat="1" ht="12" customHeight="1">
      <c r="A15" s="12" t="s">
        <v>67</v>
      </c>
      <c r="B15" s="180" t="s">
        <v>168</v>
      </c>
      <c r="C15" s="167"/>
      <c r="D15" s="167"/>
      <c r="E15" s="103"/>
    </row>
    <row r="16" spans="1:5" s="178" customFormat="1" ht="12" customHeight="1">
      <c r="A16" s="12" t="s">
        <v>99</v>
      </c>
      <c r="B16" s="110" t="s">
        <v>337</v>
      </c>
      <c r="C16" s="167"/>
      <c r="D16" s="167"/>
      <c r="E16" s="103"/>
    </row>
    <row r="17" spans="1:5" s="178" customFormat="1" ht="12" customHeight="1" thickBot="1">
      <c r="A17" s="14" t="s">
        <v>68</v>
      </c>
      <c r="B17" s="111" t="s">
        <v>338</v>
      </c>
      <c r="C17" s="167"/>
      <c r="D17" s="167"/>
      <c r="E17" s="103"/>
    </row>
    <row r="18" spans="1:5" s="178" customFormat="1" ht="12" customHeight="1" thickBot="1">
      <c r="A18" s="18" t="s">
        <v>7</v>
      </c>
      <c r="B18" s="109" t="s">
        <v>169</v>
      </c>
      <c r="C18" s="166">
        <f>+C19+C20+C21+C22+C23</f>
        <v>6683977</v>
      </c>
      <c r="D18" s="166">
        <f>+D19+D20+D21+D22+D23</f>
        <v>6972857</v>
      </c>
      <c r="E18" s="102">
        <f>+E19+E20+E21+E22+E23</f>
        <v>4688037</v>
      </c>
    </row>
    <row r="19" spans="1:5" s="178" customFormat="1" ht="12" customHeight="1">
      <c r="A19" s="13" t="s">
        <v>70</v>
      </c>
      <c r="B19" s="179" t="s">
        <v>170</v>
      </c>
      <c r="C19" s="168"/>
      <c r="D19" s="168"/>
      <c r="E19" s="104"/>
    </row>
    <row r="20" spans="1:5" s="178" customFormat="1" ht="12" customHeight="1">
      <c r="A20" s="12" t="s">
        <v>71</v>
      </c>
      <c r="B20" s="180" t="s">
        <v>171</v>
      </c>
      <c r="C20" s="167"/>
      <c r="D20" s="167"/>
      <c r="E20" s="103"/>
    </row>
    <row r="21" spans="1:5" s="178" customFormat="1" ht="12" customHeight="1">
      <c r="A21" s="12" t="s">
        <v>72</v>
      </c>
      <c r="B21" s="180" t="s">
        <v>329</v>
      </c>
      <c r="C21" s="167"/>
      <c r="D21" s="167"/>
      <c r="E21" s="103"/>
    </row>
    <row r="22" spans="1:5" s="178" customFormat="1" ht="12" customHeight="1">
      <c r="A22" s="12" t="s">
        <v>73</v>
      </c>
      <c r="B22" s="180" t="s">
        <v>330</v>
      </c>
      <c r="C22" s="167"/>
      <c r="D22" s="167"/>
      <c r="E22" s="103"/>
    </row>
    <row r="23" spans="1:5" s="178" customFormat="1" ht="12" customHeight="1">
      <c r="A23" s="12" t="s">
        <v>74</v>
      </c>
      <c r="B23" s="180" t="s">
        <v>172</v>
      </c>
      <c r="C23" s="167">
        <v>6683977</v>
      </c>
      <c r="D23" s="167">
        <v>6972857</v>
      </c>
      <c r="E23" s="103">
        <v>4688037</v>
      </c>
    </row>
    <row r="24" spans="1:5" s="178" customFormat="1" ht="12" customHeight="1" thickBot="1">
      <c r="A24" s="14" t="s">
        <v>81</v>
      </c>
      <c r="B24" s="111" t="s">
        <v>173</v>
      </c>
      <c r="C24" s="169"/>
      <c r="D24" s="169"/>
      <c r="E24" s="105"/>
    </row>
    <row r="25" spans="1:5" s="178" customFormat="1" ht="12" customHeight="1" thickBot="1">
      <c r="A25" s="18" t="s">
        <v>8</v>
      </c>
      <c r="B25" s="19" t="s">
        <v>174</v>
      </c>
      <c r="C25" s="166">
        <f>+C26+C27+C28+C29+C30</f>
        <v>0</v>
      </c>
      <c r="D25" s="166">
        <f>+D26+D27+D28+D29+D30</f>
        <v>0</v>
      </c>
      <c r="E25" s="102">
        <f>+E26+E27+E28+E29+E30</f>
        <v>0</v>
      </c>
    </row>
    <row r="26" spans="1:5" s="178" customFormat="1" ht="12" customHeight="1">
      <c r="A26" s="13" t="s">
        <v>53</v>
      </c>
      <c r="B26" s="179" t="s">
        <v>175</v>
      </c>
      <c r="C26" s="168"/>
      <c r="D26" s="168"/>
      <c r="E26" s="104"/>
    </row>
    <row r="27" spans="1:5" s="178" customFormat="1" ht="12" customHeight="1">
      <c r="A27" s="12" t="s">
        <v>54</v>
      </c>
      <c r="B27" s="180" t="s">
        <v>176</v>
      </c>
      <c r="C27" s="167"/>
      <c r="D27" s="167"/>
      <c r="E27" s="103"/>
    </row>
    <row r="28" spans="1:5" s="178" customFormat="1" ht="12" customHeight="1">
      <c r="A28" s="12" t="s">
        <v>55</v>
      </c>
      <c r="B28" s="180" t="s">
        <v>331</v>
      </c>
      <c r="C28" s="167"/>
      <c r="D28" s="167"/>
      <c r="E28" s="103"/>
    </row>
    <row r="29" spans="1:5" s="178" customFormat="1" ht="12" customHeight="1">
      <c r="A29" s="12" t="s">
        <v>56</v>
      </c>
      <c r="B29" s="180" t="s">
        <v>332</v>
      </c>
      <c r="C29" s="167"/>
      <c r="D29" s="167"/>
      <c r="E29" s="103"/>
    </row>
    <row r="30" spans="1:5" s="178" customFormat="1" ht="12" customHeight="1">
      <c r="A30" s="12" t="s">
        <v>112</v>
      </c>
      <c r="B30" s="180" t="s">
        <v>177</v>
      </c>
      <c r="C30" s="167"/>
      <c r="D30" s="167"/>
      <c r="E30" s="103"/>
    </row>
    <row r="31" spans="1:5" s="178" customFormat="1" ht="12" customHeight="1" thickBot="1">
      <c r="A31" s="14" t="s">
        <v>113</v>
      </c>
      <c r="B31" s="181" t="s">
        <v>178</v>
      </c>
      <c r="C31" s="169"/>
      <c r="D31" s="169"/>
      <c r="E31" s="105"/>
    </row>
    <row r="32" spans="1:5" s="178" customFormat="1" ht="12" customHeight="1" thickBot="1">
      <c r="A32" s="18" t="s">
        <v>114</v>
      </c>
      <c r="B32" s="19" t="s">
        <v>488</v>
      </c>
      <c r="C32" s="172">
        <f>SUM(C33:C39)</f>
        <v>0</v>
      </c>
      <c r="D32" s="172">
        <f>SUM(D33:D39)</f>
        <v>0</v>
      </c>
      <c r="E32" s="208">
        <f>SUM(E33:E39)</f>
        <v>0</v>
      </c>
    </row>
    <row r="33" spans="1:5" s="178" customFormat="1" ht="12" customHeight="1">
      <c r="A33" s="13" t="s">
        <v>179</v>
      </c>
      <c r="B33" s="179" t="s">
        <v>489</v>
      </c>
      <c r="C33" s="168">
        <f>+C34+C35+C36</f>
        <v>0</v>
      </c>
      <c r="D33" s="168">
        <f>+D34+D35+D36</f>
        <v>0</v>
      </c>
      <c r="E33" s="104">
        <f>+E34+E35+E36</f>
        <v>0</v>
      </c>
    </row>
    <row r="34" spans="1:5" s="178" customFormat="1" ht="12" customHeight="1">
      <c r="A34" s="12" t="s">
        <v>180</v>
      </c>
      <c r="B34" s="180" t="s">
        <v>490</v>
      </c>
      <c r="C34" s="167"/>
      <c r="D34" s="167"/>
      <c r="E34" s="103"/>
    </row>
    <row r="35" spans="1:5" s="178" customFormat="1" ht="12" customHeight="1">
      <c r="A35" s="12" t="s">
        <v>181</v>
      </c>
      <c r="B35" s="180" t="s">
        <v>491</v>
      </c>
      <c r="C35" s="167"/>
      <c r="D35" s="167"/>
      <c r="E35" s="103"/>
    </row>
    <row r="36" spans="1:5" s="178" customFormat="1" ht="12" customHeight="1">
      <c r="A36" s="12" t="s">
        <v>182</v>
      </c>
      <c r="B36" s="180" t="s">
        <v>492</v>
      </c>
      <c r="C36" s="167"/>
      <c r="D36" s="167"/>
      <c r="E36" s="103"/>
    </row>
    <row r="37" spans="1:5" s="178" customFormat="1" ht="12" customHeight="1">
      <c r="A37" s="12" t="s">
        <v>493</v>
      </c>
      <c r="B37" s="180" t="s">
        <v>183</v>
      </c>
      <c r="C37" s="167"/>
      <c r="D37" s="167"/>
      <c r="E37" s="103"/>
    </row>
    <row r="38" spans="1:5" s="178" customFormat="1" ht="12" customHeight="1">
      <c r="A38" s="12" t="s">
        <v>494</v>
      </c>
      <c r="B38" s="180" t="s">
        <v>184</v>
      </c>
      <c r="C38" s="167"/>
      <c r="D38" s="167"/>
      <c r="E38" s="103"/>
    </row>
    <row r="39" spans="1:5" s="178" customFormat="1" ht="12" customHeight="1" thickBot="1">
      <c r="A39" s="14" t="s">
        <v>495</v>
      </c>
      <c r="B39" s="325" t="s">
        <v>185</v>
      </c>
      <c r="C39" s="169"/>
      <c r="D39" s="169"/>
      <c r="E39" s="105"/>
    </row>
    <row r="40" spans="1:5" s="178" customFormat="1" ht="12" customHeight="1" thickBot="1">
      <c r="A40" s="18" t="s">
        <v>10</v>
      </c>
      <c r="B40" s="19" t="s">
        <v>339</v>
      </c>
      <c r="C40" s="166">
        <f>SUM(C41:C51)</f>
        <v>0</v>
      </c>
      <c r="D40" s="166">
        <f>SUM(D41:D51)</f>
        <v>0</v>
      </c>
      <c r="E40" s="102">
        <f>SUM(E41:E51)</f>
        <v>75357</v>
      </c>
    </row>
    <row r="41" spans="1:5" s="178" customFormat="1" ht="12" customHeight="1">
      <c r="A41" s="13" t="s">
        <v>57</v>
      </c>
      <c r="B41" s="179" t="s">
        <v>188</v>
      </c>
      <c r="C41" s="168"/>
      <c r="D41" s="168"/>
      <c r="E41" s="104"/>
    </row>
    <row r="42" spans="1:5" s="178" customFormat="1" ht="12" customHeight="1">
      <c r="A42" s="12" t="s">
        <v>58</v>
      </c>
      <c r="B42" s="180" t="s">
        <v>189</v>
      </c>
      <c r="C42" s="167"/>
      <c r="D42" s="167"/>
      <c r="E42" s="103">
        <v>63185</v>
      </c>
    </row>
    <row r="43" spans="1:5" s="178" customFormat="1" ht="12" customHeight="1">
      <c r="A43" s="12" t="s">
        <v>59</v>
      </c>
      <c r="B43" s="180" t="s">
        <v>190</v>
      </c>
      <c r="C43" s="167"/>
      <c r="D43" s="167"/>
      <c r="E43" s="103">
        <v>1500</v>
      </c>
    </row>
    <row r="44" spans="1:5" s="178" customFormat="1" ht="12" customHeight="1">
      <c r="A44" s="12" t="s">
        <v>116</v>
      </c>
      <c r="B44" s="180" t="s">
        <v>191</v>
      </c>
      <c r="C44" s="167"/>
      <c r="D44" s="167"/>
      <c r="E44" s="103"/>
    </row>
    <row r="45" spans="1:5" s="178" customFormat="1" ht="12" customHeight="1">
      <c r="A45" s="12" t="s">
        <v>117</v>
      </c>
      <c r="B45" s="180" t="s">
        <v>192</v>
      </c>
      <c r="C45" s="167"/>
      <c r="D45" s="167"/>
      <c r="E45" s="103"/>
    </row>
    <row r="46" spans="1:5" s="178" customFormat="1" ht="12" customHeight="1">
      <c r="A46" s="12" t="s">
        <v>118</v>
      </c>
      <c r="B46" s="180" t="s">
        <v>193</v>
      </c>
      <c r="C46" s="167"/>
      <c r="D46" s="167"/>
      <c r="E46" s="103">
        <v>1130</v>
      </c>
    </row>
    <row r="47" spans="1:5" s="178" customFormat="1" ht="12" customHeight="1">
      <c r="A47" s="12" t="s">
        <v>119</v>
      </c>
      <c r="B47" s="180" t="s">
        <v>194</v>
      </c>
      <c r="C47" s="167"/>
      <c r="D47" s="167"/>
      <c r="E47" s="103"/>
    </row>
    <row r="48" spans="1:5" s="178" customFormat="1" ht="12" customHeight="1">
      <c r="A48" s="12" t="s">
        <v>120</v>
      </c>
      <c r="B48" s="180" t="s">
        <v>496</v>
      </c>
      <c r="C48" s="167"/>
      <c r="D48" s="167"/>
      <c r="E48" s="103">
        <v>37</v>
      </c>
    </row>
    <row r="49" spans="1:5" s="178" customFormat="1" ht="12" customHeight="1">
      <c r="A49" s="12" t="s">
        <v>186</v>
      </c>
      <c r="B49" s="180" t="s">
        <v>196</v>
      </c>
      <c r="C49" s="170"/>
      <c r="D49" s="170"/>
      <c r="E49" s="106"/>
    </row>
    <row r="50" spans="1:5" s="178" customFormat="1" ht="12" customHeight="1">
      <c r="A50" s="14" t="s">
        <v>187</v>
      </c>
      <c r="B50" s="181" t="s">
        <v>341</v>
      </c>
      <c r="C50" s="171"/>
      <c r="D50" s="171"/>
      <c r="E50" s="107"/>
    </row>
    <row r="51" spans="1:5" s="178" customFormat="1" ht="12" customHeight="1" thickBot="1">
      <c r="A51" s="14" t="s">
        <v>340</v>
      </c>
      <c r="B51" s="111" t="s">
        <v>197</v>
      </c>
      <c r="C51" s="171"/>
      <c r="D51" s="171"/>
      <c r="E51" s="107">
        <v>9505</v>
      </c>
    </row>
    <row r="52" spans="1:5" s="178" customFormat="1" ht="12" customHeight="1" thickBot="1">
      <c r="A52" s="18" t="s">
        <v>11</v>
      </c>
      <c r="B52" s="19" t="s">
        <v>198</v>
      </c>
      <c r="C52" s="166">
        <f>SUM(C53:C57)</f>
        <v>0</v>
      </c>
      <c r="D52" s="166">
        <f>SUM(D53:D57)</f>
        <v>0</v>
      </c>
      <c r="E52" s="102">
        <f>SUM(E53:E57)</f>
        <v>0</v>
      </c>
    </row>
    <row r="53" spans="1:5" s="178" customFormat="1" ht="12" customHeight="1">
      <c r="A53" s="13" t="s">
        <v>60</v>
      </c>
      <c r="B53" s="179" t="s">
        <v>202</v>
      </c>
      <c r="C53" s="219"/>
      <c r="D53" s="219"/>
      <c r="E53" s="108"/>
    </row>
    <row r="54" spans="1:5" s="178" customFormat="1" ht="12" customHeight="1">
      <c r="A54" s="12" t="s">
        <v>61</v>
      </c>
      <c r="B54" s="180" t="s">
        <v>203</v>
      </c>
      <c r="C54" s="170"/>
      <c r="D54" s="170"/>
      <c r="E54" s="106"/>
    </row>
    <row r="55" spans="1:5" s="178" customFormat="1" ht="12" customHeight="1">
      <c r="A55" s="12" t="s">
        <v>199</v>
      </c>
      <c r="B55" s="180" t="s">
        <v>204</v>
      </c>
      <c r="C55" s="170"/>
      <c r="D55" s="170"/>
      <c r="E55" s="106"/>
    </row>
    <row r="56" spans="1:5" s="178" customFormat="1" ht="12" customHeight="1">
      <c r="A56" s="12" t="s">
        <v>200</v>
      </c>
      <c r="B56" s="180" t="s">
        <v>205</v>
      </c>
      <c r="C56" s="170"/>
      <c r="D56" s="170"/>
      <c r="E56" s="106"/>
    </row>
    <row r="57" spans="1:5" s="178" customFormat="1" ht="12" customHeight="1" thickBot="1">
      <c r="A57" s="14" t="s">
        <v>201</v>
      </c>
      <c r="B57" s="111" t="s">
        <v>206</v>
      </c>
      <c r="C57" s="171"/>
      <c r="D57" s="171"/>
      <c r="E57" s="107"/>
    </row>
    <row r="58" spans="1:5" s="178" customFormat="1" ht="12" customHeight="1" thickBot="1">
      <c r="A58" s="18" t="s">
        <v>121</v>
      </c>
      <c r="B58" s="19" t="s">
        <v>207</v>
      </c>
      <c r="C58" s="166">
        <f>SUM(C59:C61)</f>
        <v>0</v>
      </c>
      <c r="D58" s="166">
        <f>SUM(D59:D61)</f>
        <v>0</v>
      </c>
      <c r="E58" s="102">
        <f>SUM(E59:E61)</f>
        <v>0</v>
      </c>
    </row>
    <row r="59" spans="1:5" s="178" customFormat="1" ht="12" customHeight="1">
      <c r="A59" s="13" t="s">
        <v>62</v>
      </c>
      <c r="B59" s="179" t="s">
        <v>208</v>
      </c>
      <c r="C59" s="168"/>
      <c r="D59" s="168"/>
      <c r="E59" s="104"/>
    </row>
    <row r="60" spans="1:5" s="178" customFormat="1" ht="12" customHeight="1">
      <c r="A60" s="12" t="s">
        <v>63</v>
      </c>
      <c r="B60" s="180" t="s">
        <v>333</v>
      </c>
      <c r="C60" s="167"/>
      <c r="D60" s="167"/>
      <c r="E60" s="103"/>
    </row>
    <row r="61" spans="1:5" s="178" customFormat="1" ht="12" customHeight="1">
      <c r="A61" s="12" t="s">
        <v>211</v>
      </c>
      <c r="B61" s="180" t="s">
        <v>209</v>
      </c>
      <c r="C61" s="167"/>
      <c r="D61" s="167"/>
      <c r="E61" s="103"/>
    </row>
    <row r="62" spans="1:5" s="178" customFormat="1" ht="12" customHeight="1" thickBot="1">
      <c r="A62" s="14" t="s">
        <v>212</v>
      </c>
      <c r="B62" s="111" t="s">
        <v>210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213</v>
      </c>
      <c r="C63" s="166">
        <f>SUM(C64:C66)</f>
        <v>0</v>
      </c>
      <c r="D63" s="166">
        <f>SUM(D64:D66)</f>
        <v>0</v>
      </c>
      <c r="E63" s="102">
        <f>SUM(E64:E66)</f>
        <v>0</v>
      </c>
    </row>
    <row r="64" spans="1:5" s="178" customFormat="1" ht="12" customHeight="1">
      <c r="A64" s="13" t="s">
        <v>122</v>
      </c>
      <c r="B64" s="179" t="s">
        <v>215</v>
      </c>
      <c r="C64" s="170"/>
      <c r="D64" s="170"/>
      <c r="E64" s="106"/>
    </row>
    <row r="65" spans="1:5" s="178" customFormat="1" ht="12" customHeight="1">
      <c r="A65" s="12" t="s">
        <v>123</v>
      </c>
      <c r="B65" s="180" t="s">
        <v>334</v>
      </c>
      <c r="C65" s="170"/>
      <c r="D65" s="170"/>
      <c r="E65" s="106"/>
    </row>
    <row r="66" spans="1:5" s="178" customFormat="1" ht="12" customHeight="1">
      <c r="A66" s="12" t="s">
        <v>146</v>
      </c>
      <c r="B66" s="180" t="s">
        <v>216</v>
      </c>
      <c r="C66" s="170"/>
      <c r="D66" s="170"/>
      <c r="E66" s="106"/>
    </row>
    <row r="67" spans="1:5" s="178" customFormat="1" ht="12" customHeight="1" thickBot="1">
      <c r="A67" s="14" t="s">
        <v>214</v>
      </c>
      <c r="B67" s="111" t="s">
        <v>217</v>
      </c>
      <c r="C67" s="170"/>
      <c r="D67" s="170"/>
      <c r="E67" s="106"/>
    </row>
    <row r="68" spans="1:5" s="178" customFormat="1" ht="12" customHeight="1" thickBot="1">
      <c r="A68" s="229" t="s">
        <v>381</v>
      </c>
      <c r="B68" s="19" t="s">
        <v>218</v>
      </c>
      <c r="C68" s="172">
        <f>+C11+C18+C25+C32+C40+C52+C58+C63</f>
        <v>50023077</v>
      </c>
      <c r="D68" s="172">
        <f>+D11+D18+D25+D32+D40+D52+D58+D63</f>
        <v>50780307</v>
      </c>
      <c r="E68" s="208">
        <f>+E11+E18+E25+E32+E40+E52+E58+E63</f>
        <v>49668284</v>
      </c>
    </row>
    <row r="69" spans="1:5" s="178" customFormat="1" ht="12" customHeight="1" thickBot="1">
      <c r="A69" s="220" t="s">
        <v>219</v>
      </c>
      <c r="B69" s="109" t="s">
        <v>220</v>
      </c>
      <c r="C69" s="166">
        <f>SUM(C70:C72)</f>
        <v>0</v>
      </c>
      <c r="D69" s="166">
        <f>SUM(D70:D72)</f>
        <v>0</v>
      </c>
      <c r="E69" s="102">
        <f>SUM(E70:E72)</f>
        <v>0</v>
      </c>
    </row>
    <row r="70" spans="1:5" s="178" customFormat="1" ht="12" customHeight="1">
      <c r="A70" s="13" t="s">
        <v>248</v>
      </c>
      <c r="B70" s="179" t="s">
        <v>221</v>
      </c>
      <c r="C70" s="170"/>
      <c r="D70" s="170"/>
      <c r="E70" s="106"/>
    </row>
    <row r="71" spans="1:5" s="178" customFormat="1" ht="12" customHeight="1">
      <c r="A71" s="12" t="s">
        <v>257</v>
      </c>
      <c r="B71" s="180" t="s">
        <v>222</v>
      </c>
      <c r="C71" s="170"/>
      <c r="D71" s="170"/>
      <c r="E71" s="106"/>
    </row>
    <row r="72" spans="1:5" s="178" customFormat="1" ht="12" customHeight="1" thickBot="1">
      <c r="A72" s="14" t="s">
        <v>258</v>
      </c>
      <c r="B72" s="225" t="s">
        <v>366</v>
      </c>
      <c r="C72" s="170"/>
      <c r="D72" s="170"/>
      <c r="E72" s="106"/>
    </row>
    <row r="73" spans="1:5" s="178" customFormat="1" ht="12" customHeight="1" thickBot="1">
      <c r="A73" s="220" t="s">
        <v>224</v>
      </c>
      <c r="B73" s="109" t="s">
        <v>225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100</v>
      </c>
      <c r="B74" s="363" t="s">
        <v>226</v>
      </c>
      <c r="C74" s="170"/>
      <c r="D74" s="170"/>
      <c r="E74" s="106"/>
    </row>
    <row r="75" spans="1:5" s="178" customFormat="1" ht="12" customHeight="1">
      <c r="A75" s="12" t="s">
        <v>101</v>
      </c>
      <c r="B75" s="363" t="s">
        <v>503</v>
      </c>
      <c r="C75" s="170"/>
      <c r="D75" s="170"/>
      <c r="E75" s="106"/>
    </row>
    <row r="76" spans="1:5" s="178" customFormat="1" ht="12" customHeight="1">
      <c r="A76" s="12" t="s">
        <v>249</v>
      </c>
      <c r="B76" s="363" t="s">
        <v>227</v>
      </c>
      <c r="C76" s="170"/>
      <c r="D76" s="170"/>
      <c r="E76" s="106"/>
    </row>
    <row r="77" spans="1:5" s="178" customFormat="1" ht="12" customHeight="1" thickBot="1">
      <c r="A77" s="14" t="s">
        <v>250</v>
      </c>
      <c r="B77" s="364" t="s">
        <v>504</v>
      </c>
      <c r="C77" s="170"/>
      <c r="D77" s="170"/>
      <c r="E77" s="106"/>
    </row>
    <row r="78" spans="1:5" s="178" customFormat="1" ht="12" customHeight="1" thickBot="1">
      <c r="A78" s="220" t="s">
        <v>228</v>
      </c>
      <c r="B78" s="109" t="s">
        <v>229</v>
      </c>
      <c r="C78" s="166">
        <f>SUM(C79:C80)</f>
        <v>0</v>
      </c>
      <c r="D78" s="166">
        <f>SUM(D79:D80)</f>
        <v>2061725</v>
      </c>
      <c r="E78" s="102">
        <f>SUM(E79:E80)</f>
        <v>2061725</v>
      </c>
    </row>
    <row r="79" spans="1:5" s="178" customFormat="1" ht="12" customHeight="1">
      <c r="A79" s="13" t="s">
        <v>251</v>
      </c>
      <c r="B79" s="179" t="s">
        <v>230</v>
      </c>
      <c r="C79" s="170"/>
      <c r="D79" s="170">
        <v>2061725</v>
      </c>
      <c r="E79" s="106">
        <v>2061725</v>
      </c>
    </row>
    <row r="80" spans="1:5" s="178" customFormat="1" ht="12" customHeight="1" thickBot="1">
      <c r="A80" s="14" t="s">
        <v>252</v>
      </c>
      <c r="B80" s="111" t="s">
        <v>231</v>
      </c>
      <c r="C80" s="170"/>
      <c r="D80" s="170"/>
      <c r="E80" s="106"/>
    </row>
    <row r="81" spans="1:5" s="178" customFormat="1" ht="12" customHeight="1" thickBot="1">
      <c r="A81" s="220" t="s">
        <v>232</v>
      </c>
      <c r="B81" s="109" t="s">
        <v>233</v>
      </c>
      <c r="C81" s="166">
        <f>SUM(C82:C84)</f>
        <v>0</v>
      </c>
      <c r="D81" s="166">
        <f>SUM(D82:D84)</f>
        <v>0</v>
      </c>
      <c r="E81" s="102">
        <f>SUM(E82:E84)</f>
        <v>0</v>
      </c>
    </row>
    <row r="82" spans="1:5" s="178" customFormat="1" ht="12" customHeight="1">
      <c r="A82" s="13" t="s">
        <v>253</v>
      </c>
      <c r="B82" s="179" t="s">
        <v>234</v>
      </c>
      <c r="C82" s="170"/>
      <c r="D82" s="170"/>
      <c r="E82" s="106"/>
    </row>
    <row r="83" spans="1:5" s="178" customFormat="1" ht="12" customHeight="1">
      <c r="A83" s="12" t="s">
        <v>254</v>
      </c>
      <c r="B83" s="180" t="s">
        <v>235</v>
      </c>
      <c r="C83" s="170"/>
      <c r="D83" s="170"/>
      <c r="E83" s="106"/>
    </row>
    <row r="84" spans="1:5" s="178" customFormat="1" ht="12" customHeight="1" thickBot="1">
      <c r="A84" s="14" t="s">
        <v>255</v>
      </c>
      <c r="B84" s="111" t="s">
        <v>505</v>
      </c>
      <c r="C84" s="170"/>
      <c r="D84" s="170"/>
      <c r="E84" s="106"/>
    </row>
    <row r="85" spans="1:5" s="178" customFormat="1" ht="12" customHeight="1" thickBot="1">
      <c r="A85" s="220" t="s">
        <v>236</v>
      </c>
      <c r="B85" s="109" t="s">
        <v>256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3" t="s">
        <v>237</v>
      </c>
      <c r="B86" s="179" t="s">
        <v>238</v>
      </c>
      <c r="C86" s="170"/>
      <c r="D86" s="170"/>
      <c r="E86" s="106"/>
    </row>
    <row r="87" spans="1:5" s="178" customFormat="1" ht="12" customHeight="1">
      <c r="A87" s="184" t="s">
        <v>239</v>
      </c>
      <c r="B87" s="180" t="s">
        <v>240</v>
      </c>
      <c r="C87" s="170"/>
      <c r="D87" s="170"/>
      <c r="E87" s="106"/>
    </row>
    <row r="88" spans="1:5" s="178" customFormat="1" ht="12" customHeight="1">
      <c r="A88" s="184" t="s">
        <v>241</v>
      </c>
      <c r="B88" s="180" t="s">
        <v>242</v>
      </c>
      <c r="C88" s="170"/>
      <c r="D88" s="170"/>
      <c r="E88" s="106"/>
    </row>
    <row r="89" spans="1:5" s="178" customFormat="1" ht="12" customHeight="1" thickBot="1">
      <c r="A89" s="185" t="s">
        <v>243</v>
      </c>
      <c r="B89" s="111" t="s">
        <v>244</v>
      </c>
      <c r="C89" s="170"/>
      <c r="D89" s="170"/>
      <c r="E89" s="106"/>
    </row>
    <row r="90" spans="1:5" s="178" customFormat="1" ht="12" customHeight="1" thickBot="1">
      <c r="A90" s="220" t="s">
        <v>245</v>
      </c>
      <c r="B90" s="109" t="s">
        <v>380</v>
      </c>
      <c r="C90" s="222"/>
      <c r="D90" s="222"/>
      <c r="E90" s="223"/>
    </row>
    <row r="91" spans="1:5" s="178" customFormat="1" ht="13.5" customHeight="1" thickBot="1">
      <c r="A91" s="220" t="s">
        <v>247</v>
      </c>
      <c r="B91" s="109" t="s">
        <v>246</v>
      </c>
      <c r="C91" s="222"/>
      <c r="D91" s="222"/>
      <c r="E91" s="223"/>
    </row>
    <row r="92" spans="1:5" s="178" customFormat="1" ht="15.75" customHeight="1" thickBot="1">
      <c r="A92" s="220" t="s">
        <v>259</v>
      </c>
      <c r="B92" s="186" t="s">
        <v>383</v>
      </c>
      <c r="C92" s="172">
        <f>+C69+C73+C78+C81+C85+C91+C90</f>
        <v>0</v>
      </c>
      <c r="D92" s="172">
        <f>+D69+D73+D78+D81+D85+D91+D90</f>
        <v>2061725</v>
      </c>
      <c r="E92" s="208">
        <f>+E69+E73+E78+E81+E85+E91+E90</f>
        <v>2061725</v>
      </c>
    </row>
    <row r="93" spans="1:5" s="178" customFormat="1" ht="25.5" customHeight="1" thickBot="1">
      <c r="A93" s="221" t="s">
        <v>382</v>
      </c>
      <c r="B93" s="187" t="s">
        <v>384</v>
      </c>
      <c r="C93" s="172">
        <f>+C68+C92</f>
        <v>50023077</v>
      </c>
      <c r="D93" s="172">
        <f>+D68+D92</f>
        <v>52842032</v>
      </c>
      <c r="E93" s="208">
        <f>+E68+E92</f>
        <v>51730009</v>
      </c>
    </row>
    <row r="94" spans="1:3" s="178" customFormat="1" ht="15" customHeight="1">
      <c r="A94" s="3"/>
      <c r="B94" s="4"/>
      <c r="C94" s="113"/>
    </row>
    <row r="95" spans="1:5" ht="16.5" customHeight="1">
      <c r="A95" s="771" t="s">
        <v>34</v>
      </c>
      <c r="B95" s="771"/>
      <c r="C95" s="771"/>
      <c r="D95" s="771"/>
      <c r="E95" s="771"/>
    </row>
    <row r="96" spans="1:5" s="188" customFormat="1" ht="16.5" customHeight="1" thickBot="1">
      <c r="A96" s="773" t="s">
        <v>103</v>
      </c>
      <c r="B96" s="773"/>
      <c r="C96" s="60"/>
      <c r="E96" s="60" t="str">
        <f>E7</f>
        <v> Forintban!</v>
      </c>
    </row>
    <row r="97" spans="1:5" ht="15.75">
      <c r="A97" s="762" t="s">
        <v>52</v>
      </c>
      <c r="B97" s="764" t="s">
        <v>424</v>
      </c>
      <c r="C97" s="766" t="str">
        <f>+CONCATENATE(LEFT(Z_ÖSSZEFÜGGÉSEK!A6,4),". évi")</f>
        <v>2018. évi</v>
      </c>
      <c r="D97" s="767"/>
      <c r="E97" s="768"/>
    </row>
    <row r="98" spans="1:5" ht="24.75" thickBot="1">
      <c r="A98" s="763"/>
      <c r="B98" s="765"/>
      <c r="C98" s="246" t="s">
        <v>422</v>
      </c>
      <c r="D98" s="245" t="s">
        <v>423</v>
      </c>
      <c r="E98" s="365" t="str">
        <f>CONCATENATE(E9)</f>
        <v>2018. XII. 31.
teljesítés</v>
      </c>
    </row>
    <row r="99" spans="1:5" s="177" customFormat="1" ht="12" customHeight="1" thickBot="1">
      <c r="A99" s="25" t="s">
        <v>389</v>
      </c>
      <c r="B99" s="26" t="s">
        <v>390</v>
      </c>
      <c r="C99" s="26" t="s">
        <v>391</v>
      </c>
      <c r="D99" s="26" t="s">
        <v>393</v>
      </c>
      <c r="E99" s="257" t="s">
        <v>392</v>
      </c>
    </row>
    <row r="100" spans="1:5" ht="12" customHeight="1" thickBot="1">
      <c r="A100" s="20" t="s">
        <v>6</v>
      </c>
      <c r="B100" s="24" t="s">
        <v>342</v>
      </c>
      <c r="C100" s="165">
        <f>C101+C102+C103+C104+C105+C118</f>
        <v>50023077</v>
      </c>
      <c r="D100" s="165">
        <f>D101+D102+D103+D104+D105+D118</f>
        <v>52805907</v>
      </c>
      <c r="E100" s="232">
        <f>E101+E102+E103+E104+E105+E118</f>
        <v>50310503</v>
      </c>
    </row>
    <row r="101" spans="1:5" ht="12" customHeight="1">
      <c r="A101" s="15" t="s">
        <v>64</v>
      </c>
      <c r="B101" s="8" t="s">
        <v>35</v>
      </c>
      <c r="C101" s="239">
        <v>37112050</v>
      </c>
      <c r="D101" s="239">
        <v>39496293</v>
      </c>
      <c r="E101" s="233">
        <v>38564540</v>
      </c>
    </row>
    <row r="102" spans="1:5" ht="12" customHeight="1">
      <c r="A102" s="12" t="s">
        <v>65</v>
      </c>
      <c r="B102" s="6" t="s">
        <v>124</v>
      </c>
      <c r="C102" s="167">
        <v>7582527</v>
      </c>
      <c r="D102" s="167">
        <v>7973631</v>
      </c>
      <c r="E102" s="103">
        <v>7822042</v>
      </c>
    </row>
    <row r="103" spans="1:5" ht="12" customHeight="1">
      <c r="A103" s="12" t="s">
        <v>66</v>
      </c>
      <c r="B103" s="6" t="s">
        <v>92</v>
      </c>
      <c r="C103" s="169">
        <v>5328500</v>
      </c>
      <c r="D103" s="169">
        <v>5335983</v>
      </c>
      <c r="E103" s="105">
        <v>3923921</v>
      </c>
    </row>
    <row r="104" spans="1:5" ht="12" customHeight="1">
      <c r="A104" s="12" t="s">
        <v>67</v>
      </c>
      <c r="B104" s="9" t="s">
        <v>125</v>
      </c>
      <c r="C104" s="169"/>
      <c r="D104" s="169"/>
      <c r="E104" s="105"/>
    </row>
    <row r="105" spans="1:5" ht="12" customHeight="1">
      <c r="A105" s="12" t="s">
        <v>76</v>
      </c>
      <c r="B105" s="17" t="s">
        <v>126</v>
      </c>
      <c r="C105" s="169"/>
      <c r="D105" s="169"/>
      <c r="E105" s="105"/>
    </row>
    <row r="106" spans="1:5" ht="12" customHeight="1">
      <c r="A106" s="12" t="s">
        <v>68</v>
      </c>
      <c r="B106" s="6" t="s">
        <v>347</v>
      </c>
      <c r="C106" s="169"/>
      <c r="D106" s="169"/>
      <c r="E106" s="105"/>
    </row>
    <row r="107" spans="1:5" ht="12" customHeight="1">
      <c r="A107" s="12" t="s">
        <v>69</v>
      </c>
      <c r="B107" s="64" t="s">
        <v>346</v>
      </c>
      <c r="C107" s="169"/>
      <c r="D107" s="169"/>
      <c r="E107" s="105"/>
    </row>
    <row r="108" spans="1:5" ht="12" customHeight="1">
      <c r="A108" s="12" t="s">
        <v>77</v>
      </c>
      <c r="B108" s="64" t="s">
        <v>345</v>
      </c>
      <c r="C108" s="169"/>
      <c r="D108" s="169"/>
      <c r="E108" s="105"/>
    </row>
    <row r="109" spans="1:5" ht="12" customHeight="1">
      <c r="A109" s="12" t="s">
        <v>78</v>
      </c>
      <c r="B109" s="62" t="s">
        <v>262</v>
      </c>
      <c r="C109" s="169"/>
      <c r="D109" s="169"/>
      <c r="E109" s="105"/>
    </row>
    <row r="110" spans="1:5" ht="12" customHeight="1">
      <c r="A110" s="12" t="s">
        <v>79</v>
      </c>
      <c r="B110" s="63" t="s">
        <v>263</v>
      </c>
      <c r="C110" s="169"/>
      <c r="D110" s="169"/>
      <c r="E110" s="105"/>
    </row>
    <row r="111" spans="1:5" ht="12" customHeight="1">
      <c r="A111" s="12" t="s">
        <v>80</v>
      </c>
      <c r="B111" s="63" t="s">
        <v>264</v>
      </c>
      <c r="C111" s="169"/>
      <c r="D111" s="169"/>
      <c r="E111" s="105"/>
    </row>
    <row r="112" spans="1:5" ht="12" customHeight="1">
      <c r="A112" s="12" t="s">
        <v>82</v>
      </c>
      <c r="B112" s="62" t="s">
        <v>265</v>
      </c>
      <c r="C112" s="169"/>
      <c r="D112" s="169"/>
      <c r="E112" s="105"/>
    </row>
    <row r="113" spans="1:5" ht="12" customHeight="1">
      <c r="A113" s="12" t="s">
        <v>127</v>
      </c>
      <c r="B113" s="62" t="s">
        <v>266</v>
      </c>
      <c r="C113" s="169"/>
      <c r="D113" s="169"/>
      <c r="E113" s="105"/>
    </row>
    <row r="114" spans="1:5" ht="12" customHeight="1">
      <c r="A114" s="12" t="s">
        <v>260</v>
      </c>
      <c r="B114" s="63" t="s">
        <v>267</v>
      </c>
      <c r="C114" s="169"/>
      <c r="D114" s="169"/>
      <c r="E114" s="105"/>
    </row>
    <row r="115" spans="1:5" ht="12" customHeight="1">
      <c r="A115" s="11" t="s">
        <v>261</v>
      </c>
      <c r="B115" s="64" t="s">
        <v>268</v>
      </c>
      <c r="C115" s="169"/>
      <c r="D115" s="169"/>
      <c r="E115" s="105"/>
    </row>
    <row r="116" spans="1:5" ht="12" customHeight="1">
      <c r="A116" s="12" t="s">
        <v>343</v>
      </c>
      <c r="B116" s="64" t="s">
        <v>269</v>
      </c>
      <c r="C116" s="169"/>
      <c r="D116" s="169"/>
      <c r="E116" s="105"/>
    </row>
    <row r="117" spans="1:5" ht="12" customHeight="1">
      <c r="A117" s="14" t="s">
        <v>344</v>
      </c>
      <c r="B117" s="64" t="s">
        <v>270</v>
      </c>
      <c r="C117" s="169"/>
      <c r="D117" s="169"/>
      <c r="E117" s="105"/>
    </row>
    <row r="118" spans="1:5" ht="12" customHeight="1">
      <c r="A118" s="12" t="s">
        <v>348</v>
      </c>
      <c r="B118" s="9" t="s">
        <v>36</v>
      </c>
      <c r="C118" s="167"/>
      <c r="D118" s="167"/>
      <c r="E118" s="103"/>
    </row>
    <row r="119" spans="1:5" ht="12" customHeight="1">
      <c r="A119" s="12" t="s">
        <v>349</v>
      </c>
      <c r="B119" s="6" t="s">
        <v>351</v>
      </c>
      <c r="C119" s="167"/>
      <c r="D119" s="167"/>
      <c r="E119" s="103"/>
    </row>
    <row r="120" spans="1:5" ht="12" customHeight="1" thickBot="1">
      <c r="A120" s="16" t="s">
        <v>350</v>
      </c>
      <c r="B120" s="228" t="s">
        <v>352</v>
      </c>
      <c r="C120" s="240"/>
      <c r="D120" s="240"/>
      <c r="E120" s="234"/>
    </row>
    <row r="121" spans="1:5" ht="12" customHeight="1" thickBot="1">
      <c r="A121" s="226" t="s">
        <v>7</v>
      </c>
      <c r="B121" s="227" t="s">
        <v>271</v>
      </c>
      <c r="C121" s="241">
        <f>+C122+C124+C126</f>
        <v>0</v>
      </c>
      <c r="D121" s="166">
        <f>+D122+D124+D126</f>
        <v>36125</v>
      </c>
      <c r="E121" s="235">
        <f>+E122+E124+E126</f>
        <v>36125</v>
      </c>
    </row>
    <row r="122" spans="1:5" ht="12" customHeight="1">
      <c r="A122" s="13" t="s">
        <v>70</v>
      </c>
      <c r="B122" s="6" t="s">
        <v>145</v>
      </c>
      <c r="C122" s="168"/>
      <c r="D122" s="250">
        <v>36125</v>
      </c>
      <c r="E122" s="104">
        <v>36125</v>
      </c>
    </row>
    <row r="123" spans="1:5" ht="12" customHeight="1">
      <c r="A123" s="13" t="s">
        <v>71</v>
      </c>
      <c r="B123" s="10" t="s">
        <v>275</v>
      </c>
      <c r="C123" s="168"/>
      <c r="D123" s="250"/>
      <c r="E123" s="104"/>
    </row>
    <row r="124" spans="1:5" ht="12" customHeight="1">
      <c r="A124" s="13" t="s">
        <v>72</v>
      </c>
      <c r="B124" s="10" t="s">
        <v>128</v>
      </c>
      <c r="C124" s="167"/>
      <c r="D124" s="251"/>
      <c r="E124" s="103"/>
    </row>
    <row r="125" spans="1:5" ht="12" customHeight="1">
      <c r="A125" s="13" t="s">
        <v>73</v>
      </c>
      <c r="B125" s="10" t="s">
        <v>276</v>
      </c>
      <c r="C125" s="167"/>
      <c r="D125" s="251"/>
      <c r="E125" s="103"/>
    </row>
    <row r="126" spans="1:5" ht="12" customHeight="1">
      <c r="A126" s="13" t="s">
        <v>74</v>
      </c>
      <c r="B126" s="111" t="s">
        <v>147</v>
      </c>
      <c r="C126" s="167"/>
      <c r="D126" s="251"/>
      <c r="E126" s="103"/>
    </row>
    <row r="127" spans="1:5" ht="12" customHeight="1">
      <c r="A127" s="13" t="s">
        <v>81</v>
      </c>
      <c r="B127" s="110" t="s">
        <v>335</v>
      </c>
      <c r="C127" s="167"/>
      <c r="D127" s="251"/>
      <c r="E127" s="103"/>
    </row>
    <row r="128" spans="1:5" ht="12" customHeight="1">
      <c r="A128" s="13" t="s">
        <v>83</v>
      </c>
      <c r="B128" s="175" t="s">
        <v>281</v>
      </c>
      <c r="C128" s="167"/>
      <c r="D128" s="251"/>
      <c r="E128" s="103"/>
    </row>
    <row r="129" spans="1:5" ht="15.75">
      <c r="A129" s="13" t="s">
        <v>129</v>
      </c>
      <c r="B129" s="63" t="s">
        <v>264</v>
      </c>
      <c r="C129" s="167"/>
      <c r="D129" s="251"/>
      <c r="E129" s="103"/>
    </row>
    <row r="130" spans="1:5" ht="12" customHeight="1">
      <c r="A130" s="13" t="s">
        <v>130</v>
      </c>
      <c r="B130" s="63" t="s">
        <v>280</v>
      </c>
      <c r="C130" s="167"/>
      <c r="D130" s="251"/>
      <c r="E130" s="103"/>
    </row>
    <row r="131" spans="1:5" ht="12" customHeight="1">
      <c r="A131" s="13" t="s">
        <v>131</v>
      </c>
      <c r="B131" s="63" t="s">
        <v>279</v>
      </c>
      <c r="C131" s="167"/>
      <c r="D131" s="251"/>
      <c r="E131" s="103"/>
    </row>
    <row r="132" spans="1:5" ht="12" customHeight="1">
      <c r="A132" s="13" t="s">
        <v>272</v>
      </c>
      <c r="B132" s="63" t="s">
        <v>267</v>
      </c>
      <c r="C132" s="167"/>
      <c r="D132" s="251"/>
      <c r="E132" s="103"/>
    </row>
    <row r="133" spans="1:5" ht="12" customHeight="1">
      <c r="A133" s="13" t="s">
        <v>273</v>
      </c>
      <c r="B133" s="63" t="s">
        <v>278</v>
      </c>
      <c r="C133" s="167"/>
      <c r="D133" s="251"/>
      <c r="E133" s="103"/>
    </row>
    <row r="134" spans="1:5" ht="16.5" thickBot="1">
      <c r="A134" s="11" t="s">
        <v>274</v>
      </c>
      <c r="B134" s="63" t="s">
        <v>277</v>
      </c>
      <c r="C134" s="169"/>
      <c r="D134" s="252"/>
      <c r="E134" s="105"/>
    </row>
    <row r="135" spans="1:5" ht="12" customHeight="1" thickBot="1">
      <c r="A135" s="18" t="s">
        <v>8</v>
      </c>
      <c r="B135" s="56" t="s">
        <v>353</v>
      </c>
      <c r="C135" s="166">
        <f>+C100+C121</f>
        <v>50023077</v>
      </c>
      <c r="D135" s="249">
        <f>+D100+D121</f>
        <v>52842032</v>
      </c>
      <c r="E135" s="102">
        <f>+E100+E121</f>
        <v>50346628</v>
      </c>
    </row>
    <row r="136" spans="1:5" ht="12" customHeight="1" thickBot="1">
      <c r="A136" s="18" t="s">
        <v>9</v>
      </c>
      <c r="B136" s="56" t="s">
        <v>425</v>
      </c>
      <c r="C136" s="166">
        <f>+C137+C138+C139</f>
        <v>0</v>
      </c>
      <c r="D136" s="249">
        <f>+D137+D138+D139</f>
        <v>0</v>
      </c>
      <c r="E136" s="102">
        <f>+E137+E138+E139</f>
        <v>0</v>
      </c>
    </row>
    <row r="137" spans="1:5" ht="12" customHeight="1">
      <c r="A137" s="13" t="s">
        <v>179</v>
      </c>
      <c r="B137" s="10" t="s">
        <v>361</v>
      </c>
      <c r="C137" s="167"/>
      <c r="D137" s="251"/>
      <c r="E137" s="103"/>
    </row>
    <row r="138" spans="1:5" ht="12" customHeight="1">
      <c r="A138" s="13" t="s">
        <v>180</v>
      </c>
      <c r="B138" s="10" t="s">
        <v>362</v>
      </c>
      <c r="C138" s="167"/>
      <c r="D138" s="251"/>
      <c r="E138" s="103"/>
    </row>
    <row r="139" spans="1:5" ht="12" customHeight="1" thickBot="1">
      <c r="A139" s="11" t="s">
        <v>181</v>
      </c>
      <c r="B139" s="10" t="s">
        <v>363</v>
      </c>
      <c r="C139" s="167"/>
      <c r="D139" s="251"/>
      <c r="E139" s="103"/>
    </row>
    <row r="140" spans="1:5" ht="12" customHeight="1" thickBot="1">
      <c r="A140" s="18" t="s">
        <v>10</v>
      </c>
      <c r="B140" s="56" t="s">
        <v>355</v>
      </c>
      <c r="C140" s="166">
        <f>SUM(C141:C146)</f>
        <v>0</v>
      </c>
      <c r="D140" s="249">
        <f>SUM(D141:D146)</f>
        <v>0</v>
      </c>
      <c r="E140" s="102">
        <f>SUM(E141:E146)</f>
        <v>0</v>
      </c>
    </row>
    <row r="141" spans="1:5" ht="12" customHeight="1">
      <c r="A141" s="13" t="s">
        <v>57</v>
      </c>
      <c r="B141" s="7" t="s">
        <v>364</v>
      </c>
      <c r="C141" s="167"/>
      <c r="D141" s="251"/>
      <c r="E141" s="103"/>
    </row>
    <row r="142" spans="1:5" ht="12" customHeight="1">
      <c r="A142" s="13" t="s">
        <v>58</v>
      </c>
      <c r="B142" s="7" t="s">
        <v>356</v>
      </c>
      <c r="C142" s="167"/>
      <c r="D142" s="251"/>
      <c r="E142" s="103"/>
    </row>
    <row r="143" spans="1:5" ht="12" customHeight="1">
      <c r="A143" s="13" t="s">
        <v>59</v>
      </c>
      <c r="B143" s="7" t="s">
        <v>357</v>
      </c>
      <c r="C143" s="167"/>
      <c r="D143" s="251"/>
      <c r="E143" s="103"/>
    </row>
    <row r="144" spans="1:5" ht="12" customHeight="1">
      <c r="A144" s="13" t="s">
        <v>116</v>
      </c>
      <c r="B144" s="7" t="s">
        <v>358</v>
      </c>
      <c r="C144" s="167"/>
      <c r="D144" s="251"/>
      <c r="E144" s="103"/>
    </row>
    <row r="145" spans="1:5" ht="12" customHeight="1">
      <c r="A145" s="13" t="s">
        <v>117</v>
      </c>
      <c r="B145" s="7" t="s">
        <v>359</v>
      </c>
      <c r="C145" s="167"/>
      <c r="D145" s="251"/>
      <c r="E145" s="103"/>
    </row>
    <row r="146" spans="1:5" ht="12" customHeight="1" thickBot="1">
      <c r="A146" s="16" t="s">
        <v>118</v>
      </c>
      <c r="B146" s="375" t="s">
        <v>360</v>
      </c>
      <c r="C146" s="240"/>
      <c r="D146" s="316"/>
      <c r="E146" s="234"/>
    </row>
    <row r="147" spans="1:5" ht="12" customHeight="1" thickBot="1">
      <c r="A147" s="18" t="s">
        <v>11</v>
      </c>
      <c r="B147" s="56" t="s">
        <v>368</v>
      </c>
      <c r="C147" s="172">
        <f>+C148+C149+C150+C151</f>
        <v>0</v>
      </c>
      <c r="D147" s="253">
        <f>+D148+D149+D150+D151</f>
        <v>0</v>
      </c>
      <c r="E147" s="208">
        <f>+E148+E149+E150+E151</f>
        <v>0</v>
      </c>
    </row>
    <row r="148" spans="1:5" ht="12" customHeight="1">
      <c r="A148" s="13" t="s">
        <v>60</v>
      </c>
      <c r="B148" s="7" t="s">
        <v>282</v>
      </c>
      <c r="C148" s="167"/>
      <c r="D148" s="251"/>
      <c r="E148" s="103"/>
    </row>
    <row r="149" spans="1:5" ht="12" customHeight="1">
      <c r="A149" s="13" t="s">
        <v>61</v>
      </c>
      <c r="B149" s="7" t="s">
        <v>283</v>
      </c>
      <c r="C149" s="167"/>
      <c r="D149" s="251"/>
      <c r="E149" s="103"/>
    </row>
    <row r="150" spans="1:5" ht="12" customHeight="1">
      <c r="A150" s="13" t="s">
        <v>199</v>
      </c>
      <c r="B150" s="7" t="s">
        <v>369</v>
      </c>
      <c r="C150" s="167"/>
      <c r="D150" s="251"/>
      <c r="E150" s="103"/>
    </row>
    <row r="151" spans="1:5" ht="12" customHeight="1" thickBot="1">
      <c r="A151" s="11" t="s">
        <v>200</v>
      </c>
      <c r="B151" s="5" t="s">
        <v>299</v>
      </c>
      <c r="C151" s="167"/>
      <c r="D151" s="251"/>
      <c r="E151" s="103"/>
    </row>
    <row r="152" spans="1:5" ht="12" customHeight="1" thickBot="1">
      <c r="A152" s="18" t="s">
        <v>12</v>
      </c>
      <c r="B152" s="56" t="s">
        <v>370</v>
      </c>
      <c r="C152" s="242">
        <f>SUM(C153:C157)</f>
        <v>0</v>
      </c>
      <c r="D152" s="254">
        <f>SUM(D153:D157)</f>
        <v>0</v>
      </c>
      <c r="E152" s="236">
        <f>SUM(E153:E157)</f>
        <v>0</v>
      </c>
    </row>
    <row r="153" spans="1:5" ht="12" customHeight="1">
      <c r="A153" s="13" t="s">
        <v>62</v>
      </c>
      <c r="B153" s="7" t="s">
        <v>365</v>
      </c>
      <c r="C153" s="167"/>
      <c r="D153" s="251"/>
      <c r="E153" s="103"/>
    </row>
    <row r="154" spans="1:5" ht="12" customHeight="1">
      <c r="A154" s="13" t="s">
        <v>63</v>
      </c>
      <c r="B154" s="7" t="s">
        <v>372</v>
      </c>
      <c r="C154" s="167"/>
      <c r="D154" s="251"/>
      <c r="E154" s="103"/>
    </row>
    <row r="155" spans="1:5" ht="12" customHeight="1">
      <c r="A155" s="13" t="s">
        <v>211</v>
      </c>
      <c r="B155" s="7" t="s">
        <v>367</v>
      </c>
      <c r="C155" s="167"/>
      <c r="D155" s="251"/>
      <c r="E155" s="103"/>
    </row>
    <row r="156" spans="1:5" ht="12" customHeight="1">
      <c r="A156" s="13" t="s">
        <v>212</v>
      </c>
      <c r="B156" s="7" t="s">
        <v>373</v>
      </c>
      <c r="C156" s="167"/>
      <c r="D156" s="251"/>
      <c r="E156" s="103"/>
    </row>
    <row r="157" spans="1:5" ht="12" customHeight="1" thickBot="1">
      <c r="A157" s="13" t="s">
        <v>371</v>
      </c>
      <c r="B157" s="7" t="s">
        <v>374</v>
      </c>
      <c r="C157" s="167"/>
      <c r="D157" s="251"/>
      <c r="E157" s="103"/>
    </row>
    <row r="158" spans="1:5" ht="12" customHeight="1" thickBot="1">
      <c r="A158" s="18" t="s">
        <v>13</v>
      </c>
      <c r="B158" s="56" t="s">
        <v>375</v>
      </c>
      <c r="C158" s="243"/>
      <c r="D158" s="255"/>
      <c r="E158" s="237"/>
    </row>
    <row r="159" spans="1:5" ht="12" customHeight="1" thickBot="1">
      <c r="A159" s="18" t="s">
        <v>14</v>
      </c>
      <c r="B159" s="56" t="s">
        <v>376</v>
      </c>
      <c r="C159" s="243"/>
      <c r="D159" s="255"/>
      <c r="E159" s="237"/>
    </row>
    <row r="160" spans="1:9" ht="15" customHeight="1" thickBot="1">
      <c r="A160" s="18" t="s">
        <v>15</v>
      </c>
      <c r="B160" s="56" t="s">
        <v>378</v>
      </c>
      <c r="C160" s="244">
        <f>+C136+C140+C147+C152+C158+C159</f>
        <v>0</v>
      </c>
      <c r="D160" s="256">
        <f>+D136+D140+D147+D152+D158+D159</f>
        <v>0</v>
      </c>
      <c r="E160" s="238">
        <f>+E136+E140+E147+E152+E158+E159</f>
        <v>0</v>
      </c>
      <c r="F160" s="189"/>
      <c r="G160" s="190"/>
      <c r="H160" s="190"/>
      <c r="I160" s="190"/>
    </row>
    <row r="161" spans="1:5" s="178" customFormat="1" ht="12.75" customHeight="1" thickBot="1">
      <c r="A161" s="112" t="s">
        <v>16</v>
      </c>
      <c r="B161" s="153" t="s">
        <v>377</v>
      </c>
      <c r="C161" s="244">
        <f>+C135+C160</f>
        <v>50023077</v>
      </c>
      <c r="D161" s="256">
        <f>+D135+D160</f>
        <v>52842032</v>
      </c>
      <c r="E161" s="238">
        <f>+E135+E160</f>
        <v>50346628</v>
      </c>
    </row>
    <row r="162" spans="3:4" ht="15.75">
      <c r="C162" s="658">
        <f>C93-C161</f>
        <v>0</v>
      </c>
      <c r="D162" s="658">
        <f>D93-D161</f>
        <v>0</v>
      </c>
    </row>
    <row r="163" spans="1:5" ht="15.75">
      <c r="A163" s="769" t="s">
        <v>284</v>
      </c>
      <c r="B163" s="769"/>
      <c r="C163" s="769"/>
      <c r="D163" s="769"/>
      <c r="E163" s="769"/>
    </row>
    <row r="164" spans="1:5" ht="15" customHeight="1" thickBot="1">
      <c r="A164" s="761" t="s">
        <v>104</v>
      </c>
      <c r="B164" s="761"/>
      <c r="C164" s="114"/>
      <c r="E164" s="114" t="str">
        <f>E96</f>
        <v> Forintban!</v>
      </c>
    </row>
    <row r="165" spans="1:5" ht="25.5" customHeight="1" thickBot="1">
      <c r="A165" s="18">
        <v>1</v>
      </c>
      <c r="B165" s="23" t="s">
        <v>379</v>
      </c>
      <c r="C165" s="248">
        <f>+C68-C135</f>
        <v>0</v>
      </c>
      <c r="D165" s="166">
        <f>+D68-D135</f>
        <v>-2061725</v>
      </c>
      <c r="E165" s="102">
        <f>+E68-E135</f>
        <v>-678344</v>
      </c>
    </row>
    <row r="166" spans="1:5" ht="32.25" customHeight="1" thickBot="1">
      <c r="A166" s="18" t="s">
        <v>7</v>
      </c>
      <c r="B166" s="23" t="s">
        <v>385</v>
      </c>
      <c r="C166" s="166">
        <f>+C92-C160</f>
        <v>0</v>
      </c>
      <c r="D166" s="166">
        <f>+D92-D160</f>
        <v>2061725</v>
      </c>
      <c r="E166" s="102">
        <f>+E92-E160</f>
        <v>2061725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A1">
      <selection activeCell="D8" sqref="D8:E8"/>
    </sheetView>
  </sheetViews>
  <sheetFormatPr defaultColWidth="9.00390625" defaultRowHeight="12.75"/>
  <cols>
    <col min="1" max="1" width="6.875" style="33" customWidth="1"/>
    <col min="2" max="2" width="48.00390625" style="71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400"/>
      <c r="B1" s="406" t="s">
        <v>108</v>
      </c>
      <c r="C1" s="407"/>
      <c r="D1" s="407"/>
      <c r="E1" s="407"/>
      <c r="F1" s="407"/>
      <c r="G1" s="407"/>
      <c r="H1" s="407"/>
      <c r="I1" s="407"/>
      <c r="J1" s="778" t="str">
        <f>CONCATENATE("2.1. melléklet ",Z_ALAPADATOK!A7," ",Z_ALAPADATOK!B7," ",Z_ALAPADATOK!C7," ",Z_ALAPADATOK!D7," ",Z_ALAPADATOK!E7," ",Z_ALAPADATOK!F7," ",Z_ALAPADATOK!G7," ",Z_ALAPADATOK!H7)</f>
        <v>2.1. melléklet a … / 2019. ( … ) önkormányzati rendelethez</v>
      </c>
    </row>
    <row r="2" spans="1:10" ht="14.25" thickBot="1">
      <c r="A2" s="400"/>
      <c r="B2" s="399"/>
      <c r="C2" s="400"/>
      <c r="D2" s="400"/>
      <c r="E2" s="400"/>
      <c r="F2" s="400"/>
      <c r="G2" s="408"/>
      <c r="H2" s="408"/>
      <c r="I2" s="408" t="str">
        <f>CONCATENATE('Z_1.4.sz.mell.'!E7)</f>
        <v> Forintban!</v>
      </c>
      <c r="J2" s="778"/>
    </row>
    <row r="3" spans="1:10" ht="18" customHeight="1" thickBot="1">
      <c r="A3" s="775" t="s">
        <v>52</v>
      </c>
      <c r="B3" s="409" t="s">
        <v>40</v>
      </c>
      <c r="C3" s="410"/>
      <c r="D3" s="411"/>
      <c r="E3" s="411"/>
      <c r="F3" s="409" t="s">
        <v>41</v>
      </c>
      <c r="G3" s="412"/>
      <c r="H3" s="413"/>
      <c r="I3" s="414"/>
      <c r="J3" s="778"/>
    </row>
    <row r="4" spans="1:10" s="122" customFormat="1" ht="35.25" customHeight="1" thickBot="1">
      <c r="A4" s="776"/>
      <c r="B4" s="402" t="s">
        <v>45</v>
      </c>
      <c r="C4" s="368" t="str">
        <f>+CONCATENATE('Z_1.1.sz.mell.'!C8," eredeti előirányzat")</f>
        <v>2018. évi eredeti előirányzat</v>
      </c>
      <c r="D4" s="366" t="str">
        <f>+CONCATENATE('Z_1.1.sz.mell.'!C8," módosított előirányzat")</f>
        <v>2018. évi módosított előirányzat</v>
      </c>
      <c r="E4" s="366" t="str">
        <f>CONCATENATE('Z_1.4.sz.mell.'!E9)</f>
        <v>2018. XII. 31.
teljesítés</v>
      </c>
      <c r="F4" s="402" t="s">
        <v>45</v>
      </c>
      <c r="G4" s="368" t="str">
        <f>+C4</f>
        <v>2018. évi eredeti előirányzat</v>
      </c>
      <c r="H4" s="368" t="str">
        <f>+D4</f>
        <v>2018. évi módosított előirányzat</v>
      </c>
      <c r="I4" s="367" t="str">
        <f>+E4</f>
        <v>2018. XII. 31.
teljesítés</v>
      </c>
      <c r="J4" s="778"/>
    </row>
    <row r="5" spans="1:10" s="123" customFormat="1" ht="12" customHeight="1" thickBot="1">
      <c r="A5" s="415" t="s">
        <v>389</v>
      </c>
      <c r="B5" s="416" t="s">
        <v>390</v>
      </c>
      <c r="C5" s="417" t="s">
        <v>391</v>
      </c>
      <c r="D5" s="420" t="s">
        <v>393</v>
      </c>
      <c r="E5" s="420" t="s">
        <v>392</v>
      </c>
      <c r="F5" s="416" t="s">
        <v>426</v>
      </c>
      <c r="G5" s="417" t="s">
        <v>395</v>
      </c>
      <c r="H5" s="417" t="s">
        <v>396</v>
      </c>
      <c r="I5" s="421" t="s">
        <v>427</v>
      </c>
      <c r="J5" s="778"/>
    </row>
    <row r="6" spans="1:10" ht="12.75" customHeight="1">
      <c r="A6" s="124" t="s">
        <v>6</v>
      </c>
      <c r="B6" s="125" t="s">
        <v>285</v>
      </c>
      <c r="C6" s="115">
        <v>239936688</v>
      </c>
      <c r="D6" s="115">
        <v>256157810</v>
      </c>
      <c r="E6" s="115">
        <v>256157810</v>
      </c>
      <c r="F6" s="125" t="s">
        <v>46</v>
      </c>
      <c r="G6" s="115">
        <v>187908100</v>
      </c>
      <c r="H6" s="115">
        <v>210455271</v>
      </c>
      <c r="I6" s="262">
        <v>192259671</v>
      </c>
      <c r="J6" s="778"/>
    </row>
    <row r="7" spans="1:10" ht="12.75" customHeight="1">
      <c r="A7" s="126" t="s">
        <v>7</v>
      </c>
      <c r="B7" s="127" t="s">
        <v>286</v>
      </c>
      <c r="C7" s="116">
        <v>75913955</v>
      </c>
      <c r="D7" s="116">
        <v>103941048</v>
      </c>
      <c r="E7" s="116">
        <v>179276185</v>
      </c>
      <c r="F7" s="127" t="s">
        <v>124</v>
      </c>
      <c r="G7" s="116">
        <v>33515055</v>
      </c>
      <c r="H7" s="116">
        <v>37547922</v>
      </c>
      <c r="I7" s="263">
        <v>34819709</v>
      </c>
      <c r="J7" s="778"/>
    </row>
    <row r="8" spans="1:10" ht="12.75" customHeight="1">
      <c r="A8" s="126" t="s">
        <v>8</v>
      </c>
      <c r="B8" s="127" t="s">
        <v>304</v>
      </c>
      <c r="C8" s="116"/>
      <c r="D8" s="169">
        <v>18280650</v>
      </c>
      <c r="E8" s="105">
        <v>104659394</v>
      </c>
      <c r="F8" s="127" t="s">
        <v>150</v>
      </c>
      <c r="G8" s="116">
        <v>168432934</v>
      </c>
      <c r="H8" s="116">
        <v>195340120</v>
      </c>
      <c r="I8" s="263">
        <v>140065793</v>
      </c>
      <c r="J8" s="778"/>
    </row>
    <row r="9" spans="1:10" ht="12.75" customHeight="1">
      <c r="A9" s="126" t="s">
        <v>9</v>
      </c>
      <c r="B9" s="127" t="s">
        <v>115</v>
      </c>
      <c r="C9" s="116">
        <v>75300000</v>
      </c>
      <c r="D9" s="116">
        <v>75300000</v>
      </c>
      <c r="E9" s="116">
        <v>86582279</v>
      </c>
      <c r="F9" s="127" t="s">
        <v>125</v>
      </c>
      <c r="G9" s="116">
        <v>12068319</v>
      </c>
      <c r="H9" s="116">
        <v>12424000</v>
      </c>
      <c r="I9" s="263">
        <v>12300732</v>
      </c>
      <c r="J9" s="778"/>
    </row>
    <row r="10" spans="1:10" ht="12.75" customHeight="1">
      <c r="A10" s="126" t="s">
        <v>10</v>
      </c>
      <c r="B10" s="128" t="s">
        <v>328</v>
      </c>
      <c r="C10" s="116">
        <v>31746705</v>
      </c>
      <c r="D10" s="116">
        <v>31746705</v>
      </c>
      <c r="E10" s="116">
        <v>34469421</v>
      </c>
      <c r="F10" s="127" t="s">
        <v>126</v>
      </c>
      <c r="G10" s="116">
        <v>112006020</v>
      </c>
      <c r="H10" s="116">
        <v>124064414</v>
      </c>
      <c r="I10" s="263">
        <v>112722051</v>
      </c>
      <c r="J10" s="778"/>
    </row>
    <row r="11" spans="1:10" ht="12.75" customHeight="1">
      <c r="A11" s="126" t="s">
        <v>11</v>
      </c>
      <c r="B11" s="127" t="s">
        <v>287</v>
      </c>
      <c r="C11" s="117">
        <v>1600000</v>
      </c>
      <c r="D11" s="117">
        <v>1600000</v>
      </c>
      <c r="E11" s="117">
        <v>1840000</v>
      </c>
      <c r="F11" s="127" t="s">
        <v>36</v>
      </c>
      <c r="G11" s="116"/>
      <c r="H11" s="116">
        <v>15110741</v>
      </c>
      <c r="I11" s="263"/>
      <c r="J11" s="778"/>
    </row>
    <row r="12" spans="1:10" ht="12.75" customHeight="1">
      <c r="A12" s="126" t="s">
        <v>12</v>
      </c>
      <c r="B12" s="127" t="s">
        <v>386</v>
      </c>
      <c r="C12" s="116"/>
      <c r="D12" s="116"/>
      <c r="E12" s="116"/>
      <c r="F12" s="30"/>
      <c r="G12" s="116"/>
      <c r="H12" s="116"/>
      <c r="I12" s="263"/>
      <c r="J12" s="778"/>
    </row>
    <row r="13" spans="1:10" ht="12.75" customHeight="1">
      <c r="A13" s="126" t="s">
        <v>13</v>
      </c>
      <c r="B13" s="30"/>
      <c r="C13" s="116"/>
      <c r="D13" s="116"/>
      <c r="E13" s="116"/>
      <c r="F13" s="30"/>
      <c r="G13" s="116"/>
      <c r="H13" s="116"/>
      <c r="I13" s="263"/>
      <c r="J13" s="778"/>
    </row>
    <row r="14" spans="1:10" ht="12.75" customHeight="1">
      <c r="A14" s="126" t="s">
        <v>14</v>
      </c>
      <c r="B14" s="191"/>
      <c r="C14" s="117"/>
      <c r="D14" s="117"/>
      <c r="E14" s="117"/>
      <c r="F14" s="30"/>
      <c r="G14" s="116"/>
      <c r="H14" s="116"/>
      <c r="I14" s="263"/>
      <c r="J14" s="778"/>
    </row>
    <row r="15" spans="1:10" ht="12.75" customHeight="1">
      <c r="A15" s="126" t="s">
        <v>15</v>
      </c>
      <c r="B15" s="30"/>
      <c r="C15" s="116"/>
      <c r="D15" s="116"/>
      <c r="E15" s="116"/>
      <c r="F15" s="30"/>
      <c r="G15" s="116"/>
      <c r="H15" s="116"/>
      <c r="I15" s="263"/>
      <c r="J15" s="778"/>
    </row>
    <row r="16" spans="1:10" ht="12.75" customHeight="1">
      <c r="A16" s="126" t="s">
        <v>16</v>
      </c>
      <c r="B16" s="30"/>
      <c r="C16" s="116"/>
      <c r="D16" s="116"/>
      <c r="E16" s="116"/>
      <c r="F16" s="30"/>
      <c r="G16" s="116"/>
      <c r="H16" s="116"/>
      <c r="I16" s="263"/>
      <c r="J16" s="778"/>
    </row>
    <row r="17" spans="1:10" ht="12.75" customHeight="1" thickBot="1">
      <c r="A17" s="126" t="s">
        <v>17</v>
      </c>
      <c r="B17" s="34"/>
      <c r="C17" s="118"/>
      <c r="D17" s="118"/>
      <c r="E17" s="118"/>
      <c r="F17" s="30"/>
      <c r="G17" s="118"/>
      <c r="H17" s="118"/>
      <c r="I17" s="264"/>
      <c r="J17" s="778"/>
    </row>
    <row r="18" spans="1:10" ht="21.75" thickBot="1">
      <c r="A18" s="129" t="s">
        <v>18</v>
      </c>
      <c r="B18" s="57" t="s">
        <v>387</v>
      </c>
      <c r="C18" s="119">
        <f>C6+C7+C9+C10+C11+C13+C14+C15+C16+C17</f>
        <v>424497348</v>
      </c>
      <c r="D18" s="119">
        <f>D6+D7+D9+D10+D11+D13+D14+D15+D16+D17</f>
        <v>468745563</v>
      </c>
      <c r="E18" s="119">
        <f>E6+E7+E9+E10+E11+E13+E14+E15+E16+E17</f>
        <v>558325695</v>
      </c>
      <c r="F18" s="57" t="s">
        <v>290</v>
      </c>
      <c r="G18" s="119">
        <f>SUM(G6:G17)</f>
        <v>513930428</v>
      </c>
      <c r="H18" s="119">
        <f>SUM(H6:H17)</f>
        <v>594942468</v>
      </c>
      <c r="I18" s="147">
        <f>SUM(I6:I17)</f>
        <v>492167956</v>
      </c>
      <c r="J18" s="778"/>
    </row>
    <row r="19" spans="1:10" ht="12.75" customHeight="1">
      <c r="A19" s="130" t="s">
        <v>19</v>
      </c>
      <c r="B19" s="131" t="s">
        <v>869</v>
      </c>
      <c r="C19" s="230">
        <f>+C20+C21+C22+C23</f>
        <v>98034711</v>
      </c>
      <c r="D19" s="230">
        <f>+D20+D21+D22+D23</f>
        <v>134798536</v>
      </c>
      <c r="E19" s="230">
        <f>+E20+E21+E22+E23</f>
        <v>14768206</v>
      </c>
      <c r="F19" s="132" t="s">
        <v>132</v>
      </c>
      <c r="G19" s="120"/>
      <c r="H19" s="120"/>
      <c r="I19" s="265"/>
      <c r="J19" s="778"/>
    </row>
    <row r="20" spans="1:10" ht="12.75" customHeight="1">
      <c r="A20" s="133" t="s">
        <v>20</v>
      </c>
      <c r="B20" s="132" t="s">
        <v>143</v>
      </c>
      <c r="C20" s="46">
        <v>98034711</v>
      </c>
      <c r="D20" s="46">
        <v>134798536</v>
      </c>
      <c r="E20" s="46">
        <v>6185175</v>
      </c>
      <c r="F20" s="132" t="s">
        <v>289</v>
      </c>
      <c r="G20" s="46"/>
      <c r="H20" s="46">
        <v>50000000</v>
      </c>
      <c r="I20" s="266">
        <v>37577030</v>
      </c>
      <c r="J20" s="778"/>
    </row>
    <row r="21" spans="1:10" ht="12.75" customHeight="1">
      <c r="A21" s="133" t="s">
        <v>21</v>
      </c>
      <c r="B21" s="132" t="s">
        <v>144</v>
      </c>
      <c r="C21" s="46"/>
      <c r="D21" s="46"/>
      <c r="E21" s="46"/>
      <c r="F21" s="132" t="s">
        <v>106</v>
      </c>
      <c r="G21" s="46"/>
      <c r="H21" s="46"/>
      <c r="I21" s="266"/>
      <c r="J21" s="778"/>
    </row>
    <row r="22" spans="1:10" ht="12.75" customHeight="1">
      <c r="A22" s="133" t="s">
        <v>22</v>
      </c>
      <c r="B22" s="132" t="s">
        <v>148</v>
      </c>
      <c r="C22" s="46"/>
      <c r="D22" s="46"/>
      <c r="E22" s="46"/>
      <c r="F22" s="132" t="s">
        <v>107</v>
      </c>
      <c r="G22" s="46"/>
      <c r="H22" s="46"/>
      <c r="I22" s="266"/>
      <c r="J22" s="778"/>
    </row>
    <row r="23" spans="1:10" ht="12.75" customHeight="1">
      <c r="A23" s="133" t="s">
        <v>23</v>
      </c>
      <c r="B23" s="132" t="s">
        <v>149</v>
      </c>
      <c r="C23" s="46"/>
      <c r="D23" s="46"/>
      <c r="E23" s="46">
        <v>8583031</v>
      </c>
      <c r="F23" s="131" t="s">
        <v>151</v>
      </c>
      <c r="G23" s="46">
        <v>8601631</v>
      </c>
      <c r="H23" s="46">
        <v>8601631</v>
      </c>
      <c r="I23" s="266">
        <v>8601631</v>
      </c>
      <c r="J23" s="778"/>
    </row>
    <row r="24" spans="1:10" ht="12.75" customHeight="1">
      <c r="A24" s="126" t="s">
        <v>24</v>
      </c>
      <c r="B24" s="132" t="s">
        <v>288</v>
      </c>
      <c r="C24" s="46"/>
      <c r="D24" s="46"/>
      <c r="E24" s="46"/>
      <c r="F24" s="132" t="s">
        <v>133</v>
      </c>
      <c r="G24" s="46"/>
      <c r="H24" s="46"/>
      <c r="I24" s="266"/>
      <c r="J24" s="778"/>
    </row>
    <row r="25" spans="1:10" ht="12.75" customHeight="1">
      <c r="A25" s="126" t="s">
        <v>25</v>
      </c>
      <c r="B25" s="132" t="s">
        <v>868</v>
      </c>
      <c r="C25" s="134">
        <f>C26+C27+C28</f>
        <v>0</v>
      </c>
      <c r="D25" s="134">
        <f>D26+D27+D28</f>
        <v>50000000</v>
      </c>
      <c r="E25" s="134">
        <f>E26+E27+E28</f>
        <v>37577030</v>
      </c>
      <c r="F25" s="125" t="s">
        <v>369</v>
      </c>
      <c r="G25" s="46"/>
      <c r="H25" s="46"/>
      <c r="I25" s="266"/>
      <c r="J25" s="778"/>
    </row>
    <row r="26" spans="1:10" ht="12.75" customHeight="1">
      <c r="A26" s="162" t="s">
        <v>26</v>
      </c>
      <c r="B26" s="131" t="s">
        <v>159</v>
      </c>
      <c r="C26" s="120"/>
      <c r="D26" s="120">
        <v>50000000</v>
      </c>
      <c r="E26" s="120">
        <v>37577030</v>
      </c>
      <c r="F26" s="127" t="s">
        <v>375</v>
      </c>
      <c r="G26" s="120"/>
      <c r="H26" s="120"/>
      <c r="I26" s="265"/>
      <c r="J26" s="778"/>
    </row>
    <row r="27" spans="1:10" ht="12.75" customHeight="1">
      <c r="A27" s="126" t="s">
        <v>27</v>
      </c>
      <c r="B27" s="132" t="s">
        <v>380</v>
      </c>
      <c r="C27" s="46"/>
      <c r="D27" s="46"/>
      <c r="E27" s="46"/>
      <c r="F27" s="127" t="s">
        <v>376</v>
      </c>
      <c r="G27" s="46"/>
      <c r="H27" s="46"/>
      <c r="I27" s="266"/>
      <c r="J27" s="778"/>
    </row>
    <row r="28" spans="1:10" ht="12.75" customHeight="1" thickBot="1">
      <c r="A28" s="162" t="s">
        <v>28</v>
      </c>
      <c r="B28" s="131" t="s">
        <v>246</v>
      </c>
      <c r="C28" s="120"/>
      <c r="D28" s="120"/>
      <c r="E28" s="120"/>
      <c r="F28" s="193"/>
      <c r="G28" s="120"/>
      <c r="H28" s="120"/>
      <c r="I28" s="265"/>
      <c r="J28" s="778"/>
    </row>
    <row r="29" spans="1:10" ht="24" customHeight="1" thickBot="1">
      <c r="A29" s="129" t="s">
        <v>29</v>
      </c>
      <c r="B29" s="57" t="s">
        <v>871</v>
      </c>
      <c r="C29" s="119">
        <f>+C19+C25</f>
        <v>98034711</v>
      </c>
      <c r="D29" s="119">
        <f>+D19+D25</f>
        <v>184798536</v>
      </c>
      <c r="E29" s="260">
        <f>+E19+E25</f>
        <v>52345236</v>
      </c>
      <c r="F29" s="57" t="s">
        <v>870</v>
      </c>
      <c r="G29" s="119">
        <f>SUM(G19:G28)</f>
        <v>8601631</v>
      </c>
      <c r="H29" s="119">
        <f>SUM(H19:H28)</f>
        <v>58601631</v>
      </c>
      <c r="I29" s="147">
        <f>SUM(I19:I28)</f>
        <v>46178661</v>
      </c>
      <c r="J29" s="778"/>
    </row>
    <row r="30" spans="1:10" ht="13.5" thickBot="1">
      <c r="A30" s="129" t="s">
        <v>30</v>
      </c>
      <c r="B30" s="135" t="s">
        <v>388</v>
      </c>
      <c r="C30" s="330">
        <f>+C18+C29</f>
        <v>522532059</v>
      </c>
      <c r="D30" s="330">
        <f>+D18+D29</f>
        <v>653544099</v>
      </c>
      <c r="E30" s="331">
        <f>+E18+E29</f>
        <v>610670931</v>
      </c>
      <c r="F30" s="135"/>
      <c r="G30" s="330">
        <f>+G18+G29</f>
        <v>522532059</v>
      </c>
      <c r="H30" s="330">
        <f>+H18+H29</f>
        <v>653544099</v>
      </c>
      <c r="I30" s="331">
        <f>+I18+I29</f>
        <v>538346617</v>
      </c>
      <c r="J30" s="778"/>
    </row>
    <row r="31" spans="1:10" ht="13.5" thickBot="1">
      <c r="A31" s="129" t="s">
        <v>31</v>
      </c>
      <c r="B31" s="135" t="s">
        <v>110</v>
      </c>
      <c r="C31" s="330">
        <f>IF(C18-G18&lt;0,G18-C18,"-")</f>
        <v>89433080</v>
      </c>
      <c r="D31" s="330">
        <f>IF(D18-H18&lt;0,H18-D18,"-")</f>
        <v>126196905</v>
      </c>
      <c r="E31" s="331" t="str">
        <f>IF(E18-I18&lt;0,I18-E18,"-")</f>
        <v>-</v>
      </c>
      <c r="F31" s="135" t="s">
        <v>111</v>
      </c>
      <c r="G31" s="330" t="str">
        <f>IF(C18-G18&gt;0,C18-G18,"-")</f>
        <v>-</v>
      </c>
      <c r="H31" s="330" t="str">
        <f>IF(D18-H18&gt;0,D18-H18,"-")</f>
        <v>-</v>
      </c>
      <c r="I31" s="331">
        <f>IF(E18-I18&gt;0,E18-I18,"-")</f>
        <v>66157739</v>
      </c>
      <c r="J31" s="778"/>
    </row>
    <row r="32" spans="1:10" ht="13.5" thickBot="1">
      <c r="A32" s="129" t="s">
        <v>32</v>
      </c>
      <c r="B32" s="135" t="s">
        <v>501</v>
      </c>
      <c r="C32" s="330" t="str">
        <f>IF(C30-G30&lt;0,G30-C30,"-")</f>
        <v>-</v>
      </c>
      <c r="D32" s="330" t="str">
        <f>IF(D30-H30&lt;0,H30-D30,"-")</f>
        <v>-</v>
      </c>
      <c r="E32" s="330" t="str">
        <f>IF(E30-I30&lt;0,I30-E30,"-")</f>
        <v>-</v>
      </c>
      <c r="F32" s="135" t="s">
        <v>502</v>
      </c>
      <c r="G32" s="330" t="str">
        <f>IF(C30-G30&gt;0,C30-G30,"-")</f>
        <v>-</v>
      </c>
      <c r="H32" s="330" t="str">
        <f>IF(D30-H30&gt;0,D30-H30,"-")</f>
        <v>-</v>
      </c>
      <c r="I32" s="330">
        <f>IF(E30-I30&gt;0,E30-I30,"-")</f>
        <v>72324314</v>
      </c>
      <c r="J32" s="778"/>
    </row>
    <row r="33" spans="2:10" ht="18.75">
      <c r="B33" s="777"/>
      <c r="C33" s="777"/>
      <c r="D33" s="777"/>
      <c r="E33" s="777"/>
      <c r="F33" s="777"/>
      <c r="J33" s="778"/>
    </row>
  </sheetData>
  <sheetProtection sheet="1"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C1">
      <selection activeCell="I6" sqref="I6"/>
    </sheetView>
  </sheetViews>
  <sheetFormatPr defaultColWidth="9.00390625" defaultRowHeight="12.75"/>
  <cols>
    <col min="1" max="1" width="6.875" style="33" customWidth="1"/>
    <col min="2" max="2" width="49.875" style="71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400"/>
      <c r="B1" s="406" t="s">
        <v>109</v>
      </c>
      <c r="C1" s="407"/>
      <c r="D1" s="407"/>
      <c r="E1" s="407"/>
      <c r="F1" s="407"/>
      <c r="G1" s="407"/>
      <c r="H1" s="407"/>
      <c r="I1" s="407"/>
      <c r="J1" s="778" t="str">
        <f>CONCATENATE("2.2. melléklet ",Z_ALAPADATOK!A7," ",Z_ALAPADATOK!B7," ",Z_ALAPADATOK!C7," ",Z_ALAPADATOK!D7," ",Z_ALAPADATOK!E7," ",Z_ALAPADATOK!F7," ",Z_ALAPADATOK!G7," ",Z_ALAPADATOK!H7)</f>
        <v>2.2. melléklet a … / 2019. ( … ) önkormányzati rendelethez</v>
      </c>
    </row>
    <row r="2" spans="1:10" ht="14.25" thickBot="1">
      <c r="A2" s="400"/>
      <c r="B2" s="399"/>
      <c r="C2" s="400"/>
      <c r="D2" s="400"/>
      <c r="E2" s="400"/>
      <c r="F2" s="400"/>
      <c r="G2" s="408"/>
      <c r="H2" s="408"/>
      <c r="I2" s="408" t="str">
        <f>'Z_2.1.sz.mell'!I2</f>
        <v> Forintban!</v>
      </c>
      <c r="J2" s="778"/>
    </row>
    <row r="3" spans="1:10" ht="13.5" customHeight="1" thickBot="1">
      <c r="A3" s="775" t="s">
        <v>52</v>
      </c>
      <c r="B3" s="409" t="s">
        <v>40</v>
      </c>
      <c r="C3" s="410"/>
      <c r="D3" s="411"/>
      <c r="E3" s="411"/>
      <c r="F3" s="409" t="s">
        <v>41</v>
      </c>
      <c r="G3" s="412"/>
      <c r="H3" s="413"/>
      <c r="I3" s="414"/>
      <c r="J3" s="778"/>
    </row>
    <row r="4" spans="1:10" s="122" customFormat="1" ht="36.75" thickBot="1">
      <c r="A4" s="776"/>
      <c r="B4" s="402" t="s">
        <v>45</v>
      </c>
      <c r="C4" s="368" t="str">
        <f>+CONCATENATE('Z_1.1.sz.mell.'!C8," eredeti előirányzat")</f>
        <v>2018. évi eredeti előirányzat</v>
      </c>
      <c r="D4" s="366" t="str">
        <f>+CONCATENATE('Z_1.1.sz.mell.'!C8," módosított előirányzat")</f>
        <v>2018. évi módosított előirányzat</v>
      </c>
      <c r="E4" s="366" t="str">
        <f>CONCATENATE('Z_2.1.sz.mell'!E4)</f>
        <v>2018. XII. 31.
teljesítés</v>
      </c>
      <c r="F4" s="402" t="s">
        <v>45</v>
      </c>
      <c r="G4" s="368" t="str">
        <f>+C4</f>
        <v>2018. évi eredeti előirányzat</v>
      </c>
      <c r="H4" s="368" t="str">
        <f>+D4</f>
        <v>2018. évi módosított előirányzat</v>
      </c>
      <c r="I4" s="367" t="str">
        <f>+E4</f>
        <v>2018. XII. 31.
teljesítés</v>
      </c>
      <c r="J4" s="778"/>
    </row>
    <row r="5" spans="1:10" s="122" customFormat="1" ht="13.5" thickBot="1">
      <c r="A5" s="415" t="s">
        <v>389</v>
      </c>
      <c r="B5" s="416" t="s">
        <v>390</v>
      </c>
      <c r="C5" s="417" t="s">
        <v>391</v>
      </c>
      <c r="D5" s="417" t="s">
        <v>393</v>
      </c>
      <c r="E5" s="417" t="s">
        <v>392</v>
      </c>
      <c r="F5" s="416" t="s">
        <v>394</v>
      </c>
      <c r="G5" s="417" t="s">
        <v>395</v>
      </c>
      <c r="H5" s="418" t="s">
        <v>396</v>
      </c>
      <c r="I5" s="419" t="s">
        <v>427</v>
      </c>
      <c r="J5" s="778"/>
    </row>
    <row r="6" spans="1:10" ht="12.75" customHeight="1">
      <c r="A6" s="124" t="s">
        <v>6</v>
      </c>
      <c r="B6" s="125" t="s">
        <v>291</v>
      </c>
      <c r="C6" s="115">
        <v>15000000</v>
      </c>
      <c r="D6" s="115">
        <v>147387544</v>
      </c>
      <c r="E6" s="115">
        <v>153251067</v>
      </c>
      <c r="F6" s="125" t="s">
        <v>145</v>
      </c>
      <c r="G6" s="115">
        <v>779304032</v>
      </c>
      <c r="H6" s="271">
        <v>917262531</v>
      </c>
      <c r="I6" s="145">
        <v>132575138</v>
      </c>
      <c r="J6" s="778"/>
    </row>
    <row r="7" spans="1:10" ht="12.75">
      <c r="A7" s="126" t="s">
        <v>7</v>
      </c>
      <c r="B7" s="127" t="s">
        <v>292</v>
      </c>
      <c r="C7" s="116"/>
      <c r="D7" s="116">
        <v>100387544</v>
      </c>
      <c r="E7" s="116">
        <v>100387544</v>
      </c>
      <c r="F7" s="127" t="s">
        <v>297</v>
      </c>
      <c r="G7" s="116">
        <v>752156457</v>
      </c>
      <c r="H7" s="116">
        <v>841061550</v>
      </c>
      <c r="I7" s="263">
        <v>64530983</v>
      </c>
      <c r="J7" s="778"/>
    </row>
    <row r="8" spans="1:10" ht="12.75" customHeight="1">
      <c r="A8" s="126" t="s">
        <v>8</v>
      </c>
      <c r="B8" s="127" t="s">
        <v>1</v>
      </c>
      <c r="C8" s="116">
        <v>3000000</v>
      </c>
      <c r="D8" s="116">
        <v>37400000</v>
      </c>
      <c r="E8" s="116">
        <v>39429800</v>
      </c>
      <c r="F8" s="127" t="s">
        <v>128</v>
      </c>
      <c r="G8" s="116">
        <v>140239940</v>
      </c>
      <c r="H8" s="116">
        <v>152852391</v>
      </c>
      <c r="I8" s="263">
        <v>8882486</v>
      </c>
      <c r="J8" s="778"/>
    </row>
    <row r="9" spans="1:10" ht="12.75" customHeight="1">
      <c r="A9" s="126" t="s">
        <v>9</v>
      </c>
      <c r="B9" s="127" t="s">
        <v>293</v>
      </c>
      <c r="C9" s="116">
        <v>13500000</v>
      </c>
      <c r="D9" s="116">
        <v>13500000</v>
      </c>
      <c r="E9" s="116">
        <v>11720000</v>
      </c>
      <c r="F9" s="127" t="s">
        <v>298</v>
      </c>
      <c r="G9" s="116">
        <v>116920049</v>
      </c>
      <c r="H9" s="116">
        <v>128402500</v>
      </c>
      <c r="I9" s="263">
        <v>2222500</v>
      </c>
      <c r="J9" s="778"/>
    </row>
    <row r="10" spans="1:10" ht="12.75" customHeight="1">
      <c r="A10" s="126" t="s">
        <v>10</v>
      </c>
      <c r="B10" s="127" t="s">
        <v>294</v>
      </c>
      <c r="C10" s="116"/>
      <c r="D10" s="116"/>
      <c r="E10" s="116"/>
      <c r="F10" s="127" t="s">
        <v>147</v>
      </c>
      <c r="G10" s="116">
        <v>6000000</v>
      </c>
      <c r="H10" s="116">
        <v>450000</v>
      </c>
      <c r="I10" s="263">
        <v>450000</v>
      </c>
      <c r="J10" s="778"/>
    </row>
    <row r="11" spans="1:10" ht="12.75" customHeight="1">
      <c r="A11" s="126" t="s">
        <v>11</v>
      </c>
      <c r="B11" s="127" t="s">
        <v>295</v>
      </c>
      <c r="C11" s="117"/>
      <c r="D11" s="117"/>
      <c r="E11" s="117"/>
      <c r="F11" s="194"/>
      <c r="G11" s="116"/>
      <c r="H11" s="116"/>
      <c r="I11" s="263"/>
      <c r="J11" s="778"/>
    </row>
    <row r="12" spans="1:10" ht="12.75" customHeight="1">
      <c r="A12" s="126" t="s">
        <v>12</v>
      </c>
      <c r="B12" s="30"/>
      <c r="C12" s="116"/>
      <c r="D12" s="116"/>
      <c r="E12" s="116"/>
      <c r="F12" s="194"/>
      <c r="G12" s="116"/>
      <c r="H12" s="116"/>
      <c r="I12" s="263"/>
      <c r="J12" s="778"/>
    </row>
    <row r="13" spans="1:10" ht="12.75" customHeight="1">
      <c r="A13" s="126" t="s">
        <v>13</v>
      </c>
      <c r="B13" s="30"/>
      <c r="C13" s="116"/>
      <c r="D13" s="116"/>
      <c r="E13" s="116"/>
      <c r="F13" s="195"/>
      <c r="G13" s="116"/>
      <c r="H13" s="116"/>
      <c r="I13" s="263"/>
      <c r="J13" s="778"/>
    </row>
    <row r="14" spans="1:10" ht="12.75" customHeight="1">
      <c r="A14" s="126" t="s">
        <v>14</v>
      </c>
      <c r="B14" s="192"/>
      <c r="C14" s="117"/>
      <c r="D14" s="117"/>
      <c r="E14" s="117"/>
      <c r="F14" s="194"/>
      <c r="G14" s="116"/>
      <c r="H14" s="116"/>
      <c r="I14" s="263"/>
      <c r="J14" s="778"/>
    </row>
    <row r="15" spans="1:10" ht="12.75">
      <c r="A15" s="126" t="s">
        <v>15</v>
      </c>
      <c r="B15" s="30"/>
      <c r="C15" s="117"/>
      <c r="D15" s="117"/>
      <c r="E15" s="117"/>
      <c r="F15" s="194"/>
      <c r="G15" s="116"/>
      <c r="H15" s="116"/>
      <c r="I15" s="263"/>
      <c r="J15" s="778"/>
    </row>
    <row r="16" spans="1:10" ht="12.75" customHeight="1" thickBot="1">
      <c r="A16" s="162" t="s">
        <v>16</v>
      </c>
      <c r="B16" s="193"/>
      <c r="C16" s="164"/>
      <c r="D16" s="164"/>
      <c r="E16" s="164"/>
      <c r="F16" s="163" t="s">
        <v>36</v>
      </c>
      <c r="G16" s="269"/>
      <c r="H16" s="269"/>
      <c r="I16" s="267"/>
      <c r="J16" s="778"/>
    </row>
    <row r="17" spans="1:10" ht="15.75" customHeight="1" thickBot="1">
      <c r="A17" s="129" t="s">
        <v>17</v>
      </c>
      <c r="B17" s="57" t="s">
        <v>305</v>
      </c>
      <c r="C17" s="119">
        <f>+C6+C8+C9+C11+C12+C13+C14+C15+C16</f>
        <v>31500000</v>
      </c>
      <c r="D17" s="119">
        <f>+D6+D8+D9+D11+D12+D13+D14+D15+D16</f>
        <v>198287544</v>
      </c>
      <c r="E17" s="119">
        <f>+E6+E8+E9+E11+E12+E13+E14+E15+E16</f>
        <v>204400867</v>
      </c>
      <c r="F17" s="57" t="s">
        <v>306</v>
      </c>
      <c r="G17" s="119">
        <f>+G6+G8+G10+G11+G12+G13+G14+G15+G16</f>
        <v>925543972</v>
      </c>
      <c r="H17" s="119">
        <f>+H6+H8+H10+H11+H12+H13+H14+H15+H16</f>
        <v>1070564922</v>
      </c>
      <c r="I17" s="147">
        <f>+I6+I8+I10+I11+I12+I13+I14+I15+I16</f>
        <v>141907624</v>
      </c>
      <c r="J17" s="778"/>
    </row>
    <row r="18" spans="1:10" ht="12.75" customHeight="1">
      <c r="A18" s="124" t="s">
        <v>18</v>
      </c>
      <c r="B18" s="137" t="s">
        <v>163</v>
      </c>
      <c r="C18" s="144">
        <f>+C19+C20+C21+C22+C23</f>
        <v>894043972</v>
      </c>
      <c r="D18" s="144">
        <f>+D19+D20+D21+D22+D23</f>
        <v>872277378</v>
      </c>
      <c r="E18" s="144">
        <f>+E19+E20+E21+E22+E23</f>
        <v>1000890739</v>
      </c>
      <c r="F18" s="132" t="s">
        <v>132</v>
      </c>
      <c r="G18" s="270"/>
      <c r="H18" s="270"/>
      <c r="I18" s="268"/>
      <c r="J18" s="778"/>
    </row>
    <row r="19" spans="1:10" ht="12.75" customHeight="1">
      <c r="A19" s="126" t="s">
        <v>19</v>
      </c>
      <c r="B19" s="138" t="s">
        <v>152</v>
      </c>
      <c r="C19" s="46">
        <v>894043972</v>
      </c>
      <c r="D19" s="46">
        <v>872277378</v>
      </c>
      <c r="E19" s="46">
        <v>1000890739</v>
      </c>
      <c r="F19" s="132" t="s">
        <v>135</v>
      </c>
      <c r="G19" s="46"/>
      <c r="H19" s="46"/>
      <c r="I19" s="266"/>
      <c r="J19" s="778"/>
    </row>
    <row r="20" spans="1:10" ht="12.75" customHeight="1">
      <c r="A20" s="124" t="s">
        <v>20</v>
      </c>
      <c r="B20" s="138" t="s">
        <v>153</v>
      </c>
      <c r="C20" s="46"/>
      <c r="D20" s="46"/>
      <c r="E20" s="46"/>
      <c r="F20" s="132" t="s">
        <v>106</v>
      </c>
      <c r="G20" s="46"/>
      <c r="H20" s="46"/>
      <c r="I20" s="266"/>
      <c r="J20" s="778"/>
    </row>
    <row r="21" spans="1:10" ht="12.75" customHeight="1">
      <c r="A21" s="126" t="s">
        <v>21</v>
      </c>
      <c r="B21" s="138" t="s">
        <v>154</v>
      </c>
      <c r="C21" s="46"/>
      <c r="D21" s="46"/>
      <c r="E21" s="46"/>
      <c r="F21" s="132" t="s">
        <v>107</v>
      </c>
      <c r="G21" s="46"/>
      <c r="H21" s="46"/>
      <c r="I21" s="266"/>
      <c r="J21" s="778"/>
    </row>
    <row r="22" spans="1:10" ht="12.75" customHeight="1">
      <c r="A22" s="124" t="s">
        <v>22</v>
      </c>
      <c r="B22" s="138" t="s">
        <v>155</v>
      </c>
      <c r="C22" s="46"/>
      <c r="D22" s="46"/>
      <c r="E22" s="46"/>
      <c r="F22" s="131" t="s">
        <v>151</v>
      </c>
      <c r="G22" s="46"/>
      <c r="H22" s="46"/>
      <c r="I22" s="266"/>
      <c r="J22" s="778"/>
    </row>
    <row r="23" spans="1:10" ht="12.75" customHeight="1">
      <c r="A23" s="126" t="s">
        <v>23</v>
      </c>
      <c r="B23" s="139" t="s">
        <v>156</v>
      </c>
      <c r="C23" s="46"/>
      <c r="D23" s="46"/>
      <c r="E23" s="46"/>
      <c r="F23" s="132" t="s">
        <v>136</v>
      </c>
      <c r="G23" s="46"/>
      <c r="H23" s="46"/>
      <c r="I23" s="266"/>
      <c r="J23" s="778"/>
    </row>
    <row r="24" spans="1:10" ht="12.75" customHeight="1">
      <c r="A24" s="124" t="s">
        <v>24</v>
      </c>
      <c r="B24" s="140" t="s">
        <v>157</v>
      </c>
      <c r="C24" s="134">
        <f>+C25+C26+C27+C28+C29</f>
        <v>0</v>
      </c>
      <c r="D24" s="134">
        <f>+D25+D26+D27+D28+D29</f>
        <v>0</v>
      </c>
      <c r="E24" s="134">
        <f>+E25+E26+E27+E28+E29</f>
        <v>0</v>
      </c>
      <c r="F24" s="141" t="s">
        <v>134</v>
      </c>
      <c r="G24" s="46"/>
      <c r="H24" s="46"/>
      <c r="I24" s="266"/>
      <c r="J24" s="778"/>
    </row>
    <row r="25" spans="1:10" ht="12.75" customHeight="1">
      <c r="A25" s="126" t="s">
        <v>25</v>
      </c>
      <c r="B25" s="139" t="s">
        <v>158</v>
      </c>
      <c r="C25" s="46"/>
      <c r="D25" s="46"/>
      <c r="E25" s="46"/>
      <c r="F25" s="141" t="s">
        <v>299</v>
      </c>
      <c r="G25" s="46"/>
      <c r="H25" s="46"/>
      <c r="I25" s="266"/>
      <c r="J25" s="778"/>
    </row>
    <row r="26" spans="1:10" ht="12.75" customHeight="1">
      <c r="A26" s="124" t="s">
        <v>26</v>
      </c>
      <c r="B26" s="139" t="s">
        <v>159</v>
      </c>
      <c r="C26" s="46"/>
      <c r="D26" s="46"/>
      <c r="E26" s="46"/>
      <c r="F26" s="136"/>
      <c r="G26" s="46"/>
      <c r="H26" s="46"/>
      <c r="I26" s="266"/>
      <c r="J26" s="778"/>
    </row>
    <row r="27" spans="1:10" ht="12.75" customHeight="1">
      <c r="A27" s="126" t="s">
        <v>27</v>
      </c>
      <c r="B27" s="138" t="s">
        <v>160</v>
      </c>
      <c r="C27" s="46"/>
      <c r="D27" s="46"/>
      <c r="E27" s="46"/>
      <c r="F27" s="55"/>
      <c r="G27" s="46"/>
      <c r="H27" s="46"/>
      <c r="I27" s="266"/>
      <c r="J27" s="778"/>
    </row>
    <row r="28" spans="1:10" ht="12.75" customHeight="1">
      <c r="A28" s="124" t="s">
        <v>28</v>
      </c>
      <c r="B28" s="142" t="s">
        <v>161</v>
      </c>
      <c r="C28" s="46"/>
      <c r="D28" s="46"/>
      <c r="E28" s="46"/>
      <c r="F28" s="30"/>
      <c r="G28" s="46"/>
      <c r="H28" s="46"/>
      <c r="I28" s="266"/>
      <c r="J28" s="778"/>
    </row>
    <row r="29" spans="1:10" ht="12.75" customHeight="1" thickBot="1">
      <c r="A29" s="126" t="s">
        <v>29</v>
      </c>
      <c r="B29" s="143" t="s">
        <v>162</v>
      </c>
      <c r="C29" s="46"/>
      <c r="D29" s="46"/>
      <c r="E29" s="46"/>
      <c r="F29" s="55"/>
      <c r="G29" s="46"/>
      <c r="H29" s="46"/>
      <c r="I29" s="266"/>
      <c r="J29" s="778"/>
    </row>
    <row r="30" spans="1:10" ht="21.75" customHeight="1" thickBot="1">
      <c r="A30" s="129" t="s">
        <v>30</v>
      </c>
      <c r="B30" s="57" t="s">
        <v>296</v>
      </c>
      <c r="C30" s="119">
        <f>+C18+C24</f>
        <v>894043972</v>
      </c>
      <c r="D30" s="119">
        <f>+D18+D24</f>
        <v>872277378</v>
      </c>
      <c r="E30" s="119">
        <f>+E18+E24</f>
        <v>1000890739</v>
      </c>
      <c r="F30" s="57" t="s">
        <v>300</v>
      </c>
      <c r="G30" s="119">
        <f>SUM(G18:G29)</f>
        <v>0</v>
      </c>
      <c r="H30" s="119">
        <f>SUM(H18:H29)</f>
        <v>0</v>
      </c>
      <c r="I30" s="147">
        <f>SUM(I18:I29)</f>
        <v>0</v>
      </c>
      <c r="J30" s="778"/>
    </row>
    <row r="31" spans="1:10" ht="13.5" thickBot="1">
      <c r="A31" s="129" t="s">
        <v>31</v>
      </c>
      <c r="B31" s="135" t="s">
        <v>301</v>
      </c>
      <c r="C31" s="330">
        <f>+C17+C30</f>
        <v>925543972</v>
      </c>
      <c r="D31" s="330">
        <f>+D17+D30</f>
        <v>1070564922</v>
      </c>
      <c r="E31" s="331">
        <f>+E17+E30</f>
        <v>1205291606</v>
      </c>
      <c r="F31" s="135" t="s">
        <v>302</v>
      </c>
      <c r="G31" s="330">
        <f>+G17+G30</f>
        <v>925543972</v>
      </c>
      <c r="H31" s="330">
        <f>+H17+H30</f>
        <v>1070564922</v>
      </c>
      <c r="I31" s="331">
        <f>+I17+I30</f>
        <v>141907624</v>
      </c>
      <c r="J31" s="778"/>
    </row>
    <row r="32" spans="1:10" ht="13.5" thickBot="1">
      <c r="A32" s="129" t="s">
        <v>32</v>
      </c>
      <c r="B32" s="135" t="s">
        <v>110</v>
      </c>
      <c r="C32" s="330">
        <f>IF(C17-G17&lt;0,G17-C17,"-")</f>
        <v>894043972</v>
      </c>
      <c r="D32" s="330">
        <f>IF(D17-H17&lt;0,H17-D17,"-")</f>
        <v>872277378</v>
      </c>
      <c r="E32" s="331" t="str">
        <f>IF(E17-I17&lt;0,I17-E17,"-")</f>
        <v>-</v>
      </c>
      <c r="F32" s="135" t="s">
        <v>111</v>
      </c>
      <c r="G32" s="330" t="str">
        <f>IF(C17-G17&gt;0,C17-G17,"-")</f>
        <v>-</v>
      </c>
      <c r="H32" s="330" t="str">
        <f>IF(D17-H17&gt;0,D17-H17,"-")</f>
        <v>-</v>
      </c>
      <c r="I32" s="331">
        <f>IF(E17-I17&gt;0,E17-I17,"-")</f>
        <v>62493243</v>
      </c>
      <c r="J32" s="778"/>
    </row>
    <row r="33" spans="1:10" ht="13.5" thickBot="1">
      <c r="A33" s="129" t="s">
        <v>33</v>
      </c>
      <c r="B33" s="135" t="s">
        <v>501</v>
      </c>
      <c r="C33" s="330" t="str">
        <f>IF(C31-G31&lt;0,G31-C31,"-")</f>
        <v>-</v>
      </c>
      <c r="D33" s="330" t="str">
        <f>IF(D31-H31&lt;0,H31-D31,"-")</f>
        <v>-</v>
      </c>
      <c r="E33" s="330" t="str">
        <f>IF(E31-I31&lt;0,I31-E31,"-")</f>
        <v>-</v>
      </c>
      <c r="F33" s="135" t="s">
        <v>502</v>
      </c>
      <c r="G33" s="330" t="str">
        <f>IF(C31-G31&gt;0,C31-G31,"-")</f>
        <v>-</v>
      </c>
      <c r="H33" s="330" t="str">
        <f>IF(D31-H31&gt;0,D31-H31,"-")</f>
        <v>-</v>
      </c>
      <c r="I33" s="330">
        <f>IF(E31-I31&gt;0,E31-I31,"-")</f>
        <v>1063383982</v>
      </c>
      <c r="J33" s="778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PENZUGY03</cp:lastModifiedBy>
  <cp:lastPrinted>2019-05-22T13:09:30Z</cp:lastPrinted>
  <dcterms:created xsi:type="dcterms:W3CDTF">1999-10-30T10:30:45Z</dcterms:created>
  <dcterms:modified xsi:type="dcterms:W3CDTF">2019-05-22T13:16:33Z</dcterms:modified>
  <cp:category/>
  <cp:version/>
  <cp:contentType/>
  <cp:contentStatus/>
</cp:coreProperties>
</file>