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45" windowWidth="5940" windowHeight="5415" tabRatio="598" firstSheet="12" activeTab="18"/>
  </bookViews>
  <sheets>
    <sheet name="bor." sheetId="1" r:id="rId1"/>
    <sheet name="1.mell. -mérleg" sheetId="2" r:id="rId2"/>
    <sheet name="2.mell - bevétel" sheetId="3" r:id="rId3"/>
    <sheet name="3.mell. - bevét.Köá" sheetId="4" r:id="rId4"/>
    <sheet name="4.mell. - kiadás" sheetId="5" r:id="rId5"/>
    <sheet name="5.mell. - kiadás.köá." sheetId="6" r:id="rId6"/>
    <sheet name="6.mell - átadások" sheetId="7" r:id="rId7"/>
    <sheet name="7.mell. - ellátottak jutt." sheetId="8" r:id="rId8"/>
    <sheet name="8.mell. - beruházások" sheetId="9" r:id="rId9"/>
    <sheet name="9.mell.-felújítások" sheetId="10" r:id="rId10"/>
    <sheet name="10.mell. - közgazd.mérleg" sheetId="11" r:id="rId11"/>
    <sheet name="11.mell. -ei.felh.ütemt." sheetId="12" r:id="rId12"/>
    <sheet name="12.mell. -részesedések" sheetId="13" r:id="rId13"/>
    <sheet name="13.mell. -kezesség" sheetId="14" r:id="rId14"/>
    <sheet name="14.mell. - uniós" sheetId="15" r:id="rId15"/>
    <sheet name="15.mell.- közvetett" sheetId="16" r:id="rId16"/>
    <sheet name="16.mell.-középtávú" sheetId="17" r:id="rId17"/>
    <sheet name="17.mell." sheetId="18" r:id="rId18"/>
    <sheet name="18,mell." sheetId="19" r:id="rId19"/>
  </sheets>
  <externalReferences>
    <externalReference r:id="rId22"/>
  </externalReferences>
  <definedNames>
    <definedName name="_xlnm.Print_Titles" localSheetId="2">'2.mell - bevétel'!$8:$10</definedName>
    <definedName name="_xlnm.Print_Area" localSheetId="2">'2.mell - bevétel'!$A$1:$I$115</definedName>
  </definedNames>
  <calcPr fullCalcOnLoad="1"/>
</workbook>
</file>

<file path=xl/sharedStrings.xml><?xml version="1.0" encoding="utf-8"?>
<sst xmlns="http://schemas.openxmlformats.org/spreadsheetml/2006/main" count="953" uniqueCount="531">
  <si>
    <t>Megnevezés</t>
  </si>
  <si>
    <t>Ft</t>
  </si>
  <si>
    <t>Összesen:</t>
  </si>
  <si>
    <t>létszám</t>
  </si>
  <si>
    <t>Sitke község Önkormányzata</t>
  </si>
  <si>
    <t>( e Ft-ban)</t>
  </si>
  <si>
    <t>e Ft</t>
  </si>
  <si>
    <t>állandó</t>
  </si>
  <si>
    <t>juttatások</t>
  </si>
  <si>
    <t>előirányzat</t>
  </si>
  <si>
    <t>tervezett előirányzat</t>
  </si>
  <si>
    <t>Részvények, részesedések</t>
  </si>
  <si>
    <t>25% alatti részesedés:</t>
  </si>
  <si>
    <t>VASI-VÍZ Rt.</t>
  </si>
  <si>
    <t>Részesedések, részvények mindösszesen:</t>
  </si>
  <si>
    <t>tervezett</t>
  </si>
  <si>
    <t>változás</t>
  </si>
  <si>
    <t>M  e  g  n  e  v  e  z  é  s:</t>
  </si>
  <si>
    <t>%-a</t>
  </si>
  <si>
    <t>MŰKÖDÉSI BEVÉTELEK ÖSSZESEN:</t>
  </si>
  <si>
    <t>részvényei, részesedései, értékpapírjai</t>
  </si>
  <si>
    <t>Citerazenekar támogatása</t>
  </si>
  <si>
    <t>2.</t>
  </si>
  <si>
    <t>Kistérségi tagsági díj</t>
  </si>
  <si>
    <t>Eseti társadalom, szociálpolitikai és egyéb társadalombiztosítási</t>
  </si>
  <si>
    <t>juttatások összesen:</t>
  </si>
  <si>
    <t>Működési célú szociális támogatások összesen:</t>
  </si>
  <si>
    <t>Társadalom-, szociálispolitikai és egyéb társadalom-</t>
  </si>
  <si>
    <t>biztosítási juttatások mindösszesen:</t>
  </si>
  <si>
    <t>Háziorvosi alapellátás</t>
  </si>
  <si>
    <t>Civil szervezetek működési támogatása</t>
  </si>
  <si>
    <t>Köztemető-fenntartás és működtetés</t>
  </si>
  <si>
    <t>Könyvtári szolgáltatások</t>
  </si>
  <si>
    <t>Bevételei forrásonként</t>
  </si>
  <si>
    <t xml:space="preserve">Sitke község Önkormányzata   </t>
  </si>
  <si>
    <t>Társadalom-, szociálpolitikai  és egyéb társadalombiztosítási kiadásai</t>
  </si>
  <si>
    <t>SITKE KÖZSÉG ÖNKORMÁNYZATA</t>
  </si>
  <si>
    <t>sor-</t>
  </si>
  <si>
    <t>szám</t>
  </si>
  <si>
    <t>1.</t>
  </si>
  <si>
    <t>3.</t>
  </si>
  <si>
    <t xml:space="preserve">Tekeszakosztály 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</si>
  <si>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</si>
  <si>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</si>
  <si>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</si>
  <si>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</si>
  <si>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</si>
  <si>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</si>
  <si>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</si>
  <si>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</si>
  <si>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</si>
  <si>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</si>
  <si>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</si>
  <si>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VII.</t>
  </si>
  <si>
    <t>2018.                                     év</t>
  </si>
  <si>
    <t>2019.                                     év</t>
  </si>
  <si>
    <t>összesen</t>
  </si>
  <si>
    <t>Megnevezése, fajtája, száma</t>
  </si>
  <si>
    <t>Sitkei  Viziközmű Társulat által felvett hitel</t>
  </si>
  <si>
    <t>formája: készfizető kezsségvállalás</t>
  </si>
  <si>
    <t>devizaneme:       Ft</t>
  </si>
  <si>
    <t>futamideje:        2012-2019</t>
  </si>
  <si>
    <t>kezességvállalás összesen:</t>
  </si>
  <si>
    <t>KÖZHATALMI BEVÉTELEK ÖSSZESEN:</t>
  </si>
  <si>
    <t>vendégebéd térítési díja</t>
  </si>
  <si>
    <t>működési kiadások</t>
  </si>
  <si>
    <t>felhalmozási kiadások</t>
  </si>
  <si>
    <t>felújítások</t>
  </si>
  <si>
    <t>Labdarugó Szakosztály támogatása</t>
  </si>
  <si>
    <t xml:space="preserve">Tanévkezdési támogatás </t>
  </si>
  <si>
    <t>szociális étkeztetés térítési díja</t>
  </si>
  <si>
    <t>táborozás támogatása</t>
  </si>
  <si>
    <t>talajterhelési díj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</si>
  <si>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</si>
  <si>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</si>
  <si>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</si>
  <si>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</si>
  <si>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</si>
  <si>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</si>
  <si>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</si>
  <si>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</si>
  <si>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</si>
  <si>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</si>
  <si>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</si>
  <si>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</si>
  <si>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</si>
  <si>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</si>
  <si>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</si>
  <si>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</si>
  <si>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</si>
  <si>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szociális és gyermekjóléti feladatok támogatása</t>
  </si>
  <si>
    <t>4.</t>
  </si>
  <si>
    <t>5.</t>
  </si>
  <si>
    <t>Gyermekétkeztetés támogatása</t>
  </si>
  <si>
    <t>Települési önkormányzatok szociális, gyermekjóléti és gyermekétkeztetési feladatainak támogatása összesen: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</si>
  <si>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</si>
  <si>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</si>
  <si>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</si>
  <si>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</si>
  <si>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üdülőhelyi feladatok támogatása</t>
  </si>
  <si>
    <t>Helyi önkormányzatok  működésének  általános támogatása összesen:</t>
  </si>
  <si>
    <t>MŰKÖDÉSI CÉLÚ TÁMOGATÁSOK ÁLLAMHÁZTARTÁSON BELÜLRŐL ÖSSZESEN:</t>
  </si>
  <si>
    <t>FELHALMOZÁSI CÉLÚ TÁMOGATÁSOK ÁLLAMHÁZTARTÁSON BELÜLRŐL</t>
  </si>
  <si>
    <t>KÖZHATALMI BEVÉTELEK</t>
  </si>
  <si>
    <t>Vagyoni típusú adók</t>
  </si>
  <si>
    <t>Magánszemélyek kommunális adója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</si>
  <si>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</si>
  <si>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</si>
  <si>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</si>
  <si>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</si>
  <si>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</si>
  <si>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</si>
  <si>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</si>
  <si>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</si>
  <si>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Helyi adópótlék, adóbírság</t>
  </si>
  <si>
    <t xml:space="preserve">IV. 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</si>
  <si>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</si>
  <si>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</si>
  <si>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</si>
  <si>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</si>
  <si>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</si>
  <si>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</si>
  <si>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közterületfogalási díjak</t>
  </si>
  <si>
    <t>földbéreleti díjak</t>
  </si>
  <si>
    <t>Tulajdonosi bevételek</t>
  </si>
  <si>
    <t>szennyvízcsatornahasználati díj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</si>
  <si>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</si>
  <si>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</si>
  <si>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</si>
  <si>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</si>
  <si>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</si>
  <si>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FELHALMOZÁSI CÉLÚ ÁTVETT PÉNZESZKÖZÖK</t>
  </si>
  <si>
    <t>Első lakáshoz jutók lakásépítési és -vásárlási kölcsönének törlesztése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</si>
  <si>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</si>
  <si>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</si>
  <si>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</si>
  <si>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</si>
  <si>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</si>
  <si>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BEVÉTELEK ÖSSZESEN:</t>
  </si>
  <si>
    <t>lakott külterülettel kapcsolatos feladatok</t>
  </si>
  <si>
    <t>e.</t>
  </si>
  <si>
    <t>Pénzbeni szociális ellátások kiegészítése</t>
  </si>
  <si>
    <t>Települési önkormányzatok szociális feladatainak egyéb támogatása</t>
  </si>
  <si>
    <t>egyéb szolgáltatások nyújtása miatti bevételek</t>
  </si>
  <si>
    <t>KIADÁSAI KIEMELT ELŐIRÁNYZATONKÉNT ÉS KORMÁNYZATI FUNKCIÓNKÉNT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</si>
  <si>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</si>
  <si>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</si>
  <si>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</si>
  <si>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</si>
  <si>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</si>
  <si>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</si>
  <si>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</si>
  <si>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</si>
  <si>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</si>
  <si>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</si>
  <si>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</si>
  <si>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</si>
  <si>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hitel- törlesztés</t>
  </si>
  <si>
    <t>részesedés vásárlása</t>
  </si>
  <si>
    <t>nyitó</t>
  </si>
  <si>
    <t>záró</t>
  </si>
  <si>
    <t>(fő)</t>
  </si>
  <si>
    <t>011130</t>
  </si>
  <si>
    <t>Önkormányzatok és önkormányzati hivatalok jogalkotó és általános igazgatási tevékenysége</t>
  </si>
  <si>
    <t>013320</t>
  </si>
  <si>
    <t>013350</t>
  </si>
  <si>
    <t>Önkormányzati vagyonnal való gazdálkodással kapcsolatos feladatok</t>
  </si>
  <si>
    <t>051030</t>
  </si>
  <si>
    <t>Nem veszélyes (települési) hulladék vegyes (ömlesztett ) begyűjtése, szállítása, átrakás</t>
  </si>
  <si>
    <t>052080</t>
  </si>
  <si>
    <t>Szennyvízcsatorna építése, fenntartása, üzemeltetése</t>
  </si>
  <si>
    <t>061030</t>
  </si>
  <si>
    <t>Lakáshoz jutást segítő támogatások</t>
  </si>
  <si>
    <t>064010</t>
  </si>
  <si>
    <t>Közvilágítás</t>
  </si>
  <si>
    <t>066010</t>
  </si>
  <si>
    <t>Zöldterület-kezelés</t>
  </si>
  <si>
    <t>066020</t>
  </si>
  <si>
    <t>Város- és községgazdálkodási egyéb szolgáltatások</t>
  </si>
  <si>
    <t>072111</t>
  </si>
  <si>
    <t>081041</t>
  </si>
  <si>
    <t>Versenysport és utánpótlás-nevelési tevékenység és támogatása</t>
  </si>
  <si>
    <t>082044</t>
  </si>
  <si>
    <t>084031</t>
  </si>
  <si>
    <t>094260</t>
  </si>
  <si>
    <t>Hallgatói és oktatói ösztöndíjak, egyéb juttatások</t>
  </si>
  <si>
    <t>107051</t>
  </si>
  <si>
    <t>Házi segítségnyújtás</t>
  </si>
  <si>
    <t>Egyéb szociális természetbeni és pénzbeni ellátások</t>
  </si>
  <si>
    <t>EGYÉB MŰKÖDÉSI KIADÁSOK</t>
  </si>
  <si>
    <t>EGYÉB MŰKÖDÉSI CÉLÚ TÁMOGATÁSOK ÁLLAMHÁZTARTÁSON BELÜLRE</t>
  </si>
  <si>
    <t>EGYÉB MŰKÖDÉSI CÉLÚ TÁMOGATÁSOK ÁLLAMHÁZTARTÁSON BELÜLRE ÖSSZESEN:</t>
  </si>
  <si>
    <t>EGYÉB MŰKÖDÉSI CÉLÚ TÁMOGATÁSOK ÁLLAMHÁZTARTÁSON KÍVÜLRE</t>
  </si>
  <si>
    <t>EGYÉB MŰKÖDÉSI CÉLÚ TÁMOGATÁSOK ÁLLAMHÁZTARTÁSON KÍVÜLRE ÖSSZESEN:</t>
  </si>
  <si>
    <t>EGYÉB MŰKÖDÉSI KIADÁSOK ÖSSZESEN:</t>
  </si>
  <si>
    <t>Működési célú átvett pénzeszközök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</si>
  <si>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</si>
  <si>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</si>
  <si>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</si>
  <si>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</si>
  <si>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</si>
  <si>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</si>
  <si>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</si>
  <si>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</si>
  <si>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</si>
  <si>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Egyéb felhalmozási kiadások</t>
  </si>
  <si>
    <t>16.</t>
  </si>
  <si>
    <t>17.</t>
  </si>
  <si>
    <t>18.</t>
  </si>
  <si>
    <t>Finanszírozási kiadások összesen:</t>
  </si>
  <si>
    <t>Önkormányzat bevételei mindösszesen:</t>
  </si>
  <si>
    <t>Önkormányzat kiadásai mindösszesen:</t>
  </si>
  <si>
    <t>Egyéb felhalmozási kiadások államháztartáson kívülre</t>
  </si>
  <si>
    <t>Első lakáshoz jutók lakásépítésének és -vásárlásnak viszza nem térítendő támogatása</t>
  </si>
  <si>
    <t>Egyéb felhalmozási kiadások államháztartáson kívülre összesen:</t>
  </si>
  <si>
    <t>Sitke község Önkormányzta</t>
  </si>
  <si>
    <t>Kezességvállalások állománya</t>
  </si>
  <si>
    <t>mértéke: lakossági érdekeltségi hozzájárulás együttes összegének 20 %-a,  induláskor 11.322.424 Ft</t>
  </si>
  <si>
    <t>KÖTELEZŐ, ÖNKÉNT VÁLLALT ÉS ÁLLAMI (ÁLLAMIGAZGATÁSI) FELADATAINAK BEVÉTELEI</t>
  </si>
  <si>
    <t>bevétel                                        összesen:</t>
  </si>
  <si>
    <t>ebből:</t>
  </si>
  <si>
    <t>kötelező</t>
  </si>
  <si>
    <t>önként vállalt</t>
  </si>
  <si>
    <t>állami (államigazgatási)</t>
  </si>
  <si>
    <t>feladatok</t>
  </si>
  <si>
    <t>018010</t>
  </si>
  <si>
    <t>Önkormányzatok elszámolásai a központi költségvetéssel</t>
  </si>
  <si>
    <t>096015</t>
  </si>
  <si>
    <t>Gyermekétkeztetés köznevelési intézményben</t>
  </si>
  <si>
    <t>096025</t>
  </si>
  <si>
    <t>Munkahelyi étkeztetés köznevelési intézményekben</t>
  </si>
  <si>
    <t>Önkormányzatok funkcióra nem sorolható bevételei államháztartáson kívülről</t>
  </si>
  <si>
    <t>egyéb felhalmozási kiadások</t>
  </si>
  <si>
    <t>felhalmozási kiadások összesen:</t>
  </si>
  <si>
    <t>finanszírozá- si kiadások összesen:</t>
  </si>
  <si>
    <t>Összesen</t>
  </si>
  <si>
    <t>KÖTELEZŐ, ÖNKÉNT VÁLLALT ÉS ÁLLAMI (ÁLLAMIGAZGATÁSI) FELADATAINAK KIADÁSAI</t>
  </si>
  <si>
    <t>kiadás                                       összesen:</t>
  </si>
  <si>
    <t xml:space="preserve">SITKE KÖZSÉG ÖNKORMÁNYZATA   </t>
  </si>
  <si>
    <t>BERUHÁZÁSOK ÉS FELHALMOZÁSI KIADÁSOK</t>
  </si>
  <si>
    <t>M e g n e v e z é s:</t>
  </si>
  <si>
    <t>Előzetesen felszámított általános forgalmi adó</t>
  </si>
  <si>
    <t>BERUHÁZÁSOK ÖSSZESEN:</t>
  </si>
  <si>
    <t>ELŐIRÁNYZAT-FELHASZNÁLÁSI ÜTEMTERVE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</si>
  <si>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</si>
  <si>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</si>
  <si>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</si>
  <si>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</si>
  <si>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</si>
  <si>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</si>
  <si>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</si>
  <si>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</si>
  <si>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</si>
  <si>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</si>
  <si>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</si>
  <si>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</si>
  <si>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</si>
  <si>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</si>
  <si>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</si>
  <si>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</si>
  <si>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</si>
  <si>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</si>
  <si>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</si>
  <si>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</si>
  <si>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</si>
  <si>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</si>
  <si>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</si>
  <si>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</si>
  <si>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évi pénzmaradvány igénybevétele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</si>
  <si>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</si>
  <si>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</si>
  <si>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</si>
  <si>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</si>
  <si>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</si>
  <si>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</si>
  <si>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</si>
  <si>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</si>
  <si>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</si>
  <si>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</si>
  <si>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</si>
  <si>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</si>
  <si>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</si>
  <si>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</si>
  <si>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</si>
  <si>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Szociális étkeztetés (889921)</t>
  </si>
  <si>
    <t>107052</t>
  </si>
  <si>
    <t>Gyermekvédelmi pénzbeni és természetbeni ellátások</t>
  </si>
  <si>
    <t>lakhatáshoz kapcsolódó rendszeres kiadások viseléséhez nyújtható települési támogatás</t>
  </si>
  <si>
    <t>rendkívüli települési támogatás</t>
  </si>
  <si>
    <t>újszülöttek támogatása</t>
  </si>
  <si>
    <t>Rendszeres gyermekvédelmi kedvezményben részesülők részére Erzsébet utalvány</t>
  </si>
  <si>
    <t xml:space="preserve">EURÓPAI UNIÓS TÁMOGATÁSOKBÓL FINANSZÍROZOTT PROJEKTEK FORRÁSÖSSZETÉTELE </t>
  </si>
  <si>
    <t>Sor- szám</t>
  </si>
  <si>
    <t>Projekt  megnevezése</t>
  </si>
  <si>
    <t>támoga- tás mértéke  %</t>
  </si>
  <si>
    <t>saját erőforrás</t>
  </si>
  <si>
    <t>támogatás</t>
  </si>
  <si>
    <t>Mindösszesen</t>
  </si>
  <si>
    <t>saját erő</t>
  </si>
  <si>
    <t>bekerülési költség</t>
  </si>
  <si>
    <t>összesen:</t>
  </si>
  <si>
    <t>2014.</t>
  </si>
  <si>
    <t>2015.</t>
  </si>
  <si>
    <t>Mikrobusz beszerzése (vidéki gazdaság és lakosság számára nyújtott alapszolgáltatások fejlesztése)</t>
  </si>
  <si>
    <t>KÖZVETETT TÁMOGATÁSOK</t>
  </si>
  <si>
    <t>A. helyi adónál biztosított közvetett támogatások</t>
  </si>
  <si>
    <t>A támogatás kedvezményezettje</t>
  </si>
  <si>
    <t xml:space="preserve">Adóelengedés </t>
  </si>
  <si>
    <t>Adókedvezmény</t>
  </si>
  <si>
    <t xml:space="preserve">Egyéb </t>
  </si>
  <si>
    <t>Összesen  e Ft</t>
  </si>
  <si>
    <t xml:space="preserve">jogcíme </t>
  </si>
  <si>
    <t>mértéke</t>
  </si>
  <si>
    <t>összege</t>
  </si>
  <si>
    <t>jogcíme</t>
  </si>
  <si>
    <t xml:space="preserve">összege </t>
  </si>
  <si>
    <t>(jellege)</t>
  </si>
  <si>
    <t>%</t>
  </si>
  <si>
    <t>állandó lakás céljára ténylegesen használt ingatlan adóalanya</t>
  </si>
  <si>
    <t>magánsz. kommunális adója</t>
  </si>
  <si>
    <t xml:space="preserve"> 2. Méltányossági eljárás</t>
  </si>
  <si>
    <t xml:space="preserve"> - fizetési halasztás</t>
  </si>
  <si>
    <t xml:space="preserve"> - részletfizetés</t>
  </si>
  <si>
    <t xml:space="preserve"> - elengedés</t>
  </si>
  <si>
    <t xml:space="preserve"> összesen:</t>
  </si>
  <si>
    <t>2. Gépjárműadó</t>
  </si>
  <si>
    <t>súlyos mozgáskorlátozottak</t>
  </si>
  <si>
    <t>Gjt. 5.§. f. pont</t>
  </si>
  <si>
    <t>adóalanyok</t>
  </si>
  <si>
    <t>Gjt. 6.§.(3) bek.</t>
  </si>
  <si>
    <t>B. Egyéb közvetett támogatások</t>
  </si>
  <si>
    <t>1.helyiségek, eszközök hasznosításából származó bevételekből nyújtott kedvezmény mentesség összege</t>
  </si>
  <si>
    <t>kedvezmény jogcíme</t>
  </si>
  <si>
    <t>havi kedvezmény                                   (Ft)</t>
  </si>
  <si>
    <t>éves kedvezmény              (e Ft)</t>
  </si>
  <si>
    <t>összesen                  (e Ft)</t>
  </si>
  <si>
    <t>magánszemély</t>
  </si>
  <si>
    <t>-</t>
  </si>
  <si>
    <t>2. lakosság részére lakásépítéshez, lakásfelújításhoz nyújtott kölcsönök elengedésének összege</t>
  </si>
  <si>
    <t>havi kedvezmény                                        (Ft)</t>
  </si>
  <si>
    <t>magánszemélyek</t>
  </si>
  <si>
    <t>gyermekkedvezmény</t>
  </si>
  <si>
    <t>3. ellátottak térítési díjának, illetve kártérítésének méltányossági alapon történő elengedésének összege</t>
  </si>
  <si>
    <t>térítési díj elengedése</t>
  </si>
  <si>
    <t>4. egyéb nyújtott kedvezmény vagy kölcsön elengedésének összege</t>
  </si>
  <si>
    <t>Sitke község Önkormányzata saját bevételeinek, valamint az adósságot keletkeztető ügyleteiből eredő</t>
  </si>
  <si>
    <t>fizetési kötelezettségeinek bemutatása</t>
  </si>
  <si>
    <t>megnevezés</t>
  </si>
  <si>
    <t>Saját bevétel és adósságot keletkeztető ügyletből eredő fizetési kötelezettség összegei</t>
  </si>
  <si>
    <t>év</t>
  </si>
  <si>
    <t>bírság-, pótlék- és díjbevétel</t>
  </si>
  <si>
    <t>önkormányzat saját bevételei:</t>
  </si>
  <si>
    <t>saját bevételek  50 %-a</t>
  </si>
  <si>
    <t>fizetési kötelezettség összesen</t>
  </si>
  <si>
    <t>Fizetési kötelezettséggel csökkentett saját bevétel összege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</si>
  <si>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</si>
  <si>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</si>
  <si>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</si>
  <si>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</si>
  <si>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kezesség-, illetve garanciavállalással kapcsolatos megtérülés</t>
  </si>
  <si>
    <t>hitel, kölcsön felvétele, átvállalása a folyósítás, átvállalás napjától a végtörlesztés napjáig, és annak aktuális tőketartozása</t>
  </si>
  <si>
    <t> számvitelről szóló törvény szerinti hitelviszonyt megtestesítő értékpapír forgalomba hozatala a forgalomba hozatal napjától a beváltás napjáig</t>
  </si>
  <si>
    <t> váltó kibocsátása a kibocsátás napjától a beváltás napjáig</t>
  </si>
  <si>
    <t>Szt. szerint pénzügyi lízing lízingbevevői félként történő megkötése a lízing futamideje alatt,</t>
  </si>
  <si>
    <t xml:space="preserve">vissz visszavásárlási kötelezettség kikötésével megkötött adásvételi szerződés eladói félként történő megkötése avásárlási kötelezettség kikötésével megkötött adásvételi szerződés </t>
  </si>
  <si>
    <t>szerződésben kapott, legalább háromszázhatvanöt nap időtartamú halasztott fizetés, részletfizetés</t>
  </si>
  <si>
    <t>hitelintézetek által, származékos műveletek különbözeteként az Államadósság Kezelő Központ Zrt.-nél  elhelyezett fedezeti betétek</t>
  </si>
  <si>
    <t>költségvetése</t>
  </si>
  <si>
    <t>Munkahelyi étk.köznev.int. (562920) (Vendég)</t>
  </si>
  <si>
    <t>Áht-n belüli megelőlegezések visszafizetése</t>
  </si>
  <si>
    <t>082092</t>
  </si>
  <si>
    <t>Közművelődés - Hagyományos közösségi, kulturális értékek gondozása</t>
  </si>
  <si>
    <t>082093</t>
  </si>
  <si>
    <t>Közművelődés - Amatőr művészetek</t>
  </si>
  <si>
    <t>Munkahelyi étk.közn. Int.  (562920) ( Vendég)</t>
  </si>
  <si>
    <t>052020</t>
  </si>
  <si>
    <t>Szennyvíz gyűjtése, tisztítása, elhelyezése</t>
  </si>
  <si>
    <t>Közművelődés -Hagyományos közösségi, kulturális értékek gondozása</t>
  </si>
  <si>
    <t>0820093</t>
  </si>
  <si>
    <t>Közművelődés - amatőr művészetek</t>
  </si>
  <si>
    <t xml:space="preserve"> egyéb működési és felhalmozási kiadásai</t>
  </si>
  <si>
    <t>Egyéb gép, berendezés, felszerelés beszerzése</t>
  </si>
  <si>
    <t>082044Könyvtári szolgáltatások</t>
  </si>
  <si>
    <t>Könyvtári infrastruktúra fejlesztés támogatása, eszközbeszerzés</t>
  </si>
  <si>
    <t>-Áht-n belüli megelőlegezések visszafizetése</t>
  </si>
  <si>
    <t>FELÚJÍTÁSI KIADÁSOK</t>
  </si>
  <si>
    <t xml:space="preserve">Összesen: </t>
  </si>
  <si>
    <t>FELÚJÍTÁSOK ÖSSZESEN:</t>
  </si>
  <si>
    <t>Felújítási célú előzetesen felszámított le nem vonható általános forgalmi adóra</t>
  </si>
  <si>
    <t>költségvetési szerv,társadalmi szervezet</t>
  </si>
  <si>
    <t>Gjt.5.§.a.-b. pont</t>
  </si>
  <si>
    <t>( Ft-ban)</t>
  </si>
  <si>
    <t>kiegészítés - I.1. jogcímhez kapcsolódóan</t>
  </si>
  <si>
    <t>sorszám</t>
  </si>
  <si>
    <t>(Ft-ban)</t>
  </si>
  <si>
    <t>018030</t>
  </si>
  <si>
    <t>Támogatási célú finanszírozási műveletek</t>
  </si>
  <si>
    <t>045160</t>
  </si>
  <si>
    <t>Közutak, hidak, alagutak üzemeltetése, fenntartása</t>
  </si>
  <si>
    <t>Egyéb különféle működési bevételek</t>
  </si>
  <si>
    <t>21.</t>
  </si>
  <si>
    <t>22.</t>
  </si>
  <si>
    <t>23.</t>
  </si>
  <si>
    <t>24.</t>
  </si>
  <si>
    <t>25.</t>
  </si>
  <si>
    <t>26.</t>
  </si>
  <si>
    <t>27.</t>
  </si>
  <si>
    <t>Sorszám</t>
  </si>
  <si>
    <t>(  Ft-ban)</t>
  </si>
  <si>
    <t>megelőlegezett állami támogatás igénybevétele</t>
  </si>
  <si>
    <t>1.1.</t>
  </si>
  <si>
    <t>1.1.1.</t>
  </si>
  <si>
    <t>1.1.2.</t>
  </si>
  <si>
    <t>3.1.</t>
  </si>
  <si>
    <t>28.</t>
  </si>
  <si>
    <t>1. Magánszemélyek kommunális adója</t>
  </si>
  <si>
    <t>2016.</t>
  </si>
  <si>
    <t>Egyéb építmény felújítása</t>
  </si>
  <si>
    <t>(  Ft-ban )</t>
  </si>
  <si>
    <t xml:space="preserve"> 011130 Önkormányzatok és önk. hivatalok jogalkotó és ált. igaztatási tevékenysége</t>
  </si>
  <si>
    <t>2.1.</t>
  </si>
  <si>
    <t>Bursa Hungarica ösztöndíj pályázat  támogatása</t>
  </si>
  <si>
    <t>2018. 01.01-től</t>
  </si>
  <si>
    <t>2021.</t>
  </si>
  <si>
    <t>Polgármesteri illetmény támogatása</t>
  </si>
  <si>
    <t>A finanszírozás szempontjából elismert dolgozók bértámogatása</t>
  </si>
  <si>
    <t>Gyermekétkeztetés üzemeltetési támogatása</t>
  </si>
  <si>
    <t>Gjt. 6.§.(2) bek.</t>
  </si>
  <si>
    <t>Gjt. 6.§.(4) bek.</t>
  </si>
  <si>
    <t>041233</t>
  </si>
  <si>
    <t>Hosszabb időtartamú közfoglalkoztatás</t>
  </si>
  <si>
    <t>Sitke Község Önkormányzat összesen</t>
  </si>
  <si>
    <t>29.</t>
  </si>
  <si>
    <t>30.</t>
  </si>
  <si>
    <t>Sitke Önkormányzati Konyha összesen:</t>
  </si>
  <si>
    <t>Mindösszesen:</t>
  </si>
  <si>
    <t>Sitke község önkormányzata összesen:</t>
  </si>
  <si>
    <t xml:space="preserve">Szociális étkeztetés </t>
  </si>
  <si>
    <t>Munkahelyi étkeztetés köznevelési int. (vendég)</t>
  </si>
  <si>
    <t>Házi segítség nyújtás ellátására Sárvár Város Önkormányzattal kötött szerződés alapján fizetendő támogatás</t>
  </si>
  <si>
    <t>1.1.4.</t>
  </si>
  <si>
    <t xml:space="preserve">SITKE KÖZSÉG ÖNKORMÁNYZATA  </t>
  </si>
  <si>
    <t>BEVÉTELEINEK KÖLTSÉGVETÉSI SZERVENKÉNTI ALAKULÁSA</t>
  </si>
  <si>
    <t xml:space="preserve"> Ft-ban </t>
  </si>
  <si>
    <t>SORSZÁM</t>
  </si>
  <si>
    <t xml:space="preserve"> bevételek összesen: </t>
  </si>
  <si>
    <t xml:space="preserve"> működési bevételek </t>
  </si>
  <si>
    <t xml:space="preserve"> felhalmozási bevételek </t>
  </si>
  <si>
    <t xml:space="preserve"> finanszírozási bevételek </t>
  </si>
  <si>
    <t xml:space="preserve"> működési támogatások államháztartáson belülről </t>
  </si>
  <si>
    <t xml:space="preserve"> közhatalmi bevételek </t>
  </si>
  <si>
    <t xml:space="preserve"> működési célú átvett pénz-    eszközök </t>
  </si>
  <si>
    <t xml:space="preserve"> működési bevételek összesen </t>
  </si>
  <si>
    <t xml:space="preserve"> felhalmozási támogatások államháztar- táson belülről </t>
  </si>
  <si>
    <t xml:space="preserve"> felhalmozási bevételek összesen </t>
  </si>
  <si>
    <t xml:space="preserve"> előző évi költségvetési  maradvány igénybevétele </t>
  </si>
  <si>
    <t xml:space="preserve"> központi, irányító szervi támogatás </t>
  </si>
  <si>
    <t>Sitke Község Önkormányzata</t>
  </si>
  <si>
    <t>Sitkei önkormányzati Konyha</t>
  </si>
  <si>
    <t>ÖSSZESEN:</t>
  </si>
  <si>
    <t xml:space="preserve"> felhalmozási célú átvett pénzeszk. </t>
  </si>
  <si>
    <t xml:space="preserve"> előirányzat     (  Ft)</t>
  </si>
  <si>
    <t>26..</t>
  </si>
  <si>
    <t>31.</t>
  </si>
  <si>
    <t>2019. év</t>
  </si>
  <si>
    <t>066020 Város - és községgazdálkodási egyéb szolgáltatások</t>
  </si>
  <si>
    <t>Műfüves pálya létesítéséhez önerő</t>
  </si>
  <si>
    <t>2022.</t>
  </si>
  <si>
    <t>felhalmozási célú visszatérítendő támogatások államháztartáson kívülről</t>
  </si>
  <si>
    <t xml:space="preserve">2. </t>
  </si>
  <si>
    <t>Felhalmozási célú egyéb átvett pénzeszközök (Kápolnáért Kultúrális és Sport Egyesület támogatása ( műfüves pálya önrészéhez)</t>
  </si>
  <si>
    <t xml:space="preserve">Sághegy Leader tagdíj </t>
  </si>
  <si>
    <t>Hímzőszakkör támogatása (2018-2019.)</t>
  </si>
  <si>
    <t>Nyugdíjas Klub ( előző évről 130.000 Ft)</t>
  </si>
  <si>
    <t>Arany János tehetséggondozó programban résztvevő támogatása</t>
  </si>
  <si>
    <t>időskorúak támogatása</t>
  </si>
  <si>
    <t>FELHALMOZÁSI CÉLÚ VISSZATÉRÍTENDŐ TÁMOGATÁSOK, KÖLCSÖNÖK NYÚJTÁSA ÁLLAMHÁZTARTÁSON KÍVÜLRE</t>
  </si>
  <si>
    <t>FELHALMOZÁSI CÉLÚ VISSZATÉRÍTENDŐ TÁMOGATÁSOK, KÖLCSÖNÖK NYÚJTÁSA ÁLLAMHÁZTARTÁSON KÍVÜLRE ÖSSZESEN:</t>
  </si>
  <si>
    <t xml:space="preserve">2020. évi </t>
  </si>
  <si>
    <t>2020. évre</t>
  </si>
  <si>
    <t>2020. év</t>
  </si>
  <si>
    <t>2020.évre</t>
  </si>
  <si>
    <t>2020.év</t>
  </si>
  <si>
    <t>(2019. december 31-i állapot szerint)</t>
  </si>
  <si>
    <t>2015-2020. év</t>
  </si>
  <si>
    <t>2021-2023. év</t>
  </si>
  <si>
    <t>Sitkei Citerazenekar Kulturális Egyesület eszközbeszerzés támogatása (pályázathoz önerő)</t>
  </si>
  <si>
    <t>Sitkei Citerazenekar Kulturális Egyesület eszközbeszerzés támogatása (pályázathoz visszatérítendő támogatás)</t>
  </si>
  <si>
    <t>Kistérséghez orvosi ügyeletre</t>
  </si>
  <si>
    <t>2023.</t>
  </si>
  <si>
    <t>Magyar Falu Program Óvodafejlesztés eszközbeszerzés</t>
  </si>
  <si>
    <t>3.2.</t>
  </si>
  <si>
    <t xml:space="preserve">Magyar Falu Program Óvodafejlesztés </t>
  </si>
  <si>
    <t>Magyar Falu Program Óvoda udvar</t>
  </si>
  <si>
    <t>1.1.3.</t>
  </si>
  <si>
    <t>TOP-2.1.-3-16 Belterületi csapadékvíz elvezetésével megvalósuló települési környezetvédelmi infrastuktúra fejlelsztése pályázathoz tervdokumentációk</t>
  </si>
  <si>
    <t>előző év költségvetési maradvány igénybevétele áthúzódó fejlesztési feladatokra</t>
  </si>
  <si>
    <t>2020. évi feladatokra</t>
  </si>
  <si>
    <t>1. melléklet  a  2/2020. (II.13.) önkormányzati rendelethez</t>
  </si>
  <si>
    <t>2. melléklet  a  2/2020. (II.13.) önkormányzati rendelethez</t>
  </si>
  <si>
    <t>3. melléklet  a  2/2020. (II.13.) önkormányzati rendelethez</t>
  </si>
  <si>
    <t>4. melléklet  a  2/2020. (II.13.) önkormányzati rendelethez</t>
  </si>
  <si>
    <t>5. melléklet  a 2/2020. (II.13.) önkormányzati rendelethez</t>
  </si>
  <si>
    <t>6. melléklet  a  2/2020. (II.13.) önkormányzati rendelethez</t>
  </si>
  <si>
    <t>7. melléklet  a  2/2020. (II.13.) önkormányzati rendelethez</t>
  </si>
  <si>
    <t>8. melléklet a 2/2020. (II.13.) önkormányzati rendelethez</t>
  </si>
  <si>
    <t>9. melléklet a 2/2020. (II.13.) sz. önkormányzati rendelethez</t>
  </si>
  <si>
    <t>10. melléklet a 2/2020. (II.13.)önkormányzati rendelethez</t>
  </si>
  <si>
    <t>11. melléklet a 2/2020. (II.13.) önkormányzati rendelethez</t>
  </si>
  <si>
    <t>12. melléklet a 2/2020. (II.13.) önkormányzati rendelethez</t>
  </si>
  <si>
    <t>13. melléklet a 2/2020. (II.13.) önkormányzati rendelethez</t>
  </si>
  <si>
    <t>14. melléklet  a  2/2020. (II.13.) önkormányzati rendelethez</t>
  </si>
  <si>
    <t>15. melléklet  a 2/2020. (II.13.) önkormányzati rendelethez</t>
  </si>
  <si>
    <t>16. melléklet  a  2/2020. (II.13.) önkormányzati rendelethez</t>
  </si>
  <si>
    <t xml:space="preserve"> 17. melléklet a 2/2020. (II.13.) önkormányzati rendelethez </t>
  </si>
  <si>
    <t xml:space="preserve"> 18. melléklet a 2/2020. (II.13.) önkormányzati rendelethez </t>
  </si>
  <si>
    <t>32.</t>
  </si>
  <si>
    <t>3.3</t>
  </si>
  <si>
    <t>Emkékparkba pad és hulladékgyűjtő beszerzése</t>
  </si>
  <si>
    <t>Egyéb működési célú támogatások bevételei államháztartáson belülről</t>
  </si>
  <si>
    <t>Idegenforgalmi adóhoz kapcsolódó kiegészítő támogatás</t>
  </si>
  <si>
    <t>Előző évi elszámolásból adódó bevétel</t>
  </si>
  <si>
    <t>3. Nyári diákmunka támogatás</t>
  </si>
  <si>
    <t>4. Vas Megyei Közgűlés Elnöki támogatása</t>
  </si>
  <si>
    <t>Egyéb működési célú támogatások bevételei államháztartáson belülről összesen:</t>
  </si>
  <si>
    <t>jóvagyott maradvány (önkormányzat)</t>
  </si>
  <si>
    <t>jóvagyott maradvány ( konyha )</t>
  </si>
  <si>
    <t>Tartalékok</t>
  </si>
  <si>
    <t>074040</t>
  </si>
  <si>
    <t>Fertőző megbetegedések megelőzése, járványügyi ellátás</t>
  </si>
  <si>
    <t>33.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</si>
</sst>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?\ _F_t_-;_-@_-"/>
    <numFmt numFmtId="178" formatCode="#,##0;[Red]#,##0"/>
    <numFmt numFmtId="179" formatCode="#,##0.0"/>
    <numFmt numFmtId="180" formatCode="[$¥€-2]\ #\ ##,000_);[Red]\([$€-2]\ #\ ##,000\)"/>
  </numFmts>
  <fonts count="73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i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double"/>
      <right style="thick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double"/>
      <right style="thick"/>
      <top style="medium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medium"/>
      <top>
        <color indexed="63"/>
      </top>
      <bottom style="medium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ck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1" borderId="7" applyNumberFormat="0" applyFont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857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4" fillId="0" borderId="0" xfId="60" applyFo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59" applyFont="1">
      <alignment/>
      <protection/>
    </xf>
    <xf numFmtId="0" fontId="12" fillId="0" borderId="0" xfId="60" applyFont="1">
      <alignment/>
      <protection/>
    </xf>
    <xf numFmtId="3" fontId="10" fillId="0" borderId="0" xfId="0" applyNumberFormat="1" applyFont="1" applyAlignment="1">
      <alignment/>
    </xf>
    <xf numFmtId="0" fontId="12" fillId="0" borderId="0" xfId="59" applyFont="1" applyBorder="1">
      <alignment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0" fontId="12" fillId="0" borderId="0" xfId="56" applyFont="1">
      <alignment/>
      <protection/>
    </xf>
    <xf numFmtId="0" fontId="4" fillId="0" borderId="0" xfId="56" applyFont="1">
      <alignment/>
      <protection/>
    </xf>
    <xf numFmtId="0" fontId="6" fillId="0" borderId="0" xfId="56" applyFont="1" applyAlignment="1">
      <alignment horizontal="centerContinuous"/>
      <protection/>
    </xf>
    <xf numFmtId="0" fontId="6" fillId="0" borderId="0" xfId="56" applyFont="1">
      <alignment/>
      <protection/>
    </xf>
    <xf numFmtId="0" fontId="14" fillId="0" borderId="0" xfId="56" applyFont="1" applyAlignment="1">
      <alignment/>
      <protection/>
    </xf>
    <xf numFmtId="41" fontId="6" fillId="0" borderId="0" xfId="56" applyNumberFormat="1" applyFont="1" applyAlignment="1">
      <alignment horizontal="centerContinuous"/>
      <protection/>
    </xf>
    <xf numFmtId="0" fontId="10" fillId="0" borderId="0" xfId="56" applyFont="1" applyAlignment="1">
      <alignment horizontal="centerContinuous"/>
      <protection/>
    </xf>
    <xf numFmtId="0" fontId="15" fillId="0" borderId="0" xfId="56" applyFont="1" applyAlignment="1">
      <alignment/>
      <protection/>
    </xf>
    <xf numFmtId="41" fontId="10" fillId="0" borderId="0" xfId="56" applyNumberFormat="1" applyFont="1" applyAlignment="1">
      <alignment horizontal="centerContinuous"/>
      <protection/>
    </xf>
    <xf numFmtId="0" fontId="11" fillId="0" borderId="0" xfId="56" applyFont="1">
      <alignment/>
      <protection/>
    </xf>
    <xf numFmtId="0" fontId="12" fillId="0" borderId="0" xfId="56" applyFont="1" applyAlignment="1">
      <alignment horizontal="right"/>
      <protection/>
    </xf>
    <xf numFmtId="41" fontId="13" fillId="0" borderId="0" xfId="56" applyNumberFormat="1" applyFont="1">
      <alignment/>
      <protection/>
    </xf>
    <xf numFmtId="41" fontId="6" fillId="0" borderId="0" xfId="56" applyNumberFormat="1" applyFont="1">
      <alignment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0" xfId="59" applyFont="1" applyAlignment="1">
      <alignment horizontal="center"/>
      <protection/>
    </xf>
    <xf numFmtId="0" fontId="10" fillId="0" borderId="10" xfId="59" applyFont="1" applyBorder="1" applyAlignment="1">
      <alignment horizontal="center"/>
      <protection/>
    </xf>
    <xf numFmtId="0" fontId="10" fillId="0" borderId="11" xfId="59" applyFont="1" applyBorder="1" applyAlignment="1">
      <alignment horizontal="center"/>
      <protection/>
    </xf>
    <xf numFmtId="0" fontId="10" fillId="0" borderId="12" xfId="59" applyFont="1" applyBorder="1" applyAlignment="1">
      <alignment horizontal="center"/>
      <protection/>
    </xf>
    <xf numFmtId="0" fontId="11" fillId="0" borderId="13" xfId="59" applyFont="1" applyBorder="1">
      <alignment/>
      <protection/>
    </xf>
    <xf numFmtId="0" fontId="10" fillId="0" borderId="14" xfId="59" applyFont="1" applyBorder="1" applyAlignment="1">
      <alignment horizontal="center"/>
      <protection/>
    </xf>
    <xf numFmtId="0" fontId="10" fillId="0" borderId="15" xfId="59" applyFont="1" applyBorder="1" applyAlignment="1">
      <alignment horizontal="center"/>
      <protection/>
    </xf>
    <xf numFmtId="0" fontId="10" fillId="0" borderId="0" xfId="59" applyFont="1">
      <alignment/>
      <protection/>
    </xf>
    <xf numFmtId="0" fontId="17" fillId="0" borderId="0" xfId="59" applyFont="1">
      <alignment/>
      <protection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1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57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14" fontId="6" fillId="0" borderId="0" xfId="0" applyNumberFormat="1" applyFont="1" applyAlignment="1">
      <alignment/>
    </xf>
    <xf numFmtId="168" fontId="12" fillId="0" borderId="0" xfId="59" applyNumberFormat="1" applyFont="1" applyBorder="1">
      <alignment/>
      <protection/>
    </xf>
    <xf numFmtId="0" fontId="12" fillId="0" borderId="0" xfId="57" applyFont="1" applyAlignment="1">
      <alignment horizontal="center"/>
      <protection/>
    </xf>
    <xf numFmtId="0" fontId="6" fillId="0" borderId="0" xfId="57" applyFont="1" applyAlignment="1">
      <alignment/>
      <protection/>
    </xf>
    <xf numFmtId="0" fontId="12" fillId="0" borderId="0" xfId="57" applyFont="1" applyAlignment="1">
      <alignment/>
      <protection/>
    </xf>
    <xf numFmtId="0" fontId="12" fillId="0" borderId="0" xfId="57" applyFont="1" applyAlignment="1">
      <alignment horizontal="left"/>
      <protection/>
    </xf>
    <xf numFmtId="0" fontId="12" fillId="0" borderId="16" xfId="57" applyFont="1" applyBorder="1" applyAlignment="1">
      <alignment horizontal="left"/>
      <protection/>
    </xf>
    <xf numFmtId="0" fontId="12" fillId="0" borderId="16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2" fillId="0" borderId="15" xfId="57" applyFont="1" applyBorder="1" applyAlignment="1">
      <alignment horizontal="center"/>
      <protection/>
    </xf>
    <xf numFmtId="0" fontId="21" fillId="0" borderId="0" xfId="57" applyFont="1">
      <alignment/>
      <protection/>
    </xf>
    <xf numFmtId="0" fontId="10" fillId="0" borderId="0" xfId="57" applyFont="1" applyAlignment="1">
      <alignment/>
      <protection/>
    </xf>
    <xf numFmtId="0" fontId="7" fillId="0" borderId="0" xfId="57" applyFont="1" applyAlignment="1">
      <alignment horizontal="centerContinuous"/>
      <protection/>
    </xf>
    <xf numFmtId="0" fontId="7" fillId="0" borderId="0" xfId="57" applyFont="1" applyAlignment="1">
      <alignment horizontal="center"/>
      <protection/>
    </xf>
    <xf numFmtId="0" fontId="4" fillId="0" borderId="17" xfId="57" applyFont="1" applyBorder="1" applyAlignment="1">
      <alignment/>
      <protection/>
    </xf>
    <xf numFmtId="0" fontId="4" fillId="0" borderId="18" xfId="57" applyFont="1" applyBorder="1" applyAlignment="1">
      <alignment horizontal="center"/>
      <protection/>
    </xf>
    <xf numFmtId="0" fontId="4" fillId="0" borderId="0" xfId="57" applyFont="1">
      <alignment/>
      <protection/>
    </xf>
    <xf numFmtId="0" fontId="4" fillId="0" borderId="19" xfId="57" applyFont="1" applyBorder="1">
      <alignment/>
      <protection/>
    </xf>
    <xf numFmtId="0" fontId="4" fillId="0" borderId="12" xfId="57" applyFont="1" applyBorder="1" applyAlignment="1">
      <alignment horizontal="center"/>
      <protection/>
    </xf>
    <xf numFmtId="0" fontId="4" fillId="0" borderId="20" xfId="57" applyFont="1" applyBorder="1">
      <alignment/>
      <protection/>
    </xf>
    <xf numFmtId="0" fontId="4" fillId="0" borderId="14" xfId="57" applyFont="1" applyBorder="1" applyAlignment="1">
      <alignment horizontal="center"/>
      <protection/>
    </xf>
    <xf numFmtId="0" fontId="4" fillId="0" borderId="21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/>
      <protection/>
    </xf>
    <xf numFmtId="0" fontId="4" fillId="0" borderId="22" xfId="57" applyFont="1" applyBorder="1">
      <alignment/>
      <protection/>
    </xf>
    <xf numFmtId="0" fontId="7" fillId="0" borderId="23" xfId="57" applyFont="1" applyBorder="1" applyAlignment="1">
      <alignment horizontal="right"/>
      <protection/>
    </xf>
    <xf numFmtId="0" fontId="7" fillId="0" borderId="24" xfId="57" applyFont="1" applyBorder="1" applyAlignment="1">
      <alignment horizontal="left"/>
      <protection/>
    </xf>
    <xf numFmtId="168" fontId="7" fillId="0" borderId="24" xfId="40" applyNumberFormat="1" applyFont="1" applyBorder="1" applyAlignment="1">
      <alignment horizontal="right"/>
    </xf>
    <xf numFmtId="168" fontId="7" fillId="0" borderId="25" xfId="40" applyNumberFormat="1" applyFont="1" applyBorder="1" applyAlignment="1">
      <alignment horizontal="right"/>
    </xf>
    <xf numFmtId="168" fontId="7" fillId="0" borderId="0" xfId="57" applyNumberFormat="1" applyFont="1">
      <alignment/>
      <protection/>
    </xf>
    <xf numFmtId="0" fontId="7" fillId="0" borderId="0" xfId="57" applyFont="1">
      <alignment/>
      <protection/>
    </xf>
    <xf numFmtId="0" fontId="7" fillId="0" borderId="0" xfId="57" applyFont="1" applyBorder="1" applyAlignment="1">
      <alignment horizontal="center"/>
      <protection/>
    </xf>
    <xf numFmtId="0" fontId="7" fillId="0" borderId="0" xfId="57" applyFont="1" applyBorder="1">
      <alignment/>
      <protection/>
    </xf>
    <xf numFmtId="168" fontId="7" fillId="0" borderId="0" xfId="40" applyNumberFormat="1" applyFont="1" applyBorder="1" applyAlignment="1">
      <alignment horizontal="center" vertical="center"/>
    </xf>
    <xf numFmtId="0" fontId="12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168" fontId="12" fillId="0" borderId="0" xfId="57" applyNumberFormat="1" applyFont="1">
      <alignment/>
      <protection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2" fillId="0" borderId="0" xfId="57" applyFont="1" applyBorder="1" applyAlignment="1">
      <alignment horizontal="center" vertical="center"/>
      <protection/>
    </xf>
    <xf numFmtId="168" fontId="12" fillId="0" borderId="13" xfId="4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168" fontId="6" fillId="0" borderId="0" xfId="0" applyNumberFormat="1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0" xfId="0" applyFont="1" applyAlignment="1">
      <alignment/>
    </xf>
    <xf numFmtId="168" fontId="7" fillId="0" borderId="0" xfId="40" applyNumberFormat="1" applyFont="1" applyAlignment="1">
      <alignment/>
    </xf>
    <xf numFmtId="0" fontId="12" fillId="0" borderId="0" xfId="0" applyFont="1" applyAlignment="1">
      <alignment wrapText="1"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0" fontId="12" fillId="0" borderId="0" xfId="59" applyFont="1">
      <alignment/>
      <protection/>
    </xf>
    <xf numFmtId="168" fontId="7" fillId="0" borderId="0" xfId="40" applyNumberFormat="1" applyFont="1" applyAlignment="1">
      <alignment horizontal="right"/>
    </xf>
    <xf numFmtId="0" fontId="10" fillId="0" borderId="0" xfId="60" applyFont="1" applyAlignment="1">
      <alignment horizontal="center"/>
      <protection/>
    </xf>
    <xf numFmtId="0" fontId="11" fillId="0" borderId="0" xfId="60" applyFont="1">
      <alignment/>
      <protection/>
    </xf>
    <xf numFmtId="0" fontId="11" fillId="0" borderId="0" xfId="57" applyFont="1">
      <alignment/>
      <protection/>
    </xf>
    <xf numFmtId="0" fontId="11" fillId="0" borderId="26" xfId="59" applyFont="1" applyBorder="1" applyAlignment="1">
      <alignment horizontal="left" wrapText="1"/>
      <protection/>
    </xf>
    <xf numFmtId="0" fontId="11" fillId="0" borderId="27" xfId="59" applyFont="1" applyBorder="1" applyAlignment="1" quotePrefix="1">
      <alignment horizontal="center" vertical="center" wrapText="1"/>
      <protection/>
    </xf>
    <xf numFmtId="0" fontId="11" fillId="0" borderId="28" xfId="60" applyFont="1" applyBorder="1">
      <alignment/>
      <protection/>
    </xf>
    <xf numFmtId="0" fontId="11" fillId="0" borderId="26" xfId="60" applyFont="1" applyBorder="1">
      <alignment/>
      <protection/>
    </xf>
    <xf numFmtId="0" fontId="11" fillId="0" borderId="0" xfId="0" applyFont="1" applyAlignment="1">
      <alignment horizontal="right"/>
    </xf>
    <xf numFmtId="0" fontId="12" fillId="0" borderId="0" xfId="60" applyFont="1" applyAlignment="1">
      <alignment horizontal="center"/>
      <protection/>
    </xf>
    <xf numFmtId="0" fontId="11" fillId="0" borderId="29" xfId="59" applyFont="1" applyBorder="1" applyAlignment="1">
      <alignment horizontal="right"/>
      <protection/>
    </xf>
    <xf numFmtId="0" fontId="12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0" applyFont="1" applyAlignment="1">
      <alignment/>
    </xf>
    <xf numFmtId="0" fontId="6" fillId="0" borderId="11" xfId="57" applyFont="1" applyBorder="1" applyAlignment="1">
      <alignment horizontal="center"/>
      <protection/>
    </xf>
    <xf numFmtId="0" fontId="6" fillId="0" borderId="13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15" xfId="57" applyFont="1" applyBorder="1">
      <alignment/>
      <protection/>
    </xf>
    <xf numFmtId="168" fontId="18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7" applyFont="1" applyAlignment="1">
      <alignment horizontal="right"/>
      <protection/>
    </xf>
    <xf numFmtId="0" fontId="6" fillId="0" borderId="11" xfId="57" applyFont="1" applyBorder="1" applyAlignment="1">
      <alignment/>
      <protection/>
    </xf>
    <xf numFmtId="168" fontId="6" fillId="0" borderId="11" xfId="40" applyNumberFormat="1" applyFont="1" applyBorder="1" applyAlignment="1">
      <alignment horizontal="center"/>
    </xf>
    <xf numFmtId="168" fontId="6" fillId="0" borderId="13" xfId="40" applyNumberFormat="1" applyFont="1" applyBorder="1" applyAlignment="1">
      <alignment horizontal="center"/>
    </xf>
    <xf numFmtId="0" fontId="6" fillId="0" borderId="15" xfId="57" applyFont="1" applyBorder="1" applyAlignment="1">
      <alignment horizontal="center"/>
      <protection/>
    </xf>
    <xf numFmtId="168" fontId="6" fillId="0" borderId="15" xfId="40" applyNumberFormat="1" applyFont="1" applyBorder="1" applyAlignment="1">
      <alignment horizontal="center"/>
    </xf>
    <xf numFmtId="0" fontId="12" fillId="0" borderId="0" xfId="57" applyFont="1" applyBorder="1" applyAlignment="1">
      <alignment horizontal="right"/>
      <protection/>
    </xf>
    <xf numFmtId="0" fontId="12" fillId="0" borderId="0" xfId="57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7" applyFont="1" applyBorder="1" applyAlignment="1">
      <alignment wrapText="1"/>
      <protection/>
    </xf>
    <xf numFmtId="0" fontId="12" fillId="0" borderId="29" xfId="57" applyFont="1" applyBorder="1" applyAlignment="1">
      <alignment horizontal="right"/>
      <protection/>
    </xf>
    <xf numFmtId="0" fontId="12" fillId="0" borderId="29" xfId="57" applyFont="1" applyBorder="1" applyAlignment="1">
      <alignment/>
      <protection/>
    </xf>
    <xf numFmtId="168" fontId="12" fillId="0" borderId="29" xfId="4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7" applyNumberFormat="1" applyFont="1">
      <alignment/>
      <protection/>
    </xf>
    <xf numFmtId="0" fontId="6" fillId="0" borderId="30" xfId="57" applyFont="1" applyBorder="1" applyAlignment="1">
      <alignment horizontal="right"/>
      <protection/>
    </xf>
    <xf numFmtId="0" fontId="6" fillId="0" borderId="30" xfId="57" applyFont="1" applyBorder="1">
      <alignment/>
      <protection/>
    </xf>
    <xf numFmtId="168" fontId="6" fillId="0" borderId="30" xfId="40" applyNumberFormat="1" applyFont="1" applyBorder="1" applyAlignment="1">
      <alignment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>
      <alignment/>
      <protection/>
    </xf>
    <xf numFmtId="168" fontId="6" fillId="0" borderId="0" xfId="40" applyNumberFormat="1" applyFont="1" applyBorder="1" applyAlignment="1">
      <alignment/>
    </xf>
    <xf numFmtId="0" fontId="12" fillId="0" borderId="0" xfId="58" applyFont="1">
      <alignment/>
      <protection/>
    </xf>
    <xf numFmtId="0" fontId="6" fillId="0" borderId="0" xfId="58" applyFont="1" applyBorder="1" applyAlignment="1">
      <alignment horizontal="center"/>
      <protection/>
    </xf>
    <xf numFmtId="0" fontId="25" fillId="0" borderId="29" xfId="0" applyFont="1" applyBorder="1" applyAlignment="1">
      <alignment/>
    </xf>
    <xf numFmtId="168" fontId="6" fillId="0" borderId="29" xfId="40" applyNumberFormat="1" applyFont="1" applyBorder="1" applyAlignment="1">
      <alignment/>
    </xf>
    <xf numFmtId="0" fontId="6" fillId="0" borderId="0" xfId="58" applyFont="1">
      <alignment/>
      <protection/>
    </xf>
    <xf numFmtId="0" fontId="6" fillId="0" borderId="30" xfId="58" applyFont="1" applyBorder="1" applyAlignment="1">
      <alignment horizontal="right"/>
      <protection/>
    </xf>
    <xf numFmtId="168" fontId="6" fillId="0" borderId="0" xfId="58" applyNumberFormat="1" applyFont="1">
      <alignment/>
      <protection/>
    </xf>
    <xf numFmtId="0" fontId="12" fillId="0" borderId="0" xfId="58" applyFont="1" applyBorder="1" applyAlignment="1">
      <alignment horizontal="center" vertical="center"/>
      <protection/>
    </xf>
    <xf numFmtId="168" fontId="6" fillId="0" borderId="0" xfId="40" applyNumberFormat="1" applyFont="1" applyBorder="1" applyAlignment="1">
      <alignment horizontal="center"/>
    </xf>
    <xf numFmtId="0" fontId="11" fillId="0" borderId="0" xfId="59" applyFont="1" applyAlignment="1">
      <alignment horizontal="left" wrapText="1"/>
      <protection/>
    </xf>
    <xf numFmtId="14" fontId="4" fillId="0" borderId="0" xfId="0" applyNumberFormat="1" applyFont="1" applyAlignment="1">
      <alignment/>
    </xf>
    <xf numFmtId="0" fontId="23" fillId="0" borderId="30" xfId="57" applyFont="1" applyBorder="1" applyAlignment="1">
      <alignment horizontal="center"/>
      <protection/>
    </xf>
    <xf numFmtId="0" fontId="7" fillId="0" borderId="30" xfId="57" applyFont="1" applyBorder="1" applyAlignment="1">
      <alignment horizontal="center"/>
      <protection/>
    </xf>
    <xf numFmtId="0" fontId="26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1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3" fillId="0" borderId="0" xfId="57" applyFont="1" applyAlignment="1">
      <alignment horizontal="center"/>
      <protection/>
    </xf>
    <xf numFmtId="168" fontId="23" fillId="0" borderId="0" xfId="40" applyNumberFormat="1" applyFont="1" applyAlignment="1">
      <alignment horizontal="centerContinuous"/>
    </xf>
    <xf numFmtId="168" fontId="23" fillId="0" borderId="0" xfId="40" applyNumberFormat="1" applyFont="1" applyAlignment="1">
      <alignment/>
    </xf>
    <xf numFmtId="0" fontId="4" fillId="0" borderId="0" xfId="0" applyFont="1" applyAlignment="1">
      <alignment/>
    </xf>
    <xf numFmtId="0" fontId="11" fillId="0" borderId="0" xfId="59" applyFont="1" applyBorder="1" applyAlignment="1">
      <alignment horizontal="left" wrapText="1"/>
      <protection/>
    </xf>
    <xf numFmtId="168" fontId="4" fillId="0" borderId="22" xfId="40" applyNumberFormat="1" applyFont="1" applyBorder="1" applyAlignment="1">
      <alignment/>
    </xf>
    <xf numFmtId="168" fontId="4" fillId="0" borderId="31" xfId="40" applyNumberFormat="1" applyFont="1" applyBorder="1" applyAlignment="1">
      <alignment/>
    </xf>
    <xf numFmtId="168" fontId="4" fillId="0" borderId="29" xfId="40" applyNumberFormat="1" applyFont="1" applyBorder="1" applyAlignment="1">
      <alignment/>
    </xf>
    <xf numFmtId="168" fontId="4" fillId="0" borderId="32" xfId="40" applyNumberFormat="1" applyFont="1" applyBorder="1" applyAlignment="1">
      <alignment/>
    </xf>
    <xf numFmtId="0" fontId="4" fillId="0" borderId="30" xfId="0" applyFont="1" applyBorder="1" applyAlignment="1">
      <alignment/>
    </xf>
    <xf numFmtId="0" fontId="10" fillId="0" borderId="30" xfId="59" applyFont="1" applyBorder="1">
      <alignment/>
      <protection/>
    </xf>
    <xf numFmtId="0" fontId="22" fillId="0" borderId="0" xfId="59" applyFont="1">
      <alignment/>
      <protection/>
    </xf>
    <xf numFmtId="0" fontId="6" fillId="0" borderId="0" xfId="60" applyFont="1" applyAlignment="1">
      <alignment horizontal="centerContinuous"/>
      <protection/>
    </xf>
    <xf numFmtId="0" fontId="28" fillId="0" borderId="0" xfId="60" applyFont="1">
      <alignment/>
      <protection/>
    </xf>
    <xf numFmtId="0" fontId="6" fillId="0" borderId="11" xfId="60" applyFont="1" applyBorder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5" xfId="60" applyFont="1" applyBorder="1">
      <alignment/>
      <protection/>
    </xf>
    <xf numFmtId="0" fontId="6" fillId="0" borderId="15" xfId="60" applyFont="1" applyBorder="1" applyAlignment="1">
      <alignment horizontal="center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0" fontId="12" fillId="0" borderId="0" xfId="60" applyFont="1" applyBorder="1">
      <alignment/>
      <protection/>
    </xf>
    <xf numFmtId="168" fontId="6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168" fontId="6" fillId="0" borderId="11" xfId="40" applyNumberFormat="1" applyFont="1" applyBorder="1" applyAlignment="1">
      <alignment/>
    </xf>
    <xf numFmtId="168" fontId="6" fillId="0" borderId="33" xfId="40" applyNumberFormat="1" applyFont="1" applyBorder="1" applyAlignment="1">
      <alignment/>
    </xf>
    <xf numFmtId="168" fontId="6" fillId="0" borderId="34" xfId="40" applyNumberFormat="1" applyFont="1" applyBorder="1" applyAlignment="1">
      <alignment/>
    </xf>
    <xf numFmtId="168" fontId="6" fillId="0" borderId="35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168" fontId="12" fillId="0" borderId="11" xfId="4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 horizontal="center"/>
    </xf>
    <xf numFmtId="168" fontId="12" fillId="0" borderId="36" xfId="40" applyNumberFormat="1" applyFont="1" applyBorder="1" applyAlignment="1">
      <alignment horizontal="center"/>
    </xf>
    <xf numFmtId="168" fontId="12" fillId="0" borderId="37" xfId="40" applyNumberFormat="1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168" fontId="12" fillId="0" borderId="15" xfId="40" applyNumberFormat="1" applyFont="1" applyBorder="1" applyAlignment="1">
      <alignment/>
    </xf>
    <xf numFmtId="168" fontId="12" fillId="0" borderId="38" xfId="40" applyNumberFormat="1" applyFont="1" applyBorder="1" applyAlignment="1">
      <alignment/>
    </xf>
    <xf numFmtId="168" fontId="12" fillId="0" borderId="39" xfId="40" applyNumberFormat="1" applyFont="1" applyBorder="1" applyAlignment="1">
      <alignment/>
    </xf>
    <xf numFmtId="168" fontId="12" fillId="0" borderId="40" xfId="40" applyNumberFormat="1" applyFont="1" applyBorder="1" applyAlignment="1">
      <alignment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wrapText="1"/>
    </xf>
    <xf numFmtId="168" fontId="12" fillId="0" borderId="29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0" fontId="12" fillId="0" borderId="29" xfId="0" applyFont="1" applyBorder="1" applyAlignment="1">
      <alignment/>
    </xf>
    <xf numFmtId="168" fontId="12" fillId="0" borderId="29" xfId="40" applyNumberFormat="1" applyFont="1" applyBorder="1" applyAlignment="1">
      <alignment/>
    </xf>
    <xf numFmtId="168" fontId="29" fillId="0" borderId="29" xfId="40" applyNumberFormat="1" applyFont="1" applyFill="1" applyBorder="1" applyAlignment="1">
      <alignment/>
    </xf>
    <xf numFmtId="168" fontId="29" fillId="0" borderId="41" xfId="40" applyNumberFormat="1" applyFont="1" applyFill="1" applyBorder="1" applyAlignment="1">
      <alignment/>
    </xf>
    <xf numFmtId="168" fontId="12" fillId="0" borderId="29" xfId="40" applyNumberFormat="1" applyFont="1" applyFill="1" applyBorder="1" applyAlignment="1">
      <alignment/>
    </xf>
    <xf numFmtId="168" fontId="12" fillId="0" borderId="41" xfId="40" applyNumberFormat="1" applyFont="1" applyFill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/>
    </xf>
    <xf numFmtId="0" fontId="6" fillId="0" borderId="30" xfId="0" applyFont="1" applyBorder="1" applyAlignment="1">
      <alignment/>
    </xf>
    <xf numFmtId="168" fontId="6" fillId="0" borderId="44" xfId="40" applyNumberFormat="1" applyFont="1" applyBorder="1" applyAlignment="1">
      <alignment/>
    </xf>
    <xf numFmtId="168" fontId="6" fillId="0" borderId="30" xfId="40" applyNumberFormat="1" applyFont="1" applyBorder="1" applyAlignment="1">
      <alignment/>
    </xf>
    <xf numFmtId="0" fontId="12" fillId="0" borderId="45" xfId="0" applyFont="1" applyBorder="1" applyAlignment="1">
      <alignment horizontal="center"/>
    </xf>
    <xf numFmtId="0" fontId="6" fillId="0" borderId="22" xfId="0" applyFont="1" applyBorder="1" applyAlignment="1">
      <alignment/>
    </xf>
    <xf numFmtId="168" fontId="12" fillId="0" borderId="46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30" xfId="0" applyFont="1" applyBorder="1" applyAlignment="1">
      <alignment/>
    </xf>
    <xf numFmtId="0" fontId="6" fillId="0" borderId="47" xfId="0" applyFont="1" applyBorder="1" applyAlignment="1">
      <alignment/>
    </xf>
    <xf numFmtId="168" fontId="12" fillId="0" borderId="48" xfId="40" applyNumberFormat="1" applyFont="1" applyBorder="1" applyAlignment="1">
      <alignment/>
    </xf>
    <xf numFmtId="168" fontId="12" fillId="0" borderId="49" xfId="40" applyNumberFormat="1" applyFont="1" applyBorder="1" applyAlignment="1">
      <alignment/>
    </xf>
    <xf numFmtId="0" fontId="12" fillId="0" borderId="29" xfId="0" applyFont="1" applyBorder="1" applyAlignment="1">
      <alignment horizontal="left" wrapText="1"/>
    </xf>
    <xf numFmtId="169" fontId="12" fillId="0" borderId="0" xfId="40" applyNumberFormat="1" applyFont="1" applyAlignment="1">
      <alignment/>
    </xf>
    <xf numFmtId="168" fontId="12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8" fontId="1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/>
    </xf>
    <xf numFmtId="168" fontId="7" fillId="0" borderId="0" xfId="40" applyNumberFormat="1" applyFont="1" applyAlignment="1">
      <alignment horizontal="center"/>
    </xf>
    <xf numFmtId="168" fontId="31" fillId="0" borderId="0" xfId="40" applyNumberFormat="1" applyFont="1" applyAlignment="1">
      <alignment/>
    </xf>
    <xf numFmtId="0" fontId="12" fillId="0" borderId="0" xfId="0" applyFont="1" applyAlignment="1">
      <alignment horizontal="left"/>
    </xf>
    <xf numFmtId="168" fontId="4" fillId="0" borderId="0" xfId="40" applyNumberFormat="1" applyFont="1" applyAlignment="1">
      <alignment horizontal="center"/>
    </xf>
    <xf numFmtId="0" fontId="4" fillId="0" borderId="0" xfId="0" applyFont="1" applyAlignment="1">
      <alignment horizontal="left"/>
    </xf>
    <xf numFmtId="168" fontId="32" fillId="0" borderId="0" xfId="40" applyNumberFormat="1" applyFont="1" applyAlignment="1">
      <alignment horizontal="center"/>
    </xf>
    <xf numFmtId="0" fontId="20" fillId="0" borderId="0" xfId="0" applyFont="1" applyAlignment="1">
      <alignment horizontal="left"/>
    </xf>
    <xf numFmtId="168" fontId="7" fillId="0" borderId="0" xfId="4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 horizontal="centerContinuous"/>
      <protection/>
    </xf>
    <xf numFmtId="0" fontId="6" fillId="0" borderId="11" xfId="56" applyFont="1" applyBorder="1" applyAlignment="1">
      <alignment horizontal="centerContinuous"/>
      <protection/>
    </xf>
    <xf numFmtId="0" fontId="6" fillId="0" borderId="13" xfId="56" applyFont="1" applyBorder="1" applyAlignment="1">
      <alignment horizontal="centerContinuous"/>
      <protection/>
    </xf>
    <xf numFmtId="0" fontId="6" fillId="0" borderId="30" xfId="56" applyFont="1" applyBorder="1" applyAlignment="1">
      <alignment horizontal="center"/>
      <protection/>
    </xf>
    <xf numFmtId="0" fontId="6" fillId="0" borderId="15" xfId="56" applyFont="1" applyBorder="1" applyAlignment="1">
      <alignment horizontal="centerContinuous"/>
      <protection/>
    </xf>
    <xf numFmtId="41" fontId="12" fillId="0" borderId="0" xfId="56" applyNumberFormat="1" applyFont="1">
      <alignment/>
      <protection/>
    </xf>
    <xf numFmtId="41" fontId="12" fillId="0" borderId="0" xfId="56" applyNumberFormat="1" applyFont="1" applyBorder="1" applyAlignment="1">
      <alignment horizontal="center"/>
      <protection/>
    </xf>
    <xf numFmtId="41" fontId="12" fillId="0" borderId="0" xfId="56" applyNumberFormat="1" applyFont="1" applyBorder="1">
      <alignment/>
      <protection/>
    </xf>
    <xf numFmtId="41" fontId="33" fillId="0" borderId="50" xfId="56" applyNumberFormat="1" applyFont="1" applyBorder="1" applyAlignment="1">
      <alignment horizontal="centerContinuous"/>
      <protection/>
    </xf>
    <xf numFmtId="0" fontId="21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41" fontId="21" fillId="0" borderId="0" xfId="56" applyNumberFormat="1" applyFont="1" applyBorder="1" applyAlignment="1">
      <alignment horizontal="center"/>
      <protection/>
    </xf>
    <xf numFmtId="0" fontId="21" fillId="0" borderId="0" xfId="0" applyFont="1" applyBorder="1" applyAlignment="1">
      <alignment/>
    </xf>
    <xf numFmtId="0" fontId="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/>
      <protection/>
    </xf>
    <xf numFmtId="41" fontId="5" fillId="0" borderId="0" xfId="56" applyNumberFormat="1" applyFont="1" applyBorder="1" applyAlignment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2" fillId="0" borderId="0" xfId="56" applyFont="1" applyBorder="1" applyAlignment="1">
      <alignment wrapText="1"/>
      <protection/>
    </xf>
    <xf numFmtId="41" fontId="12" fillId="0" borderId="50" xfId="56" applyNumberFormat="1" applyFont="1" applyBorder="1">
      <alignment/>
      <protection/>
    </xf>
    <xf numFmtId="0" fontId="21" fillId="0" borderId="0" xfId="56" applyFont="1" applyBorder="1" applyAlignment="1">
      <alignment wrapText="1"/>
      <protection/>
    </xf>
    <xf numFmtId="41" fontId="21" fillId="0" borderId="0" xfId="56" applyNumberFormat="1" applyFont="1" applyBorder="1">
      <alignment/>
      <protection/>
    </xf>
    <xf numFmtId="0" fontId="5" fillId="0" borderId="0" xfId="56" applyFont="1" applyBorder="1" applyAlignment="1">
      <alignment wrapText="1"/>
      <protection/>
    </xf>
    <xf numFmtId="41" fontId="5" fillId="0" borderId="0" xfId="56" applyNumberFormat="1" applyFont="1" applyBorder="1" applyAlignment="1">
      <alignment/>
      <protection/>
    </xf>
    <xf numFmtId="0" fontId="28" fillId="0" borderId="0" xfId="0" applyFont="1" applyBorder="1" applyAlignment="1">
      <alignment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>
      <alignment/>
      <protection/>
    </xf>
    <xf numFmtId="0" fontId="33" fillId="0" borderId="0" xfId="56" applyFont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14" fontId="20" fillId="0" borderId="0" xfId="0" applyNumberFormat="1" applyFont="1" applyAlignment="1">
      <alignment/>
    </xf>
    <xf numFmtId="0" fontId="12" fillId="0" borderId="0" xfId="57" applyFont="1" applyBorder="1" applyAlignment="1">
      <alignment horizontal="center"/>
      <protection/>
    </xf>
    <xf numFmtId="168" fontId="12" fillId="0" borderId="0" xfId="60" applyNumberFormat="1" applyFont="1" applyBorder="1" applyAlignment="1">
      <alignment horizontal="right"/>
      <protection/>
    </xf>
    <xf numFmtId="168" fontId="12" fillId="0" borderId="50" xfId="60" applyNumberFormat="1" applyFont="1" applyBorder="1" applyAlignment="1">
      <alignment horizontal="right"/>
      <protection/>
    </xf>
    <xf numFmtId="168" fontId="12" fillId="0" borderId="50" xfId="40" applyNumberFormat="1" applyFont="1" applyBorder="1" applyAlignment="1">
      <alignment horizontal="right"/>
    </xf>
    <xf numFmtId="0" fontId="6" fillId="0" borderId="0" xfId="57" applyFont="1" applyBorder="1" applyAlignment="1">
      <alignment horizontal="center"/>
      <protection/>
    </xf>
    <xf numFmtId="0" fontId="6" fillId="0" borderId="51" xfId="57" applyFont="1" applyBorder="1">
      <alignment/>
      <protection/>
    </xf>
    <xf numFmtId="0" fontId="6" fillId="0" borderId="51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0" fontId="12" fillId="0" borderId="29" xfId="0" applyFont="1" applyBorder="1" applyAlignment="1" quotePrefix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0" xfId="59" applyFont="1" applyBorder="1" applyAlignment="1">
      <alignment horizontal="right"/>
      <protection/>
    </xf>
    <xf numFmtId="0" fontId="22" fillId="0" borderId="0" xfId="59" applyFont="1" applyBorder="1">
      <alignment/>
      <protection/>
    </xf>
    <xf numFmtId="0" fontId="11" fillId="0" borderId="0" xfId="59" applyFont="1" applyBorder="1">
      <alignment/>
      <protection/>
    </xf>
    <xf numFmtId="3" fontId="12" fillId="0" borderId="0" xfId="57" applyNumberFormat="1" applyFont="1">
      <alignment/>
      <protection/>
    </xf>
    <xf numFmtId="3" fontId="12" fillId="0" borderId="0" xfId="57" applyNumberFormat="1" applyFont="1" applyAlignment="1">
      <alignment horizontal="right"/>
      <protection/>
    </xf>
    <xf numFmtId="3" fontId="18" fillId="0" borderId="0" xfId="57" applyNumberFormat="1" applyFont="1" applyAlignment="1">
      <alignment horizontal="right"/>
      <protection/>
    </xf>
    <xf numFmtId="3" fontId="18" fillId="0" borderId="0" xfId="40" applyNumberFormat="1" applyFont="1" applyAlignment="1">
      <alignment horizontal="right" wrapText="1"/>
    </xf>
    <xf numFmtId="3" fontId="18" fillId="0" borderId="0" xfId="40" applyNumberFormat="1" applyFont="1" applyAlignment="1">
      <alignment horizontal="right"/>
    </xf>
    <xf numFmtId="3" fontId="6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 wrapText="1"/>
    </xf>
    <xf numFmtId="3" fontId="12" fillId="0" borderId="0" xfId="40" applyNumberFormat="1" applyFont="1" applyAlignment="1">
      <alignment horizontal="right"/>
    </xf>
    <xf numFmtId="3" fontId="12" fillId="0" borderId="0" xfId="40" applyNumberFormat="1" applyFont="1" applyBorder="1" applyAlignment="1">
      <alignment horizontal="right"/>
    </xf>
    <xf numFmtId="3" fontId="6" fillId="0" borderId="0" xfId="40" applyNumberFormat="1" applyFont="1" applyBorder="1" applyAlignment="1">
      <alignment horizontal="right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4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53" xfId="59" applyFont="1" applyBorder="1" applyAlignment="1" quotePrefix="1">
      <alignment horizontal="center" vertical="center" wrapText="1"/>
      <protection/>
    </xf>
    <xf numFmtId="0" fontId="11" fillId="0" borderId="54" xfId="59" applyFont="1" applyBorder="1" applyAlignment="1" quotePrefix="1">
      <alignment horizontal="center" vertical="center" wrapText="1"/>
      <protection/>
    </xf>
    <xf numFmtId="0" fontId="4" fillId="0" borderId="27" xfId="0" applyFont="1" applyBorder="1" applyAlignment="1">
      <alignment/>
    </xf>
    <xf numFmtId="168" fontId="23" fillId="0" borderId="55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/>
    </xf>
    <xf numFmtId="168" fontId="23" fillId="0" borderId="11" xfId="4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/>
    </xf>
    <xf numFmtId="3" fontId="11" fillId="0" borderId="28" xfId="59" applyNumberFormat="1" applyFont="1" applyBorder="1" applyAlignment="1">
      <alignment horizontal="right"/>
      <protection/>
    </xf>
    <xf numFmtId="3" fontId="11" fillId="0" borderId="29" xfId="59" applyNumberFormat="1" applyFont="1" applyBorder="1" applyAlignment="1">
      <alignment horizontal="right"/>
      <protection/>
    </xf>
    <xf numFmtId="3" fontId="22" fillId="0" borderId="29" xfId="59" applyNumberFormat="1" applyFont="1" applyBorder="1">
      <alignment/>
      <protection/>
    </xf>
    <xf numFmtId="3" fontId="11" fillId="0" borderId="29" xfId="59" applyNumberFormat="1" applyFont="1" applyBorder="1">
      <alignment/>
      <protection/>
    </xf>
    <xf numFmtId="3" fontId="22" fillId="0" borderId="41" xfId="59" applyNumberFormat="1" applyFont="1" applyBorder="1">
      <alignment/>
      <protection/>
    </xf>
    <xf numFmtId="3" fontId="11" fillId="0" borderId="41" xfId="59" applyNumberFormat="1" applyFont="1" applyBorder="1">
      <alignment/>
      <protection/>
    </xf>
    <xf numFmtId="3" fontId="11" fillId="0" borderId="32" xfId="59" applyNumberFormat="1" applyFont="1" applyBorder="1">
      <alignment/>
      <protection/>
    </xf>
    <xf numFmtId="3" fontId="10" fillId="0" borderId="47" xfId="59" applyNumberFormat="1" applyFont="1" applyBorder="1" applyAlignment="1">
      <alignment horizontal="right"/>
      <protection/>
    </xf>
    <xf numFmtId="3" fontId="10" fillId="0" borderId="57" xfId="59" applyNumberFormat="1" applyFont="1" applyBorder="1" applyAlignment="1">
      <alignment horizontal="right"/>
      <protection/>
    </xf>
    <xf numFmtId="0" fontId="12" fillId="0" borderId="0" xfId="57" applyFont="1" applyBorder="1" applyAlignment="1">
      <alignment horizontal="center" vertical="center"/>
      <protection/>
    </xf>
    <xf numFmtId="0" fontId="10" fillId="0" borderId="58" xfId="60" applyFont="1" applyBorder="1">
      <alignment/>
      <protection/>
    </xf>
    <xf numFmtId="0" fontId="12" fillId="0" borderId="0" xfId="0" applyFont="1" applyAlignment="1">
      <alignment horizontal="center"/>
    </xf>
    <xf numFmtId="0" fontId="12" fillId="0" borderId="0" xfId="57" applyFont="1" applyBorder="1">
      <alignment/>
      <protection/>
    </xf>
    <xf numFmtId="0" fontId="12" fillId="0" borderId="0" xfId="0" applyFont="1" applyAlignment="1">
      <alignment vertical="top"/>
    </xf>
    <xf numFmtId="49" fontId="26" fillId="0" borderId="0" xfId="0" applyNumberFormat="1" applyFont="1" applyAlignment="1">
      <alignment horizontal="right"/>
    </xf>
    <xf numFmtId="49" fontId="26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52" xfId="59" applyFont="1" applyBorder="1" applyAlignment="1" quotePrefix="1">
      <alignment horizontal="center" vertical="center" wrapText="1"/>
      <protection/>
    </xf>
    <xf numFmtId="0" fontId="11" fillId="0" borderId="0" xfId="59" applyFont="1" applyBorder="1" applyAlignment="1">
      <alignment horizontal="left" wrapText="1"/>
      <protection/>
    </xf>
    <xf numFmtId="0" fontId="11" fillId="0" borderId="59" xfId="59" applyFont="1" applyBorder="1" applyAlignment="1" quotePrefix="1">
      <alignment horizontal="center" vertical="center" wrapText="1"/>
      <protection/>
    </xf>
    <xf numFmtId="0" fontId="11" fillId="0" borderId="58" xfId="59" applyFont="1" applyBorder="1" applyAlignment="1">
      <alignment horizontal="left" wrapText="1"/>
      <protection/>
    </xf>
    <xf numFmtId="168" fontId="4" fillId="0" borderId="48" xfId="40" applyNumberFormat="1" applyFont="1" applyBorder="1" applyAlignment="1">
      <alignment/>
    </xf>
    <xf numFmtId="168" fontId="4" fillId="0" borderId="60" xfId="40" applyNumberFormat="1" applyFont="1" applyBorder="1" applyAlignment="1">
      <alignment/>
    </xf>
    <xf numFmtId="0" fontId="11" fillId="0" borderId="32" xfId="59" applyFont="1" applyBorder="1" applyAlignment="1">
      <alignment horizontal="right"/>
      <protection/>
    </xf>
    <xf numFmtId="0" fontId="4" fillId="0" borderId="61" xfId="0" applyFont="1" applyBorder="1" applyAlignment="1">
      <alignment/>
    </xf>
    <xf numFmtId="0" fontId="10" fillId="0" borderId="47" xfId="60" applyFont="1" applyBorder="1">
      <alignment/>
      <protection/>
    </xf>
    <xf numFmtId="168" fontId="4" fillId="0" borderId="62" xfId="40" applyNumberFormat="1" applyFont="1" applyBorder="1" applyAlignment="1">
      <alignment/>
    </xf>
    <xf numFmtId="168" fontId="4" fillId="0" borderId="63" xfId="40" applyNumberFormat="1" applyFont="1" applyBorder="1" applyAlignment="1">
      <alignment/>
    </xf>
    <xf numFmtId="168" fontId="4" fillId="0" borderId="64" xfId="40" applyNumberFormat="1" applyFont="1" applyBorder="1" applyAlignment="1">
      <alignment/>
    </xf>
    <xf numFmtId="168" fontId="4" fillId="0" borderId="64" xfId="59" applyNumberFormat="1" applyFont="1" applyBorder="1" applyAlignment="1">
      <alignment/>
      <protection/>
    </xf>
    <xf numFmtId="168" fontId="4" fillId="0" borderId="64" xfId="59" applyNumberFormat="1" applyFont="1" applyBorder="1" applyAlignment="1">
      <alignment horizontal="right"/>
      <protection/>
    </xf>
    <xf numFmtId="168" fontId="7" fillId="0" borderId="30" xfId="40" applyNumberFormat="1" applyFont="1" applyBorder="1" applyAlignment="1">
      <alignment/>
    </xf>
    <xf numFmtId="168" fontId="7" fillId="0" borderId="56" xfId="40" applyNumberFormat="1" applyFont="1" applyBorder="1" applyAlignment="1">
      <alignment/>
    </xf>
    <xf numFmtId="168" fontId="7" fillId="0" borderId="27" xfId="40" applyNumberFormat="1" applyFont="1" applyBorder="1" applyAlignment="1">
      <alignment/>
    </xf>
    <xf numFmtId="0" fontId="6" fillId="0" borderId="29" xfId="57" applyFont="1" applyBorder="1" applyAlignment="1">
      <alignment horizontal="right"/>
      <protection/>
    </xf>
    <xf numFmtId="0" fontId="6" fillId="0" borderId="29" xfId="57" applyFont="1" applyBorder="1" applyAlignment="1">
      <alignment/>
      <protection/>
    </xf>
    <xf numFmtId="0" fontId="6" fillId="0" borderId="30" xfId="58" applyFont="1" applyBorder="1" applyAlignment="1">
      <alignment vertical="center"/>
      <protection/>
    </xf>
    <xf numFmtId="168" fontId="6" fillId="0" borderId="30" xfId="58" applyNumberFormat="1" applyFont="1" applyBorder="1" applyAlignment="1">
      <alignment vertical="center"/>
      <protection/>
    </xf>
    <xf numFmtId="49" fontId="0" fillId="0" borderId="0" xfId="0" applyNumberFormat="1" applyAlignment="1">
      <alignment/>
    </xf>
    <xf numFmtId="49" fontId="35" fillId="0" borderId="0" xfId="0" applyNumberFormat="1" applyFont="1" applyAlignment="1">
      <alignment/>
    </xf>
    <xf numFmtId="0" fontId="18" fillId="0" borderId="0" xfId="59" applyFont="1">
      <alignment/>
      <protection/>
    </xf>
    <xf numFmtId="0" fontId="14" fillId="0" borderId="0" xfId="59" applyFont="1" applyBorder="1" applyAlignment="1">
      <alignment horizontal="left" wrapText="1"/>
      <protection/>
    </xf>
    <xf numFmtId="0" fontId="14" fillId="0" borderId="0" xfId="59" applyFont="1" applyBorder="1" applyAlignment="1" quotePrefix="1">
      <alignment horizontal="left" wrapText="1"/>
      <protection/>
    </xf>
    <xf numFmtId="0" fontId="12" fillId="0" borderId="0" xfId="59" applyFont="1" applyBorder="1" applyAlignment="1" quotePrefix="1">
      <alignment horizontal="left" wrapText="1"/>
      <protection/>
    </xf>
    <xf numFmtId="0" fontId="11" fillId="0" borderId="65" xfId="59" applyFont="1" applyBorder="1" applyAlignment="1" quotePrefix="1">
      <alignment horizontal="center" vertical="center" wrapText="1"/>
      <protection/>
    </xf>
    <xf numFmtId="0" fontId="10" fillId="0" borderId="58" xfId="59" applyFont="1" applyBorder="1">
      <alignment/>
      <protection/>
    </xf>
    <xf numFmtId="0" fontId="11" fillId="0" borderId="29" xfId="60" applyFont="1" applyBorder="1">
      <alignment/>
      <protection/>
    </xf>
    <xf numFmtId="49" fontId="11" fillId="0" borderId="0" xfId="59" applyNumberFormat="1" applyFont="1">
      <alignment/>
      <protection/>
    </xf>
    <xf numFmtId="49" fontId="10" fillId="0" borderId="0" xfId="59" applyNumberFormat="1" applyFont="1">
      <alignment/>
      <protection/>
    </xf>
    <xf numFmtId="49" fontId="12" fillId="0" borderId="0" xfId="60" applyNumberFormat="1" applyFont="1">
      <alignment/>
      <protection/>
    </xf>
    <xf numFmtId="4" fontId="11" fillId="0" borderId="57" xfId="60" applyNumberFormat="1" applyFont="1" applyBorder="1">
      <alignment/>
      <protection/>
    </xf>
    <xf numFmtId="4" fontId="11" fillId="0" borderId="22" xfId="60" applyNumberFormat="1" applyFont="1" applyBorder="1">
      <alignment/>
      <protection/>
    </xf>
    <xf numFmtId="4" fontId="11" fillId="0" borderId="66" xfId="60" applyNumberFormat="1" applyFont="1" applyBorder="1">
      <alignment/>
      <protection/>
    </xf>
    <xf numFmtId="4" fontId="11" fillId="0" borderId="29" xfId="60" applyNumberFormat="1" applyFont="1" applyBorder="1">
      <alignment/>
      <protection/>
    </xf>
    <xf numFmtId="4" fontId="11" fillId="0" borderId="41" xfId="60" applyNumberFormat="1" applyFont="1" applyBorder="1">
      <alignment/>
      <protection/>
    </xf>
    <xf numFmtId="4" fontId="10" fillId="0" borderId="30" xfId="60" applyNumberFormat="1" applyFont="1" applyBorder="1">
      <alignment/>
      <protection/>
    </xf>
    <xf numFmtId="3" fontId="12" fillId="0" borderId="0" xfId="0" applyNumberFormat="1" applyFont="1" applyAlignment="1">
      <alignment wrapText="1"/>
    </xf>
    <xf numFmtId="0" fontId="12" fillId="0" borderId="29" xfId="0" applyFont="1" applyBorder="1" applyAlignment="1">
      <alignment horizontal="center"/>
    </xf>
    <xf numFmtId="3" fontId="72" fillId="0" borderId="0" xfId="57" applyNumberFormat="1" applyFont="1" applyAlignment="1">
      <alignment horizontal="right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3" fontId="11" fillId="0" borderId="64" xfId="59" applyNumberFormat="1" applyFont="1" applyBorder="1" applyAlignment="1">
      <alignment horizontal="right"/>
      <protection/>
    </xf>
    <xf numFmtId="3" fontId="10" fillId="0" borderId="29" xfId="59" applyNumberFormat="1" applyFont="1" applyBorder="1" applyAlignment="1">
      <alignment horizontal="right"/>
      <protection/>
    </xf>
    <xf numFmtId="3" fontId="10" fillId="0" borderId="22" xfId="59" applyNumberFormat="1" applyFont="1" applyBorder="1" applyAlignment="1">
      <alignment horizontal="right"/>
      <protection/>
    </xf>
    <xf numFmtId="0" fontId="11" fillId="0" borderId="43" xfId="60" applyFont="1" applyBorder="1">
      <alignment/>
      <protection/>
    </xf>
    <xf numFmtId="0" fontId="11" fillId="0" borderId="42" xfId="60" applyFont="1" applyBorder="1">
      <alignment/>
      <protection/>
    </xf>
    <xf numFmtId="3" fontId="10" fillId="0" borderId="21" xfId="59" applyNumberFormat="1" applyFont="1" applyBorder="1" applyAlignment="1">
      <alignment horizontal="right"/>
      <protection/>
    </xf>
    <xf numFmtId="3" fontId="11" fillId="0" borderId="67" xfId="59" applyNumberFormat="1" applyFont="1" applyBorder="1" applyAlignment="1">
      <alignment horizontal="right"/>
      <protection/>
    </xf>
    <xf numFmtId="3" fontId="11" fillId="0" borderId="43" xfId="59" applyNumberFormat="1" applyFont="1" applyBorder="1" applyAlignment="1">
      <alignment horizontal="right"/>
      <protection/>
    </xf>
    <xf numFmtId="3" fontId="22" fillId="0" borderId="43" xfId="59" applyNumberFormat="1" applyFont="1" applyBorder="1">
      <alignment/>
      <protection/>
    </xf>
    <xf numFmtId="3" fontId="11" fillId="0" borderId="43" xfId="59" applyNumberFormat="1" applyFont="1" applyBorder="1">
      <alignment/>
      <protection/>
    </xf>
    <xf numFmtId="3" fontId="22" fillId="0" borderId="66" xfId="59" applyNumberFormat="1" applyFont="1" applyBorder="1">
      <alignment/>
      <protection/>
    </xf>
    <xf numFmtId="3" fontId="11" fillId="0" borderId="66" xfId="59" applyNumberFormat="1" applyFont="1" applyBorder="1">
      <alignment/>
      <protection/>
    </xf>
    <xf numFmtId="3" fontId="11" fillId="0" borderId="68" xfId="59" applyNumberFormat="1" applyFont="1" applyBorder="1">
      <alignment/>
      <protection/>
    </xf>
    <xf numFmtId="4" fontId="11" fillId="0" borderId="43" xfId="60" applyNumberFormat="1" applyFont="1" applyBorder="1">
      <alignment/>
      <protection/>
    </xf>
    <xf numFmtId="0" fontId="4" fillId="0" borderId="30" xfId="60" applyFont="1" applyBorder="1">
      <alignment/>
      <protection/>
    </xf>
    <xf numFmtId="0" fontId="7" fillId="0" borderId="29" xfId="60" applyFont="1" applyBorder="1">
      <alignment/>
      <protection/>
    </xf>
    <xf numFmtId="0" fontId="7" fillId="0" borderId="30" xfId="60" applyFont="1" applyBorder="1">
      <alignment/>
      <protection/>
    </xf>
    <xf numFmtId="0" fontId="10" fillId="0" borderId="30" xfId="60" applyFont="1" applyBorder="1">
      <alignment/>
      <protection/>
    </xf>
    <xf numFmtId="0" fontId="6" fillId="0" borderId="30" xfId="60" applyFont="1" applyBorder="1">
      <alignment/>
      <protection/>
    </xf>
    <xf numFmtId="0" fontId="10" fillId="0" borderId="0" xfId="59" applyFont="1" applyBorder="1">
      <alignment/>
      <protection/>
    </xf>
    <xf numFmtId="3" fontId="10" fillId="0" borderId="0" xfId="59" applyNumberFormat="1" applyFont="1" applyBorder="1" applyAlignment="1">
      <alignment horizontal="right"/>
      <protection/>
    </xf>
    <xf numFmtId="4" fontId="10" fillId="0" borderId="0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3" fontId="4" fillId="0" borderId="0" xfId="60" applyNumberFormat="1" applyFont="1">
      <alignment/>
      <protection/>
    </xf>
    <xf numFmtId="0" fontId="4" fillId="0" borderId="69" xfId="0" applyFont="1" applyBorder="1" applyAlignment="1">
      <alignment/>
    </xf>
    <xf numFmtId="0" fontId="11" fillId="0" borderId="70" xfId="60" applyFont="1" applyBorder="1">
      <alignment/>
      <protection/>
    </xf>
    <xf numFmtId="168" fontId="7" fillId="0" borderId="69" xfId="40" applyNumberFormat="1" applyFont="1" applyBorder="1" applyAlignment="1">
      <alignment/>
    </xf>
    <xf numFmtId="168" fontId="4" fillId="0" borderId="67" xfId="40" applyNumberFormat="1" applyFont="1" applyBorder="1" applyAlignment="1">
      <alignment/>
    </xf>
    <xf numFmtId="168" fontId="4" fillId="0" borderId="43" xfId="40" applyNumberFormat="1" applyFont="1" applyBorder="1" applyAlignment="1">
      <alignment/>
    </xf>
    <xf numFmtId="168" fontId="4" fillId="0" borderId="68" xfId="40" applyNumberFormat="1" applyFont="1" applyBorder="1" applyAlignment="1">
      <alignment/>
    </xf>
    <xf numFmtId="0" fontId="10" fillId="0" borderId="30" xfId="0" applyFont="1" applyBorder="1" applyAlignment="1">
      <alignment/>
    </xf>
    <xf numFmtId="168" fontId="10" fillId="0" borderId="30" xfId="0" applyNumberFormat="1" applyFont="1" applyBorder="1" applyAlignment="1">
      <alignment/>
    </xf>
    <xf numFmtId="168" fontId="10" fillId="0" borderId="30" xfId="40" applyNumberFormat="1" applyFont="1" applyBorder="1" applyAlignment="1">
      <alignment/>
    </xf>
    <xf numFmtId="168" fontId="10" fillId="0" borderId="59" xfId="4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49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/>
    </xf>
    <xf numFmtId="3" fontId="0" fillId="0" borderId="30" xfId="0" applyNumberFormat="1" applyBorder="1" applyAlignment="1">
      <alignment/>
    </xf>
    <xf numFmtId="179" fontId="0" fillId="0" borderId="30" xfId="0" applyNumberFormat="1" applyBorder="1" applyAlignment="1">
      <alignment/>
    </xf>
    <xf numFmtId="0" fontId="19" fillId="0" borderId="0" xfId="0" applyFont="1" applyAlignment="1">
      <alignment/>
    </xf>
    <xf numFmtId="0" fontId="10" fillId="0" borderId="27" xfId="0" applyFont="1" applyBorder="1" applyAlignment="1">
      <alignment/>
    </xf>
    <xf numFmtId="0" fontId="10" fillId="0" borderId="59" xfId="0" applyFont="1" applyBorder="1" applyAlignment="1">
      <alignment/>
    </xf>
    <xf numFmtId="168" fontId="7" fillId="0" borderId="30" xfId="0" applyNumberFormat="1" applyFont="1" applyBorder="1" applyAlignment="1">
      <alignment/>
    </xf>
    <xf numFmtId="0" fontId="0" fillId="0" borderId="0" xfId="0" applyBorder="1" applyAlignment="1">
      <alignment horizontal="center" vertical="center" textRotation="4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" fontId="0" fillId="0" borderId="0" xfId="0" applyNumberFormat="1" applyAlignment="1" quotePrefix="1">
      <alignment/>
    </xf>
    <xf numFmtId="3" fontId="12" fillId="0" borderId="50" xfId="0" applyNumberFormat="1" applyFont="1" applyBorder="1" applyAlignment="1">
      <alignment/>
    </xf>
    <xf numFmtId="3" fontId="12" fillId="32" borderId="0" xfId="57" applyNumberFormat="1" applyFont="1" applyFill="1" applyAlignment="1">
      <alignment horizontal="right"/>
      <protection/>
    </xf>
    <xf numFmtId="3" fontId="6" fillId="0" borderId="0" xfId="40" applyNumberFormat="1" applyFont="1" applyBorder="1" applyAlignment="1">
      <alignment horizontal="right"/>
    </xf>
    <xf numFmtId="0" fontId="7" fillId="0" borderId="30" xfId="0" applyFont="1" applyBorder="1" applyAlignment="1">
      <alignment/>
    </xf>
    <xf numFmtId="168" fontId="12" fillId="0" borderId="29" xfId="40" applyNumberFormat="1" applyFont="1" applyBorder="1" applyAlignment="1">
      <alignment/>
    </xf>
    <xf numFmtId="4" fontId="10" fillId="0" borderId="30" xfId="60" applyNumberFormat="1" applyFont="1" applyBorder="1">
      <alignment/>
      <protection/>
    </xf>
    <xf numFmtId="0" fontId="7" fillId="0" borderId="43" xfId="60" applyFont="1" applyBorder="1">
      <alignment/>
      <protection/>
    </xf>
    <xf numFmtId="3" fontId="11" fillId="0" borderId="29" xfId="59" applyNumberFormat="1" applyFont="1" applyBorder="1" applyAlignment="1">
      <alignment horizontal="right"/>
      <protection/>
    </xf>
    <xf numFmtId="4" fontId="11" fillId="0" borderId="29" xfId="60" applyNumberFormat="1" applyFont="1" applyBorder="1">
      <alignment/>
      <protection/>
    </xf>
    <xf numFmtId="0" fontId="4" fillId="0" borderId="29" xfId="0" applyFont="1" applyBorder="1" applyAlignment="1">
      <alignment/>
    </xf>
    <xf numFmtId="3" fontId="12" fillId="0" borderId="0" xfId="57" applyNumberFormat="1" applyFont="1" applyAlignment="1">
      <alignment horizontal="right"/>
      <protection/>
    </xf>
    <xf numFmtId="0" fontId="12" fillId="0" borderId="0" xfId="59" applyFont="1" applyBorder="1" applyAlignment="1">
      <alignment horizontal="center"/>
      <protection/>
    </xf>
    <xf numFmtId="3" fontId="10" fillId="0" borderId="0" xfId="0" applyNumberFormat="1" applyFont="1" applyAlignment="1">
      <alignment horizontal="center" vertical="center"/>
    </xf>
    <xf numFmtId="49" fontId="12" fillId="0" borderId="0" xfId="59" applyNumberFormat="1" applyFont="1">
      <alignment/>
      <protection/>
    </xf>
    <xf numFmtId="0" fontId="6" fillId="0" borderId="0" xfId="59" applyFont="1">
      <alignment/>
      <protection/>
    </xf>
    <xf numFmtId="49" fontId="0" fillId="0" borderId="0" xfId="0" applyNumberFormat="1" applyAlignment="1" quotePrefix="1">
      <alignment vertical="center"/>
    </xf>
    <xf numFmtId="3" fontId="10" fillId="0" borderId="29" xfId="59" applyNumberFormat="1" applyFont="1" applyBorder="1" applyAlignment="1">
      <alignment horizontal="right"/>
      <protection/>
    </xf>
    <xf numFmtId="4" fontId="10" fillId="0" borderId="29" xfId="60" applyNumberFormat="1" applyFont="1" applyBorder="1">
      <alignment/>
      <protection/>
    </xf>
    <xf numFmtId="49" fontId="12" fillId="0" borderId="0" xfId="60" applyNumberFormat="1" applyFont="1" quotePrefix="1">
      <alignment/>
      <protection/>
    </xf>
    <xf numFmtId="0" fontId="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57" applyFont="1" applyAlignment="1">
      <alignment horizont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51" xfId="57" applyFont="1" applyBorder="1" applyAlignment="1">
      <alignment horizontal="center" vertical="center"/>
      <protection/>
    </xf>
    <xf numFmtId="0" fontId="6" fillId="0" borderId="55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71" xfId="57" applyFont="1" applyBorder="1" applyAlignment="1">
      <alignment horizontal="center" vertical="center"/>
      <protection/>
    </xf>
    <xf numFmtId="0" fontId="6" fillId="0" borderId="14" xfId="57" applyFont="1" applyBorder="1" applyAlignment="1">
      <alignment horizontal="center" vertical="center"/>
      <protection/>
    </xf>
    <xf numFmtId="0" fontId="6" fillId="0" borderId="16" xfId="57" applyFont="1" applyBorder="1" applyAlignment="1">
      <alignment horizontal="center" vertical="center"/>
      <protection/>
    </xf>
    <xf numFmtId="0" fontId="6" fillId="0" borderId="72" xfId="57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2" fillId="0" borderId="0" xfId="57" applyFont="1" applyBorder="1" applyAlignment="1">
      <alignment horizontal="left" vertical="center"/>
      <protection/>
    </xf>
    <xf numFmtId="0" fontId="12" fillId="0" borderId="0" xfId="0" applyFont="1" applyAlignment="1" quotePrefix="1">
      <alignment horizontal="left" wrapText="1"/>
    </xf>
    <xf numFmtId="0" fontId="12" fillId="0" borderId="0" xfId="57" applyFont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4" fillId="0" borderId="11" xfId="57" applyFont="1" applyBorder="1" applyAlignment="1">
      <alignment horizontal="center" vertical="center" textRotation="255"/>
      <protection/>
    </xf>
    <xf numFmtId="0" fontId="4" fillId="0" borderId="13" xfId="57" applyFont="1" applyBorder="1" applyAlignment="1">
      <alignment horizontal="center" vertical="center" textRotation="255"/>
      <protection/>
    </xf>
    <xf numFmtId="0" fontId="4" fillId="0" borderId="15" xfId="57" applyFont="1" applyBorder="1" applyAlignment="1">
      <alignment horizontal="center" vertical="center" textRotation="255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23" fillId="0" borderId="11" xfId="57" applyFont="1" applyBorder="1" applyAlignment="1">
      <alignment horizontal="center" vertical="center" wrapText="1"/>
      <protection/>
    </xf>
    <xf numFmtId="0" fontId="23" fillId="0" borderId="13" xfId="57" applyFont="1" applyBorder="1" applyAlignment="1">
      <alignment horizontal="center" vertical="center" wrapText="1"/>
      <protection/>
    </xf>
    <xf numFmtId="0" fontId="23" fillId="0" borderId="15" xfId="57" applyFont="1" applyBorder="1" applyAlignment="1">
      <alignment horizontal="center" vertical="center" wrapText="1"/>
      <protection/>
    </xf>
    <xf numFmtId="168" fontId="23" fillId="0" borderId="58" xfId="40" applyNumberFormat="1" applyFont="1" applyBorder="1" applyAlignment="1">
      <alignment horizontal="center" vertical="center"/>
    </xf>
    <xf numFmtId="168" fontId="23" fillId="0" borderId="59" xfId="40" applyNumberFormat="1" applyFont="1" applyBorder="1" applyAlignment="1">
      <alignment horizontal="center" vertical="center"/>
    </xf>
    <xf numFmtId="168" fontId="23" fillId="0" borderId="10" xfId="40" applyNumberFormat="1" applyFont="1" applyBorder="1" applyAlignment="1">
      <alignment horizontal="center" vertical="center"/>
    </xf>
    <xf numFmtId="168" fontId="23" fillId="0" borderId="51" xfId="40" applyNumberFormat="1" applyFont="1" applyBorder="1" applyAlignment="1">
      <alignment horizontal="center" vertical="center"/>
    </xf>
    <xf numFmtId="168" fontId="23" fillId="0" borderId="55" xfId="40" applyNumberFormat="1" applyFont="1" applyBorder="1" applyAlignment="1">
      <alignment horizontal="center" vertical="center"/>
    </xf>
    <xf numFmtId="168" fontId="23" fillId="0" borderId="14" xfId="40" applyNumberFormat="1" applyFont="1" applyBorder="1" applyAlignment="1">
      <alignment horizontal="center" vertical="center"/>
    </xf>
    <xf numFmtId="168" fontId="23" fillId="0" borderId="16" xfId="40" applyNumberFormat="1" applyFont="1" applyBorder="1" applyAlignment="1">
      <alignment horizontal="center" vertical="center"/>
    </xf>
    <xf numFmtId="168" fontId="23" fillId="0" borderId="72" xfId="40" applyNumberFormat="1" applyFont="1" applyBorder="1" applyAlignment="1">
      <alignment horizontal="center" vertical="center"/>
    </xf>
    <xf numFmtId="0" fontId="7" fillId="0" borderId="0" xfId="57" applyFont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18" fillId="0" borderId="0" xfId="0" applyFont="1" applyAlignment="1">
      <alignment horizontal="right"/>
    </xf>
    <xf numFmtId="0" fontId="10" fillId="0" borderId="0" xfId="57" applyFont="1" applyAlignment="1">
      <alignment horizont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13" xfId="57" applyFont="1" applyBorder="1" applyAlignment="1">
      <alignment horizontal="center" vertical="center" wrapText="1"/>
      <protection/>
    </xf>
    <xf numFmtId="0" fontId="11" fillId="0" borderId="15" xfId="57" applyFont="1" applyBorder="1" applyAlignment="1">
      <alignment horizontal="center" vertical="center" wrapText="1"/>
      <protection/>
    </xf>
    <xf numFmtId="0" fontId="10" fillId="0" borderId="0" xfId="60" applyFont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7" fillId="0" borderId="0" xfId="60" applyFont="1" applyAlignment="1">
      <alignment horizontal="center"/>
      <protection/>
    </xf>
    <xf numFmtId="0" fontId="27" fillId="0" borderId="11" xfId="57" applyFont="1" applyBorder="1" applyAlignment="1">
      <alignment horizontal="center" vertical="center" wrapText="1"/>
      <protection/>
    </xf>
    <xf numFmtId="0" fontId="27" fillId="0" borderId="13" xfId="57" applyFont="1" applyBorder="1" applyAlignment="1">
      <alignment horizontal="center" vertical="center" wrapText="1"/>
      <protection/>
    </xf>
    <xf numFmtId="0" fontId="27" fillId="0" borderId="15" xfId="57" applyFont="1" applyBorder="1" applyAlignment="1">
      <alignment horizontal="center" vertical="center" wrapText="1"/>
      <protection/>
    </xf>
    <xf numFmtId="0" fontId="11" fillId="0" borderId="16" xfId="60" applyFont="1" applyBorder="1" applyAlignment="1">
      <alignment horizontal="right"/>
      <protection/>
    </xf>
    <xf numFmtId="0" fontId="7" fillId="0" borderId="47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5" xfId="57" applyFont="1" applyBorder="1" applyAlignment="1">
      <alignment horizontal="center" vertical="center"/>
      <protection/>
    </xf>
    <xf numFmtId="0" fontId="11" fillId="0" borderId="47" xfId="57" applyFont="1" applyBorder="1" applyAlignment="1">
      <alignment horizontal="center"/>
      <protection/>
    </xf>
    <xf numFmtId="0" fontId="11" fillId="0" borderId="58" xfId="57" applyFont="1" applyBorder="1" applyAlignment="1">
      <alignment horizontal="center"/>
      <protection/>
    </xf>
    <xf numFmtId="0" fontId="11" fillId="0" borderId="59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/>
      <protection/>
    </xf>
    <xf numFmtId="0" fontId="11" fillId="0" borderId="58" xfId="57" applyFont="1" applyBorder="1" applyAlignment="1">
      <alignment horizontal="center" vertical="center"/>
      <protection/>
    </xf>
    <xf numFmtId="0" fontId="11" fillId="0" borderId="59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71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72" xfId="57" applyFont="1" applyBorder="1" applyAlignment="1">
      <alignment horizontal="center"/>
      <protection/>
    </xf>
    <xf numFmtId="0" fontId="11" fillId="0" borderId="47" xfId="57" applyFont="1" applyBorder="1" applyAlignment="1">
      <alignment horizontal="center" vertical="center" wrapText="1"/>
      <protection/>
    </xf>
    <xf numFmtId="0" fontId="11" fillId="0" borderId="58" xfId="57" applyFont="1" applyBorder="1" applyAlignment="1">
      <alignment horizontal="center" vertical="center" wrapText="1"/>
      <protection/>
    </xf>
    <xf numFmtId="0" fontId="11" fillId="0" borderId="59" xfId="57" applyFont="1" applyBorder="1" applyAlignment="1">
      <alignment horizontal="center" vertical="center" wrapText="1"/>
      <protection/>
    </xf>
    <xf numFmtId="44" fontId="11" fillId="0" borderId="47" xfId="62" applyFont="1" applyBorder="1" applyAlignment="1">
      <alignment horizontal="center" vertical="center"/>
    </xf>
    <xf numFmtId="44" fontId="11" fillId="0" borderId="58" xfId="62" applyFont="1" applyBorder="1" applyAlignment="1">
      <alignment horizontal="center" vertical="center"/>
    </xf>
    <xf numFmtId="44" fontId="11" fillId="0" borderId="59" xfId="62" applyFont="1" applyBorder="1" applyAlignment="1">
      <alignment horizontal="center" vertical="center"/>
    </xf>
    <xf numFmtId="0" fontId="11" fillId="0" borderId="11" xfId="59" applyFont="1" applyBorder="1" applyAlignment="1">
      <alignment horizontal="center" vertical="center"/>
      <protection/>
    </xf>
    <xf numFmtId="0" fontId="11" fillId="0" borderId="13" xfId="59" applyFont="1" applyBorder="1" applyAlignment="1">
      <alignment horizontal="center" vertical="center"/>
      <protection/>
    </xf>
    <xf numFmtId="0" fontId="11" fillId="0" borderId="15" xfId="59" applyFont="1" applyBorder="1" applyAlignment="1">
      <alignment horizontal="center" vertical="center"/>
      <protection/>
    </xf>
    <xf numFmtId="0" fontId="11" fillId="0" borderId="55" xfId="59" applyFont="1" applyBorder="1" applyAlignment="1">
      <alignment horizontal="center" vertical="center" wrapText="1"/>
      <protection/>
    </xf>
    <xf numFmtId="0" fontId="11" fillId="0" borderId="71" xfId="59" applyFont="1" applyBorder="1" applyAlignment="1">
      <alignment horizontal="center" vertical="center" wrapText="1"/>
      <protection/>
    </xf>
    <xf numFmtId="0" fontId="11" fillId="0" borderId="72" xfId="59" applyFont="1" applyBorder="1" applyAlignment="1">
      <alignment horizontal="center" vertical="center" wrapText="1"/>
      <protection/>
    </xf>
    <xf numFmtId="0" fontId="11" fillId="0" borderId="43" xfId="57" applyFont="1" applyBorder="1" applyAlignment="1">
      <alignment horizontal="center" vertical="center" textRotation="180"/>
      <protection/>
    </xf>
    <xf numFmtId="0" fontId="11" fillId="0" borderId="21" xfId="57" applyFont="1" applyBorder="1" applyAlignment="1">
      <alignment horizontal="center" vertical="center" textRotation="180"/>
      <protection/>
    </xf>
    <xf numFmtId="0" fontId="11" fillId="0" borderId="22" xfId="57" applyFont="1" applyBorder="1" applyAlignment="1">
      <alignment horizontal="center" vertical="center" textRotation="180"/>
      <protection/>
    </xf>
    <xf numFmtId="0" fontId="26" fillId="0" borderId="11" xfId="57" applyFont="1" applyBorder="1" applyAlignment="1">
      <alignment horizontal="center" textRotation="255"/>
      <protection/>
    </xf>
    <xf numFmtId="0" fontId="26" fillId="0" borderId="13" xfId="57" applyFont="1" applyBorder="1" applyAlignment="1">
      <alignment horizontal="center" textRotation="255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168" fontId="23" fillId="0" borderId="12" xfId="40" applyNumberFormat="1" applyFont="1" applyBorder="1" applyAlignment="1">
      <alignment horizontal="center" vertical="center"/>
    </xf>
    <xf numFmtId="168" fontId="23" fillId="0" borderId="0" xfId="40" applyNumberFormat="1" applyFont="1" applyBorder="1" applyAlignment="1">
      <alignment horizontal="center" vertical="center"/>
    </xf>
    <xf numFmtId="168" fontId="23" fillId="0" borderId="71" xfId="4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59" applyFont="1" applyAlignment="1">
      <alignment horizontal="left" wrapText="1"/>
      <protection/>
    </xf>
    <xf numFmtId="0" fontId="10" fillId="0" borderId="6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2" fillId="0" borderId="0" xfId="59" applyFont="1" applyAlignment="1">
      <alignment wrapText="1"/>
      <protection/>
    </xf>
    <xf numFmtId="0" fontId="7" fillId="0" borderId="0" xfId="0" applyFont="1" applyAlignment="1">
      <alignment wrapText="1"/>
    </xf>
    <xf numFmtId="0" fontId="10" fillId="0" borderId="6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59" applyFont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0" fontId="11" fillId="0" borderId="11" xfId="59" applyFont="1" applyBorder="1" applyAlignment="1">
      <alignment horizontal="center" vertical="center" textRotation="180"/>
      <protection/>
    </xf>
    <xf numFmtId="0" fontId="11" fillId="0" borderId="13" xfId="59" applyFont="1" applyBorder="1" applyAlignment="1">
      <alignment horizontal="center" vertical="center" textRotation="180"/>
      <protection/>
    </xf>
    <xf numFmtId="0" fontId="11" fillId="0" borderId="15" xfId="59" applyFont="1" applyBorder="1" applyAlignment="1">
      <alignment horizontal="center" vertical="center" textRotation="180"/>
      <protection/>
    </xf>
    <xf numFmtId="0" fontId="21" fillId="0" borderId="0" xfId="0" applyFont="1" applyAlignment="1">
      <alignment horizontal="center"/>
    </xf>
    <xf numFmtId="0" fontId="12" fillId="0" borderId="11" xfId="60" applyFont="1" applyBorder="1" applyAlignment="1">
      <alignment horizontal="center" textRotation="180"/>
      <protection/>
    </xf>
    <xf numFmtId="0" fontId="12" fillId="0" borderId="13" xfId="60" applyFont="1" applyBorder="1" applyAlignment="1">
      <alignment horizontal="center" textRotation="180"/>
      <protection/>
    </xf>
    <xf numFmtId="0" fontId="12" fillId="0" borderId="15" xfId="60" applyFont="1" applyBorder="1" applyAlignment="1">
      <alignment horizontal="center" textRotation="180"/>
      <protection/>
    </xf>
    <xf numFmtId="0" fontId="12" fillId="0" borderId="0" xfId="0" applyFont="1" applyAlignment="1">
      <alignment horizontal="right"/>
    </xf>
    <xf numFmtId="0" fontId="0" fillId="0" borderId="11" xfId="0" applyBorder="1" applyAlignment="1">
      <alignment horizontal="center" vertical="center" textRotation="45"/>
    </xf>
    <xf numFmtId="0" fontId="0" fillId="0" borderId="13" xfId="0" applyBorder="1" applyAlignment="1">
      <alignment horizontal="center" vertical="center" textRotation="45"/>
    </xf>
    <xf numFmtId="0" fontId="0" fillId="0" borderId="15" xfId="0" applyBorder="1" applyAlignment="1">
      <alignment horizontal="center" vertical="center" textRotation="45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0" fillId="0" borderId="0" xfId="57" applyFont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1" fillId="0" borderId="0" xfId="0" applyFont="1" applyAlignment="1">
      <alignment horizontal="right"/>
    </xf>
    <xf numFmtId="168" fontId="4" fillId="0" borderId="79" xfId="40" applyNumberFormat="1" applyFont="1" applyBorder="1" applyAlignment="1">
      <alignment horizontal="center" vertical="center"/>
    </xf>
    <xf numFmtId="168" fontId="4" fillId="0" borderId="80" xfId="40" applyNumberFormat="1" applyFont="1" applyBorder="1" applyAlignment="1">
      <alignment horizontal="center" vertical="center"/>
    </xf>
    <xf numFmtId="0" fontId="4" fillId="0" borderId="81" xfId="57" applyFont="1" applyBorder="1" applyAlignment="1">
      <alignment horizontal="center" vertical="center"/>
      <protection/>
    </xf>
    <xf numFmtId="0" fontId="4" fillId="0" borderId="80" xfId="57" applyFont="1" applyBorder="1" applyAlignment="1">
      <alignment horizontal="center" vertical="center"/>
      <protection/>
    </xf>
    <xf numFmtId="0" fontId="4" fillId="0" borderId="82" xfId="57" applyFont="1" applyBorder="1" applyAlignment="1">
      <alignment horizontal="center" vertical="center"/>
      <protection/>
    </xf>
    <xf numFmtId="168" fontId="4" fillId="0" borderId="35" xfId="40" applyNumberFormat="1" applyFont="1" applyBorder="1" applyAlignment="1">
      <alignment horizontal="center" vertical="center"/>
    </xf>
    <xf numFmtId="168" fontId="4" fillId="0" borderId="21" xfId="40" applyNumberFormat="1" applyFont="1" applyBorder="1" applyAlignment="1">
      <alignment horizontal="center" vertical="center"/>
    </xf>
    <xf numFmtId="0" fontId="4" fillId="0" borderId="83" xfId="57" applyFont="1" applyBorder="1" applyAlignment="1">
      <alignment horizontal="center" vertical="center" wrapText="1"/>
      <protection/>
    </xf>
    <xf numFmtId="0" fontId="4" fillId="0" borderId="13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4" fillId="0" borderId="84" xfId="57" applyFont="1" applyBorder="1" applyAlignment="1">
      <alignment horizontal="center"/>
      <protection/>
    </xf>
    <xf numFmtId="0" fontId="4" fillId="0" borderId="85" xfId="57" applyFont="1" applyBorder="1" applyAlignment="1">
      <alignment horizontal="center"/>
      <protection/>
    </xf>
    <xf numFmtId="0" fontId="4" fillId="0" borderId="35" xfId="57" applyFont="1" applyBorder="1" applyAlignment="1">
      <alignment horizontal="left" vertical="center" wrapText="1"/>
      <protection/>
    </xf>
    <xf numFmtId="0" fontId="4" fillId="0" borderId="21" xfId="57" applyFont="1" applyBorder="1" applyAlignment="1">
      <alignment horizontal="left" vertical="center" wrapText="1"/>
      <protection/>
    </xf>
    <xf numFmtId="168" fontId="12" fillId="0" borderId="86" xfId="40" applyNumberFormat="1" applyFont="1" applyBorder="1" applyAlignment="1">
      <alignment horizontal="center" vertical="center"/>
    </xf>
    <xf numFmtId="168" fontId="12" fillId="0" borderId="87" xfId="40" applyNumberFormat="1" applyFont="1" applyBorder="1" applyAlignment="1">
      <alignment horizontal="center" vertical="center"/>
    </xf>
    <xf numFmtId="168" fontId="12" fillId="0" borderId="88" xfId="40" applyNumberFormat="1" applyFont="1" applyBorder="1" applyAlignment="1">
      <alignment horizontal="center" vertical="center"/>
    </xf>
    <xf numFmtId="168" fontId="12" fillId="0" borderId="89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8" fontId="12" fillId="0" borderId="91" xfId="4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2" fillId="0" borderId="92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3" xfId="0" applyFont="1" applyBorder="1" applyAlignment="1">
      <alignment horizontal="center"/>
    </xf>
    <xf numFmtId="0" fontId="12" fillId="0" borderId="9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95" xfId="0" applyFont="1" applyBorder="1" applyAlignment="1">
      <alignment horizontal="left" vertical="center"/>
    </xf>
    <xf numFmtId="0" fontId="12" fillId="0" borderId="9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/>
    </xf>
    <xf numFmtId="0" fontId="12" fillId="0" borderId="98" xfId="0" applyFont="1" applyBorder="1" applyAlignment="1">
      <alignment horizontal="center"/>
    </xf>
    <xf numFmtId="0" fontId="12" fillId="0" borderId="3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168" fontId="12" fillId="0" borderId="35" xfId="40" applyNumberFormat="1" applyFont="1" applyBorder="1" applyAlignment="1">
      <alignment horizontal="center" vertical="center"/>
    </xf>
    <xf numFmtId="168" fontId="12" fillId="0" borderId="21" xfId="40" applyNumberFormat="1" applyFont="1" applyBorder="1" applyAlignment="1">
      <alignment horizontal="center" vertical="center"/>
    </xf>
    <xf numFmtId="168" fontId="12" fillId="0" borderId="40" xfId="40" applyNumberFormat="1" applyFont="1" applyBorder="1" applyAlignment="1">
      <alignment horizontal="center" vertical="center"/>
    </xf>
    <xf numFmtId="168" fontId="18" fillId="0" borderId="99" xfId="40" applyNumberFormat="1" applyFont="1" applyBorder="1" applyAlignment="1">
      <alignment horizontal="center" vertical="center"/>
    </xf>
    <xf numFmtId="168" fontId="18" fillId="0" borderId="100" xfId="40" applyNumberFormat="1" applyFont="1" applyBorder="1" applyAlignment="1">
      <alignment horizontal="center" vertical="center"/>
    </xf>
    <xf numFmtId="168" fontId="18" fillId="0" borderId="101" xfId="40" applyNumberFormat="1" applyFont="1" applyBorder="1" applyAlignment="1">
      <alignment horizontal="center" vertical="center"/>
    </xf>
    <xf numFmtId="2" fontId="12" fillId="0" borderId="86" xfId="0" applyNumberFormat="1" applyFont="1" applyBorder="1" applyAlignment="1">
      <alignment horizontal="center" vertical="center" wrapText="1"/>
    </xf>
    <xf numFmtId="2" fontId="12" fillId="0" borderId="87" xfId="0" applyNumberFormat="1" applyFont="1" applyBorder="1" applyAlignment="1">
      <alignment horizontal="center" vertical="center" wrapText="1"/>
    </xf>
    <xf numFmtId="2" fontId="12" fillId="0" borderId="9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/>
    </xf>
    <xf numFmtId="0" fontId="12" fillId="0" borderId="10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104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2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68" fontId="12" fillId="0" borderId="109" xfId="40" applyNumberFormat="1" applyFont="1" applyBorder="1" applyAlignment="1">
      <alignment horizontal="center" vertical="center"/>
    </xf>
    <xf numFmtId="168" fontId="12" fillId="0" borderId="110" xfId="40" applyNumberFormat="1" applyFont="1" applyBorder="1" applyAlignment="1">
      <alignment horizontal="center" vertical="center"/>
    </xf>
    <xf numFmtId="168" fontId="12" fillId="0" borderId="111" xfId="4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0" fillId="0" borderId="64" xfId="0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0" fontId="4" fillId="0" borderId="11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68" fontId="12" fillId="0" borderId="43" xfId="0" applyNumberFormat="1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4" fillId="0" borderId="6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30" fillId="0" borderId="43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68" fontId="12" fillId="0" borderId="21" xfId="40" applyNumberFormat="1" applyFont="1" applyBorder="1" applyAlignment="1">
      <alignment horizontal="center"/>
    </xf>
    <xf numFmtId="168" fontId="12" fillId="0" borderId="10" xfId="40" applyNumberFormat="1" applyFont="1" applyBorder="1" applyAlignment="1">
      <alignment horizontal="center"/>
    </xf>
    <xf numFmtId="168" fontId="12" fillId="0" borderId="55" xfId="40" applyNumberFormat="1" applyFont="1" applyBorder="1" applyAlignment="1">
      <alignment horizontal="center"/>
    </xf>
    <xf numFmtId="168" fontId="12" fillId="0" borderId="14" xfId="40" applyNumberFormat="1" applyFont="1" applyBorder="1" applyAlignment="1">
      <alignment horizontal="center"/>
    </xf>
    <xf numFmtId="168" fontId="12" fillId="0" borderId="72" xfId="40" applyNumberFormat="1" applyFont="1" applyBorder="1" applyAlignment="1">
      <alignment horizontal="center"/>
    </xf>
    <xf numFmtId="168" fontId="6" fillId="0" borderId="10" xfId="40" applyNumberFormat="1" applyFont="1" applyBorder="1" applyAlignment="1">
      <alignment horizontal="center"/>
    </xf>
    <xf numFmtId="168" fontId="6" fillId="0" borderId="55" xfId="40" applyNumberFormat="1" applyFont="1" applyBorder="1" applyAlignment="1">
      <alignment horizontal="center"/>
    </xf>
    <xf numFmtId="168" fontId="6" fillId="0" borderId="14" xfId="40" applyNumberFormat="1" applyFont="1" applyBorder="1" applyAlignment="1">
      <alignment horizontal="center"/>
    </xf>
    <xf numFmtId="168" fontId="6" fillId="0" borderId="72" xfId="40" applyNumberFormat="1" applyFont="1" applyBorder="1" applyAlignment="1">
      <alignment horizontal="center"/>
    </xf>
    <xf numFmtId="168" fontId="12" fillId="0" borderId="113" xfId="40" applyNumberFormat="1" applyFont="1" applyBorder="1" applyAlignment="1">
      <alignment horizontal="center"/>
    </xf>
    <xf numFmtId="168" fontId="12" fillId="0" borderId="62" xfId="40" applyNumberFormat="1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8" fontId="6" fillId="0" borderId="11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168" fontId="6" fillId="0" borderId="11" xfId="40" applyNumberFormat="1" applyFont="1" applyBorder="1" applyAlignment="1">
      <alignment horizontal="center"/>
    </xf>
    <xf numFmtId="168" fontId="6" fillId="0" borderId="15" xfId="40" applyNumberFormat="1" applyFont="1" applyBorder="1" applyAlignment="1">
      <alignment horizontal="center"/>
    </xf>
    <xf numFmtId="168" fontId="12" fillId="0" borderId="43" xfId="40" applyNumberFormat="1" applyFont="1" applyBorder="1" applyAlignment="1">
      <alignment horizontal="center"/>
    </xf>
    <xf numFmtId="168" fontId="12" fillId="0" borderId="22" xfId="4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wrapText="1"/>
    </xf>
    <xf numFmtId="0" fontId="30" fillId="0" borderId="22" xfId="0" applyFont="1" applyBorder="1" applyAlignment="1">
      <alignment horizontal="center" wrapText="1"/>
    </xf>
    <xf numFmtId="168" fontId="12" fillId="0" borderId="29" xfId="4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12" fillId="0" borderId="6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70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6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14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2" fillId="0" borderId="4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11" xfId="56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6" fillId="0" borderId="47" xfId="56" applyFont="1" applyBorder="1" applyAlignment="1">
      <alignment horizontal="center"/>
      <protection/>
    </xf>
    <xf numFmtId="0" fontId="6" fillId="0" borderId="58" xfId="56" applyFont="1" applyBorder="1" applyAlignment="1">
      <alignment horizontal="center"/>
      <protection/>
    </xf>
    <xf numFmtId="0" fontId="0" fillId="0" borderId="30" xfId="0" applyBorder="1" applyAlignment="1">
      <alignment/>
    </xf>
    <xf numFmtId="0" fontId="19" fillId="0" borderId="30" xfId="0" applyFont="1" applyBorder="1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3" fontId="12" fillId="0" borderId="0" xfId="40" applyNumberFormat="1" applyFont="1" applyBorder="1" applyAlignment="1">
      <alignment horizontal="right"/>
    </xf>
    <xf numFmtId="0" fontId="54" fillId="0" borderId="0" xfId="0" applyFont="1" applyAlignment="1">
      <alignment horizontal="left" wrapText="1"/>
    </xf>
    <xf numFmtId="3" fontId="18" fillId="0" borderId="0" xfId="4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8" fontId="10" fillId="0" borderId="0" xfId="40" applyNumberFormat="1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15" xfId="60" applyFont="1" applyBorder="1">
      <alignment/>
      <protection/>
    </xf>
    <xf numFmtId="0" fontId="7" fillId="0" borderId="61" xfId="0" applyFont="1" applyBorder="1" applyAlignment="1">
      <alignment/>
    </xf>
    <xf numFmtId="0" fontId="12" fillId="0" borderId="0" xfId="57" applyFont="1" applyBorder="1" applyAlignment="1" quotePrefix="1">
      <alignment horizontal="center"/>
      <protection/>
    </xf>
    <xf numFmtId="0" fontId="12" fillId="0" borderId="26" xfId="57" applyFont="1" applyBorder="1" applyAlignment="1">
      <alignment horizontal="center"/>
      <protection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59" xfId="0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right"/>
    </xf>
    <xf numFmtId="3" fontId="0" fillId="0" borderId="47" xfId="0" applyNumberFormat="1" applyBorder="1" applyAlignment="1">
      <alignment/>
    </xf>
    <xf numFmtId="3" fontId="0" fillId="0" borderId="59" xfId="0" applyNumberFormat="1" applyBorder="1" applyAlignment="1">
      <alignment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ONEPC99" xfId="56"/>
    <cellStyle name="Normál_KTGV99" xfId="57"/>
    <cellStyle name="Normál_mérleg" xfId="58"/>
    <cellStyle name="Normál_PHKV99" xfId="59"/>
    <cellStyle name="Normál_SIKONC99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itke%202020.%20&#233;vi%20k&#246;lts&#233;gvet&#233;s%202-sz.m&#243;d-%20mell&#233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."/>
      <sheetName val="1.mell. -mérleg"/>
      <sheetName val="2.mell - bevétel"/>
      <sheetName val="3.mell. - bevét.Köá"/>
      <sheetName val="4.mell. - kiadás"/>
      <sheetName val="5.mell. - kiadás.köá."/>
      <sheetName val="6.mell. - közgazd.mérleg"/>
      <sheetName val="7.mell. -ei.felh.ütemt."/>
      <sheetName val="8.mell."/>
      <sheetName val="9.mell"/>
      <sheetName val="Munka1"/>
    </sheetNames>
    <sheetDataSet>
      <sheetData sheetId="1">
        <row r="6">
          <cell r="B6" t="str">
            <v>SITKE KÖZSÉG ÖNKORMÁNYZATA</v>
          </cell>
        </row>
        <row r="7">
          <cell r="B7" t="str">
            <v>BEVÉTELEINEK ÉS KIADÁSAINAK ALAKULÁSA</v>
          </cell>
        </row>
        <row r="8">
          <cell r="B8" t="str">
            <v>2020. évre</v>
          </cell>
        </row>
        <row r="10">
          <cell r="A10" t="str">
            <v>1.</v>
          </cell>
          <cell r="B10" t="str">
            <v>BEVÉTELEK:</v>
          </cell>
        </row>
        <row r="11">
          <cell r="A11" t="str">
            <v>1.1.</v>
          </cell>
          <cell r="B11" t="str">
            <v>MŰKÖDÉSI TÁMOGATÁSOK ÁLLAMHÁZTARTÁSON BELÜLRŐL</v>
          </cell>
          <cell r="E11">
            <v>35874463</v>
          </cell>
          <cell r="F11" t="str">
            <v> Ft</v>
          </cell>
        </row>
        <row r="12">
          <cell r="A12" t="str">
            <v>1.1.1.</v>
          </cell>
          <cell r="B12" t="str">
            <v> ebből:   Helyi önkormányzatok  működésének  általános támogatása</v>
          </cell>
          <cell r="C12">
            <v>35714003</v>
          </cell>
          <cell r="D12" t="str">
            <v>e Ft</v>
          </cell>
        </row>
        <row r="13">
          <cell r="A13" t="str">
            <v>1.1.2.</v>
          </cell>
          <cell r="B13" t="str">
            <v>             Egyéb működési célú támogatások bevételei államháztartáson belülről</v>
          </cell>
          <cell r="C13">
            <v>160460</v>
          </cell>
          <cell r="D13" t="str">
            <v>e Ft</v>
          </cell>
        </row>
        <row r="15">
          <cell r="A15" t="str">
            <v>1.2.</v>
          </cell>
          <cell r="B15" t="str">
            <v>FELHALMOZÁSI TÁMOGATÁSOK ÁLLAMHÁZTARTÁSON BELÜLRŐL</v>
          </cell>
          <cell r="F15" t="str">
            <v> Ft</v>
          </cell>
        </row>
        <row r="17">
          <cell r="A17" t="str">
            <v>1.3.</v>
          </cell>
          <cell r="B17" t="str">
            <v>KÖZHATALMI BEVÉTELEK</v>
          </cell>
          <cell r="E17">
            <v>6128056</v>
          </cell>
          <cell r="F17" t="str">
            <v> Ft</v>
          </cell>
        </row>
        <row r="19">
          <cell r="A19" t="str">
            <v>1.4.</v>
          </cell>
          <cell r="B19" t="str">
            <v>MŰKÖDÉSI BEVÉTELEK</v>
          </cell>
          <cell r="E19">
            <v>11024170</v>
          </cell>
          <cell r="F19" t="str">
            <v> Ft</v>
          </cell>
        </row>
        <row r="21">
          <cell r="A21" t="str">
            <v>1.5.</v>
          </cell>
          <cell r="B21" t="str">
            <v>FELHALMOZÁSI BEVÉTELEK</v>
          </cell>
          <cell r="F21" t="str">
            <v> Ft</v>
          </cell>
        </row>
        <row r="23">
          <cell r="A23" t="str">
            <v>1.6.</v>
          </cell>
          <cell r="B23" t="str">
            <v>MŰKÖDÉSI CÉLÚ ÁTVETT PÉNZESZKÖZÖK</v>
          </cell>
          <cell r="F23" t="str">
            <v> Ft</v>
          </cell>
        </row>
        <row r="24">
          <cell r="A24" t="str">
            <v>1.6.1.</v>
          </cell>
          <cell r="B24" t="str">
            <v> ebből: működési célú visszatérítendő támogatások, kölcsönök visszatérülése államházt.kívülről</v>
          </cell>
          <cell r="D24" t="str">
            <v>e Ft</v>
          </cell>
        </row>
        <row r="25">
          <cell r="B25" t="str">
            <v>           Egyéb működési célú átvett pénzeszközök</v>
          </cell>
          <cell r="D25" t="str">
            <v>e Ft</v>
          </cell>
        </row>
        <row r="27">
          <cell r="A27" t="str">
            <v>1.7.</v>
          </cell>
          <cell r="B27" t="str">
            <v>FELHALMOZÁSI CÉLÚ ÁTVETT PÉNZESZKÖZÖK</v>
          </cell>
          <cell r="E27">
            <v>8277879</v>
          </cell>
          <cell r="F27" t="str">
            <v> Ft</v>
          </cell>
        </row>
        <row r="28">
          <cell r="A28" t="str">
            <v>1.7.1.</v>
          </cell>
          <cell r="B28" t="str">
            <v> ebből: felhalmozási célú visszatérítendő támogatások, kölcsönök visszatérülése államházt.kívülről</v>
          </cell>
          <cell r="C28">
            <v>2277879</v>
          </cell>
          <cell r="D28" t="str">
            <v>e Ft</v>
          </cell>
        </row>
        <row r="29">
          <cell r="A29" t="str">
            <v>1.7.2.</v>
          </cell>
          <cell r="B29" t="str">
            <v>           Egyéb felhalmozási célú átvett pénzeszközök</v>
          </cell>
          <cell r="C29">
            <v>6000000</v>
          </cell>
          <cell r="D29" t="str">
            <v>e Ft</v>
          </cell>
        </row>
        <row r="31">
          <cell r="A31" t="str">
            <v>2.</v>
          </cell>
          <cell r="B31" t="str">
            <v>TÁRGYÉVI BEVÉTELEK ÖSSZESEN:</v>
          </cell>
          <cell r="E31">
            <v>61304568</v>
          </cell>
          <cell r="F31" t="str">
            <v> Ft</v>
          </cell>
        </row>
        <row r="33">
          <cell r="A33" t="str">
            <v>3.</v>
          </cell>
          <cell r="B33" t="str">
            <v>KIADÁSOK:</v>
          </cell>
        </row>
        <row r="34">
          <cell r="A34" t="str">
            <v>3.1.</v>
          </cell>
          <cell r="B34" t="str">
            <v>MŰKÖDÉSI KIADÁSOK</v>
          </cell>
          <cell r="E34">
            <v>80595219</v>
          </cell>
          <cell r="F34" t="str">
            <v> Ft</v>
          </cell>
        </row>
        <row r="35">
          <cell r="B35" t="str">
            <v> ebből:</v>
          </cell>
        </row>
        <row r="36">
          <cell r="A36" t="str">
            <v>3.1.1.</v>
          </cell>
          <cell r="B36" t="str">
            <v>       - Személyi juttatások</v>
          </cell>
          <cell r="C36">
            <v>24850551</v>
          </cell>
          <cell r="D36" t="str">
            <v> Ft</v>
          </cell>
        </row>
        <row r="37">
          <cell r="A37" t="str">
            <v>3.1.2</v>
          </cell>
          <cell r="B37" t="str">
            <v>       - Munkáltatót terhelő járulékok</v>
          </cell>
          <cell r="C37">
            <v>4343697</v>
          </cell>
          <cell r="D37" t="str">
            <v> Ft</v>
          </cell>
        </row>
        <row r="38">
          <cell r="A38" t="str">
            <v>3.1.3.</v>
          </cell>
          <cell r="B38" t="str">
            <v>       - Dologi kiadások</v>
          </cell>
          <cell r="C38">
            <v>27510946</v>
          </cell>
          <cell r="D38" t="str">
            <v> Ft</v>
          </cell>
        </row>
        <row r="39">
          <cell r="A39" t="str">
            <v>3.1.4.</v>
          </cell>
          <cell r="B39" t="str">
            <v>       - Ellátottak juttatásai</v>
          </cell>
          <cell r="C39">
            <v>2700000</v>
          </cell>
          <cell r="D39" t="str">
            <v> Ft</v>
          </cell>
        </row>
        <row r="40">
          <cell r="A40" t="str">
            <v>3.1.5.</v>
          </cell>
          <cell r="B40" t="str">
            <v>       - egyéb működési kiadások</v>
          </cell>
          <cell r="C40">
            <v>2570200</v>
          </cell>
          <cell r="D40" t="str">
            <v> Ft</v>
          </cell>
        </row>
        <row r="41">
          <cell r="A41" t="str">
            <v>3.1.6.</v>
          </cell>
          <cell r="B41" t="str">
            <v>       - Általános tartalék</v>
          </cell>
          <cell r="C41">
            <v>18619825</v>
          </cell>
          <cell r="D41" t="str">
            <v>Ft</v>
          </cell>
        </row>
        <row r="42">
          <cell r="A42" t="str">
            <v>3.2</v>
          </cell>
          <cell r="B42" t="str">
            <v>FELHALMOZÁSI KIADÁSOK</v>
          </cell>
          <cell r="E42">
            <v>100936152</v>
          </cell>
          <cell r="F42" t="str">
            <v> Ft</v>
          </cell>
        </row>
        <row r="43">
          <cell r="B43" t="str">
            <v> ebből:</v>
          </cell>
        </row>
        <row r="44">
          <cell r="A44" t="str">
            <v>3.2.1.</v>
          </cell>
          <cell r="B44" t="str">
            <v>       - Beruházások</v>
          </cell>
          <cell r="C44">
            <v>10258089</v>
          </cell>
          <cell r="D44" t="str">
            <v> Ft</v>
          </cell>
        </row>
        <row r="45">
          <cell r="A45" t="str">
            <v>3.2.2.</v>
          </cell>
          <cell r="B45" t="str">
            <v>       - Felújítások</v>
          </cell>
          <cell r="C45">
            <v>87074490</v>
          </cell>
          <cell r="D45" t="str">
            <v> Ft</v>
          </cell>
        </row>
        <row r="46">
          <cell r="A46" t="str">
            <v>3.2.3</v>
          </cell>
          <cell r="B46" t="str">
            <v>       - egyéb felhalmozási kiadások</v>
          </cell>
          <cell r="C46">
            <v>3603573</v>
          </cell>
          <cell r="D46" t="str">
            <v> Ft</v>
          </cell>
        </row>
        <row r="48">
          <cell r="A48" t="str">
            <v>4.</v>
          </cell>
          <cell r="B48" t="str">
            <v>FINANSZÍROZÁSI KIADÁSOK</v>
          </cell>
          <cell r="E48">
            <v>1449359</v>
          </cell>
          <cell r="F48" t="str">
            <v> Ft</v>
          </cell>
        </row>
        <row r="49">
          <cell r="A49" t="str">
            <v>4.1.</v>
          </cell>
          <cell r="B49" t="str">
            <v> ebből: fejlesztési célú hitelek törlesztése</v>
          </cell>
          <cell r="D49" t="str">
            <v> Ft</v>
          </cell>
        </row>
        <row r="50">
          <cell r="A50" t="str">
            <v>4.2.</v>
          </cell>
          <cell r="B50" t="str">
            <v>           befektetési célú részesedések vásárlása</v>
          </cell>
          <cell r="D50" t="str">
            <v> Ft</v>
          </cell>
        </row>
        <row r="51">
          <cell r="A51" t="str">
            <v>4.3.</v>
          </cell>
          <cell r="B51" t="str">
            <v>          Áht-n belüli megelőlegezések visszafizetése</v>
          </cell>
          <cell r="C51">
            <v>1449359</v>
          </cell>
          <cell r="D51" t="str">
            <v> Ft</v>
          </cell>
        </row>
        <row r="52">
          <cell r="A52" t="str">
            <v>5.</v>
          </cell>
          <cell r="B52" t="str">
            <v>TÁRGYÉVI KIADÁSOK ÖSSZESEN:</v>
          </cell>
          <cell r="E52">
            <v>182980730</v>
          </cell>
          <cell r="F52" t="str">
            <v> Ft</v>
          </cell>
        </row>
        <row r="54">
          <cell r="A54" t="str">
            <v>6.</v>
          </cell>
          <cell r="B54" t="str">
            <v>TÁRGYÉVI BEVÉTELEK ÉS KIADÁSOK EGYENLEGE:</v>
          </cell>
          <cell r="E54">
            <v>-121676162</v>
          </cell>
          <cell r="F54" t="str">
            <v> Ft</v>
          </cell>
        </row>
        <row r="56">
          <cell r="A56" t="str">
            <v>7.</v>
          </cell>
          <cell r="B56" t="str">
            <v>ELŐZŐ ÉVEK KÖLTSÉGVETÉSI MARADVÁNY IGÉNYBEVÉTELE </v>
          </cell>
          <cell r="E56">
            <v>120226803</v>
          </cell>
          <cell r="F56" t="str">
            <v> Ft</v>
          </cell>
        </row>
        <row r="57">
          <cell r="A57" t="str">
            <v>8.</v>
          </cell>
          <cell r="B57" t="str">
            <v>2019.ÉVBEN MEGELŐLEGEZETT ÁLLAMI TÁMOGATÁS</v>
          </cell>
          <cell r="E57">
            <v>1449359</v>
          </cell>
          <cell r="F57" t="str">
            <v>Ft</v>
          </cell>
        </row>
        <row r="58">
          <cell r="A58" t="str">
            <v>9.</v>
          </cell>
          <cell r="B58" t="str">
            <v>TÁRGYÉVI KÖLTSÉGVETÉS EGYENLEGE</v>
          </cell>
          <cell r="E58">
            <v>0</v>
          </cell>
          <cell r="F58" t="str">
            <v> Ft</v>
          </cell>
        </row>
      </sheetData>
      <sheetData sheetId="6">
        <row r="7">
          <cell r="A7" t="str">
            <v>Sitke község Önkormányzata</v>
          </cell>
        </row>
        <row r="8">
          <cell r="A8" t="str">
            <v>Költségvetési (működési és felhalmozási ) mérlege</v>
          </cell>
        </row>
        <row r="9">
          <cell r="A9" t="str">
            <v>(közgazdasági tagolásban)</v>
          </cell>
        </row>
        <row r="10">
          <cell r="A10" t="str">
            <v>2020. év</v>
          </cell>
        </row>
        <row r="12">
          <cell r="A12" t="str">
            <v>sor-</v>
          </cell>
          <cell r="C12" t="str">
            <v>tervezett</v>
          </cell>
        </row>
        <row r="13">
          <cell r="B13" t="str">
            <v>Megnevezés</v>
          </cell>
          <cell r="C13" t="str">
            <v>előirányzat</v>
          </cell>
        </row>
        <row r="14">
          <cell r="A14" t="str">
            <v>szám</v>
          </cell>
          <cell r="C14" t="str">
            <v>Ft</v>
          </cell>
        </row>
        <row r="16">
          <cell r="A16" t="str">
            <v>I. Működési  költségvetés</v>
          </cell>
        </row>
        <row r="17">
          <cell r="A17" t="str">
            <v>1.</v>
          </cell>
          <cell r="B17" t="str">
            <v>Működési  támogatások államháztartáson belülről</v>
          </cell>
        </row>
        <row r="18">
          <cell r="B18" t="str">
            <v> - önkormányzatok működési támogatásai</v>
          </cell>
          <cell r="C18">
            <v>35714003</v>
          </cell>
        </row>
        <row r="19">
          <cell r="B19" t="str">
            <v> - egyéb működési célú támogatások bevételei államháztartáson belülről</v>
          </cell>
          <cell r="C19">
            <v>160460</v>
          </cell>
        </row>
        <row r="20">
          <cell r="A20" t="str">
            <v>2.</v>
          </cell>
          <cell r="B20" t="str">
            <v>Közhatalmi bevételek</v>
          </cell>
          <cell r="C20">
            <v>6128056</v>
          </cell>
        </row>
        <row r="21">
          <cell r="A21" t="str">
            <v>3.</v>
          </cell>
          <cell r="B21" t="str">
            <v>Működési bevételek   </v>
          </cell>
          <cell r="C21">
            <v>11024170</v>
          </cell>
        </row>
        <row r="22">
          <cell r="A22" t="str">
            <v>4.</v>
          </cell>
          <cell r="B22" t="str">
            <v>Működési célú átvett pénzeszközök</v>
          </cell>
        </row>
        <row r="23">
          <cell r="B23" t="str">
            <v> - működési célú visszatérítendő támogatások, kölcsönök visszatérülése államháztartáson kívülről</v>
          </cell>
        </row>
        <row r="24">
          <cell r="B24" t="str">
            <v> - egyéb működési célú átvett pénzeszközök</v>
          </cell>
        </row>
        <row r="25">
          <cell r="B25" t="str">
            <v>Működési bevételek összesen</v>
          </cell>
          <cell r="C25">
            <v>53026689</v>
          </cell>
        </row>
        <row r="26">
          <cell r="A26" t="str">
            <v>5.</v>
          </cell>
          <cell r="B26" t="str">
            <v>Személyi juttatások</v>
          </cell>
          <cell r="C26">
            <v>24850551</v>
          </cell>
        </row>
        <row r="27">
          <cell r="A27" t="str">
            <v>6.</v>
          </cell>
          <cell r="B27" t="str">
            <v>Munkaadókat terhelő járulékok és szociális hozzájárulási adó</v>
          </cell>
          <cell r="C27">
            <v>4343697</v>
          </cell>
        </row>
        <row r="28">
          <cell r="A28" t="str">
            <v>7.</v>
          </cell>
          <cell r="B28" t="str">
            <v>Dologi kiadások</v>
          </cell>
          <cell r="C28">
            <v>27510946</v>
          </cell>
        </row>
        <row r="29">
          <cell r="A29" t="str">
            <v>8.</v>
          </cell>
          <cell r="B29" t="str">
            <v>Ellátottak pénzbeli juttatásai</v>
          </cell>
          <cell r="C29">
            <v>2700000</v>
          </cell>
        </row>
        <row r="30">
          <cell r="A30" t="str">
            <v>9.</v>
          </cell>
          <cell r="B30" t="str">
            <v>Egyéb működési célú kiadások</v>
          </cell>
        </row>
        <row r="31">
          <cell r="B31" t="str">
            <v> - működési célú visszatérítendő támogatások, kölcsönök nyújtása államháztartáson kívülre</v>
          </cell>
        </row>
        <row r="32">
          <cell r="B32" t="str">
            <v> - egyéb működési célú támogatások </v>
          </cell>
          <cell r="C32">
            <v>2570200</v>
          </cell>
        </row>
        <row r="33">
          <cell r="B33" t="str">
            <v> - tartalékok</v>
          </cell>
          <cell r="C33">
            <v>18619825</v>
          </cell>
        </row>
        <row r="34">
          <cell r="B34" t="str">
            <v>Működési kiadások összesen</v>
          </cell>
          <cell r="C34">
            <v>80595219</v>
          </cell>
        </row>
        <row r="39">
          <cell r="B39" t="str">
            <v>- 2 -</v>
          </cell>
        </row>
        <row r="41">
          <cell r="A41" t="str">
            <v>sor-</v>
          </cell>
          <cell r="C41" t="str">
            <v>tervezett</v>
          </cell>
        </row>
        <row r="42">
          <cell r="B42" t="str">
            <v>Megnevezés</v>
          </cell>
        </row>
        <row r="43">
          <cell r="A43" t="str">
            <v>szám</v>
          </cell>
          <cell r="C43" t="str">
            <v>előirányzat</v>
          </cell>
        </row>
        <row r="45">
          <cell r="A45" t="str">
            <v>II. Felhalmozási költségvetés</v>
          </cell>
        </row>
        <row r="46">
          <cell r="A46" t="str">
            <v>10.</v>
          </cell>
          <cell r="B46" t="str">
            <v>Felhalmozási támogatások államháztartáson belülről</v>
          </cell>
        </row>
        <row r="47">
          <cell r="A47" t="str">
            <v>11.</v>
          </cell>
          <cell r="B47" t="str">
            <v>Felhalmozási bevételek   </v>
          </cell>
        </row>
        <row r="48">
          <cell r="A48" t="str">
            <v>12.</v>
          </cell>
          <cell r="B48" t="str">
            <v>Felhalmozási célú átvett pénzeszközök</v>
          </cell>
        </row>
        <row r="49">
          <cell r="B49" t="str">
            <v> - felhalmozási célú visszatérítendő támogatások, kölcsönök visszatérülése államházt.kívülről</v>
          </cell>
          <cell r="C49">
            <v>2277879</v>
          </cell>
        </row>
        <row r="50">
          <cell r="B50" t="str">
            <v> - egyéb felhalmozási célú átvett pénzeszközök</v>
          </cell>
          <cell r="C50">
            <v>6000000</v>
          </cell>
        </row>
        <row r="51">
          <cell r="B51" t="str">
            <v>Felhalmozási bevételek összesen</v>
          </cell>
          <cell r="C51">
            <v>8277879</v>
          </cell>
        </row>
        <row r="52">
          <cell r="A52" t="str">
            <v>13.</v>
          </cell>
          <cell r="B52" t="str">
            <v>Beruházások</v>
          </cell>
          <cell r="C52">
            <v>10258089</v>
          </cell>
        </row>
        <row r="53">
          <cell r="A53" t="str">
            <v>14.</v>
          </cell>
          <cell r="B53" t="str">
            <v>Felújítások</v>
          </cell>
          <cell r="C53">
            <v>87074490</v>
          </cell>
        </row>
        <row r="54">
          <cell r="A54" t="str">
            <v>15.</v>
          </cell>
          <cell r="B54" t="str">
            <v>Egyéb felhalmozási kiadások</v>
          </cell>
        </row>
        <row r="55">
          <cell r="B55" t="str">
            <v> - egyéb felhalmozási célú támogatások államháztartáson kívülre</v>
          </cell>
          <cell r="C55">
            <v>3603573</v>
          </cell>
        </row>
        <row r="56">
          <cell r="B56" t="str">
            <v> - tartalékok</v>
          </cell>
        </row>
        <row r="57">
          <cell r="B57" t="str">
            <v>Felhalmozási kiadások összesen</v>
          </cell>
          <cell r="C57">
            <v>100936152</v>
          </cell>
        </row>
        <row r="58">
          <cell r="B58" t="str">
            <v>Önkormányzat bevételei összesen:</v>
          </cell>
          <cell r="C58">
            <v>61304568</v>
          </cell>
        </row>
        <row r="59">
          <cell r="B59" t="str">
            <v>Önkormányzat kiadásai összesen:</v>
          </cell>
          <cell r="C59">
            <v>181531371</v>
          </cell>
        </row>
        <row r="63">
          <cell r="A63" t="str">
            <v>III. Finanszírozási műveletek elszámolása</v>
          </cell>
        </row>
        <row r="65">
          <cell r="A65" t="str">
            <v>16.</v>
          </cell>
          <cell r="B65" t="str">
            <v>Előző év költségvetési maradványának igénybevétele</v>
          </cell>
          <cell r="C65">
            <v>120226803</v>
          </cell>
        </row>
        <row r="66">
          <cell r="A66" t="str">
            <v>17.</v>
          </cell>
          <cell r="B66" t="str">
            <v>Áht-n belüli megelőlegezések </v>
          </cell>
          <cell r="C66">
            <v>1449359</v>
          </cell>
        </row>
        <row r="67">
          <cell r="B67" t="str">
            <v>Finanszírozási bevételek összesen:</v>
          </cell>
          <cell r="C67">
            <v>121676162</v>
          </cell>
        </row>
        <row r="68">
          <cell r="A68" t="str">
            <v>18.</v>
          </cell>
          <cell r="B68" t="str">
            <v>Áht-n belüli megelőlegezések viszafizetése</v>
          </cell>
          <cell r="C68">
            <v>1449359</v>
          </cell>
        </row>
        <row r="69">
          <cell r="A69" t="str">
            <v>19.</v>
          </cell>
          <cell r="B69" t="str">
            <v>Hitel-, kölcsöntörlesztés államháztartáson kívülre</v>
          </cell>
        </row>
        <row r="70">
          <cell r="A70" t="str">
            <v>20.</v>
          </cell>
          <cell r="B70" t="str">
            <v>Befektetési célú belföldi értékpapírok vásárlása</v>
          </cell>
        </row>
      </sheetData>
      <sheetData sheetId="9">
        <row r="7">
          <cell r="A7" t="str">
            <v>SITKE KÖZSÉG ÖNKORMÁNYZATA</v>
          </cell>
        </row>
        <row r="8">
          <cell r="A8" t="str">
            <v>KÖLTSÉGVETÉSI SZERVEK KÖZPONTI KÖLTSÉGVETÉSI ÉS ÖNKORMÁNYZATI TÁMOGATÁSA</v>
          </cell>
        </row>
        <row r="9">
          <cell r="A9" t="str">
            <v>2020. év</v>
          </cell>
        </row>
        <row r="11">
          <cell r="G11" t="str">
            <v> (  Ft-ban ) </v>
          </cell>
        </row>
        <row r="12">
          <cell r="A12" t="str">
            <v>SORSZÁM</v>
          </cell>
          <cell r="B12" t="str">
            <v>Intézmény megnevezése</v>
          </cell>
          <cell r="C12" t="str">
            <v>központi költségvetési támogatás</v>
          </cell>
          <cell r="E12" t="str">
            <v>önkormányzati támogatás</v>
          </cell>
          <cell r="G12" t="str">
            <v> összes támogatás </v>
          </cell>
        </row>
        <row r="13">
          <cell r="C13" t="str">
            <v>  Ft </v>
          </cell>
          <cell r="D13" t="str">
            <v>megoszlás    %-a</v>
          </cell>
          <cell r="E13" t="str">
            <v>  Ft </v>
          </cell>
          <cell r="F13" t="str">
            <v>megoszlás %-a</v>
          </cell>
        </row>
        <row r="14">
          <cell r="A14" t="str">
            <v>1.</v>
          </cell>
          <cell r="B14" t="str">
            <v>Sitkei Önkormányzati Konyha</v>
          </cell>
          <cell r="C14">
            <v>6450425</v>
          </cell>
          <cell r="D14">
            <v>52.20313044379045</v>
          </cell>
          <cell r="E14">
            <v>5905970</v>
          </cell>
          <cell r="F14">
            <v>47.79686955620956</v>
          </cell>
          <cell r="G14">
            <v>12356395</v>
          </cell>
        </row>
        <row r="15">
          <cell r="A15" t="str">
            <v>2.</v>
          </cell>
          <cell r="B15" t="str">
            <v>Összesen:</v>
          </cell>
          <cell r="C15">
            <v>6450425</v>
          </cell>
          <cell r="D15">
            <v>52.20313044379045</v>
          </cell>
          <cell r="E15">
            <v>5905970</v>
          </cell>
          <cell r="F15">
            <v>47.79686955620956</v>
          </cell>
          <cell r="G15">
            <v>12356395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8:U63"/>
  <sheetViews>
    <sheetView zoomScalePageLayoutView="0" workbookViewId="0" topLeftCell="C28">
      <selection activeCell="L45" sqref="L45:T45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2" width="9.125" style="1" customWidth="1"/>
    <col min="13" max="13" width="9.875" style="1" bestFit="1" customWidth="1"/>
    <col min="14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63"/>
      <c r="J39" s="2"/>
      <c r="L39" s="497" t="s">
        <v>4</v>
      </c>
      <c r="M39" s="497"/>
      <c r="N39" s="497"/>
      <c r="O39" s="497"/>
      <c r="P39" s="497"/>
      <c r="Q39" s="497"/>
      <c r="R39" s="497"/>
      <c r="S39" s="497"/>
      <c r="T39" s="497"/>
      <c r="U39" s="63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58"/>
      <c r="J41" s="2"/>
      <c r="L41" s="497" t="s">
        <v>478</v>
      </c>
      <c r="M41" s="497"/>
      <c r="N41" s="497"/>
      <c r="O41" s="497"/>
      <c r="P41" s="497"/>
      <c r="Q41" s="497"/>
      <c r="R41" s="497"/>
      <c r="S41" s="497"/>
      <c r="T41" s="497"/>
      <c r="U41" s="63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58"/>
      <c r="J43" s="2"/>
      <c r="L43" s="497" t="s">
        <v>367</v>
      </c>
      <c r="M43" s="497"/>
      <c r="N43" s="497"/>
      <c r="O43" s="497"/>
      <c r="P43" s="497"/>
      <c r="Q43" s="497"/>
      <c r="R43" s="497"/>
      <c r="S43" s="497"/>
      <c r="T43" s="497"/>
      <c r="U43" s="63"/>
    </row>
    <row r="44" spans="2:10" ht="27.75">
      <c r="B44" s="2"/>
      <c r="C44" s="3"/>
      <c r="D44" s="3"/>
      <c r="E44" s="3"/>
      <c r="F44" s="3"/>
      <c r="G44" s="3"/>
      <c r="H44" s="3"/>
      <c r="I44" s="3"/>
      <c r="J44" s="2"/>
    </row>
    <row r="45" spans="2:20" ht="27.75">
      <c r="B45" s="2"/>
      <c r="C45" s="3"/>
      <c r="D45" s="3"/>
      <c r="E45" s="3"/>
      <c r="F45" s="3"/>
      <c r="G45" s="3"/>
      <c r="H45" s="3"/>
      <c r="I45" s="3"/>
      <c r="J45" s="2"/>
      <c r="L45" s="498"/>
      <c r="M45" s="498"/>
      <c r="N45" s="498"/>
      <c r="O45" s="498"/>
      <c r="P45" s="498"/>
      <c r="Q45" s="498"/>
      <c r="R45" s="498"/>
      <c r="S45" s="498"/>
      <c r="T45" s="498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L46" s="64"/>
      <c r="M46" s="324"/>
      <c r="N46" s="18"/>
      <c r="O46" s="183"/>
    </row>
    <row r="47" spans="1:10" ht="27.75">
      <c r="A47" s="64"/>
      <c r="B47" s="65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/>
  <mergeCells count="4">
    <mergeCell ref="L39:T39"/>
    <mergeCell ref="L41:T41"/>
    <mergeCell ref="L43:T43"/>
    <mergeCell ref="L45:T4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69.25390625" style="0" customWidth="1"/>
    <col min="3" max="3" width="14.375" style="0" customWidth="1"/>
  </cols>
  <sheetData>
    <row r="1" spans="2:4" ht="15.75">
      <c r="B1" s="624" t="s">
        <v>506</v>
      </c>
      <c r="C1" s="624"/>
      <c r="D1" s="21"/>
    </row>
    <row r="2" spans="2:4" ht="15.75">
      <c r="B2" s="21"/>
      <c r="C2" s="21"/>
      <c r="D2" s="21"/>
    </row>
    <row r="3" spans="2:4" ht="15.75">
      <c r="B3" s="21"/>
      <c r="C3" s="21"/>
      <c r="D3" s="21"/>
    </row>
    <row r="4" spans="2:4" ht="15.75">
      <c r="B4" s="614"/>
      <c r="C4" s="614"/>
      <c r="D4" s="21"/>
    </row>
    <row r="5" spans="2:4" ht="15.75">
      <c r="B5" s="21"/>
      <c r="C5" s="21"/>
      <c r="D5" s="21"/>
    </row>
    <row r="6" spans="2:12" ht="15.75">
      <c r="B6" s="614" t="s">
        <v>36</v>
      </c>
      <c r="C6" s="634"/>
      <c r="D6" s="21"/>
      <c r="L6" s="334"/>
    </row>
    <row r="7" spans="2:4" ht="15.75">
      <c r="B7" s="614" t="s">
        <v>385</v>
      </c>
      <c r="C7" s="634"/>
      <c r="D7" s="21"/>
    </row>
    <row r="8" spans="2:4" ht="15.75">
      <c r="B8" s="614" t="s">
        <v>480</v>
      </c>
      <c r="C8" s="634"/>
      <c r="D8" s="21"/>
    </row>
    <row r="9" spans="2:4" ht="16.5" thickBot="1">
      <c r="B9" s="21"/>
      <c r="C9" s="21"/>
      <c r="D9" s="21"/>
    </row>
    <row r="10" spans="1:4" ht="16.5" customHeight="1" thickTop="1">
      <c r="A10" s="625" t="s">
        <v>407</v>
      </c>
      <c r="B10" s="628" t="s">
        <v>0</v>
      </c>
      <c r="C10" s="631" t="s">
        <v>461</v>
      </c>
      <c r="D10" s="21"/>
    </row>
    <row r="11" spans="1:4" ht="15.75">
      <c r="A11" s="626"/>
      <c r="B11" s="629"/>
      <c r="C11" s="632"/>
      <c r="D11" s="21"/>
    </row>
    <row r="12" spans="1:4" ht="21" customHeight="1" thickBot="1">
      <c r="A12" s="627"/>
      <c r="B12" s="630"/>
      <c r="C12" s="633"/>
      <c r="D12" s="21"/>
    </row>
    <row r="13" spans="1:4" ht="21" customHeight="1">
      <c r="A13" s="474"/>
      <c r="B13" s="475"/>
      <c r="C13" s="476"/>
      <c r="D13" s="21"/>
    </row>
    <row r="14" spans="1:4" ht="15.75">
      <c r="A14" s="403" t="s">
        <v>39</v>
      </c>
      <c r="B14" s="21" t="s">
        <v>417</v>
      </c>
      <c r="C14" s="21"/>
      <c r="D14" s="21"/>
    </row>
    <row r="15" spans="1:4" ht="15.75">
      <c r="A15" s="403"/>
      <c r="B15" s="21"/>
      <c r="C15" s="21"/>
      <c r="D15" s="21"/>
    </row>
    <row r="16" spans="1:4" ht="15.75">
      <c r="A16" s="477" t="s">
        <v>410</v>
      </c>
      <c r="B16" s="407" t="s">
        <v>465</v>
      </c>
      <c r="C16" s="21"/>
      <c r="D16" s="375"/>
    </row>
    <row r="17" spans="1:4" ht="27.75" customHeight="1">
      <c r="A17" s="463" t="s">
        <v>411</v>
      </c>
      <c r="B17" s="408" t="s">
        <v>492</v>
      </c>
      <c r="C17" s="421">
        <v>61407953</v>
      </c>
      <c r="D17" s="375"/>
    </row>
    <row r="18" spans="1:4" ht="27" customHeight="1">
      <c r="A18" s="463" t="s">
        <v>412</v>
      </c>
      <c r="B18" s="408" t="s">
        <v>493</v>
      </c>
      <c r="C18" s="421">
        <v>3927638</v>
      </c>
      <c r="D18" s="375"/>
    </row>
    <row r="19" spans="1:4" ht="39.75" customHeight="1">
      <c r="A19" s="493" t="s">
        <v>494</v>
      </c>
      <c r="B19" s="408" t="s">
        <v>495</v>
      </c>
      <c r="C19" s="421">
        <v>3227000</v>
      </c>
      <c r="D19" s="375"/>
    </row>
    <row r="20" spans="1:4" ht="24.75" customHeight="1">
      <c r="A20" s="403" t="s">
        <v>440</v>
      </c>
      <c r="B20" s="21" t="s">
        <v>388</v>
      </c>
      <c r="C20" s="478">
        <v>18511899</v>
      </c>
      <c r="D20" s="21"/>
    </row>
    <row r="21" spans="1:4" ht="18.75" customHeight="1">
      <c r="A21" s="403"/>
      <c r="B21" s="18" t="s">
        <v>386</v>
      </c>
      <c r="C21" s="19">
        <f>SUM(C17:C20)</f>
        <v>87074490</v>
      </c>
      <c r="D21" s="21"/>
    </row>
    <row r="22" spans="1:4" ht="18.75" customHeight="1">
      <c r="A22" s="403"/>
      <c r="B22" s="18"/>
      <c r="C22" s="19"/>
      <c r="D22" s="21"/>
    </row>
    <row r="23" spans="1:4" ht="18.75" customHeight="1">
      <c r="A23" s="403"/>
      <c r="B23" s="18"/>
      <c r="C23" s="19"/>
      <c r="D23" s="21"/>
    </row>
    <row r="24" spans="1:4" s="335" customFormat="1" ht="15.75">
      <c r="A24" s="404"/>
      <c r="B24" s="18" t="s">
        <v>387</v>
      </c>
      <c r="C24" s="19">
        <f>C21</f>
        <v>87074490</v>
      </c>
      <c r="D24" s="18"/>
    </row>
    <row r="25" spans="2:4" ht="15.75">
      <c r="B25" s="21"/>
      <c r="C25" s="21"/>
      <c r="D25" s="21"/>
    </row>
    <row r="26" spans="2:4" ht="15.75">
      <c r="B26" s="21"/>
      <c r="C26" s="21"/>
      <c r="D26" s="21"/>
    </row>
    <row r="27" spans="2:4" ht="15.75">
      <c r="B27" s="21"/>
      <c r="C27" s="21"/>
      <c r="D27" s="21"/>
    </row>
    <row r="28" spans="2:4" ht="15.75">
      <c r="B28" s="21"/>
      <c r="C28" s="21"/>
      <c r="D28" s="21"/>
    </row>
  </sheetData>
  <sheetProtection/>
  <mergeCells count="8">
    <mergeCell ref="B1:C1"/>
    <mergeCell ref="B4:C4"/>
    <mergeCell ref="A10:A12"/>
    <mergeCell ref="B10:B12"/>
    <mergeCell ref="C10:C12"/>
    <mergeCell ref="B6:C6"/>
    <mergeCell ref="B7:C7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.75390625" style="8" customWidth="1"/>
    <col min="2" max="2" width="74.00390625" style="8" customWidth="1"/>
    <col min="3" max="3" width="21.00390625" style="149" customWidth="1"/>
    <col min="4" max="4" width="9.125" style="8" customWidth="1"/>
    <col min="5" max="5" width="12.625" style="8" bestFit="1" customWidth="1"/>
    <col min="6" max="6" width="14.25390625" style="8" bestFit="1" customWidth="1"/>
    <col min="7" max="16384" width="9.125" style="8" customWidth="1"/>
  </cols>
  <sheetData>
    <row r="1" spans="1:3" ht="15.75">
      <c r="A1" s="499" t="s">
        <v>507</v>
      </c>
      <c r="B1" s="499"/>
      <c r="C1" s="499"/>
    </row>
    <row r="2" s="142" customFormat="1" ht="15.75">
      <c r="C2" s="148"/>
    </row>
    <row r="3" spans="1:3" s="133" customFormat="1" ht="15">
      <c r="A3" s="636"/>
      <c r="B3" s="636"/>
      <c r="C3" s="636"/>
    </row>
    <row r="4" spans="1:3" s="133" customFormat="1" ht="6.75" customHeight="1">
      <c r="A4" s="143"/>
      <c r="B4" s="77"/>
      <c r="C4" s="77"/>
    </row>
    <row r="5" spans="1:3" ht="16.5" customHeight="1">
      <c r="A5" s="504" t="str">
        <f>'[1]6.mell. - közgazd.mérleg'!A7</f>
        <v>Sitke község Önkormányzata</v>
      </c>
      <c r="B5" s="504"/>
      <c r="C5" s="504"/>
    </row>
    <row r="6" spans="1:3" ht="24" customHeight="1">
      <c r="A6" s="514" t="str">
        <f>'[1]6.mell. - közgazd.mérleg'!A8</f>
        <v>Költségvetési (működési és felhalmozási ) mérlege</v>
      </c>
      <c r="B6" s="514"/>
      <c r="C6" s="514"/>
    </row>
    <row r="7" spans="1:3" ht="16.5" customHeight="1">
      <c r="A7" s="514" t="str">
        <f>'[1]6.mell. - közgazd.mérleg'!A9</f>
        <v>(közgazdasági tagolásban)</v>
      </c>
      <c r="B7" s="514"/>
      <c r="C7" s="514"/>
    </row>
    <row r="8" spans="1:3" ht="15.75">
      <c r="A8" s="514" t="str">
        <f>'[1]6.mell. - közgazd.mérleg'!A10</f>
        <v>2020. év</v>
      </c>
      <c r="B8" s="514"/>
      <c r="C8" s="514"/>
    </row>
    <row r="9" ht="16.5" thickBot="1">
      <c r="C9" s="149">
        <f>'[1]6.mell. - közgazd.mérleg'!C11</f>
        <v>0</v>
      </c>
    </row>
    <row r="10" spans="1:3" ht="16.5" customHeight="1">
      <c r="A10" s="151" t="str">
        <f>'[1]6.mell. - közgazd.mérleg'!A12</f>
        <v>sor-</v>
      </c>
      <c r="B10" s="144"/>
      <c r="C10" s="152" t="str">
        <f>'[1]6.mell. - közgazd.mérleg'!C12</f>
        <v>tervezett</v>
      </c>
    </row>
    <row r="11" spans="1:3" ht="25.5" customHeight="1">
      <c r="A11" s="145"/>
      <c r="B11" s="146" t="str">
        <f>'[1]6.mell. - közgazd.mérleg'!B13</f>
        <v>Megnevezés</v>
      </c>
      <c r="C11" s="153" t="str">
        <f>'[1]6.mell. - közgazd.mérleg'!C13</f>
        <v>előirányzat</v>
      </c>
    </row>
    <row r="12" spans="1:4" ht="18" customHeight="1" thickBot="1">
      <c r="A12" s="147" t="str">
        <f>'[1]6.mell. - közgazd.mérleg'!A14</f>
        <v>szám</v>
      </c>
      <c r="B12" s="154"/>
      <c r="C12" s="155" t="str">
        <f>'[1]6.mell. - közgazd.mérleg'!C14</f>
        <v>Ft</v>
      </c>
      <c r="D12" s="376"/>
    </row>
    <row r="13" spans="2:4" ht="12" customHeight="1">
      <c r="B13" s="330"/>
      <c r="C13" s="331"/>
      <c r="D13" s="181"/>
    </row>
    <row r="14" spans="1:3" ht="20.25" customHeight="1">
      <c r="A14" s="638" t="str">
        <f>'[1]6.mell. - közgazd.mérleg'!A16</f>
        <v>I. Működési  költségvetés</v>
      </c>
      <c r="B14" s="638"/>
      <c r="C14" s="638"/>
    </row>
    <row r="15" spans="1:3" ht="20.25" customHeight="1">
      <c r="A15" s="156" t="str">
        <f>'[1]6.mell. - közgazd.mérleg'!A17</f>
        <v>1.</v>
      </c>
      <c r="B15" s="157" t="str">
        <f>'[1]6.mell. - közgazd.mérleg'!B17</f>
        <v>Működési  támogatások államháztartáson belülről</v>
      </c>
      <c r="C15" s="158">
        <f>'[1]6.mell. - közgazd.mérleg'!C17</f>
        <v>0</v>
      </c>
    </row>
    <row r="16" spans="1:3" ht="20.25" customHeight="1">
      <c r="A16" s="156">
        <f>'[1]6.mell. - közgazd.mérleg'!A18</f>
        <v>0</v>
      </c>
      <c r="B16" s="21" t="str">
        <f>'[1]6.mell. - közgazd.mérleg'!B18</f>
        <v> - önkormányzatok működési támogatásai</v>
      </c>
      <c r="C16" s="158">
        <f>'[1]6.mell. - közgazd.mérleg'!C18</f>
        <v>35714003</v>
      </c>
    </row>
    <row r="17" spans="1:5" ht="20.25" customHeight="1">
      <c r="A17" s="156">
        <f>'[1]6.mell. - közgazd.mérleg'!A19</f>
        <v>0</v>
      </c>
      <c r="B17" s="111" t="str">
        <f>'[1]6.mell. - közgazd.mérleg'!B19</f>
        <v> - egyéb működési célú támogatások bevételei államháztartáson belülről</v>
      </c>
      <c r="C17" s="158">
        <f>'[1]6.mell. - közgazd.mérleg'!C19</f>
        <v>160460</v>
      </c>
      <c r="D17" s="108"/>
      <c r="E17" s="108"/>
    </row>
    <row r="18" spans="1:3" ht="20.25" customHeight="1">
      <c r="A18" s="156" t="str">
        <f>'[1]6.mell. - közgazd.mérleg'!A20</f>
        <v>2.</v>
      </c>
      <c r="B18" s="157" t="str">
        <f>'[1]6.mell. - közgazd.mérleg'!B20</f>
        <v>Közhatalmi bevételek</v>
      </c>
      <c r="C18" s="158">
        <f>'[1]6.mell. - közgazd.mérleg'!C20</f>
        <v>6128056</v>
      </c>
    </row>
    <row r="19" spans="1:3" ht="20.25" customHeight="1">
      <c r="A19" s="156" t="str">
        <f>'[1]6.mell. - közgazd.mérleg'!A21</f>
        <v>3.</v>
      </c>
      <c r="B19" s="157" t="str">
        <f>'[1]6.mell. - közgazd.mérleg'!B21</f>
        <v>Működési bevételek   </v>
      </c>
      <c r="C19" s="158">
        <f>'[1]6.mell. - közgazd.mérleg'!C21</f>
        <v>11024170</v>
      </c>
    </row>
    <row r="20" spans="1:3" ht="20.25" customHeight="1">
      <c r="A20" s="156" t="str">
        <f>'[1]6.mell. - közgazd.mérleg'!A22</f>
        <v>4.</v>
      </c>
      <c r="B20" s="159" t="str">
        <f>'[1]6.mell. - közgazd.mérleg'!B22</f>
        <v>Működési célú átvett pénzeszközök</v>
      </c>
      <c r="C20" s="158">
        <f>'[1]6.mell. - közgazd.mérleg'!C22</f>
        <v>0</v>
      </c>
    </row>
    <row r="21" spans="1:5" ht="36" customHeight="1">
      <c r="A21" s="156">
        <f>'[1]6.mell. - közgazd.mérleg'!A23</f>
        <v>0</v>
      </c>
      <c r="B21" s="111" t="str">
        <f>'[1]6.mell. - közgazd.mérleg'!B23</f>
        <v> - működési célú visszatérítendő támogatások, kölcsönök visszatérülése államháztartáson kívülről</v>
      </c>
      <c r="C21" s="158">
        <f>'[1]6.mell. - közgazd.mérleg'!C23</f>
        <v>0</v>
      </c>
      <c r="D21" s="111"/>
      <c r="E21" s="111"/>
    </row>
    <row r="22" spans="1:3" ht="20.25" customHeight="1">
      <c r="A22" s="156">
        <f>'[1]6.mell. - közgazd.mérleg'!A24</f>
        <v>0</v>
      </c>
      <c r="B22" s="21" t="str">
        <f>'[1]6.mell. - közgazd.mérleg'!B24</f>
        <v> - egyéb működési célú átvett pénzeszközök</v>
      </c>
      <c r="C22" s="158">
        <f>'[1]6.mell. - közgazd.mérleg'!C24</f>
        <v>0</v>
      </c>
    </row>
    <row r="23" spans="1:3" ht="30" customHeight="1">
      <c r="A23" s="399">
        <f>'[1]6.mell. - közgazd.mérleg'!A25</f>
        <v>0</v>
      </c>
      <c r="B23" s="400" t="str">
        <f>'[1]6.mell. - közgazd.mérleg'!B25</f>
        <v>Működési bevételek összesen</v>
      </c>
      <c r="C23" s="176">
        <f>'[1]6.mell. - közgazd.mérleg'!C25</f>
        <v>53026689</v>
      </c>
    </row>
    <row r="24" spans="1:3" ht="21" customHeight="1">
      <c r="A24" s="150" t="str">
        <f>'[1]6.mell. - közgazd.mérleg'!A26</f>
        <v>5.</v>
      </c>
      <c r="B24" s="157" t="str">
        <f>'[1]6.mell. - közgazd.mérleg'!B26</f>
        <v>Személyi juttatások</v>
      </c>
      <c r="C24" s="24">
        <f>'[1]6.mell. - közgazd.mérleg'!C26</f>
        <v>24850551</v>
      </c>
    </row>
    <row r="25" spans="1:3" ht="21" customHeight="1">
      <c r="A25" s="150" t="str">
        <f>'[1]6.mell. - közgazd.mérleg'!A27</f>
        <v>6.</v>
      </c>
      <c r="B25" s="157" t="str">
        <f>'[1]6.mell. - közgazd.mérleg'!B27</f>
        <v>Munkaadókat terhelő járulékok és szociális hozzájárulási adó</v>
      </c>
      <c r="C25" s="24">
        <f>'[1]6.mell. - közgazd.mérleg'!C27</f>
        <v>4343697</v>
      </c>
    </row>
    <row r="26" spans="1:3" ht="21" customHeight="1">
      <c r="A26" s="150" t="str">
        <f>'[1]6.mell. - közgazd.mérleg'!A28</f>
        <v>7.</v>
      </c>
      <c r="B26" s="163" t="str">
        <f>'[1]6.mell. - közgazd.mérleg'!B28</f>
        <v>Dologi kiadások</v>
      </c>
      <c r="C26" s="24">
        <f>'[1]6.mell. - közgazd.mérleg'!C28</f>
        <v>27510946</v>
      </c>
    </row>
    <row r="27" spans="1:3" ht="21" customHeight="1">
      <c r="A27" s="150" t="str">
        <f>'[1]6.mell. - közgazd.mérleg'!A29</f>
        <v>8.</v>
      </c>
      <c r="B27" s="163" t="str">
        <f>'[1]6.mell. - közgazd.mérleg'!B29</f>
        <v>Ellátottak pénzbeli juttatásai</v>
      </c>
      <c r="C27" s="24">
        <f>'[1]6.mell. - közgazd.mérleg'!C29</f>
        <v>2700000</v>
      </c>
    </row>
    <row r="28" spans="1:3" ht="21" customHeight="1">
      <c r="A28" s="150" t="str">
        <f>'[1]6.mell. - közgazd.mérleg'!A30</f>
        <v>9.</v>
      </c>
      <c r="B28" s="163" t="str">
        <f>'[1]6.mell. - közgazd.mérleg'!B30</f>
        <v>Egyéb működési célú kiadások</v>
      </c>
      <c r="C28" s="24">
        <f>'[1]6.mell. - közgazd.mérleg'!C30</f>
        <v>0</v>
      </c>
    </row>
    <row r="29" spans="1:3" ht="32.25" customHeight="1">
      <c r="A29" s="150">
        <f>'[1]6.mell. - közgazd.mérleg'!A31</f>
        <v>0</v>
      </c>
      <c r="B29" s="111" t="str">
        <f>'[1]6.mell. - közgazd.mérleg'!B31</f>
        <v> - működési célú visszatérítendő támogatások, kölcsönök nyújtása államháztartáson kívülre</v>
      </c>
      <c r="C29" s="165">
        <f>'[1]6.mell. - közgazd.mérleg'!C31</f>
        <v>0</v>
      </c>
    </row>
    <row r="30" spans="1:3" ht="15.75">
      <c r="A30" s="150">
        <f>'[1]6.mell. - közgazd.mérleg'!A32</f>
        <v>0</v>
      </c>
      <c r="B30" s="164" t="str">
        <f>'[1]6.mell. - közgazd.mérleg'!B32</f>
        <v> - egyéb működési célú támogatások </v>
      </c>
      <c r="C30" s="165">
        <f>'[1]6.mell. - közgazd.mérleg'!C32</f>
        <v>2570200</v>
      </c>
    </row>
    <row r="31" spans="1:5" ht="15.75">
      <c r="A31" s="150">
        <f>'[1]6.mell. - közgazd.mérleg'!A33</f>
        <v>0</v>
      </c>
      <c r="B31" s="164" t="str">
        <f>'[1]6.mell. - közgazd.mérleg'!B33</f>
        <v> - tartalékok</v>
      </c>
      <c r="C31" s="149">
        <f>'[1]6.mell. - közgazd.mérleg'!C33</f>
        <v>18619825</v>
      </c>
      <c r="E31" s="113"/>
    </row>
    <row r="32" spans="1:6" ht="33.75" customHeight="1">
      <c r="A32" s="399">
        <f>'[1]6.mell. - közgazd.mérleg'!A34</f>
        <v>0</v>
      </c>
      <c r="B32" s="400" t="str">
        <f>'[1]6.mell. - közgazd.mérleg'!B34</f>
        <v>Működési kiadások összesen</v>
      </c>
      <c r="C32" s="176">
        <f>'[1]6.mell. - közgazd.mérleg'!C34</f>
        <v>80595219</v>
      </c>
      <c r="E32" s="113"/>
      <c r="F32" s="113"/>
    </row>
    <row r="33" spans="1:6" ht="22.5" customHeight="1">
      <c r="A33" s="843"/>
      <c r="B33" s="843"/>
      <c r="C33" s="843"/>
      <c r="E33" s="113"/>
      <c r="F33" s="113"/>
    </row>
    <row r="34" spans="1:3" ht="15.75">
      <c r="A34" s="325"/>
      <c r="B34" s="325"/>
      <c r="C34" s="325"/>
    </row>
    <row r="35" spans="1:3" ht="15.75">
      <c r="A35" s="325"/>
      <c r="B35" s="325"/>
      <c r="C35" s="325"/>
    </row>
    <row r="36" spans="1:3" ht="15.75">
      <c r="A36" s="325"/>
      <c r="B36" s="325"/>
      <c r="C36" s="325"/>
    </row>
    <row r="37" spans="1:3" ht="12.75" customHeight="1">
      <c r="A37" s="325"/>
      <c r="B37" s="842" t="str">
        <f>'[1]6.mell. - közgazd.mérleg'!B39</f>
        <v>- 2 -</v>
      </c>
      <c r="C37" s="325"/>
    </row>
    <row r="38" spans="1:3" ht="21.75" customHeight="1" thickBot="1">
      <c r="A38" s="325"/>
      <c r="B38" s="325"/>
      <c r="C38" s="325"/>
    </row>
    <row r="39" spans="1:3" ht="12" customHeight="1">
      <c r="A39" s="151" t="str">
        <f>'[1]6.mell. - közgazd.mérleg'!A41</f>
        <v>sor-</v>
      </c>
      <c r="B39" s="144"/>
      <c r="C39" s="152" t="str">
        <f>'[1]6.mell. - közgazd.mérleg'!C41</f>
        <v>tervezett</v>
      </c>
    </row>
    <row r="40" spans="1:3" ht="21" customHeight="1">
      <c r="A40" s="145"/>
      <c r="B40" s="146" t="str">
        <f>'[1]6.mell. - közgazd.mérleg'!B42</f>
        <v>Megnevezés</v>
      </c>
      <c r="C40" s="153"/>
    </row>
    <row r="41" spans="1:3" ht="21" customHeight="1" thickBot="1">
      <c r="A41" s="147" t="str">
        <f>'[1]6.mell. - közgazd.mérleg'!A43</f>
        <v>szám</v>
      </c>
      <c r="B41" s="154"/>
      <c r="C41" s="155" t="str">
        <f>'[1]6.mell. - közgazd.mérleg'!C43</f>
        <v>előirányzat</v>
      </c>
    </row>
    <row r="42" spans="1:3" ht="21" customHeight="1">
      <c r="A42" s="171"/>
      <c r="B42" s="329"/>
      <c r="C42" s="181"/>
    </row>
    <row r="43" spans="1:3" ht="21" customHeight="1">
      <c r="A43" s="635" t="str">
        <f>'[1]6.mell. - közgazd.mérleg'!A45</f>
        <v>II. Felhalmozási költségvetés</v>
      </c>
      <c r="B43" s="635"/>
      <c r="C43" s="635"/>
    </row>
    <row r="44" spans="1:2" ht="31.5" customHeight="1">
      <c r="A44" s="150" t="str">
        <f>'[1]6.mell. - közgazd.mérleg'!A46</f>
        <v>10.</v>
      </c>
      <c r="B44" s="69" t="str">
        <f>'[1]6.mell. - közgazd.mérleg'!B46</f>
        <v>Felhalmozási támogatások államháztartáson belülről</v>
      </c>
    </row>
    <row r="45" spans="1:2" ht="23.25" customHeight="1">
      <c r="A45" s="150" t="str">
        <f>'[1]6.mell. - közgazd.mérleg'!A47</f>
        <v>11.</v>
      </c>
      <c r="B45" s="69" t="str">
        <f>'[1]6.mell. - közgazd.mérleg'!B47</f>
        <v>Felhalmozási bevételek   </v>
      </c>
    </row>
    <row r="46" spans="1:5" ht="20.25" customHeight="1">
      <c r="A46" s="150" t="str">
        <f>'[1]6.mell. - közgazd.mérleg'!A48</f>
        <v>12.</v>
      </c>
      <c r="B46" s="159" t="str">
        <f>'[1]6.mell. - közgazd.mérleg'!B48</f>
        <v>Felhalmozási célú átvett pénzeszközök</v>
      </c>
      <c r="C46" s="149" t="e">
        <f>-A53:A54</f>
        <v>#VALUE!</v>
      </c>
      <c r="E46" s="113"/>
    </row>
    <row r="47" spans="1:3" ht="32.25" customHeight="1">
      <c r="A47" s="150"/>
      <c r="B47" s="126" t="str">
        <f>'[1]6.mell. - közgazd.mérleg'!B49</f>
        <v> - felhalmozási célú visszatérítendő támogatások, kölcsönök visszatérülése államházt.kívülről</v>
      </c>
      <c r="C47" s="149">
        <f>'[1]6.mell. - közgazd.mérleg'!C49</f>
        <v>2277879</v>
      </c>
    </row>
    <row r="48" spans="1:3" ht="21" customHeight="1">
      <c r="A48" s="150"/>
      <c r="B48" s="56" t="str">
        <f>'[1]6.mell. - közgazd.mérleg'!B50</f>
        <v> - egyéb felhalmozási célú átvett pénzeszközök</v>
      </c>
      <c r="C48" s="149">
        <f>'[1]6.mell. - közgazd.mérleg'!C50</f>
        <v>6000000</v>
      </c>
    </row>
    <row r="49" spans="1:3" ht="21" customHeight="1">
      <c r="A49" s="399">
        <f>'[1]6.mell. - közgazd.mérleg'!A51</f>
        <v>0</v>
      </c>
      <c r="B49" s="400" t="str">
        <f>'[1]6.mell. - közgazd.mérleg'!B51</f>
        <v>Felhalmozási bevételek összesen</v>
      </c>
      <c r="C49" s="176">
        <f>'[1]6.mell. - közgazd.mérleg'!C51</f>
        <v>8277879</v>
      </c>
    </row>
    <row r="50" spans="1:3" ht="21" customHeight="1">
      <c r="A50" s="150" t="str">
        <f>'[1]6.mell. - közgazd.mérleg'!A52</f>
        <v>13.</v>
      </c>
      <c r="B50" s="69" t="str">
        <f>'[1]6.mell. - közgazd.mérleg'!B52</f>
        <v>Beruházások</v>
      </c>
      <c r="C50" s="149">
        <f>'[1]6.mell. - közgazd.mérleg'!C52</f>
        <v>10258089</v>
      </c>
    </row>
    <row r="51" spans="1:3" ht="21" customHeight="1">
      <c r="A51" s="150" t="str">
        <f>'[1]6.mell. - közgazd.mérleg'!A53</f>
        <v>14.</v>
      </c>
      <c r="B51" s="69" t="str">
        <f>'[1]6.mell. - közgazd.mérleg'!B53</f>
        <v>Felújítások</v>
      </c>
      <c r="C51" s="149">
        <f>'[1]6.mell. - közgazd.mérleg'!C53</f>
        <v>87074490</v>
      </c>
    </row>
    <row r="52" spans="1:6" s="9" customFormat="1" ht="27.75" customHeight="1">
      <c r="A52" s="150" t="str">
        <f>'[1]6.mell. - közgazd.mérleg'!A54</f>
        <v>15.</v>
      </c>
      <c r="B52" s="159" t="str">
        <f>'[1]6.mell. - közgazd.mérleg'!B54</f>
        <v>Egyéb felhalmozási kiadások</v>
      </c>
      <c r="C52" s="149">
        <f>'[1]6.mell. - közgazd.mérleg'!C54</f>
        <v>0</v>
      </c>
      <c r="F52" s="166"/>
    </row>
    <row r="53" spans="1:3" s="9" customFormat="1" ht="24" customHeight="1">
      <c r="A53" s="150"/>
      <c r="B53" s="164" t="str">
        <f>'[1]6.mell. - közgazd.mérleg'!B55</f>
        <v> - egyéb felhalmozási célú támogatások államháztartáson kívülre</v>
      </c>
      <c r="C53" s="149">
        <f>'[1]6.mell. - közgazd.mérleg'!C55</f>
        <v>3603573</v>
      </c>
    </row>
    <row r="54" spans="1:6" s="9" customFormat="1" ht="22.5" customHeight="1">
      <c r="A54" s="150"/>
      <c r="B54" s="164" t="str">
        <f>'[1]6.mell. - közgazd.mérleg'!B56</f>
        <v> - tartalékok</v>
      </c>
      <c r="C54" s="149">
        <f>'[1]6.mell. - közgazd.mérleg'!C56</f>
        <v>0</v>
      </c>
      <c r="F54" s="166"/>
    </row>
    <row r="55" spans="1:3" s="9" customFormat="1" ht="20.25" customHeight="1" thickBot="1">
      <c r="A55" s="399">
        <f>'[1]6.mell. - közgazd.mérleg'!A57</f>
        <v>0</v>
      </c>
      <c r="B55" s="400" t="str">
        <f>'[1]6.mell. - közgazd.mérleg'!B57</f>
        <v>Felhalmozási kiadások összesen</v>
      </c>
      <c r="C55" s="176">
        <f>'[1]6.mell. - közgazd.mérleg'!C57</f>
        <v>100936152</v>
      </c>
    </row>
    <row r="56" spans="1:3" s="173" customFormat="1" ht="21.75" customHeight="1" thickBot="1">
      <c r="A56" s="167">
        <f>'[1]6.mell. - közgazd.mérleg'!A58</f>
        <v>0</v>
      </c>
      <c r="B56" s="168" t="str">
        <f>'[1]6.mell. - közgazd.mérleg'!B58</f>
        <v>Önkormányzat bevételei összesen:</v>
      </c>
      <c r="C56" s="169">
        <f>'[1]6.mell. - közgazd.mérleg'!C58</f>
        <v>61304568</v>
      </c>
    </row>
    <row r="57" spans="1:3" s="173" customFormat="1" ht="21" customHeight="1" thickBot="1">
      <c r="A57" s="167">
        <f>'[1]6.mell. - közgazd.mérleg'!A59</f>
        <v>0</v>
      </c>
      <c r="B57" s="168" t="str">
        <f>'[1]6.mell. - közgazd.mérleg'!B59</f>
        <v>Önkormányzat kiadásai összesen:</v>
      </c>
      <c r="C57" s="169">
        <f>'[1]6.mell. - közgazd.mérleg'!C59</f>
        <v>181531371</v>
      </c>
    </row>
    <row r="58" spans="1:3" ht="20.25" customHeight="1">
      <c r="A58" s="170"/>
      <c r="B58" s="171"/>
      <c r="C58" s="172"/>
    </row>
    <row r="59" spans="1:3" ht="12.75" customHeight="1">
      <c r="A59" s="332"/>
      <c r="B59" s="332"/>
      <c r="C59" s="332"/>
    </row>
    <row r="60" spans="1:3" ht="20.25" customHeight="1">
      <c r="A60" s="171"/>
      <c r="B60" s="180"/>
      <c r="C60" s="181"/>
    </row>
    <row r="61" spans="1:3" ht="20.25" customHeight="1">
      <c r="A61" s="637" t="str">
        <f>'[1]6.mell. - közgazd.mérleg'!A63</f>
        <v>III. Finanszírozási műveletek elszámolása</v>
      </c>
      <c r="B61" s="637"/>
      <c r="C61" s="637"/>
    </row>
    <row r="62" spans="1:3" ht="21" customHeight="1">
      <c r="A62" s="174"/>
      <c r="B62" s="174"/>
      <c r="C62" s="174"/>
    </row>
    <row r="63" spans="1:3" ht="21" customHeight="1">
      <c r="A63" s="160" t="str">
        <f>'[1]6.mell. - közgazd.mérleg'!A65</f>
        <v>16.</v>
      </c>
      <c r="B63" s="175" t="str">
        <f>'[1]6.mell. - közgazd.mérleg'!B65</f>
        <v>Előző év költségvetési maradványának igénybevétele</v>
      </c>
      <c r="C63" s="162">
        <f>'[1]6.mell. - közgazd.mérleg'!C65</f>
        <v>120226803</v>
      </c>
    </row>
    <row r="64" spans="1:3" ht="15.75">
      <c r="A64" s="160" t="str">
        <f>'[1]6.mell. - közgazd.mérleg'!A66</f>
        <v>17.</v>
      </c>
      <c r="B64" s="161" t="str">
        <f>'[1]6.mell. - közgazd.mérleg'!B66</f>
        <v>Áht-n belüli megelőlegezések </v>
      </c>
      <c r="C64" s="162">
        <f>'[1]6.mell. - közgazd.mérleg'!C66</f>
        <v>1449359</v>
      </c>
    </row>
    <row r="65" spans="1:3" ht="15.75">
      <c r="A65" s="160">
        <f>'[1]6.mell. - közgazd.mérleg'!A67</f>
        <v>0</v>
      </c>
      <c r="B65" s="161" t="str">
        <f>'[1]6.mell. - közgazd.mérleg'!B67</f>
        <v>Finanszírozási bevételek összesen:</v>
      </c>
      <c r="C65" s="176">
        <f>'[1]6.mell. - közgazd.mérleg'!C67</f>
        <v>121676162</v>
      </c>
    </row>
    <row r="66" spans="1:3" s="177" customFormat="1" ht="30" customHeight="1">
      <c r="A66" s="156" t="str">
        <f>'[1]6.mell. - közgazd.mérleg'!A68</f>
        <v>18.</v>
      </c>
      <c r="B66" s="161" t="str">
        <f>'[1]6.mell. - közgazd.mérleg'!B68</f>
        <v>Áht-n belüli megelőlegezések viszafizetése</v>
      </c>
      <c r="C66" s="482">
        <f>'[1]6.mell. - közgazd.mérleg'!C68</f>
        <v>1449359</v>
      </c>
    </row>
    <row r="67" spans="1:5" s="177" customFormat="1" ht="30" customHeight="1">
      <c r="A67" s="156" t="str">
        <f>'[1]6.mell. - közgazd.mérleg'!A69</f>
        <v>19.</v>
      </c>
      <c r="B67" s="175" t="str">
        <f>'[1]6.mell. - közgazd.mérleg'!B69</f>
        <v>Hitel-, kölcsöntörlesztés államháztartáson kívülre</v>
      </c>
      <c r="C67" s="162">
        <f>'[1]6.mell. - közgazd.mérleg'!C69</f>
        <v>0</v>
      </c>
      <c r="E67" s="179"/>
    </row>
    <row r="68" spans="1:5" ht="17.25" customHeight="1">
      <c r="A68" s="150" t="str">
        <f>'[1]6.mell. - közgazd.mérleg'!A70</f>
        <v>20.</v>
      </c>
      <c r="B68" s="175" t="str">
        <f>'[1]6.mell. - közgazd.mérleg'!B70</f>
        <v>Befektetési célú belföldi értékpapírok vásárlása</v>
      </c>
      <c r="C68" s="162">
        <f>'[1]6.mell. - közgazd.mérleg'!C70</f>
        <v>0</v>
      </c>
      <c r="E68" s="179"/>
    </row>
    <row r="69" spans="1:3" ht="16.5" thickBot="1">
      <c r="A69" s="160"/>
      <c r="B69" s="161" t="s">
        <v>209</v>
      </c>
      <c r="C69" s="176">
        <f>SUM(C66:C68)</f>
        <v>1449359</v>
      </c>
    </row>
    <row r="70" spans="1:3" ht="16.5" thickBot="1">
      <c r="A70" s="178"/>
      <c r="B70" s="401" t="s">
        <v>210</v>
      </c>
      <c r="C70" s="402">
        <f>C56+C65</f>
        <v>182980730</v>
      </c>
    </row>
    <row r="71" spans="1:3" ht="16.5" thickBot="1">
      <c r="A71" s="178"/>
      <c r="B71" s="401" t="s">
        <v>211</v>
      </c>
      <c r="C71" s="402">
        <f>C57+C69</f>
        <v>182980730</v>
      </c>
    </row>
  </sheetData>
  <sheetProtection/>
  <mergeCells count="10">
    <mergeCell ref="A33:C33"/>
    <mergeCell ref="A43:C43"/>
    <mergeCell ref="A61:C61"/>
    <mergeCell ref="A1:C1"/>
    <mergeCell ref="A3:C3"/>
    <mergeCell ref="A5:C5"/>
    <mergeCell ref="A6:C6"/>
    <mergeCell ref="A7:C7"/>
    <mergeCell ref="A8:C8"/>
    <mergeCell ref="A14:C1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55"/>
  <sheetViews>
    <sheetView zoomScalePageLayoutView="0" workbookViewId="0" topLeftCell="A1">
      <selection activeCell="L48" sqref="L48"/>
    </sheetView>
  </sheetViews>
  <sheetFormatPr defaultColWidth="9.00390625" defaultRowHeight="12.75"/>
  <cols>
    <col min="1" max="1" width="5.125" style="56" customWidth="1"/>
    <col min="2" max="2" width="43.625" style="56" customWidth="1"/>
    <col min="3" max="3" width="15.375" style="24" customWidth="1"/>
    <col min="4" max="4" width="18.00390625" style="24" customWidth="1"/>
    <col min="5" max="5" width="17.375" style="24" customWidth="1"/>
    <col min="6" max="6" width="16.875" style="24" customWidth="1"/>
    <col min="7" max="7" width="16.625" style="24" customWidth="1"/>
    <col min="8" max="8" width="16.875" style="24" customWidth="1"/>
    <col min="9" max="14" width="15.375" style="24" customWidth="1"/>
    <col min="15" max="15" width="16.625" style="24" customWidth="1"/>
    <col min="16" max="17" width="15.625" style="56" bestFit="1" customWidth="1"/>
    <col min="18" max="18" width="12.625" style="56" bestFit="1" customWidth="1"/>
    <col min="19" max="16384" width="9.125" style="56" customWidth="1"/>
  </cols>
  <sheetData>
    <row r="2" spans="1:15" s="114" customFormat="1" ht="15.75">
      <c r="A2" s="545" t="s">
        <v>508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</row>
    <row r="4" spans="2:15" ht="15.75"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</row>
    <row r="5" spans="2:15" ht="15.75"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2:15" ht="15.75">
      <c r="B6" s="501" t="s">
        <v>36</v>
      </c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</row>
    <row r="7" spans="2:15" ht="15.75">
      <c r="B7" s="501" t="s">
        <v>243</v>
      </c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</row>
    <row r="8" spans="2:15" ht="15.75">
      <c r="B8" s="501" t="s">
        <v>480</v>
      </c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</row>
    <row r="9" spans="3:15" ht="16.5" thickBot="1">
      <c r="C9" s="25"/>
      <c r="D9" s="25"/>
      <c r="E9" s="25"/>
      <c r="F9" s="216"/>
      <c r="G9" s="25"/>
      <c r="H9" s="25"/>
      <c r="I9" s="25"/>
      <c r="J9" s="25"/>
      <c r="O9" s="217" t="s">
        <v>391</v>
      </c>
    </row>
    <row r="10" spans="1:15" ht="15.75">
      <c r="A10" s="218" t="s">
        <v>37</v>
      </c>
      <c r="B10" s="219"/>
      <c r="C10" s="220"/>
      <c r="D10" s="221"/>
      <c r="E10" s="222"/>
      <c r="F10" s="223"/>
      <c r="G10" s="223"/>
      <c r="H10" s="223"/>
      <c r="I10" s="223"/>
      <c r="J10" s="223"/>
      <c r="K10" s="224"/>
      <c r="L10" s="224"/>
      <c r="M10" s="224"/>
      <c r="N10" s="225"/>
      <c r="O10" s="226"/>
    </row>
    <row r="11" spans="1:15" ht="15.75">
      <c r="A11" s="227"/>
      <c r="B11" s="228" t="s">
        <v>0</v>
      </c>
      <c r="C11" s="117" t="s">
        <v>244</v>
      </c>
      <c r="D11" s="229" t="s">
        <v>245</v>
      </c>
      <c r="E11" s="230" t="s">
        <v>246</v>
      </c>
      <c r="F11" s="231" t="s">
        <v>247</v>
      </c>
      <c r="G11" s="231" t="s">
        <v>248</v>
      </c>
      <c r="H11" s="231" t="s">
        <v>249</v>
      </c>
      <c r="I11" s="231" t="s">
        <v>250</v>
      </c>
      <c r="J11" s="231" t="s">
        <v>251</v>
      </c>
      <c r="K11" s="231" t="s">
        <v>252</v>
      </c>
      <c r="L11" s="231" t="s">
        <v>253</v>
      </c>
      <c r="M11" s="231" t="s">
        <v>254</v>
      </c>
      <c r="N11" s="230" t="s">
        <v>255</v>
      </c>
      <c r="O11" s="153" t="s">
        <v>235</v>
      </c>
    </row>
    <row r="12" spans="1:15" ht="16.5" thickBot="1">
      <c r="A12" s="232" t="s">
        <v>38</v>
      </c>
      <c r="B12" s="233"/>
      <c r="C12" s="234"/>
      <c r="D12" s="235"/>
      <c r="E12" s="236"/>
      <c r="F12" s="237"/>
      <c r="G12" s="237"/>
      <c r="H12" s="237"/>
      <c r="I12" s="237"/>
      <c r="J12" s="237"/>
      <c r="K12" s="237"/>
      <c r="L12" s="237"/>
      <c r="M12" s="237"/>
      <c r="N12" s="236"/>
      <c r="O12" s="234"/>
    </row>
    <row r="13" spans="1:15" ht="28.5" customHeight="1">
      <c r="A13" s="238"/>
      <c r="B13" s="239" t="s">
        <v>256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1"/>
    </row>
    <row r="14" spans="1:15" ht="28.5" customHeight="1">
      <c r="A14" s="238" t="s">
        <v>39</v>
      </c>
      <c r="B14" s="239" t="s">
        <v>257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</row>
    <row r="15" spans="1:15" ht="28.5" customHeight="1">
      <c r="A15" s="238"/>
      <c r="B15" s="239" t="s">
        <v>258</v>
      </c>
      <c r="C15" s="240">
        <f>2243614+756325-364911-92809+434736+42542</f>
        <v>3019497</v>
      </c>
      <c r="D15" s="240">
        <f>2243614+756325-364911-92809+434736+42542</f>
        <v>3019497</v>
      </c>
      <c r="E15" s="240">
        <f>2243614+756325-364911-92809+434736+42542</f>
        <v>3019497</v>
      </c>
      <c r="F15" s="240">
        <f>2243614+756325-364911-92809+434736+42542</f>
        <v>3019497</v>
      </c>
      <c r="G15" s="240">
        <f>2243614+756325-364911-92809+434736+42542</f>
        <v>3019497</v>
      </c>
      <c r="H15" s="240">
        <f>2243614+756325-364911-92809+434736+42542-417779</f>
        <v>2601718</v>
      </c>
      <c r="I15" s="240">
        <f>2243614+756325-364911-92809+434736+42542-700730+130720</f>
        <v>2449487</v>
      </c>
      <c r="J15" s="240">
        <f>2243614+756325-364911-92809+434736+42542+233640</f>
        <v>3253137</v>
      </c>
      <c r="K15" s="240">
        <f>2243614+756325-364911-92809+434736+42542+58410</f>
        <v>3077907</v>
      </c>
      <c r="L15" s="240">
        <f>2243614+756325-364911-92809+434736+42542+58410</f>
        <v>3077907</v>
      </c>
      <c r="M15" s="240">
        <f>2243614+756325-364911-92809+434736+42542+58410</f>
        <v>3077907</v>
      </c>
      <c r="N15" s="240">
        <f>2243614+756325-364911-92809+434736+42542+8+58410+540</f>
        <v>3078455</v>
      </c>
      <c r="O15" s="241">
        <f>SUM(C15:N15)</f>
        <v>35714003</v>
      </c>
    </row>
    <row r="16" spans="1:15" ht="28.5" customHeight="1">
      <c r="A16" s="238"/>
      <c r="B16" s="239" t="s">
        <v>259</v>
      </c>
      <c r="C16" s="240"/>
      <c r="D16" s="240"/>
      <c r="E16" s="240"/>
      <c r="F16" s="240"/>
      <c r="G16" s="240"/>
      <c r="H16" s="240"/>
      <c r="I16" s="240">
        <v>128360</v>
      </c>
      <c r="J16" s="240">
        <v>32100</v>
      </c>
      <c r="K16" s="240"/>
      <c r="L16" s="240"/>
      <c r="M16" s="240"/>
      <c r="N16" s="240"/>
      <c r="O16" s="241">
        <f>SUM(C16:N16)</f>
        <v>160460</v>
      </c>
    </row>
    <row r="17" spans="1:15" ht="15.75">
      <c r="A17" s="238" t="s">
        <v>40</v>
      </c>
      <c r="B17" s="239" t="s">
        <v>260</v>
      </c>
      <c r="C17" s="240">
        <f>(12+44+32+31)*1000+150000</f>
        <v>269000</v>
      </c>
      <c r="D17" s="240">
        <f>(19+12+118+253+31)*1000</f>
        <v>433000</v>
      </c>
      <c r="E17" s="240">
        <f>(1127+11+620+382+31)*1000+37000-1100000</f>
        <v>1108000</v>
      </c>
      <c r="F17" s="240">
        <f>(9+12+76+34+31+200)*1000</f>
        <v>362000</v>
      </c>
      <c r="G17" s="240">
        <f>(408+12+48+35+31-200)*1000</f>
        <v>334000</v>
      </c>
      <c r="H17" s="240">
        <f>(46+12+20+19+31)*1000</f>
        <v>128000</v>
      </c>
      <c r="I17" s="240">
        <f>(12+2+2+31)*1000+150000</f>
        <v>197000</v>
      </c>
      <c r="J17" s="240">
        <f>(12+237+346+31)*1000</f>
        <v>626000</v>
      </c>
      <c r="K17" s="240">
        <f>(1188+11+601+335+31)*1000-1140000+68056</f>
        <v>1094056</v>
      </c>
      <c r="L17" s="240">
        <f>(10+12+27+35+31)*1000+150000</f>
        <v>265000</v>
      </c>
      <c r="M17" s="240">
        <f>(852+11+76+12+31)*1000</f>
        <v>982000</v>
      </c>
      <c r="N17" s="240">
        <f>(241+11+34+15+29)*1000</f>
        <v>330000</v>
      </c>
      <c r="O17" s="241">
        <f aca="true" t="shared" si="0" ref="O17:O26">SUM(C17:N17)</f>
        <v>6128056</v>
      </c>
    </row>
    <row r="18" spans="1:18" ht="15.75">
      <c r="A18" s="238" t="s">
        <v>91</v>
      </c>
      <c r="B18" s="239" t="s">
        <v>261</v>
      </c>
      <c r="C18" s="240">
        <f>840000+76550</f>
        <v>916550</v>
      </c>
      <c r="D18" s="240">
        <f aca="true" t="shared" si="1" ref="D18:K18">840000+76550</f>
        <v>916550</v>
      </c>
      <c r="E18" s="240">
        <f>840000+76550</f>
        <v>916550</v>
      </c>
      <c r="F18" s="240">
        <f t="shared" si="1"/>
        <v>916550</v>
      </c>
      <c r="G18" s="240">
        <f t="shared" si="1"/>
        <v>916550</v>
      </c>
      <c r="H18" s="240">
        <f t="shared" si="1"/>
        <v>916550</v>
      </c>
      <c r="I18" s="240">
        <f t="shared" si="1"/>
        <v>916550</v>
      </c>
      <c r="J18" s="240">
        <f t="shared" si="1"/>
        <v>916550</v>
      </c>
      <c r="K18" s="240">
        <f t="shared" si="1"/>
        <v>916550</v>
      </c>
      <c r="L18" s="240">
        <f>840000+76555</f>
        <v>916555</v>
      </c>
      <c r="M18" s="240">
        <f>840000+17846+7719+76550</f>
        <v>942115</v>
      </c>
      <c r="N18" s="240">
        <f>840000+76550</f>
        <v>916550</v>
      </c>
      <c r="O18" s="241">
        <f t="shared" si="0"/>
        <v>11024170</v>
      </c>
      <c r="Q18" s="263"/>
      <c r="R18" s="263"/>
    </row>
    <row r="19" spans="1:15" ht="15.75">
      <c r="A19" s="238" t="s">
        <v>92</v>
      </c>
      <c r="B19" s="242" t="s">
        <v>262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1">
        <f t="shared" si="0"/>
        <v>0</v>
      </c>
    </row>
    <row r="20" spans="1:15" ht="15.75">
      <c r="A20" s="238" t="s">
        <v>98</v>
      </c>
      <c r="B20" s="242" t="s">
        <v>195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5"/>
      <c r="O20" s="241">
        <f t="shared" si="0"/>
        <v>0</v>
      </c>
    </row>
    <row r="21" spans="1:15" ht="31.5">
      <c r="A21" s="238"/>
      <c r="B21" s="239" t="s">
        <v>263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7"/>
      <c r="O21" s="241">
        <f t="shared" si="0"/>
        <v>0</v>
      </c>
    </row>
    <row r="22" spans="1:15" ht="17.25" customHeight="1">
      <c r="A22" s="238"/>
      <c r="B22" s="239" t="s">
        <v>264</v>
      </c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7"/>
      <c r="O22" s="241">
        <f t="shared" si="0"/>
        <v>0</v>
      </c>
    </row>
    <row r="23" spans="1:15" ht="15.75">
      <c r="A23" s="238" t="s">
        <v>196</v>
      </c>
      <c r="B23" s="242" t="s">
        <v>265</v>
      </c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7"/>
      <c r="O23" s="241">
        <f t="shared" si="0"/>
        <v>0</v>
      </c>
    </row>
    <row r="24" spans="1:15" ht="47.25">
      <c r="A24" s="238"/>
      <c r="B24" s="261" t="s">
        <v>266</v>
      </c>
      <c r="C24" s="246">
        <v>28904</v>
      </c>
      <c r="D24" s="246">
        <v>28904</v>
      </c>
      <c r="E24" s="246">
        <v>28904</v>
      </c>
      <c r="F24" s="246">
        <v>28904</v>
      </c>
      <c r="G24" s="246">
        <v>28904</v>
      </c>
      <c r="H24" s="246">
        <v>28904</v>
      </c>
      <c r="I24" s="246">
        <v>28904</v>
      </c>
      <c r="J24" s="246">
        <v>28904</v>
      </c>
      <c r="K24" s="246">
        <f>1952679+7251</f>
        <v>1959930</v>
      </c>
      <c r="L24" s="246">
        <v>28904</v>
      </c>
      <c r="M24" s="246">
        <f>28904+5</f>
        <v>28909</v>
      </c>
      <c r="N24" s="246">
        <v>28904</v>
      </c>
      <c r="O24" s="241">
        <f t="shared" si="0"/>
        <v>2277879</v>
      </c>
    </row>
    <row r="25" spans="1:15" ht="15.75">
      <c r="A25" s="238"/>
      <c r="B25" s="239" t="s">
        <v>267</v>
      </c>
      <c r="C25" s="246"/>
      <c r="D25" s="246"/>
      <c r="E25" s="246"/>
      <c r="F25" s="246"/>
      <c r="G25" s="246"/>
      <c r="H25" s="246"/>
      <c r="I25" s="246"/>
      <c r="J25" s="246">
        <v>3000000</v>
      </c>
      <c r="K25" s="246"/>
      <c r="L25" s="246"/>
      <c r="M25" s="246"/>
      <c r="N25" s="247">
        <v>3000000</v>
      </c>
      <c r="O25" s="241">
        <f t="shared" si="0"/>
        <v>6000000</v>
      </c>
    </row>
    <row r="26" spans="1:15" ht="15.75">
      <c r="A26" s="238" t="s">
        <v>197</v>
      </c>
      <c r="B26" s="242" t="s">
        <v>268</v>
      </c>
      <c r="C26" s="246">
        <f>413192+500000</f>
        <v>913192</v>
      </c>
      <c r="D26" s="246">
        <f>98322035-413192-500000</f>
        <v>97408843</v>
      </c>
      <c r="E26" s="246">
        <v>140000</v>
      </c>
      <c r="F26" s="246"/>
      <c r="G26" s="246">
        <f>25+5+99+234696+964900</f>
        <v>1199725</v>
      </c>
      <c r="H26" s="246"/>
      <c r="I26" s="246">
        <f>289419+20902499+822484</f>
        <v>22014402</v>
      </c>
      <c r="J26" s="246"/>
      <c r="K26" s="246"/>
      <c r="L26" s="246"/>
      <c r="M26" s="246"/>
      <c r="N26" s="247"/>
      <c r="O26" s="241">
        <f t="shared" si="0"/>
        <v>121676162</v>
      </c>
    </row>
    <row r="27" spans="1:15" ht="16.5" thickBot="1">
      <c r="A27" s="248" t="s">
        <v>198</v>
      </c>
      <c r="B27" s="249" t="s">
        <v>269</v>
      </c>
      <c r="C27" s="246"/>
      <c r="D27" s="246">
        <f>C49</f>
        <v>500000</v>
      </c>
      <c r="E27" s="246">
        <f aca="true" t="shared" si="2" ref="E27:N27">D49</f>
        <v>91084307</v>
      </c>
      <c r="F27" s="246">
        <f t="shared" si="2"/>
        <v>90894515</v>
      </c>
      <c r="G27" s="246">
        <f t="shared" si="2"/>
        <v>90685627</v>
      </c>
      <c r="H27" s="246">
        <f t="shared" si="2"/>
        <v>90365760</v>
      </c>
      <c r="I27" s="246">
        <f t="shared" si="2"/>
        <v>61329685</v>
      </c>
      <c r="J27" s="246">
        <f t="shared" si="2"/>
        <v>40250289</v>
      </c>
      <c r="K27" s="246">
        <f t="shared" si="2"/>
        <v>9234046</v>
      </c>
      <c r="L27" s="246">
        <f t="shared" si="2"/>
        <v>9116346</v>
      </c>
      <c r="M27" s="246">
        <f t="shared" si="2"/>
        <v>9052869</v>
      </c>
      <c r="N27" s="246">
        <f t="shared" si="2"/>
        <v>8958228</v>
      </c>
      <c r="O27" s="241"/>
    </row>
    <row r="28" spans="1:16" s="18" customFormat="1" ht="27.75" customHeight="1" thickBot="1">
      <c r="A28" s="250"/>
      <c r="B28" s="250" t="s">
        <v>270</v>
      </c>
      <c r="C28" s="251">
        <f aca="true" t="shared" si="3" ref="C28:N28">SUM(C15:C27)</f>
        <v>5147143</v>
      </c>
      <c r="D28" s="251">
        <f t="shared" si="3"/>
        <v>102306794</v>
      </c>
      <c r="E28" s="251">
        <f t="shared" si="3"/>
        <v>96297258</v>
      </c>
      <c r="F28" s="251">
        <f t="shared" si="3"/>
        <v>95221466</v>
      </c>
      <c r="G28" s="251">
        <f t="shared" si="3"/>
        <v>96184303</v>
      </c>
      <c r="H28" s="251">
        <f t="shared" si="3"/>
        <v>94040932</v>
      </c>
      <c r="I28" s="251">
        <f t="shared" si="3"/>
        <v>87064388</v>
      </c>
      <c r="J28" s="251">
        <f t="shared" si="3"/>
        <v>48106980</v>
      </c>
      <c r="K28" s="251">
        <f t="shared" si="3"/>
        <v>16282489</v>
      </c>
      <c r="L28" s="251">
        <f t="shared" si="3"/>
        <v>13404712</v>
      </c>
      <c r="M28" s="251">
        <f t="shared" si="3"/>
        <v>14083800</v>
      </c>
      <c r="N28" s="251">
        <f t="shared" si="3"/>
        <v>16312137</v>
      </c>
      <c r="O28" s="252">
        <f>SUM(O14:O27)</f>
        <v>182980730</v>
      </c>
      <c r="P28" s="120"/>
    </row>
    <row r="29" spans="1:15" ht="15.75">
      <c r="A29" s="253"/>
      <c r="B29" s="254" t="s">
        <v>271</v>
      </c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55"/>
    </row>
    <row r="30" spans="1:17" ht="15.75">
      <c r="A30" s="238" t="s">
        <v>199</v>
      </c>
      <c r="B30" s="242" t="s">
        <v>150</v>
      </c>
      <c r="C30" s="240">
        <v>1841663</v>
      </c>
      <c r="D30" s="240">
        <v>1841663</v>
      </c>
      <c r="E30" s="240">
        <v>1841663</v>
      </c>
      <c r="F30" s="240">
        <f>1841663-82280</f>
        <v>1759383</v>
      </c>
      <c r="G30" s="240">
        <v>1841663</v>
      </c>
      <c r="H30" s="240">
        <f>1841663+32868</f>
        <v>1874531</v>
      </c>
      <c r="I30" s="240">
        <f>1841663+300007</f>
        <v>2141670</v>
      </c>
      <c r="J30" s="240">
        <v>1841663</v>
      </c>
      <c r="K30" s="240">
        <v>1841663</v>
      </c>
      <c r="L30" s="240">
        <v>1841663</v>
      </c>
      <c r="M30" s="240">
        <v>1841663</v>
      </c>
      <c r="N30" s="240">
        <f>1841663+2800000-300000</f>
        <v>4341663</v>
      </c>
      <c r="O30" s="241">
        <f aca="true" t="shared" si="4" ref="O30:O47">SUM(C30:N30)</f>
        <v>24850551</v>
      </c>
      <c r="P30" s="263"/>
      <c r="Q30" s="263"/>
    </row>
    <row r="31" spans="1:17" ht="31.5">
      <c r="A31" s="238" t="s">
        <v>200</v>
      </c>
      <c r="B31" s="261" t="s">
        <v>272</v>
      </c>
      <c r="C31" s="240">
        <v>324480</v>
      </c>
      <c r="D31" s="240">
        <v>324480</v>
      </c>
      <c r="E31" s="240">
        <v>324480</v>
      </c>
      <c r="F31" s="240">
        <f>324480-7199</f>
        <v>317281</v>
      </c>
      <c r="G31" s="240">
        <v>324480</v>
      </c>
      <c r="H31" s="240">
        <f>324480-32868</f>
        <v>291612</v>
      </c>
      <c r="I31" s="240">
        <v>324480</v>
      </c>
      <c r="J31" s="240">
        <f>324480+52500</f>
        <v>376980</v>
      </c>
      <c r="K31" s="240">
        <v>324480</v>
      </c>
      <c r="L31" s="240">
        <v>324480</v>
      </c>
      <c r="M31" s="240">
        <v>324480</v>
      </c>
      <c r="N31" s="240">
        <f>324480+437504</f>
        <v>761984</v>
      </c>
      <c r="O31" s="241">
        <f t="shared" si="4"/>
        <v>4343697</v>
      </c>
      <c r="Q31" s="263"/>
    </row>
    <row r="32" spans="1:17" ht="15.75">
      <c r="A32" s="238" t="s">
        <v>201</v>
      </c>
      <c r="B32" s="242" t="s">
        <v>152</v>
      </c>
      <c r="C32" s="240">
        <f>2391000-270000-500000-100000+180000</f>
        <v>1701000</v>
      </c>
      <c r="D32" s="240">
        <f>1745000+200000+180000</f>
        <v>2125000</v>
      </c>
      <c r="E32" s="240">
        <f>1745000+900000+150000+140000</f>
        <v>2935000</v>
      </c>
      <c r="F32" s="240">
        <f>1745000+50000+160000+89479</f>
        <v>2044479</v>
      </c>
      <c r="G32" s="240">
        <f>1745000+450000+171000+964900</f>
        <v>3330900</v>
      </c>
      <c r="H32" s="240">
        <f>1745000+150000</f>
        <v>1895000</v>
      </c>
      <c r="I32" s="240">
        <f>1745000+300000+150000+40640+822484</f>
        <v>3058124</v>
      </c>
      <c r="J32" s="240">
        <f>1745000+250000+100000</f>
        <v>2095000</v>
      </c>
      <c r="K32" s="240">
        <f>1745000+150000+150000</f>
        <v>2045000</v>
      </c>
      <c r="L32" s="240">
        <f>1745000+60000+171000</f>
        <v>1976000</v>
      </c>
      <c r="M32" s="240">
        <f>1745000+123732+100000+150000</f>
        <v>2118732</v>
      </c>
      <c r="N32" s="240">
        <f>1745000+194797+246914</f>
        <v>2186711</v>
      </c>
      <c r="O32" s="241">
        <f t="shared" si="4"/>
        <v>27510946</v>
      </c>
      <c r="P32" s="263"/>
      <c r="Q32" s="263"/>
    </row>
    <row r="33" spans="1:15" ht="15.75">
      <c r="A33" s="238" t="s">
        <v>202</v>
      </c>
      <c r="B33" s="242" t="s">
        <v>153</v>
      </c>
      <c r="C33" s="240">
        <f>150000-20000</f>
        <v>130000</v>
      </c>
      <c r="D33" s="240">
        <f>150000-30000</f>
        <v>120000</v>
      </c>
      <c r="E33" s="240">
        <v>150000</v>
      </c>
      <c r="F33" s="240">
        <f>150000-10000</f>
        <v>140000</v>
      </c>
      <c r="G33" s="240">
        <f>150000-20000</f>
        <v>130000</v>
      </c>
      <c r="H33" s="240">
        <f>150000-10000</f>
        <v>140000</v>
      </c>
      <c r="I33" s="240">
        <f>150000-20000</f>
        <v>130000</v>
      </c>
      <c r="J33" s="240">
        <f>150000-10000</f>
        <v>140000</v>
      </c>
      <c r="K33" s="240">
        <f>150000-20000</f>
        <v>130000</v>
      </c>
      <c r="L33" s="240">
        <f>150000-10000</f>
        <v>140000</v>
      </c>
      <c r="M33" s="240">
        <f>150000</f>
        <v>150000</v>
      </c>
      <c r="N33" s="240">
        <v>1200000</v>
      </c>
      <c r="O33" s="241">
        <f t="shared" si="4"/>
        <v>2700000</v>
      </c>
    </row>
    <row r="34" spans="1:15" ht="15.75">
      <c r="A34" s="238" t="s">
        <v>203</v>
      </c>
      <c r="B34" s="242" t="s">
        <v>273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1"/>
    </row>
    <row r="35" spans="1:15" ht="15.75">
      <c r="A35" s="238"/>
      <c r="B35" s="242" t="s">
        <v>274</v>
      </c>
      <c r="C35" s="240">
        <v>50000</v>
      </c>
      <c r="D35" s="240"/>
      <c r="E35" s="240"/>
      <c r="F35" s="240"/>
      <c r="G35" s="240"/>
      <c r="H35" s="240"/>
      <c r="I35" s="240"/>
      <c r="J35" s="240">
        <v>50000</v>
      </c>
      <c r="K35" s="240">
        <v>1200000</v>
      </c>
      <c r="L35" s="240"/>
      <c r="M35" s="240"/>
      <c r="N35" s="240"/>
      <c r="O35" s="241">
        <f t="shared" si="4"/>
        <v>1300000</v>
      </c>
    </row>
    <row r="36" spans="1:16" ht="15.75">
      <c r="A36" s="238"/>
      <c r="B36" s="242" t="s">
        <v>275</v>
      </c>
      <c r="C36" s="240"/>
      <c r="D36" s="240">
        <v>79850</v>
      </c>
      <c r="E36" s="240">
        <v>50000</v>
      </c>
      <c r="F36" s="240">
        <v>40000</v>
      </c>
      <c r="G36" s="240">
        <f>209100-17600</f>
        <v>191500</v>
      </c>
      <c r="H36" s="240"/>
      <c r="I36" s="240">
        <v>40000</v>
      </c>
      <c r="J36" s="240">
        <v>40000</v>
      </c>
      <c r="K36" s="240">
        <v>625000</v>
      </c>
      <c r="L36" s="240">
        <v>69700</v>
      </c>
      <c r="M36" s="240">
        <v>54300</v>
      </c>
      <c r="N36" s="240">
        <v>79850</v>
      </c>
      <c r="O36" s="241">
        <f t="shared" si="4"/>
        <v>1270200</v>
      </c>
      <c r="P36" s="263"/>
    </row>
    <row r="37" spans="1:15" ht="15.75">
      <c r="A37" s="238" t="s">
        <v>204</v>
      </c>
      <c r="B37" s="242" t="s">
        <v>156</v>
      </c>
      <c r="C37" s="240"/>
      <c r="D37" s="240">
        <v>51562</v>
      </c>
      <c r="E37" s="240">
        <v>101600</v>
      </c>
      <c r="F37" s="240">
        <v>234696</v>
      </c>
      <c r="G37" s="240"/>
      <c r="H37" s="240"/>
      <c r="I37" s="240"/>
      <c r="J37" s="240">
        <f>1999880+25</f>
        <v>1999905</v>
      </c>
      <c r="K37" s="240"/>
      <c r="L37" s="240"/>
      <c r="M37" s="240">
        <f>280797-152400</f>
        <v>128397</v>
      </c>
      <c r="N37" s="240">
        <v>7741929</v>
      </c>
      <c r="O37" s="241">
        <f t="shared" si="4"/>
        <v>10258089</v>
      </c>
    </row>
    <row r="38" spans="1:15" ht="15.75">
      <c r="A38" s="238" t="s">
        <v>206</v>
      </c>
      <c r="B38" s="242" t="s">
        <v>67</v>
      </c>
      <c r="C38" s="240">
        <v>600000</v>
      </c>
      <c r="D38" s="240">
        <v>2627000</v>
      </c>
      <c r="E38" s="240"/>
      <c r="F38" s="240"/>
      <c r="G38" s="240"/>
      <c r="H38" s="240">
        <f>28510000+104</f>
        <v>28510104</v>
      </c>
      <c r="I38" s="240">
        <v>22500000</v>
      </c>
      <c r="J38" s="240">
        <v>32329386</v>
      </c>
      <c r="K38" s="240"/>
      <c r="L38" s="240"/>
      <c r="M38" s="240">
        <v>508000</v>
      </c>
      <c r="N38" s="240"/>
      <c r="O38" s="241">
        <f t="shared" si="4"/>
        <v>87074490</v>
      </c>
    </row>
    <row r="39" spans="1:15" ht="20.25" customHeight="1">
      <c r="A39" s="238" t="s">
        <v>207</v>
      </c>
      <c r="B39" s="242" t="s">
        <v>205</v>
      </c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1">
        <f t="shared" si="4"/>
        <v>0</v>
      </c>
    </row>
    <row r="40" spans="1:15" ht="20.25" customHeight="1">
      <c r="A40" s="238"/>
      <c r="B40" s="242" t="s">
        <v>274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1">
        <f t="shared" si="4"/>
        <v>0</v>
      </c>
    </row>
    <row r="41" spans="1:15" ht="15.75">
      <c r="A41" s="238"/>
      <c r="B41" s="242" t="s">
        <v>275</v>
      </c>
      <c r="C41" s="240"/>
      <c r="D41" s="240">
        <v>2603573</v>
      </c>
      <c r="E41" s="240"/>
      <c r="F41" s="240"/>
      <c r="G41" s="240"/>
      <c r="H41" s="240"/>
      <c r="I41" s="240"/>
      <c r="J41" s="240"/>
      <c r="K41" s="240">
        <v>1000000</v>
      </c>
      <c r="L41" s="240"/>
      <c r="M41" s="240"/>
      <c r="N41" s="240"/>
      <c r="O41" s="241">
        <f t="shared" si="4"/>
        <v>3603573</v>
      </c>
    </row>
    <row r="42" spans="1:15" ht="15.75">
      <c r="A42" s="238" t="s">
        <v>208</v>
      </c>
      <c r="B42" s="242" t="s">
        <v>149</v>
      </c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>
        <f t="shared" si="4"/>
        <v>0</v>
      </c>
    </row>
    <row r="43" spans="1:15" ht="15.75">
      <c r="A43" s="238"/>
      <c r="B43" s="333" t="s">
        <v>384</v>
      </c>
      <c r="C43" s="240"/>
      <c r="D43" s="240">
        <v>1449359</v>
      </c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1">
        <f t="shared" si="4"/>
        <v>1449359</v>
      </c>
    </row>
    <row r="44" spans="1:15" ht="15.75">
      <c r="A44" s="238"/>
      <c r="B44" s="242" t="s">
        <v>276</v>
      </c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1">
        <f t="shared" si="4"/>
        <v>0</v>
      </c>
    </row>
    <row r="45" spans="1:15" ht="15.75">
      <c r="A45" s="238"/>
      <c r="B45" s="242" t="s">
        <v>277</v>
      </c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1">
        <f t="shared" si="4"/>
        <v>0</v>
      </c>
    </row>
    <row r="46" spans="1:16" ht="15.75">
      <c r="A46" s="238" t="s">
        <v>278</v>
      </c>
      <c r="B46" s="242" t="s">
        <v>279</v>
      </c>
      <c r="C46" s="240"/>
      <c r="D46" s="240"/>
      <c r="E46" s="240"/>
      <c r="F46" s="240"/>
      <c r="G46" s="240"/>
      <c r="H46" s="240"/>
      <c r="I46" s="240">
        <f>20902499-700730+130720+467820+32100-128360-40640+128360-2171944</f>
        <v>18619825</v>
      </c>
      <c r="J46" s="240"/>
      <c r="K46" s="240"/>
      <c r="L46" s="240"/>
      <c r="M46" s="240"/>
      <c r="N46" s="240"/>
      <c r="O46" s="241">
        <f t="shared" si="4"/>
        <v>18619825</v>
      </c>
      <c r="P46" s="263"/>
    </row>
    <row r="47" spans="1:15" ht="16.5" thickBot="1">
      <c r="A47" s="248" t="s">
        <v>280</v>
      </c>
      <c r="B47" s="249" t="s">
        <v>281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1">
        <f t="shared" si="4"/>
        <v>0</v>
      </c>
    </row>
    <row r="48" spans="1:19" s="18" customFormat="1" ht="24" customHeight="1" thickBot="1">
      <c r="A48" s="250"/>
      <c r="B48" s="250" t="s">
        <v>282</v>
      </c>
      <c r="C48" s="251">
        <f aca="true" t="shared" si="5" ref="C48:N48">SUM(C30:C47)</f>
        <v>4647143</v>
      </c>
      <c r="D48" s="251">
        <f t="shared" si="5"/>
        <v>11222487</v>
      </c>
      <c r="E48" s="251">
        <f t="shared" si="5"/>
        <v>5402743</v>
      </c>
      <c r="F48" s="251">
        <f t="shared" si="5"/>
        <v>4535839</v>
      </c>
      <c r="G48" s="251">
        <f t="shared" si="5"/>
        <v>5818543</v>
      </c>
      <c r="H48" s="251">
        <f t="shared" si="5"/>
        <v>32711247</v>
      </c>
      <c r="I48" s="251">
        <f t="shared" si="5"/>
        <v>46814099</v>
      </c>
      <c r="J48" s="251">
        <f t="shared" si="5"/>
        <v>38872934</v>
      </c>
      <c r="K48" s="251">
        <f t="shared" si="5"/>
        <v>7166143</v>
      </c>
      <c r="L48" s="251">
        <f t="shared" si="5"/>
        <v>4351843</v>
      </c>
      <c r="M48" s="251">
        <f t="shared" si="5"/>
        <v>5125572</v>
      </c>
      <c r="N48" s="251">
        <f t="shared" si="5"/>
        <v>16312137</v>
      </c>
      <c r="O48" s="252">
        <f>SUM(O30:O47)</f>
        <v>182980730</v>
      </c>
      <c r="S48" s="256"/>
    </row>
    <row r="49" spans="1:15" ht="26.25" customHeight="1" thickBot="1">
      <c r="A49" s="257"/>
      <c r="B49" s="258" t="s">
        <v>283</v>
      </c>
      <c r="C49" s="259">
        <f aca="true" t="shared" si="6" ref="C49:N49">C28-C48</f>
        <v>500000</v>
      </c>
      <c r="D49" s="259">
        <f t="shared" si="6"/>
        <v>91084307</v>
      </c>
      <c r="E49" s="259">
        <f t="shared" si="6"/>
        <v>90894515</v>
      </c>
      <c r="F49" s="259">
        <f t="shared" si="6"/>
        <v>90685627</v>
      </c>
      <c r="G49" s="259">
        <f t="shared" si="6"/>
        <v>90365760</v>
      </c>
      <c r="H49" s="259">
        <f t="shared" si="6"/>
        <v>61329685</v>
      </c>
      <c r="I49" s="259">
        <f t="shared" si="6"/>
        <v>40250289</v>
      </c>
      <c r="J49" s="259">
        <f t="shared" si="6"/>
        <v>9234046</v>
      </c>
      <c r="K49" s="259">
        <f t="shared" si="6"/>
        <v>9116346</v>
      </c>
      <c r="L49" s="259">
        <f t="shared" si="6"/>
        <v>9052869</v>
      </c>
      <c r="M49" s="259">
        <f t="shared" si="6"/>
        <v>8958228</v>
      </c>
      <c r="N49" s="259">
        <f t="shared" si="6"/>
        <v>0</v>
      </c>
      <c r="O49" s="260"/>
    </row>
    <row r="51" spans="3:15" ht="15.75"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</row>
    <row r="52" ht="15.75">
      <c r="O52" s="262"/>
    </row>
    <row r="53" ht="15.75">
      <c r="O53" s="262"/>
    </row>
    <row r="54" ht="15.75">
      <c r="O54" s="262"/>
    </row>
    <row r="55" ht="15.75">
      <c r="O55" s="262"/>
    </row>
  </sheetData>
  <sheetProtection/>
  <mergeCells count="6">
    <mergeCell ref="B8:O8"/>
    <mergeCell ref="B4:O4"/>
    <mergeCell ref="B5:O5"/>
    <mergeCell ref="B6:O6"/>
    <mergeCell ref="B7:O7"/>
    <mergeCell ref="A2:O2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E28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4.75390625" style="27" customWidth="1"/>
    <col min="2" max="2" width="56.25390625" style="27" customWidth="1"/>
    <col min="3" max="3" width="17.875" style="27" customWidth="1"/>
    <col min="4" max="4" width="4.875" style="27" customWidth="1"/>
    <col min="5" max="16384" width="9.125" style="27" customWidth="1"/>
  </cols>
  <sheetData>
    <row r="1" spans="1:5" ht="15.75">
      <c r="A1" s="545" t="s">
        <v>509</v>
      </c>
      <c r="B1" s="545"/>
      <c r="C1" s="545"/>
      <c r="D1" s="114"/>
      <c r="E1" s="26"/>
    </row>
    <row r="2" spans="1:5" ht="15.75">
      <c r="A2" s="28"/>
      <c r="B2" s="28"/>
      <c r="C2" s="28"/>
      <c r="D2" s="29"/>
      <c r="E2" s="26"/>
    </row>
    <row r="3" spans="1:5" ht="12.75" customHeight="1">
      <c r="A3" s="29"/>
      <c r="B3" s="29"/>
      <c r="C3" s="29"/>
      <c r="D3" s="29"/>
      <c r="E3" s="26"/>
    </row>
    <row r="4" spans="1:5" ht="15.75">
      <c r="A4" s="639" t="s">
        <v>4</v>
      </c>
      <c r="B4" s="639"/>
      <c r="C4" s="639"/>
      <c r="D4" s="639"/>
      <c r="E4" s="26"/>
    </row>
    <row r="5" spans="1:5" ht="15.75">
      <c r="A5" s="639" t="s">
        <v>20</v>
      </c>
      <c r="B5" s="639"/>
      <c r="C5" s="639"/>
      <c r="D5" s="639"/>
      <c r="E5" s="26"/>
    </row>
    <row r="6" spans="1:5" ht="15.75">
      <c r="A6" s="639" t="s">
        <v>483</v>
      </c>
      <c r="B6" s="639"/>
      <c r="C6" s="639"/>
      <c r="D6" s="639"/>
      <c r="E6" s="26"/>
    </row>
    <row r="7" spans="1:5" ht="15.75">
      <c r="A7" s="28"/>
      <c r="B7" s="28"/>
      <c r="C7" s="28"/>
      <c r="D7" s="26"/>
      <c r="E7" s="26"/>
    </row>
    <row r="8" spans="1:5" ht="15.75">
      <c r="A8" s="28"/>
      <c r="B8" s="28"/>
      <c r="C8" s="28"/>
      <c r="D8" s="26"/>
      <c r="E8" s="26"/>
    </row>
    <row r="9" spans="1:5" ht="15.75">
      <c r="A9" s="28"/>
      <c r="B9" s="28"/>
      <c r="C9" s="28"/>
      <c r="D9" s="26"/>
      <c r="E9" s="26"/>
    </row>
    <row r="10" spans="1:5" ht="15.75">
      <c r="A10" s="28"/>
      <c r="B10" s="28"/>
      <c r="C10" s="28"/>
      <c r="D10" s="26"/>
      <c r="E10" s="26"/>
    </row>
    <row r="11" spans="1:5" ht="15.75">
      <c r="A11" s="28"/>
      <c r="B11" s="30" t="s">
        <v>11</v>
      </c>
      <c r="C11" s="28"/>
      <c r="D11" s="26"/>
      <c r="E11" s="26"/>
    </row>
    <row r="12" spans="1:5" ht="10.5" customHeight="1">
      <c r="A12" s="28"/>
      <c r="B12" s="30"/>
      <c r="C12" s="28"/>
      <c r="D12" s="26"/>
      <c r="E12" s="26"/>
    </row>
    <row r="13" spans="1:5" ht="12" customHeight="1">
      <c r="A13" s="28"/>
      <c r="B13" s="30"/>
      <c r="C13" s="31"/>
      <c r="D13" s="26"/>
      <c r="E13" s="26"/>
    </row>
    <row r="14" spans="1:3" s="35" customFormat="1" ht="15">
      <c r="A14" s="32"/>
      <c r="B14" s="33" t="s">
        <v>12</v>
      </c>
      <c r="C14" s="34"/>
    </row>
    <row r="15" spans="1:5" ht="19.5" customHeight="1">
      <c r="A15" s="36"/>
      <c r="B15" s="26" t="s">
        <v>13</v>
      </c>
      <c r="C15" s="37">
        <v>1845000</v>
      </c>
      <c r="D15" s="26" t="s">
        <v>1</v>
      </c>
      <c r="E15" s="26"/>
    </row>
    <row r="16" spans="1:5" ht="19.5" customHeight="1">
      <c r="A16" s="26"/>
      <c r="B16" s="29" t="s">
        <v>14</v>
      </c>
      <c r="C16" s="38">
        <f>SUM(C15)</f>
        <v>1845000</v>
      </c>
      <c r="D16" s="29" t="s">
        <v>1</v>
      </c>
      <c r="E16" s="26"/>
    </row>
    <row r="17" spans="1:5" ht="19.5" customHeight="1">
      <c r="A17" s="26"/>
      <c r="B17" s="29"/>
      <c r="C17" s="38"/>
      <c r="D17" s="29"/>
      <c r="E17" s="26"/>
    </row>
    <row r="18" spans="1:5" ht="19.5" customHeight="1">
      <c r="A18" s="26"/>
      <c r="B18" s="29"/>
      <c r="C18" s="38"/>
      <c r="D18" s="29"/>
      <c r="E18" s="26"/>
    </row>
    <row r="19" spans="1:5" ht="10.5" customHeight="1">
      <c r="A19" s="26"/>
      <c r="B19" s="29"/>
      <c r="C19" s="38"/>
      <c r="D19" s="29"/>
      <c r="E19" s="26"/>
    </row>
    <row r="20" spans="1:5" ht="15.75">
      <c r="A20" s="26"/>
      <c r="B20" s="99"/>
      <c r="C20" s="26"/>
      <c r="D20" s="26"/>
      <c r="E20" s="26"/>
    </row>
    <row r="21" spans="1:5" ht="15.75">
      <c r="A21" s="26"/>
      <c r="B21" s="26"/>
      <c r="C21" s="26"/>
      <c r="D21" s="26"/>
      <c r="E21" s="26"/>
    </row>
    <row r="22" spans="1:5" ht="15.75">
      <c r="A22" s="26"/>
      <c r="B22" s="26"/>
      <c r="C22" s="26"/>
      <c r="D22" s="26"/>
      <c r="E22" s="26"/>
    </row>
    <row r="23" spans="1:5" ht="15.75">
      <c r="A23" s="26"/>
      <c r="B23" s="26"/>
      <c r="C23" s="26"/>
      <c r="D23" s="26"/>
      <c r="E23" s="26"/>
    </row>
    <row r="24" spans="1:5" ht="15.75">
      <c r="A24" s="26"/>
      <c r="B24" s="26"/>
      <c r="C24" s="26"/>
      <c r="D24" s="26"/>
      <c r="E24" s="26"/>
    </row>
    <row r="25" spans="1:5" ht="15.75">
      <c r="A25" s="26"/>
      <c r="B25" s="26"/>
      <c r="C25" s="26"/>
      <c r="D25" s="26"/>
      <c r="E25" s="26"/>
    </row>
    <row r="26" spans="1:5" ht="15.75">
      <c r="A26" s="26"/>
      <c r="B26" s="26"/>
      <c r="C26" s="26"/>
      <c r="D26" s="26"/>
      <c r="E26" s="26"/>
    </row>
    <row r="27" spans="1:5" ht="15.75">
      <c r="A27" s="26"/>
      <c r="B27" s="26"/>
      <c r="C27" s="26"/>
      <c r="D27" s="26"/>
      <c r="E27" s="26"/>
    </row>
    <row r="28" spans="1:5" ht="15.75">
      <c r="A28" s="26"/>
      <c r="B28" s="26"/>
      <c r="C28" s="26"/>
      <c r="D28" s="26"/>
      <c r="E28" s="26"/>
    </row>
  </sheetData>
  <sheetProtection/>
  <mergeCells count="4">
    <mergeCell ref="A6:D6"/>
    <mergeCell ref="A4:D4"/>
    <mergeCell ref="A5:D5"/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1" customWidth="1"/>
    <col min="2" max="2" width="45.00390625" style="1" customWidth="1"/>
    <col min="3" max="4" width="11.875" style="1" customWidth="1"/>
    <col min="5" max="5" width="12.375" style="1" customWidth="1"/>
    <col min="6" max="16384" width="9.125" style="1" customWidth="1"/>
  </cols>
  <sheetData>
    <row r="1" spans="1:5" ht="15.75">
      <c r="A1" s="114" t="s">
        <v>510</v>
      </c>
      <c r="C1" s="640"/>
      <c r="D1" s="640"/>
      <c r="E1" s="640"/>
    </row>
    <row r="3" spans="1:5" ht="12.75">
      <c r="A3" s="502"/>
      <c r="B3" s="502"/>
      <c r="C3" s="502"/>
      <c r="D3" s="502"/>
      <c r="E3" s="502"/>
    </row>
    <row r="4" spans="1:6" ht="14.25">
      <c r="A4" s="636"/>
      <c r="B4" s="636"/>
      <c r="C4" s="636"/>
      <c r="D4" s="636"/>
      <c r="E4" s="636"/>
      <c r="F4" s="77"/>
    </row>
    <row r="5" spans="1:6" ht="14.25">
      <c r="A5" s="636" t="s">
        <v>215</v>
      </c>
      <c r="B5" s="636"/>
      <c r="C5" s="636"/>
      <c r="D5" s="636"/>
      <c r="E5" s="636"/>
      <c r="F5" s="77"/>
    </row>
    <row r="6" spans="1:6" s="5" customFormat="1" ht="15.75">
      <c r="A6" s="514" t="s">
        <v>216</v>
      </c>
      <c r="B6" s="514"/>
      <c r="C6" s="514"/>
      <c r="D6" s="514"/>
      <c r="E6" s="514"/>
      <c r="F6" s="68"/>
    </row>
    <row r="7" spans="1:6" s="5" customFormat="1" ht="15.75">
      <c r="A7" s="514" t="s">
        <v>422</v>
      </c>
      <c r="B7" s="514"/>
      <c r="C7" s="514"/>
      <c r="D7" s="514"/>
      <c r="E7" s="514"/>
      <c r="F7" s="68"/>
    </row>
    <row r="8" spans="1:5" s="5" customFormat="1" ht="13.5" thickBot="1">
      <c r="A8" s="78"/>
      <c r="B8" s="78"/>
      <c r="C8" s="78"/>
      <c r="D8" s="78"/>
      <c r="E8" s="79" t="s">
        <v>5</v>
      </c>
    </row>
    <row r="9" spans="1:5" s="82" customFormat="1" ht="22.5" customHeight="1" thickTop="1">
      <c r="A9" s="80" t="s">
        <v>37</v>
      </c>
      <c r="B9" s="81"/>
      <c r="C9" s="648" t="s">
        <v>54</v>
      </c>
      <c r="D9" s="648" t="s">
        <v>55</v>
      </c>
      <c r="E9" s="643" t="s">
        <v>56</v>
      </c>
    </row>
    <row r="10" spans="1:5" s="82" customFormat="1" ht="12.75">
      <c r="A10" s="83"/>
      <c r="B10" s="84" t="s">
        <v>57</v>
      </c>
      <c r="C10" s="649"/>
      <c r="D10" s="649"/>
      <c r="E10" s="644"/>
    </row>
    <row r="11" spans="1:5" s="82" customFormat="1" ht="13.5" thickBot="1">
      <c r="A11" s="85" t="s">
        <v>38</v>
      </c>
      <c r="B11" s="86"/>
      <c r="C11" s="650"/>
      <c r="D11" s="650"/>
      <c r="E11" s="645"/>
    </row>
    <row r="12" spans="1:5" s="82" customFormat="1" ht="12.75">
      <c r="A12" s="651" t="s">
        <v>39</v>
      </c>
      <c r="B12" s="653" t="s">
        <v>58</v>
      </c>
      <c r="C12" s="646">
        <v>1887</v>
      </c>
      <c r="D12" s="646">
        <v>1887</v>
      </c>
      <c r="E12" s="641">
        <f>SUM(C12:D17)</f>
        <v>3774</v>
      </c>
    </row>
    <row r="13" spans="1:5" s="82" customFormat="1" ht="15" customHeight="1">
      <c r="A13" s="652"/>
      <c r="B13" s="654"/>
      <c r="C13" s="647"/>
      <c r="D13" s="647"/>
      <c r="E13" s="642"/>
    </row>
    <row r="14" spans="1:5" s="82" customFormat="1" ht="15" customHeight="1">
      <c r="A14" s="652"/>
      <c r="B14" s="87" t="s">
        <v>59</v>
      </c>
      <c r="C14" s="647"/>
      <c r="D14" s="647"/>
      <c r="E14" s="642"/>
    </row>
    <row r="15" spans="1:5" s="82" customFormat="1" ht="25.5">
      <c r="A15" s="652"/>
      <c r="B15" s="87" t="s">
        <v>217</v>
      </c>
      <c r="C15" s="647"/>
      <c r="D15" s="647"/>
      <c r="E15" s="642"/>
    </row>
    <row r="16" spans="1:5" s="82" customFormat="1" ht="12.75">
      <c r="A16" s="652"/>
      <c r="B16" s="88" t="s">
        <v>60</v>
      </c>
      <c r="C16" s="647"/>
      <c r="D16" s="647"/>
      <c r="E16" s="642"/>
    </row>
    <row r="17" spans="1:5" s="82" customFormat="1" ht="13.5" thickBot="1">
      <c r="A17" s="652"/>
      <c r="B17" s="89" t="s">
        <v>61</v>
      </c>
      <c r="C17" s="647"/>
      <c r="D17" s="647"/>
      <c r="E17" s="642"/>
    </row>
    <row r="18" spans="1:6" s="95" customFormat="1" ht="40.5" customHeight="1" thickBot="1" thickTop="1">
      <c r="A18" s="90"/>
      <c r="B18" s="91" t="s">
        <v>62</v>
      </c>
      <c r="C18" s="92">
        <f>SUM(C12:C17)</f>
        <v>1887</v>
      </c>
      <c r="D18" s="92">
        <f>SUM(D12:D17)</f>
        <v>1887</v>
      </c>
      <c r="E18" s="93">
        <f>SUM(E12:E17)</f>
        <v>3774</v>
      </c>
      <c r="F18" s="94"/>
    </row>
    <row r="19" spans="1:4" s="95" customFormat="1" ht="27" customHeight="1">
      <c r="A19" s="96"/>
      <c r="B19" s="97"/>
      <c r="C19" s="98"/>
      <c r="D19" s="98"/>
    </row>
  </sheetData>
  <sheetProtection/>
  <mergeCells count="14">
    <mergeCell ref="A6:E6"/>
    <mergeCell ref="A7:E7"/>
    <mergeCell ref="A5:E5"/>
    <mergeCell ref="D9:D11"/>
    <mergeCell ref="C1:E1"/>
    <mergeCell ref="E12:E17"/>
    <mergeCell ref="E9:E11"/>
    <mergeCell ref="C12:C17"/>
    <mergeCell ref="C9:C11"/>
    <mergeCell ref="D12:D17"/>
    <mergeCell ref="A3:E3"/>
    <mergeCell ref="A4:E4"/>
    <mergeCell ref="A12:A17"/>
    <mergeCell ref="B12:B13"/>
  </mergeCells>
  <printOptions/>
  <pageMargins left="1.535433070866142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P30"/>
  <sheetViews>
    <sheetView zoomScalePageLayoutView="0" workbookViewId="0" topLeftCell="A1">
      <selection activeCell="A2" sqref="A2:O2"/>
    </sheetView>
  </sheetViews>
  <sheetFormatPr defaultColWidth="9.00390625" defaultRowHeight="12.75"/>
  <cols>
    <col min="1" max="1" width="5.875" style="56" customWidth="1"/>
    <col min="2" max="2" width="37.375" style="56" customWidth="1"/>
    <col min="3" max="3" width="9.625" style="56" customWidth="1"/>
    <col min="4" max="15" width="15.75390625" style="56" customWidth="1"/>
    <col min="16" max="16" width="13.625" style="56" bestFit="1" customWidth="1"/>
    <col min="17" max="16384" width="9.125" style="56" customWidth="1"/>
  </cols>
  <sheetData>
    <row r="2" spans="1:15" ht="15.75">
      <c r="A2" s="664" t="s">
        <v>511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664"/>
      <c r="N2" s="664"/>
      <c r="O2" s="664"/>
    </row>
    <row r="3" spans="1:15" ht="15.75">
      <c r="A3" s="501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</row>
    <row r="4" spans="2:15" ht="15.7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</row>
    <row r="5" spans="1:15" ht="15.7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</row>
    <row r="6" spans="1:15" ht="15.75">
      <c r="A6" s="501" t="s">
        <v>36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</row>
    <row r="7" spans="1:15" ht="15.75">
      <c r="A7" s="501" t="s">
        <v>291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</row>
    <row r="8" spans="1:15" ht="15.75">
      <c r="A8" s="501" t="s">
        <v>484</v>
      </c>
      <c r="B8" s="501"/>
      <c r="C8" s="501"/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</row>
    <row r="9" spans="1:15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</row>
    <row r="10" spans="1:15" ht="15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</row>
    <row r="11" ht="16.5" thickBot="1">
      <c r="O11" s="266" t="s">
        <v>408</v>
      </c>
    </row>
    <row r="12" spans="1:15" ht="32.25" customHeight="1" thickTop="1">
      <c r="A12" s="688" t="s">
        <v>292</v>
      </c>
      <c r="B12" s="691" t="s">
        <v>293</v>
      </c>
      <c r="C12" s="691" t="s">
        <v>294</v>
      </c>
      <c r="D12" s="692" t="s">
        <v>295</v>
      </c>
      <c r="E12" s="692"/>
      <c r="F12" s="693"/>
      <c r="G12" s="692" t="s">
        <v>296</v>
      </c>
      <c r="H12" s="692"/>
      <c r="I12" s="693"/>
      <c r="J12" s="692" t="s">
        <v>56</v>
      </c>
      <c r="K12" s="692"/>
      <c r="L12" s="693"/>
      <c r="M12" s="700" t="s">
        <v>297</v>
      </c>
      <c r="N12" s="701"/>
      <c r="O12" s="702"/>
    </row>
    <row r="13" spans="1:15" ht="16.5" thickBot="1">
      <c r="A13" s="689"/>
      <c r="B13" s="689"/>
      <c r="C13" s="689"/>
      <c r="D13" s="694"/>
      <c r="E13" s="694"/>
      <c r="F13" s="695"/>
      <c r="G13" s="694"/>
      <c r="H13" s="694"/>
      <c r="I13" s="695"/>
      <c r="J13" s="694"/>
      <c r="K13" s="694"/>
      <c r="L13" s="695"/>
      <c r="M13" s="703"/>
      <c r="N13" s="704"/>
      <c r="O13" s="699"/>
    </row>
    <row r="14" spans="1:15" ht="15.75">
      <c r="A14" s="689"/>
      <c r="B14" s="689"/>
      <c r="C14" s="689"/>
      <c r="D14" s="661" t="s">
        <v>301</v>
      </c>
      <c r="E14" s="661" t="s">
        <v>302</v>
      </c>
      <c r="F14" s="661" t="s">
        <v>416</v>
      </c>
      <c r="G14" s="661" t="s">
        <v>301</v>
      </c>
      <c r="H14" s="661" t="s">
        <v>302</v>
      </c>
      <c r="I14" s="661" t="s">
        <v>416</v>
      </c>
      <c r="J14" s="661" t="s">
        <v>301</v>
      </c>
      <c r="K14" s="661" t="s">
        <v>302</v>
      </c>
      <c r="L14" s="661" t="s">
        <v>416</v>
      </c>
      <c r="M14" s="661" t="s">
        <v>298</v>
      </c>
      <c r="N14" s="696" t="s">
        <v>296</v>
      </c>
      <c r="O14" s="698" t="s">
        <v>299</v>
      </c>
    </row>
    <row r="15" spans="1:15" ht="16.5" thickBot="1">
      <c r="A15" s="690"/>
      <c r="B15" s="690"/>
      <c r="C15" s="690"/>
      <c r="D15" s="662"/>
      <c r="E15" s="662"/>
      <c r="F15" s="662"/>
      <c r="G15" s="662"/>
      <c r="H15" s="662"/>
      <c r="I15" s="662"/>
      <c r="J15" s="662"/>
      <c r="K15" s="662"/>
      <c r="L15" s="662"/>
      <c r="M15" s="662"/>
      <c r="N15" s="697"/>
      <c r="O15" s="699"/>
    </row>
    <row r="16" spans="1:16" ht="26.25" customHeight="1">
      <c r="A16" s="674" t="s">
        <v>39</v>
      </c>
      <c r="B16" s="676" t="s">
        <v>303</v>
      </c>
      <c r="C16" s="685"/>
      <c r="D16" s="655">
        <f>12559-9743</f>
        <v>2816</v>
      </c>
      <c r="E16" s="655"/>
      <c r="F16" s="655"/>
      <c r="G16" s="655"/>
      <c r="H16" s="655">
        <v>9743</v>
      </c>
      <c r="I16" s="655"/>
      <c r="J16" s="655">
        <f>D16+G16</f>
        <v>2816</v>
      </c>
      <c r="K16" s="655">
        <f>F16+H16</f>
        <v>9743</v>
      </c>
      <c r="L16" s="655"/>
      <c r="M16" s="682">
        <f>D16+F16</f>
        <v>2816</v>
      </c>
      <c r="N16" s="679">
        <f>G16+H16</f>
        <v>9743</v>
      </c>
      <c r="O16" s="705">
        <f>J16+K16</f>
        <v>12559</v>
      </c>
      <c r="P16" s="263"/>
    </row>
    <row r="17" spans="1:15" ht="26.25" customHeight="1">
      <c r="A17" s="666"/>
      <c r="B17" s="677"/>
      <c r="C17" s="686"/>
      <c r="D17" s="656"/>
      <c r="E17" s="656"/>
      <c r="F17" s="656"/>
      <c r="G17" s="656"/>
      <c r="H17" s="656"/>
      <c r="I17" s="656"/>
      <c r="J17" s="656"/>
      <c r="K17" s="656"/>
      <c r="L17" s="656"/>
      <c r="M17" s="683"/>
      <c r="N17" s="680"/>
      <c r="O17" s="706"/>
    </row>
    <row r="18" spans="1:15" s="267" customFormat="1" ht="26.25" customHeight="1" thickBot="1">
      <c r="A18" s="675"/>
      <c r="B18" s="678"/>
      <c r="C18" s="687"/>
      <c r="D18" s="657"/>
      <c r="E18" s="657"/>
      <c r="F18" s="657"/>
      <c r="G18" s="663"/>
      <c r="H18" s="663"/>
      <c r="I18" s="663"/>
      <c r="J18" s="663"/>
      <c r="K18" s="663"/>
      <c r="L18" s="663"/>
      <c r="M18" s="684"/>
      <c r="N18" s="681"/>
      <c r="O18" s="707"/>
    </row>
    <row r="19" spans="1:15" ht="26.25" customHeight="1" thickTop="1">
      <c r="A19" s="665"/>
      <c r="B19" s="668" t="s">
        <v>300</v>
      </c>
      <c r="C19" s="671"/>
      <c r="D19" s="658">
        <f>D16</f>
        <v>2816</v>
      </c>
      <c r="E19" s="658"/>
      <c r="F19" s="658">
        <f aca="true" t="shared" si="0" ref="F19:O19">F16</f>
        <v>0</v>
      </c>
      <c r="G19" s="658">
        <f t="shared" si="0"/>
        <v>0</v>
      </c>
      <c r="H19" s="658">
        <f>H16</f>
        <v>9743</v>
      </c>
      <c r="I19" s="658">
        <f>I16</f>
        <v>0</v>
      </c>
      <c r="J19" s="658">
        <f t="shared" si="0"/>
        <v>2816</v>
      </c>
      <c r="K19" s="658">
        <f>K16</f>
        <v>9743</v>
      </c>
      <c r="L19" s="658"/>
      <c r="M19" s="658">
        <f t="shared" si="0"/>
        <v>2816</v>
      </c>
      <c r="N19" s="658">
        <f t="shared" si="0"/>
        <v>9743</v>
      </c>
      <c r="O19" s="658">
        <f t="shared" si="0"/>
        <v>12559</v>
      </c>
    </row>
    <row r="20" spans="1:15" ht="26.25" customHeight="1">
      <c r="A20" s="666"/>
      <c r="B20" s="669"/>
      <c r="C20" s="672"/>
      <c r="D20" s="659"/>
      <c r="E20" s="659"/>
      <c r="F20" s="659"/>
      <c r="G20" s="659"/>
      <c r="H20" s="659"/>
      <c r="I20" s="659"/>
      <c r="J20" s="659"/>
      <c r="K20" s="659"/>
      <c r="L20" s="659"/>
      <c r="M20" s="659"/>
      <c r="N20" s="659"/>
      <c r="O20" s="659"/>
    </row>
    <row r="21" spans="1:15" s="267" customFormat="1" ht="26.25" customHeight="1" thickBot="1">
      <c r="A21" s="667"/>
      <c r="B21" s="670"/>
      <c r="C21" s="673"/>
      <c r="D21" s="660"/>
      <c r="E21" s="660"/>
      <c r="F21" s="660"/>
      <c r="G21" s="660"/>
      <c r="H21" s="660"/>
      <c r="I21" s="660"/>
      <c r="J21" s="660"/>
      <c r="K21" s="660"/>
      <c r="L21" s="660"/>
      <c r="M21" s="660"/>
      <c r="N21" s="660"/>
      <c r="O21" s="660"/>
    </row>
    <row r="22" spans="1:15" ht="26.25" customHeight="1" thickTop="1">
      <c r="A22" s="268"/>
      <c r="B22" s="268"/>
      <c r="C22" s="268"/>
      <c r="D22" s="269"/>
      <c r="E22" s="269"/>
      <c r="F22" s="269"/>
      <c r="G22" s="270"/>
      <c r="H22" s="270"/>
      <c r="I22" s="270"/>
      <c r="J22" s="270"/>
      <c r="K22" s="270"/>
      <c r="L22" s="270"/>
      <c r="M22" s="269"/>
      <c r="N22" s="270"/>
      <c r="O22" s="269"/>
    </row>
    <row r="23" spans="1:15" ht="26.25" customHeight="1">
      <c r="A23" s="268"/>
      <c r="B23" s="268"/>
      <c r="C23" s="268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</row>
    <row r="24" spans="1:15" ht="26.25" customHeight="1">
      <c r="A24" s="268"/>
      <c r="B24" s="268"/>
      <c r="C24" s="268"/>
      <c r="D24" s="269"/>
      <c r="E24" s="269"/>
      <c r="F24" s="269"/>
      <c r="G24" s="269"/>
      <c r="H24" s="269"/>
      <c r="I24" s="269"/>
      <c r="J24" s="270"/>
      <c r="K24" s="270"/>
      <c r="L24" s="270"/>
      <c r="M24" s="269"/>
      <c r="N24" s="269"/>
      <c r="O24" s="269"/>
    </row>
    <row r="25" spans="1:15" ht="26.25" customHeight="1">
      <c r="A25" s="268"/>
      <c r="B25" s="268"/>
      <c r="C25" s="268"/>
      <c r="D25" s="269"/>
      <c r="E25" s="269"/>
      <c r="F25" s="269"/>
      <c r="G25" s="270"/>
      <c r="H25" s="270"/>
      <c r="I25" s="270"/>
      <c r="J25" s="269"/>
      <c r="K25" s="269"/>
      <c r="L25" s="269"/>
      <c r="M25" s="269"/>
      <c r="N25" s="269"/>
      <c r="O25" s="269"/>
    </row>
    <row r="26" spans="1:15" ht="26.25" customHeight="1">
      <c r="A26" s="268"/>
      <c r="B26" s="268"/>
      <c r="C26" s="268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  <row r="30" spans="7:9" ht="15.75">
      <c r="G30" s="263"/>
      <c r="H30" s="263"/>
      <c r="I30" s="263"/>
    </row>
  </sheetData>
  <sheetProtection/>
  <mergeCells count="54">
    <mergeCell ref="N14:N15"/>
    <mergeCell ref="O14:O15"/>
    <mergeCell ref="M12:O13"/>
    <mergeCell ref="M14:M15"/>
    <mergeCell ref="K16:K18"/>
    <mergeCell ref="O16:O18"/>
    <mergeCell ref="C12:C15"/>
    <mergeCell ref="D12:F13"/>
    <mergeCell ref="G12:I13"/>
    <mergeCell ref="J12:L13"/>
    <mergeCell ref="H14:H15"/>
    <mergeCell ref="J14:J15"/>
    <mergeCell ref="K14:K15"/>
    <mergeCell ref="G14:G15"/>
    <mergeCell ref="F14:F15"/>
    <mergeCell ref="C16:C18"/>
    <mergeCell ref="D16:D18"/>
    <mergeCell ref="A3:O3"/>
    <mergeCell ref="A6:O6"/>
    <mergeCell ref="A7:O7"/>
    <mergeCell ref="A8:O8"/>
    <mergeCell ref="A12:A15"/>
    <mergeCell ref="B12:B15"/>
    <mergeCell ref="D14:D15"/>
    <mergeCell ref="E14:E15"/>
    <mergeCell ref="B16:B18"/>
    <mergeCell ref="J19:J21"/>
    <mergeCell ref="J16:J18"/>
    <mergeCell ref="N19:N21"/>
    <mergeCell ref="N16:N18"/>
    <mergeCell ref="H19:H21"/>
    <mergeCell ref="H16:H18"/>
    <mergeCell ref="M16:M18"/>
    <mergeCell ref="K19:K21"/>
    <mergeCell ref="M19:M21"/>
    <mergeCell ref="A2:O2"/>
    <mergeCell ref="O19:O21"/>
    <mergeCell ref="G16:G18"/>
    <mergeCell ref="A19:A21"/>
    <mergeCell ref="B19:B21"/>
    <mergeCell ref="C19:C21"/>
    <mergeCell ref="D19:D21"/>
    <mergeCell ref="F19:F21"/>
    <mergeCell ref="F16:F18"/>
    <mergeCell ref="A16:A18"/>
    <mergeCell ref="E16:E18"/>
    <mergeCell ref="E19:E21"/>
    <mergeCell ref="I14:I15"/>
    <mergeCell ref="I16:I18"/>
    <mergeCell ref="I19:I21"/>
    <mergeCell ref="L14:L15"/>
    <mergeCell ref="L16:L18"/>
    <mergeCell ref="L19:L21"/>
    <mergeCell ref="G19:G21"/>
  </mergeCells>
  <printOptions horizontalCentered="1"/>
  <pageMargins left="0" right="0" top="0" bottom="0.15748031496062992" header="0.31496062992125984" footer="0.31496062992125984"/>
  <pageSetup fitToHeight="1" fitToWidth="1"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M95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9.125" style="1" customWidth="1"/>
    <col min="3" max="3" width="17.625" style="1" customWidth="1"/>
    <col min="4" max="4" width="22.875" style="1" customWidth="1"/>
    <col min="5" max="6" width="10.375" style="1" customWidth="1"/>
    <col min="7" max="7" width="20.875" style="1" customWidth="1"/>
    <col min="8" max="12" width="10.375" style="1" customWidth="1"/>
    <col min="13" max="13" width="10.875" style="1" customWidth="1"/>
    <col min="14" max="16384" width="9.125" style="1" customWidth="1"/>
  </cols>
  <sheetData>
    <row r="1" spans="1:13" ht="19.5" customHeight="1">
      <c r="A1" s="545" t="s">
        <v>512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ht="12.75">
      <c r="A2" s="502"/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</row>
    <row r="4" spans="1:13" ht="20.25" customHeight="1">
      <c r="A4" s="738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</row>
    <row r="5" spans="1:13" s="56" customFormat="1" ht="15.75">
      <c r="A5" s="501" t="s">
        <v>36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</row>
    <row r="6" spans="1:13" s="56" customFormat="1" ht="15.75">
      <c r="A6" s="501" t="s">
        <v>304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</row>
    <row r="7" spans="1:13" s="56" customFormat="1" ht="15.75">
      <c r="A7" s="501" t="s">
        <v>480</v>
      </c>
      <c r="B7" s="501"/>
      <c r="C7" s="501"/>
      <c r="D7" s="501"/>
      <c r="E7" s="501"/>
      <c r="F7" s="501"/>
      <c r="G7" s="501"/>
      <c r="H7" s="501"/>
      <c r="I7" s="501"/>
      <c r="J7" s="501"/>
      <c r="K7" s="501"/>
      <c r="L7" s="501"/>
      <c r="M7" s="501"/>
    </row>
    <row r="8" spans="1:13" ht="12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</row>
    <row r="9" spans="1:13" s="56" customFormat="1" ht="15.75">
      <c r="A9" s="272" t="s">
        <v>305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</row>
    <row r="10" spans="1:13" ht="12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</row>
    <row r="11" spans="1:13" ht="15.75">
      <c r="A11" s="273" t="s">
        <v>415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ht="12" customHeight="1" thickBo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</row>
    <row r="13" spans="1:13" ht="16.5" thickBot="1">
      <c r="A13" s="717" t="s">
        <v>306</v>
      </c>
      <c r="B13" s="718"/>
      <c r="C13" s="718"/>
      <c r="D13" s="792" t="s">
        <v>307</v>
      </c>
      <c r="E13" s="793"/>
      <c r="F13" s="794"/>
      <c r="G13" s="792" t="s">
        <v>308</v>
      </c>
      <c r="H13" s="793"/>
      <c r="I13" s="794"/>
      <c r="J13" s="792" t="s">
        <v>309</v>
      </c>
      <c r="K13" s="793"/>
      <c r="L13" s="794"/>
      <c r="M13" s="723" t="s">
        <v>310</v>
      </c>
    </row>
    <row r="14" spans="1:13" ht="15.75">
      <c r="A14" s="719"/>
      <c r="B14" s="720"/>
      <c r="C14" s="720"/>
      <c r="D14" s="274" t="s">
        <v>311</v>
      </c>
      <c r="E14" s="275" t="s">
        <v>312</v>
      </c>
      <c r="F14" s="276" t="s">
        <v>313</v>
      </c>
      <c r="G14" s="275" t="s">
        <v>314</v>
      </c>
      <c r="H14" s="275" t="s">
        <v>312</v>
      </c>
      <c r="I14" s="276" t="s">
        <v>315</v>
      </c>
      <c r="J14" s="275" t="s">
        <v>314</v>
      </c>
      <c r="K14" s="276" t="s">
        <v>312</v>
      </c>
      <c r="L14" s="275" t="s">
        <v>315</v>
      </c>
      <c r="M14" s="724"/>
    </row>
    <row r="15" spans="1:13" ht="16.5" thickBot="1">
      <c r="A15" s="719"/>
      <c r="B15" s="720"/>
      <c r="C15" s="720"/>
      <c r="D15" s="277" t="s">
        <v>316</v>
      </c>
      <c r="E15" s="278" t="s">
        <v>317</v>
      </c>
      <c r="F15" s="279" t="s">
        <v>6</v>
      </c>
      <c r="G15" s="280" t="s">
        <v>316</v>
      </c>
      <c r="H15" s="278" t="s">
        <v>317</v>
      </c>
      <c r="I15" s="279" t="s">
        <v>6</v>
      </c>
      <c r="J15" s="280" t="s">
        <v>316</v>
      </c>
      <c r="K15" s="279" t="s">
        <v>317</v>
      </c>
      <c r="L15" s="278" t="s">
        <v>6</v>
      </c>
      <c r="M15" s="725"/>
    </row>
    <row r="16" spans="1:13" ht="7.5" customHeight="1">
      <c r="A16" s="800" t="s">
        <v>318</v>
      </c>
      <c r="B16" s="801"/>
      <c r="C16" s="802"/>
      <c r="D16" s="750"/>
      <c r="E16" s="714"/>
      <c r="F16" s="779"/>
      <c r="G16" s="809" t="s">
        <v>319</v>
      </c>
      <c r="H16" s="812"/>
      <c r="I16" s="798">
        <v>2252</v>
      </c>
      <c r="J16" s="714"/>
      <c r="K16" s="714"/>
      <c r="L16" s="714"/>
      <c r="M16" s="739">
        <f>I16</f>
        <v>2252</v>
      </c>
    </row>
    <row r="17" spans="1:13" ht="7.5" customHeight="1">
      <c r="A17" s="803"/>
      <c r="B17" s="804"/>
      <c r="C17" s="805"/>
      <c r="D17" s="789"/>
      <c r="E17" s="735"/>
      <c r="F17" s="759"/>
      <c r="G17" s="810"/>
      <c r="H17" s="813"/>
      <c r="I17" s="735"/>
      <c r="J17" s="735"/>
      <c r="K17" s="735"/>
      <c r="L17" s="735"/>
      <c r="M17" s="735"/>
    </row>
    <row r="18" spans="1:13" ht="15.75" customHeight="1" thickBot="1">
      <c r="A18" s="806"/>
      <c r="B18" s="807"/>
      <c r="C18" s="808"/>
      <c r="D18" s="790"/>
      <c r="E18" s="740"/>
      <c r="F18" s="780"/>
      <c r="G18" s="811"/>
      <c r="H18" s="814"/>
      <c r="I18" s="799"/>
      <c r="J18" s="740"/>
      <c r="K18" s="740"/>
      <c r="L18" s="740"/>
      <c r="M18" s="740"/>
    </row>
    <row r="19" spans="1:13" s="124" customFormat="1" ht="12.75" customHeight="1">
      <c r="A19" s="755" t="s">
        <v>2</v>
      </c>
      <c r="B19" s="770"/>
      <c r="C19" s="756"/>
      <c r="D19" s="773"/>
      <c r="E19" s="773"/>
      <c r="F19" s="777">
        <f>SUM(F16)</f>
        <v>0</v>
      </c>
      <c r="G19" s="773"/>
      <c r="H19" s="773"/>
      <c r="I19" s="773">
        <f>I16</f>
        <v>2252</v>
      </c>
      <c r="J19" s="773"/>
      <c r="K19" s="773"/>
      <c r="L19" s="773"/>
      <c r="M19" s="775">
        <f>M16</f>
        <v>2252</v>
      </c>
    </row>
    <row r="20" spans="1:13" s="124" customFormat="1" ht="13.5" customHeight="1" thickBot="1">
      <c r="A20" s="757"/>
      <c r="B20" s="771"/>
      <c r="C20" s="758"/>
      <c r="D20" s="774"/>
      <c r="E20" s="774"/>
      <c r="F20" s="778"/>
      <c r="G20" s="774"/>
      <c r="H20" s="774"/>
      <c r="I20" s="774"/>
      <c r="J20" s="774"/>
      <c r="K20" s="774"/>
      <c r="L20" s="774"/>
      <c r="M20" s="774"/>
    </row>
    <row r="21" spans="1:13" ht="12" customHeight="1">
      <c r="A21" s="271"/>
      <c r="B21" s="271"/>
      <c r="C21" s="271"/>
      <c r="D21" s="271"/>
      <c r="E21" s="271"/>
      <c r="F21" s="281"/>
      <c r="G21" s="271"/>
      <c r="H21" s="271"/>
      <c r="I21" s="271"/>
      <c r="J21" s="271"/>
      <c r="K21" s="271"/>
      <c r="L21" s="271"/>
      <c r="M21" s="271"/>
    </row>
    <row r="22" spans="1:6" s="273" customFormat="1" ht="12" customHeight="1">
      <c r="A22" s="273" t="s">
        <v>320</v>
      </c>
      <c r="F22" s="282"/>
    </row>
    <row r="23" spans="1:13" ht="17.25" customHeight="1">
      <c r="A23" s="283" t="s">
        <v>321</v>
      </c>
      <c r="B23" s="283"/>
      <c r="C23" s="283"/>
      <c r="D23" s="283"/>
      <c r="E23" s="283"/>
      <c r="F23" s="284"/>
      <c r="G23" s="285" t="s">
        <v>6</v>
      </c>
      <c r="H23" s="271"/>
      <c r="I23" s="271"/>
      <c r="J23" s="271"/>
      <c r="K23" s="271"/>
      <c r="L23" s="271"/>
      <c r="M23" s="271"/>
    </row>
    <row r="24" spans="1:13" ht="17.25" customHeight="1">
      <c r="A24" s="283" t="s">
        <v>322</v>
      </c>
      <c r="B24" s="283"/>
      <c r="C24" s="283"/>
      <c r="D24" s="283"/>
      <c r="E24" s="283"/>
      <c r="F24" s="284"/>
      <c r="G24" s="285" t="s">
        <v>6</v>
      </c>
      <c r="H24" s="271"/>
      <c r="I24" s="271"/>
      <c r="J24" s="271"/>
      <c r="K24" s="271"/>
      <c r="L24" s="271"/>
      <c r="M24" s="271"/>
    </row>
    <row r="25" spans="1:13" ht="15.75" customHeight="1">
      <c r="A25" s="283" t="s">
        <v>323</v>
      </c>
      <c r="B25" s="283"/>
      <c r="C25" s="283"/>
      <c r="D25" s="283"/>
      <c r="E25" s="283"/>
      <c r="F25" s="286">
        <v>15</v>
      </c>
      <c r="G25" s="287" t="s">
        <v>6</v>
      </c>
      <c r="H25" s="271"/>
      <c r="I25" s="271"/>
      <c r="J25" s="271"/>
      <c r="K25" s="271"/>
      <c r="L25" s="271"/>
      <c r="M25" s="271"/>
    </row>
    <row r="26" spans="1:13" ht="17.25" customHeight="1">
      <c r="A26" s="283" t="s">
        <v>324</v>
      </c>
      <c r="B26" s="283"/>
      <c r="C26" s="283"/>
      <c r="D26" s="283"/>
      <c r="E26" s="283"/>
      <c r="F26" s="288">
        <f>SUM(F23:F25)</f>
        <v>15</v>
      </c>
      <c r="G26" s="289" t="s">
        <v>6</v>
      </c>
      <c r="H26" s="271"/>
      <c r="I26" s="271"/>
      <c r="J26" s="271"/>
      <c r="K26" s="271"/>
      <c r="L26" s="271"/>
      <c r="M26" s="271"/>
    </row>
    <row r="27" spans="1:13" ht="13.5" customHeight="1">
      <c r="A27" s="283"/>
      <c r="B27" s="283"/>
      <c r="C27" s="283"/>
      <c r="D27" s="283"/>
      <c r="E27" s="283"/>
      <c r="F27" s="288"/>
      <c r="G27" s="289"/>
      <c r="H27" s="271"/>
      <c r="I27" s="271"/>
      <c r="J27" s="271"/>
      <c r="K27" s="271"/>
      <c r="L27" s="271"/>
      <c r="M27" s="271"/>
    </row>
    <row r="28" spans="1:13" ht="15.75">
      <c r="A28" s="273" t="s">
        <v>325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spans="1:13" ht="13.5" customHeight="1">
      <c r="A29" s="283"/>
      <c r="B29" s="283"/>
      <c r="C29" s="283"/>
      <c r="D29" s="283"/>
      <c r="E29" s="283"/>
      <c r="F29" s="288"/>
      <c r="G29" s="289"/>
      <c r="H29" s="271"/>
      <c r="I29" s="271"/>
      <c r="J29" s="271"/>
      <c r="K29" s="271"/>
      <c r="L29" s="271"/>
      <c r="M29" s="271"/>
    </row>
    <row r="30" spans="1:13" ht="13.5" customHeight="1" thickBot="1">
      <c r="A30" s="283"/>
      <c r="B30" s="283"/>
      <c r="C30" s="283"/>
      <c r="D30" s="283"/>
      <c r="E30" s="283"/>
      <c r="F30" s="288"/>
      <c r="G30" s="289"/>
      <c r="H30" s="271"/>
      <c r="I30" s="271"/>
      <c r="J30" s="271"/>
      <c r="K30" s="271"/>
      <c r="L30" s="271"/>
      <c r="M30" s="271"/>
    </row>
    <row r="31" spans="1:13" ht="16.5" thickBot="1">
      <c r="A31" s="717" t="s">
        <v>306</v>
      </c>
      <c r="B31" s="718"/>
      <c r="C31" s="718"/>
      <c r="D31" s="792" t="s">
        <v>307</v>
      </c>
      <c r="E31" s="793"/>
      <c r="F31" s="794"/>
      <c r="G31" s="792" t="s">
        <v>308</v>
      </c>
      <c r="H31" s="793"/>
      <c r="I31" s="794"/>
      <c r="J31" s="792" t="s">
        <v>309</v>
      </c>
      <c r="K31" s="793"/>
      <c r="L31" s="794"/>
      <c r="M31" s="723" t="s">
        <v>310</v>
      </c>
    </row>
    <row r="32" spans="1:13" ht="15.75">
      <c r="A32" s="719"/>
      <c r="B32" s="720"/>
      <c r="C32" s="720"/>
      <c r="D32" s="274" t="s">
        <v>311</v>
      </c>
      <c r="E32" s="275" t="s">
        <v>312</v>
      </c>
      <c r="F32" s="276" t="s">
        <v>313</v>
      </c>
      <c r="G32" s="275" t="s">
        <v>314</v>
      </c>
      <c r="H32" s="275" t="s">
        <v>312</v>
      </c>
      <c r="I32" s="276" t="s">
        <v>315</v>
      </c>
      <c r="J32" s="275" t="s">
        <v>314</v>
      </c>
      <c r="K32" s="276" t="s">
        <v>312</v>
      </c>
      <c r="L32" s="275" t="s">
        <v>315</v>
      </c>
      <c r="M32" s="724"/>
    </row>
    <row r="33" spans="1:13" ht="16.5" thickBot="1">
      <c r="A33" s="719"/>
      <c r="B33" s="720"/>
      <c r="C33" s="720"/>
      <c r="D33" s="277" t="s">
        <v>316</v>
      </c>
      <c r="E33" s="278" t="s">
        <v>317</v>
      </c>
      <c r="F33" s="279" t="s">
        <v>6</v>
      </c>
      <c r="G33" s="280" t="s">
        <v>316</v>
      </c>
      <c r="H33" s="278" t="s">
        <v>317</v>
      </c>
      <c r="I33" s="279" t="s">
        <v>6</v>
      </c>
      <c r="J33" s="280" t="s">
        <v>316</v>
      </c>
      <c r="K33" s="279" t="s">
        <v>317</v>
      </c>
      <c r="L33" s="278" t="s">
        <v>6</v>
      </c>
      <c r="M33" s="725"/>
    </row>
    <row r="34" spans="1:13" ht="7.5" customHeight="1">
      <c r="A34" s="795" t="s">
        <v>326</v>
      </c>
      <c r="B34" s="796"/>
      <c r="C34" s="797"/>
      <c r="D34" s="750" t="s">
        <v>327</v>
      </c>
      <c r="E34" s="714"/>
      <c r="F34" s="779">
        <v>26</v>
      </c>
      <c r="G34" s="753"/>
      <c r="H34" s="753"/>
      <c r="I34" s="753"/>
      <c r="J34" s="714"/>
      <c r="K34" s="714"/>
      <c r="L34" s="714"/>
      <c r="M34" s="739">
        <f>L34+I34+F34</f>
        <v>26</v>
      </c>
    </row>
    <row r="35" spans="1:13" ht="7.5" customHeight="1">
      <c r="A35" s="783"/>
      <c r="B35" s="784"/>
      <c r="C35" s="785"/>
      <c r="D35" s="789"/>
      <c r="E35" s="735"/>
      <c r="F35" s="759"/>
      <c r="G35" s="753"/>
      <c r="H35" s="753"/>
      <c r="I35" s="753"/>
      <c r="J35" s="735"/>
      <c r="K35" s="735"/>
      <c r="L35" s="735"/>
      <c r="M35" s="735"/>
    </row>
    <row r="36" spans="1:13" ht="7.5" customHeight="1">
      <c r="A36" s="786"/>
      <c r="B36" s="787"/>
      <c r="C36" s="788"/>
      <c r="D36" s="790"/>
      <c r="E36" s="740"/>
      <c r="F36" s="780"/>
      <c r="G36" s="753"/>
      <c r="H36" s="753"/>
      <c r="I36" s="753"/>
      <c r="J36" s="740"/>
      <c r="K36" s="740"/>
      <c r="L36" s="740"/>
      <c r="M36" s="740"/>
    </row>
    <row r="37" spans="1:13" ht="7.5" customHeight="1">
      <c r="A37" s="741" t="s">
        <v>389</v>
      </c>
      <c r="B37" s="742"/>
      <c r="C37" s="743"/>
      <c r="D37" s="750" t="s">
        <v>390</v>
      </c>
      <c r="E37" s="714"/>
      <c r="F37" s="779">
        <v>62</v>
      </c>
      <c r="G37" s="714"/>
      <c r="H37" s="714"/>
      <c r="I37" s="714"/>
      <c r="J37" s="714"/>
      <c r="K37" s="714"/>
      <c r="L37" s="714"/>
      <c r="M37" s="739">
        <f>L37+I37+F37</f>
        <v>62</v>
      </c>
    </row>
    <row r="38" spans="1:13" ht="7.5" customHeight="1">
      <c r="A38" s="744"/>
      <c r="B38" s="745"/>
      <c r="C38" s="746"/>
      <c r="D38" s="751"/>
      <c r="E38" s="715"/>
      <c r="F38" s="715"/>
      <c r="G38" s="715"/>
      <c r="H38" s="715"/>
      <c r="I38" s="715"/>
      <c r="J38" s="715"/>
      <c r="K38" s="715"/>
      <c r="L38" s="715"/>
      <c r="M38" s="735"/>
    </row>
    <row r="39" spans="1:13" ht="7.5" customHeight="1">
      <c r="A39" s="747"/>
      <c r="B39" s="748"/>
      <c r="C39" s="749"/>
      <c r="D39" s="752"/>
      <c r="E39" s="716"/>
      <c r="F39" s="716"/>
      <c r="G39" s="716"/>
      <c r="H39" s="716"/>
      <c r="I39" s="716"/>
      <c r="J39" s="716"/>
      <c r="K39" s="716"/>
      <c r="L39" s="716"/>
      <c r="M39" s="740"/>
    </row>
    <row r="40" spans="1:13" ht="19.5" customHeight="1">
      <c r="A40" s="708" t="s">
        <v>328</v>
      </c>
      <c r="B40" s="709"/>
      <c r="C40" s="710"/>
      <c r="D40" s="424"/>
      <c r="E40" s="425"/>
      <c r="F40" s="425"/>
      <c r="G40" s="426" t="s">
        <v>427</v>
      </c>
      <c r="H40" s="425"/>
      <c r="I40" s="425">
        <v>14</v>
      </c>
      <c r="J40" s="425"/>
      <c r="K40" s="425"/>
      <c r="L40" s="425"/>
      <c r="M40" s="422">
        <f>I40</f>
        <v>14</v>
      </c>
    </row>
    <row r="41" spans="1:13" ht="24.75" customHeight="1">
      <c r="A41" s="711" t="s">
        <v>328</v>
      </c>
      <c r="B41" s="712"/>
      <c r="C41" s="713"/>
      <c r="D41" s="424"/>
      <c r="E41" s="425"/>
      <c r="F41" s="425"/>
      <c r="G41" s="427" t="s">
        <v>329</v>
      </c>
      <c r="H41" s="425"/>
      <c r="I41" s="425">
        <v>299</v>
      </c>
      <c r="J41" s="425"/>
      <c r="K41" s="425"/>
      <c r="L41" s="425"/>
      <c r="M41" s="422">
        <f>I41</f>
        <v>299</v>
      </c>
    </row>
    <row r="42" spans="1:13" ht="7.5" customHeight="1">
      <c r="A42" s="741" t="s">
        <v>328</v>
      </c>
      <c r="B42" s="781"/>
      <c r="C42" s="782"/>
      <c r="D42" s="750"/>
      <c r="E42" s="714"/>
      <c r="F42" s="779"/>
      <c r="G42" s="776" t="s">
        <v>428</v>
      </c>
      <c r="H42" s="753"/>
      <c r="I42" s="791"/>
      <c r="J42" s="714"/>
      <c r="K42" s="714"/>
      <c r="L42" s="714"/>
      <c r="M42" s="739">
        <f>L42+I42+F42</f>
        <v>0</v>
      </c>
    </row>
    <row r="43" spans="1:13" ht="7.5" customHeight="1">
      <c r="A43" s="783"/>
      <c r="B43" s="784"/>
      <c r="C43" s="785"/>
      <c r="D43" s="789"/>
      <c r="E43" s="735"/>
      <c r="F43" s="759"/>
      <c r="G43" s="776"/>
      <c r="H43" s="753"/>
      <c r="I43" s="791"/>
      <c r="J43" s="735"/>
      <c r="K43" s="735"/>
      <c r="L43" s="735"/>
      <c r="M43" s="735"/>
    </row>
    <row r="44" spans="1:13" ht="7.5" customHeight="1" thickBot="1">
      <c r="A44" s="786"/>
      <c r="B44" s="787"/>
      <c r="C44" s="788"/>
      <c r="D44" s="790"/>
      <c r="E44" s="740"/>
      <c r="F44" s="780"/>
      <c r="G44" s="776"/>
      <c r="H44" s="753"/>
      <c r="I44" s="791"/>
      <c r="J44" s="740"/>
      <c r="K44" s="740"/>
      <c r="L44" s="740"/>
      <c r="M44" s="740"/>
    </row>
    <row r="45" spans="1:13" s="124" customFormat="1" ht="12.75" customHeight="1">
      <c r="A45" s="755" t="s">
        <v>2</v>
      </c>
      <c r="B45" s="770"/>
      <c r="C45" s="756"/>
      <c r="D45" s="773"/>
      <c r="E45" s="773"/>
      <c r="F45" s="777">
        <f>SUM(F34:F44)</f>
        <v>88</v>
      </c>
      <c r="G45" s="773"/>
      <c r="H45" s="773"/>
      <c r="I45" s="775">
        <f>SUM(I34:I44)</f>
        <v>313</v>
      </c>
      <c r="J45" s="773"/>
      <c r="K45" s="773"/>
      <c r="L45" s="773"/>
      <c r="M45" s="775">
        <f>SUM(M34:M44)</f>
        <v>401</v>
      </c>
    </row>
    <row r="46" spans="1:13" s="124" customFormat="1" ht="13.5" customHeight="1" thickBot="1">
      <c r="A46" s="757"/>
      <c r="B46" s="771"/>
      <c r="C46" s="758"/>
      <c r="D46" s="774"/>
      <c r="E46" s="774"/>
      <c r="F46" s="778"/>
      <c r="G46" s="774"/>
      <c r="H46" s="774"/>
      <c r="I46" s="774"/>
      <c r="J46" s="774"/>
      <c r="K46" s="774"/>
      <c r="L46" s="774"/>
      <c r="M46" s="774"/>
    </row>
    <row r="47" spans="1:13" ht="13.5" customHeight="1">
      <c r="A47" s="283"/>
      <c r="B47" s="283"/>
      <c r="C47" s="283"/>
      <c r="D47" s="283"/>
      <c r="E47" s="283"/>
      <c r="F47" s="288"/>
      <c r="G47" s="289"/>
      <c r="H47" s="271"/>
      <c r="I47" s="271"/>
      <c r="J47" s="271"/>
      <c r="K47" s="271"/>
      <c r="L47" s="271"/>
      <c r="M47" s="271"/>
    </row>
    <row r="48" spans="1:13" ht="13.5" customHeight="1">
      <c r="A48" s="283"/>
      <c r="B48" s="283"/>
      <c r="C48" s="283"/>
      <c r="D48" s="283"/>
      <c r="E48" s="283"/>
      <c r="F48" s="288"/>
      <c r="G48" s="289"/>
      <c r="H48" s="271"/>
      <c r="I48" s="271"/>
      <c r="J48" s="271"/>
      <c r="K48" s="271"/>
      <c r="L48" s="271"/>
      <c r="M48" s="271"/>
    </row>
    <row r="49" spans="1:13" ht="13.5" customHeight="1">
      <c r="A49" s="283"/>
      <c r="B49" s="283"/>
      <c r="C49" s="283"/>
      <c r="D49" s="283"/>
      <c r="E49" s="283"/>
      <c r="F49" s="288"/>
      <c r="G49" s="289"/>
      <c r="H49" s="271"/>
      <c r="I49" s="271"/>
      <c r="J49" s="271"/>
      <c r="K49" s="271"/>
      <c r="L49" s="271"/>
      <c r="M49" s="271"/>
    </row>
    <row r="50" spans="1:13" ht="13.5" customHeight="1">
      <c r="A50" s="283"/>
      <c r="B50" s="283"/>
      <c r="C50" s="283"/>
      <c r="D50" s="283"/>
      <c r="E50" s="283"/>
      <c r="F50" s="288"/>
      <c r="G50" s="289"/>
      <c r="H50" s="271"/>
      <c r="I50" s="271"/>
      <c r="J50" s="271"/>
      <c r="K50" s="271"/>
      <c r="L50" s="271"/>
      <c r="M50" s="271"/>
    </row>
    <row r="51" spans="1:13" ht="13.5" customHeight="1">
      <c r="A51" s="283"/>
      <c r="B51" s="283"/>
      <c r="C51" s="283"/>
      <c r="D51" s="283"/>
      <c r="E51" s="283"/>
      <c r="F51" s="288"/>
      <c r="G51" s="289"/>
      <c r="H51" s="271"/>
      <c r="I51" s="271"/>
      <c r="J51" s="271"/>
      <c r="K51" s="271"/>
      <c r="L51" s="271"/>
      <c r="M51" s="271"/>
    </row>
    <row r="52" spans="1:13" ht="13.5" customHeight="1">
      <c r="A52" s="283"/>
      <c r="B52" s="283"/>
      <c r="C52" s="283"/>
      <c r="D52" s="283"/>
      <c r="E52" s="283"/>
      <c r="F52" s="288"/>
      <c r="G52" s="289"/>
      <c r="H52" s="271"/>
      <c r="I52" s="271"/>
      <c r="J52" s="271"/>
      <c r="K52" s="271"/>
      <c r="L52" s="271"/>
      <c r="M52" s="271"/>
    </row>
    <row r="53" spans="1:13" ht="13.5" customHeight="1">
      <c r="A53" s="283"/>
      <c r="B53" s="283"/>
      <c r="C53" s="283"/>
      <c r="D53" s="283"/>
      <c r="E53" s="283"/>
      <c r="F53" s="288"/>
      <c r="G53" s="289"/>
      <c r="H53" s="271"/>
      <c r="I53" s="271"/>
      <c r="J53" s="271"/>
      <c r="K53" s="271"/>
      <c r="L53" s="271"/>
      <c r="M53" s="271"/>
    </row>
    <row r="54" spans="1:13" ht="13.5" customHeight="1">
      <c r="A54" s="283"/>
      <c r="B54" s="283"/>
      <c r="C54" s="283"/>
      <c r="D54" s="283"/>
      <c r="E54" s="283"/>
      <c r="F54" s="288"/>
      <c r="G54" s="289"/>
      <c r="H54" s="271"/>
      <c r="I54" s="271"/>
      <c r="J54" s="271"/>
      <c r="K54" s="271"/>
      <c r="L54" s="271"/>
      <c r="M54" s="271"/>
    </row>
    <row r="55" spans="1:13" ht="13.5" customHeight="1">
      <c r="A55" s="283"/>
      <c r="B55" s="283"/>
      <c r="C55" s="283"/>
      <c r="D55" s="283"/>
      <c r="E55" s="283"/>
      <c r="F55" s="288"/>
      <c r="G55" s="289"/>
      <c r="H55" s="271"/>
      <c r="I55" s="271"/>
      <c r="J55" s="271"/>
      <c r="K55" s="271"/>
      <c r="L55" s="271"/>
      <c r="M55" s="271"/>
    </row>
    <row r="56" spans="1:13" ht="13.5" customHeight="1">
      <c r="A56" s="283"/>
      <c r="B56" s="283"/>
      <c r="C56" s="283"/>
      <c r="D56" s="283"/>
      <c r="E56" s="283"/>
      <c r="F56" s="288"/>
      <c r="G56" s="289"/>
      <c r="H56" s="271"/>
      <c r="I56" s="271"/>
      <c r="J56" s="271"/>
      <c r="K56" s="271"/>
      <c r="L56" s="271"/>
      <c r="M56" s="271"/>
    </row>
    <row r="57" spans="1:13" ht="13.5" customHeight="1">
      <c r="A57" s="283"/>
      <c r="B57" s="283"/>
      <c r="C57" s="283"/>
      <c r="D57" s="283"/>
      <c r="E57" s="283"/>
      <c r="F57" s="288"/>
      <c r="G57" s="289"/>
      <c r="H57" s="271"/>
      <c r="I57" s="271"/>
      <c r="J57" s="271"/>
      <c r="K57" s="271"/>
      <c r="L57" s="271"/>
      <c r="M57" s="271"/>
    </row>
    <row r="58" spans="1:13" ht="13.5" customHeight="1">
      <c r="A58" s="283"/>
      <c r="B58" s="283"/>
      <c r="C58" s="283"/>
      <c r="D58" s="283"/>
      <c r="E58" s="283"/>
      <c r="F58" s="288"/>
      <c r="G58" s="289"/>
      <c r="H58" s="271"/>
      <c r="I58" s="271"/>
      <c r="J58" s="271"/>
      <c r="K58" s="271"/>
      <c r="L58" s="271"/>
      <c r="M58" s="271"/>
    </row>
    <row r="59" spans="1:13" ht="15.75">
      <c r="A59" s="7" t="s">
        <v>330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2" customHeight="1">
      <c r="A60" s="271"/>
      <c r="B60" s="271"/>
      <c r="C60" s="271"/>
      <c r="D60" s="271"/>
      <c r="E60" s="271"/>
      <c r="F60" s="271"/>
      <c r="G60" s="271"/>
      <c r="H60" s="271"/>
      <c r="I60" s="271"/>
      <c r="J60" s="271"/>
      <c r="K60" s="271"/>
      <c r="L60" s="271"/>
      <c r="M60" s="271"/>
    </row>
    <row r="61" spans="1:13" ht="15.75">
      <c r="A61" s="7" t="s">
        <v>331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2" customHeight="1" thickBo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</row>
    <row r="63" spans="1:11" ht="12.75" customHeight="1">
      <c r="A63" s="717" t="s">
        <v>306</v>
      </c>
      <c r="B63" s="718"/>
      <c r="C63" s="718"/>
      <c r="D63" s="717" t="s">
        <v>332</v>
      </c>
      <c r="E63" s="723"/>
      <c r="F63" s="717" t="s">
        <v>333</v>
      </c>
      <c r="G63" s="723"/>
      <c r="H63" s="717" t="s">
        <v>334</v>
      </c>
      <c r="I63" s="723"/>
      <c r="J63" s="717" t="s">
        <v>335</v>
      </c>
      <c r="K63" s="723"/>
    </row>
    <row r="64" spans="1:11" ht="12.75" customHeight="1">
      <c r="A64" s="719"/>
      <c r="B64" s="720"/>
      <c r="C64" s="720"/>
      <c r="D64" s="719"/>
      <c r="E64" s="724"/>
      <c r="F64" s="719"/>
      <c r="G64" s="724"/>
      <c r="H64" s="719"/>
      <c r="I64" s="724"/>
      <c r="J64" s="719"/>
      <c r="K64" s="724"/>
    </row>
    <row r="65" spans="1:11" ht="13.5" customHeight="1" thickBot="1">
      <c r="A65" s="721"/>
      <c r="B65" s="722"/>
      <c r="C65" s="722"/>
      <c r="D65" s="721"/>
      <c r="E65" s="725"/>
      <c r="F65" s="721"/>
      <c r="G65" s="725"/>
      <c r="H65" s="721"/>
      <c r="I65" s="725"/>
      <c r="J65" s="721"/>
      <c r="K65" s="725"/>
    </row>
    <row r="66" spans="1:12" s="56" customFormat="1" ht="25.5" customHeight="1" thickBot="1">
      <c r="A66" s="735" t="s">
        <v>336</v>
      </c>
      <c r="B66" s="735"/>
      <c r="C66" s="735"/>
      <c r="D66" s="735" t="s">
        <v>337</v>
      </c>
      <c r="E66" s="735"/>
      <c r="F66" s="736" t="s">
        <v>337</v>
      </c>
      <c r="G66" s="737"/>
      <c r="H66" s="736" t="s">
        <v>337</v>
      </c>
      <c r="I66" s="737"/>
      <c r="J66" s="735" t="s">
        <v>337</v>
      </c>
      <c r="K66" s="735"/>
      <c r="L66" s="290"/>
    </row>
    <row r="67" spans="1:13" s="124" customFormat="1" ht="12.75" customHeight="1">
      <c r="A67" s="755" t="s">
        <v>2</v>
      </c>
      <c r="B67" s="770"/>
      <c r="C67" s="756"/>
      <c r="D67" s="755"/>
      <c r="E67" s="756"/>
      <c r="F67" s="755"/>
      <c r="G67" s="756"/>
      <c r="H67" s="755"/>
      <c r="I67" s="756"/>
      <c r="J67" s="755" t="s">
        <v>337</v>
      </c>
      <c r="K67" s="756"/>
      <c r="L67" s="772"/>
      <c r="M67" s="772"/>
    </row>
    <row r="68" spans="1:13" s="124" customFormat="1" ht="13.5" customHeight="1" thickBot="1">
      <c r="A68" s="757"/>
      <c r="B68" s="771"/>
      <c r="C68" s="758"/>
      <c r="D68" s="757"/>
      <c r="E68" s="758"/>
      <c r="F68" s="757"/>
      <c r="G68" s="758"/>
      <c r="H68" s="757"/>
      <c r="I68" s="758"/>
      <c r="J68" s="757"/>
      <c r="K68" s="758"/>
      <c r="L68" s="772"/>
      <c r="M68" s="772"/>
    </row>
    <row r="70" spans="1:13" ht="15.75">
      <c r="A70" s="7" t="s">
        <v>338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ht="13.5" thickBot="1"/>
    <row r="72" spans="1:11" ht="12.75" customHeight="1">
      <c r="A72" s="717" t="s">
        <v>306</v>
      </c>
      <c r="B72" s="718"/>
      <c r="C72" s="718"/>
      <c r="D72" s="717" t="s">
        <v>332</v>
      </c>
      <c r="E72" s="723"/>
      <c r="F72" s="717" t="s">
        <v>339</v>
      </c>
      <c r="G72" s="723"/>
      <c r="H72" s="717" t="s">
        <v>334</v>
      </c>
      <c r="I72" s="723"/>
      <c r="J72" s="717" t="s">
        <v>335</v>
      </c>
      <c r="K72" s="723"/>
    </row>
    <row r="73" spans="1:11" ht="12.75" customHeight="1">
      <c r="A73" s="719"/>
      <c r="B73" s="720"/>
      <c r="C73" s="720"/>
      <c r="D73" s="719"/>
      <c r="E73" s="724"/>
      <c r="F73" s="719"/>
      <c r="G73" s="724"/>
      <c r="H73" s="719"/>
      <c r="I73" s="724"/>
      <c r="J73" s="719"/>
      <c r="K73" s="724"/>
    </row>
    <row r="74" spans="1:11" ht="13.5" customHeight="1" thickBot="1">
      <c r="A74" s="721"/>
      <c r="B74" s="722"/>
      <c r="C74" s="722"/>
      <c r="D74" s="721"/>
      <c r="E74" s="725"/>
      <c r="F74" s="721"/>
      <c r="G74" s="725"/>
      <c r="H74" s="721"/>
      <c r="I74" s="725"/>
      <c r="J74" s="721"/>
      <c r="K74" s="725"/>
    </row>
    <row r="75" spans="1:12" s="56" customFormat="1" ht="25.5" customHeight="1" thickBot="1">
      <c r="A75" s="735" t="s">
        <v>340</v>
      </c>
      <c r="B75" s="735"/>
      <c r="C75" s="735"/>
      <c r="D75" s="735" t="s">
        <v>341</v>
      </c>
      <c r="E75" s="735"/>
      <c r="F75" s="768" t="s">
        <v>337</v>
      </c>
      <c r="G75" s="769"/>
      <c r="H75" s="768"/>
      <c r="I75" s="769"/>
      <c r="J75" s="759"/>
      <c r="K75" s="759"/>
      <c r="L75" s="290"/>
    </row>
    <row r="76" spans="1:13" ht="12.75" customHeight="1">
      <c r="A76" s="726" t="s">
        <v>2</v>
      </c>
      <c r="B76" s="727"/>
      <c r="C76" s="728"/>
      <c r="D76" s="732"/>
      <c r="E76" s="733"/>
      <c r="F76" s="760">
        <f>SUM(F75)</f>
        <v>0</v>
      </c>
      <c r="G76" s="761"/>
      <c r="H76" s="764">
        <f>SUM(H75)</f>
        <v>0</v>
      </c>
      <c r="I76" s="765"/>
      <c r="J76" s="764">
        <f>SUM(J75)</f>
        <v>0</v>
      </c>
      <c r="K76" s="765"/>
      <c r="L76" s="754"/>
      <c r="M76" s="754"/>
    </row>
    <row r="77" spans="1:13" ht="13.5" customHeight="1" thickBot="1">
      <c r="A77" s="729"/>
      <c r="B77" s="730"/>
      <c r="C77" s="731"/>
      <c r="D77" s="734"/>
      <c r="E77" s="695"/>
      <c r="F77" s="762"/>
      <c r="G77" s="763"/>
      <c r="H77" s="766"/>
      <c r="I77" s="767"/>
      <c r="J77" s="766"/>
      <c r="K77" s="767"/>
      <c r="L77" s="754"/>
      <c r="M77" s="754"/>
    </row>
    <row r="79" spans="1:13" ht="15.75">
      <c r="A79" s="7" t="s">
        <v>342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ht="13.5" thickBot="1"/>
    <row r="81" spans="1:11" ht="12.75" customHeight="1">
      <c r="A81" s="717" t="s">
        <v>306</v>
      </c>
      <c r="B81" s="718"/>
      <c r="C81" s="718"/>
      <c r="D81" s="717" t="s">
        <v>332</v>
      </c>
      <c r="E81" s="723"/>
      <c r="F81" s="717" t="s">
        <v>333</v>
      </c>
      <c r="G81" s="723"/>
      <c r="H81" s="717" t="s">
        <v>334</v>
      </c>
      <c r="I81" s="723"/>
      <c r="J81" s="717" t="s">
        <v>335</v>
      </c>
      <c r="K81" s="723"/>
    </row>
    <row r="82" spans="1:11" ht="12.75" customHeight="1">
      <c r="A82" s="719"/>
      <c r="B82" s="720"/>
      <c r="C82" s="720"/>
      <c r="D82" s="719"/>
      <c r="E82" s="724"/>
      <c r="F82" s="719"/>
      <c r="G82" s="724"/>
      <c r="H82" s="719"/>
      <c r="I82" s="724"/>
      <c r="J82" s="719"/>
      <c r="K82" s="724"/>
    </row>
    <row r="83" spans="1:11" ht="13.5" customHeight="1" thickBot="1">
      <c r="A83" s="721"/>
      <c r="B83" s="722"/>
      <c r="C83" s="722"/>
      <c r="D83" s="721"/>
      <c r="E83" s="725"/>
      <c r="F83" s="721"/>
      <c r="G83" s="725"/>
      <c r="H83" s="721"/>
      <c r="I83" s="725"/>
      <c r="J83" s="721"/>
      <c r="K83" s="725"/>
    </row>
    <row r="84" spans="1:12" s="56" customFormat="1" ht="25.5" customHeight="1" thickBot="1">
      <c r="A84" s="735" t="s">
        <v>340</v>
      </c>
      <c r="B84" s="735"/>
      <c r="C84" s="735"/>
      <c r="D84" s="735" t="s">
        <v>343</v>
      </c>
      <c r="E84" s="735"/>
      <c r="F84" s="736" t="s">
        <v>337</v>
      </c>
      <c r="G84" s="737"/>
      <c r="H84" s="736"/>
      <c r="I84" s="737"/>
      <c r="J84" s="735"/>
      <c r="K84" s="735"/>
      <c r="L84" s="290"/>
    </row>
    <row r="85" spans="1:13" ht="12.75" customHeight="1">
      <c r="A85" s="726" t="s">
        <v>2</v>
      </c>
      <c r="B85" s="727"/>
      <c r="C85" s="728"/>
      <c r="D85" s="732"/>
      <c r="E85" s="733"/>
      <c r="F85" s="732"/>
      <c r="G85" s="733"/>
      <c r="H85" s="755">
        <f>SUM(H84)</f>
        <v>0</v>
      </c>
      <c r="I85" s="756"/>
      <c r="J85" s="755">
        <f>SUM(J84)</f>
        <v>0</v>
      </c>
      <c r="K85" s="756"/>
      <c r="L85" s="754"/>
      <c r="M85" s="754"/>
    </row>
    <row r="86" spans="1:13" ht="13.5" customHeight="1" thickBot="1">
      <c r="A86" s="729"/>
      <c r="B86" s="730"/>
      <c r="C86" s="731"/>
      <c r="D86" s="734"/>
      <c r="E86" s="695"/>
      <c r="F86" s="734"/>
      <c r="G86" s="695"/>
      <c r="H86" s="757"/>
      <c r="I86" s="758"/>
      <c r="J86" s="757"/>
      <c r="K86" s="758"/>
      <c r="L86" s="754"/>
      <c r="M86" s="754"/>
    </row>
    <row r="88" spans="1:13" ht="15.75">
      <c r="A88" s="7" t="s">
        <v>344</v>
      </c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ht="13.5" thickBot="1"/>
    <row r="90" spans="1:11" ht="12.75" customHeight="1">
      <c r="A90" s="717" t="s">
        <v>306</v>
      </c>
      <c r="B90" s="718"/>
      <c r="C90" s="718"/>
      <c r="D90" s="717" t="s">
        <v>332</v>
      </c>
      <c r="E90" s="723"/>
      <c r="F90" s="717" t="s">
        <v>333</v>
      </c>
      <c r="G90" s="723"/>
      <c r="H90" s="717" t="s">
        <v>334</v>
      </c>
      <c r="I90" s="723"/>
      <c r="J90" s="717" t="s">
        <v>335</v>
      </c>
      <c r="K90" s="723"/>
    </row>
    <row r="91" spans="1:11" ht="12.75" customHeight="1">
      <c r="A91" s="719"/>
      <c r="B91" s="720"/>
      <c r="C91" s="720"/>
      <c r="D91" s="719"/>
      <c r="E91" s="724"/>
      <c r="F91" s="719"/>
      <c r="G91" s="724"/>
      <c r="H91" s="719"/>
      <c r="I91" s="724"/>
      <c r="J91" s="719"/>
      <c r="K91" s="724"/>
    </row>
    <row r="92" spans="1:11" ht="13.5" customHeight="1" thickBot="1">
      <c r="A92" s="721"/>
      <c r="B92" s="722"/>
      <c r="C92" s="722"/>
      <c r="D92" s="721"/>
      <c r="E92" s="725"/>
      <c r="F92" s="721"/>
      <c r="G92" s="725"/>
      <c r="H92" s="721"/>
      <c r="I92" s="725"/>
      <c r="J92" s="721"/>
      <c r="K92" s="725"/>
    </row>
    <row r="93" spans="1:12" s="56" customFormat="1" ht="25.5" customHeight="1" thickBot="1">
      <c r="A93" s="735" t="s">
        <v>340</v>
      </c>
      <c r="B93" s="735"/>
      <c r="C93" s="735"/>
      <c r="D93" s="735"/>
      <c r="E93" s="735"/>
      <c r="F93" s="736" t="s">
        <v>337</v>
      </c>
      <c r="G93" s="737"/>
      <c r="H93" s="736"/>
      <c r="I93" s="737"/>
      <c r="J93" s="735"/>
      <c r="K93" s="735"/>
      <c r="L93" s="290"/>
    </row>
    <row r="94" spans="1:13" ht="12.75" customHeight="1">
      <c r="A94" s="726" t="s">
        <v>2</v>
      </c>
      <c r="B94" s="727"/>
      <c r="C94" s="728"/>
      <c r="D94" s="732"/>
      <c r="E94" s="733"/>
      <c r="F94" s="732"/>
      <c r="G94" s="733"/>
      <c r="H94" s="755">
        <f>SUM(H93)</f>
        <v>0</v>
      </c>
      <c r="I94" s="756"/>
      <c r="J94" s="755">
        <f>SUM(J93)</f>
        <v>0</v>
      </c>
      <c r="K94" s="756"/>
      <c r="L94" s="754"/>
      <c r="M94" s="754"/>
    </row>
    <row r="95" spans="1:13" ht="13.5" customHeight="1" thickBot="1">
      <c r="A95" s="729"/>
      <c r="B95" s="730"/>
      <c r="C95" s="731"/>
      <c r="D95" s="734"/>
      <c r="E95" s="695"/>
      <c r="F95" s="734"/>
      <c r="G95" s="695"/>
      <c r="H95" s="757"/>
      <c r="I95" s="758"/>
      <c r="J95" s="757"/>
      <c r="K95" s="758"/>
      <c r="L95" s="754"/>
      <c r="M95" s="754"/>
    </row>
  </sheetData>
  <sheetProtection/>
  <mergeCells count="152">
    <mergeCell ref="M13:M15"/>
    <mergeCell ref="A16:C18"/>
    <mergeCell ref="D16:D18"/>
    <mergeCell ref="E16:E18"/>
    <mergeCell ref="F16:F18"/>
    <mergeCell ref="G16:G18"/>
    <mergeCell ref="H16:H18"/>
    <mergeCell ref="K19:K20"/>
    <mergeCell ref="L19:L20"/>
    <mergeCell ref="A2:M2"/>
    <mergeCell ref="A5:M5"/>
    <mergeCell ref="A6:M6"/>
    <mergeCell ref="A7:M7"/>
    <mergeCell ref="A13:C15"/>
    <mergeCell ref="D13:F13"/>
    <mergeCell ref="G13:I13"/>
    <mergeCell ref="J13:L13"/>
    <mergeCell ref="H19:H20"/>
    <mergeCell ref="G19:G20"/>
    <mergeCell ref="I19:I20"/>
    <mergeCell ref="M19:M20"/>
    <mergeCell ref="I16:I18"/>
    <mergeCell ref="J16:J18"/>
    <mergeCell ref="K16:K18"/>
    <mergeCell ref="L16:L18"/>
    <mergeCell ref="M16:M18"/>
    <mergeCell ref="J19:J20"/>
    <mergeCell ref="A19:C20"/>
    <mergeCell ref="D19:D20"/>
    <mergeCell ref="E19:E20"/>
    <mergeCell ref="F19:F20"/>
    <mergeCell ref="F34:F36"/>
    <mergeCell ref="G34:G36"/>
    <mergeCell ref="M34:M36"/>
    <mergeCell ref="A31:C33"/>
    <mergeCell ref="D31:F31"/>
    <mergeCell ref="G31:I31"/>
    <mergeCell ref="J31:L31"/>
    <mergeCell ref="M31:M33"/>
    <mergeCell ref="A34:C36"/>
    <mergeCell ref="D34:D36"/>
    <mergeCell ref="H34:H36"/>
    <mergeCell ref="K34:K36"/>
    <mergeCell ref="I42:I44"/>
    <mergeCell ref="J42:J44"/>
    <mergeCell ref="E34:E36"/>
    <mergeCell ref="E42:E44"/>
    <mergeCell ref="H42:H44"/>
    <mergeCell ref="I37:I39"/>
    <mergeCell ref="J37:J39"/>
    <mergeCell ref="H37:H39"/>
    <mergeCell ref="E37:E39"/>
    <mergeCell ref="F37:F39"/>
    <mergeCell ref="G45:G46"/>
    <mergeCell ref="G42:G44"/>
    <mergeCell ref="A45:C46"/>
    <mergeCell ref="D45:D46"/>
    <mergeCell ref="E45:E46"/>
    <mergeCell ref="F45:F46"/>
    <mergeCell ref="F42:F44"/>
    <mergeCell ref="A42:C44"/>
    <mergeCell ref="D42:D44"/>
    <mergeCell ref="H45:H46"/>
    <mergeCell ref="I45:I46"/>
    <mergeCell ref="J45:J46"/>
    <mergeCell ref="L45:L46"/>
    <mergeCell ref="M45:M46"/>
    <mergeCell ref="K45:K46"/>
    <mergeCell ref="K42:K44"/>
    <mergeCell ref="L42:L44"/>
    <mergeCell ref="J67:K68"/>
    <mergeCell ref="L67:L68"/>
    <mergeCell ref="J63:K65"/>
    <mergeCell ref="M42:M44"/>
    <mergeCell ref="J66:K66"/>
    <mergeCell ref="A66:C66"/>
    <mergeCell ref="D66:E66"/>
    <mergeCell ref="F66:G66"/>
    <mergeCell ref="M67:M68"/>
    <mergeCell ref="A63:C65"/>
    <mergeCell ref="D63:E65"/>
    <mergeCell ref="F63:G65"/>
    <mergeCell ref="H63:I65"/>
    <mergeCell ref="H66:I66"/>
    <mergeCell ref="J72:K74"/>
    <mergeCell ref="A67:C68"/>
    <mergeCell ref="D67:E68"/>
    <mergeCell ref="F67:G68"/>
    <mergeCell ref="H67:I68"/>
    <mergeCell ref="A72:C74"/>
    <mergeCell ref="D72:E74"/>
    <mergeCell ref="F72:G74"/>
    <mergeCell ref="H72:I74"/>
    <mergeCell ref="J75:K75"/>
    <mergeCell ref="A76:C77"/>
    <mergeCell ref="D76:E77"/>
    <mergeCell ref="F76:G77"/>
    <mergeCell ref="H76:I77"/>
    <mergeCell ref="J76:K77"/>
    <mergeCell ref="A75:C75"/>
    <mergeCell ref="D75:E75"/>
    <mergeCell ref="F75:G75"/>
    <mergeCell ref="H75:I75"/>
    <mergeCell ref="M76:M77"/>
    <mergeCell ref="A81:C83"/>
    <mergeCell ref="D81:E83"/>
    <mergeCell ref="F81:G83"/>
    <mergeCell ref="H81:I83"/>
    <mergeCell ref="J81:K83"/>
    <mergeCell ref="M85:M86"/>
    <mergeCell ref="J90:K92"/>
    <mergeCell ref="L85:L86"/>
    <mergeCell ref="J84:K84"/>
    <mergeCell ref="J85:K86"/>
    <mergeCell ref="H85:I86"/>
    <mergeCell ref="H84:I84"/>
    <mergeCell ref="M94:M95"/>
    <mergeCell ref="J93:K93"/>
    <mergeCell ref="H93:I93"/>
    <mergeCell ref="H94:I95"/>
    <mergeCell ref="J94:K95"/>
    <mergeCell ref="H90:I92"/>
    <mergeCell ref="J34:J36"/>
    <mergeCell ref="L34:L36"/>
    <mergeCell ref="A94:C95"/>
    <mergeCell ref="D94:E95"/>
    <mergeCell ref="F94:G95"/>
    <mergeCell ref="A93:C93"/>
    <mergeCell ref="D93:E93"/>
    <mergeCell ref="F93:G93"/>
    <mergeCell ref="L94:L95"/>
    <mergeCell ref="L76:L77"/>
    <mergeCell ref="D84:E84"/>
    <mergeCell ref="F84:G84"/>
    <mergeCell ref="A1:M1"/>
    <mergeCell ref="A4:M4"/>
    <mergeCell ref="K37:K39"/>
    <mergeCell ref="L37:L39"/>
    <mergeCell ref="M37:M39"/>
    <mergeCell ref="A37:C39"/>
    <mergeCell ref="D37:D39"/>
    <mergeCell ref="I34:I36"/>
    <mergeCell ref="A40:C40"/>
    <mergeCell ref="A41:C41"/>
    <mergeCell ref="G37:G39"/>
    <mergeCell ref="A90:C92"/>
    <mergeCell ref="D90:E92"/>
    <mergeCell ref="F90:G92"/>
    <mergeCell ref="A85:C86"/>
    <mergeCell ref="D85:E86"/>
    <mergeCell ref="F85:G86"/>
    <mergeCell ref="A84:C84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75390625" style="26" customWidth="1"/>
    <col min="2" max="2" width="65.75390625" style="26" customWidth="1"/>
    <col min="3" max="3" width="18.25390625" style="26" customWidth="1"/>
    <col min="4" max="5" width="15.75390625" style="26" bestFit="1" customWidth="1"/>
    <col min="6" max="6" width="18.00390625" style="26" bestFit="1" customWidth="1"/>
    <col min="7" max="7" width="11.375" style="56" bestFit="1" customWidth="1"/>
    <col min="8" max="16384" width="9.125" style="56" customWidth="1"/>
  </cols>
  <sheetData>
    <row r="1" spans="1:6" ht="15.75">
      <c r="A1" s="545" t="s">
        <v>513</v>
      </c>
      <c r="B1" s="545"/>
      <c r="C1" s="545"/>
      <c r="D1" s="545"/>
      <c r="E1" s="545"/>
      <c r="F1" s="545"/>
    </row>
    <row r="2" spans="1:6" ht="21" customHeight="1">
      <c r="A2" s="639"/>
      <c r="B2" s="639"/>
      <c r="C2" s="639"/>
      <c r="D2" s="639"/>
      <c r="E2" s="639"/>
      <c r="F2" s="639"/>
    </row>
    <row r="3" spans="1:6" ht="15.75">
      <c r="A3" s="639" t="s">
        <v>345</v>
      </c>
      <c r="B3" s="639"/>
      <c r="C3" s="639"/>
      <c r="D3" s="639"/>
      <c r="E3" s="639"/>
      <c r="F3" s="639"/>
    </row>
    <row r="4" spans="1:6" ht="15.75">
      <c r="A4" s="639" t="s">
        <v>346</v>
      </c>
      <c r="B4" s="639"/>
      <c r="C4" s="639"/>
      <c r="D4" s="639"/>
      <c r="E4" s="639"/>
      <c r="F4" s="639"/>
    </row>
    <row r="5" spans="1:6" ht="15.75">
      <c r="A5" s="639" t="s">
        <v>485</v>
      </c>
      <c r="B5" s="639"/>
      <c r="C5" s="639"/>
      <c r="D5" s="639"/>
      <c r="E5" s="639"/>
      <c r="F5" s="639"/>
    </row>
    <row r="6" spans="1:6" ht="16.5" thickBot="1">
      <c r="A6" s="28"/>
      <c r="B6" s="28"/>
      <c r="C6" s="56"/>
      <c r="D6" s="292"/>
      <c r="E6" s="56"/>
      <c r="F6" s="292" t="s">
        <v>5</v>
      </c>
    </row>
    <row r="7" spans="1:6" ht="15.75">
      <c r="A7" s="293" t="s">
        <v>37</v>
      </c>
      <c r="B7" s="815" t="s">
        <v>347</v>
      </c>
      <c r="C7" s="818" t="s">
        <v>348</v>
      </c>
      <c r="D7" s="819"/>
      <c r="E7" s="819"/>
      <c r="F7" s="815" t="s">
        <v>235</v>
      </c>
    </row>
    <row r="8" spans="1:6" ht="16.5" thickBot="1">
      <c r="A8" s="294"/>
      <c r="B8" s="816"/>
      <c r="C8" s="820"/>
      <c r="D8" s="821"/>
      <c r="E8" s="821"/>
      <c r="F8" s="816"/>
    </row>
    <row r="9" spans="1:6" ht="16.5" thickBot="1">
      <c r="A9" s="294"/>
      <c r="B9" s="816"/>
      <c r="C9" s="295" t="s">
        <v>423</v>
      </c>
      <c r="D9" s="295" t="s">
        <v>467</v>
      </c>
      <c r="E9" s="295" t="s">
        <v>489</v>
      </c>
      <c r="F9" s="816"/>
    </row>
    <row r="10" spans="1:6" ht="16.5" thickBot="1">
      <c r="A10" s="296" t="s">
        <v>38</v>
      </c>
      <c r="B10" s="817"/>
      <c r="C10" s="822" t="s">
        <v>349</v>
      </c>
      <c r="D10" s="823"/>
      <c r="E10" s="823"/>
      <c r="F10" s="817"/>
    </row>
    <row r="11" spans="1:6" ht="15.75">
      <c r="A11" s="291" t="s">
        <v>39</v>
      </c>
      <c r="B11" s="321" t="s">
        <v>355</v>
      </c>
      <c r="C11" s="297">
        <v>8220</v>
      </c>
      <c r="D11" s="297">
        <v>8220</v>
      </c>
      <c r="E11" s="297">
        <v>8220</v>
      </c>
      <c r="F11" s="297">
        <f>SUM(C11:E11)</f>
        <v>24660</v>
      </c>
    </row>
    <row r="12" spans="1:6" ht="31.5">
      <c r="A12" s="291" t="s">
        <v>22</v>
      </c>
      <c r="B12" s="322" t="s">
        <v>356</v>
      </c>
      <c r="C12" s="298"/>
      <c r="D12" s="298"/>
      <c r="E12" s="298"/>
      <c r="F12" s="297">
        <f>SUM(C12:E12)</f>
        <v>0</v>
      </c>
    </row>
    <row r="13" spans="1:2" s="269" customFormat="1" ht="15.75">
      <c r="A13" s="291" t="s">
        <v>40</v>
      </c>
      <c r="B13" s="321" t="s">
        <v>357</v>
      </c>
    </row>
    <row r="14" spans="1:6" s="269" customFormat="1" ht="31.5">
      <c r="A14" s="291" t="s">
        <v>91</v>
      </c>
      <c r="B14" s="322" t="s">
        <v>358</v>
      </c>
      <c r="C14" s="299"/>
      <c r="D14" s="299"/>
      <c r="E14" s="299"/>
      <c r="F14" s="297">
        <f>SUM(C14:E14)</f>
        <v>0</v>
      </c>
    </row>
    <row r="15" spans="1:6" s="269" customFormat="1" ht="15.75">
      <c r="A15" s="291" t="s">
        <v>92</v>
      </c>
      <c r="B15" s="321" t="s">
        <v>350</v>
      </c>
      <c r="C15" s="299">
        <v>75</v>
      </c>
      <c r="D15" s="299">
        <v>75</v>
      </c>
      <c r="E15" s="299">
        <v>75</v>
      </c>
      <c r="F15" s="297">
        <f>SUM(C15:E15)</f>
        <v>225</v>
      </c>
    </row>
    <row r="16" spans="1:6" s="269" customFormat="1" ht="15.75">
      <c r="A16" s="291" t="s">
        <v>98</v>
      </c>
      <c r="B16" s="321" t="s">
        <v>359</v>
      </c>
      <c r="C16" s="300"/>
      <c r="D16" s="300"/>
      <c r="E16" s="300"/>
      <c r="F16" s="300"/>
    </row>
    <row r="17" spans="1:6" s="304" customFormat="1" ht="15.75">
      <c r="A17" s="301" t="s">
        <v>196</v>
      </c>
      <c r="B17" s="302" t="s">
        <v>351</v>
      </c>
      <c r="C17" s="303">
        <f>SUM(C11:C16)</f>
        <v>8295</v>
      </c>
      <c r="D17" s="303">
        <f>SUM(D11:D16)</f>
        <v>8295</v>
      </c>
      <c r="E17" s="303">
        <f>SUM(E11:E16)</f>
        <v>8295</v>
      </c>
      <c r="F17" s="303">
        <f>SUM(F11:F16)</f>
        <v>24885</v>
      </c>
    </row>
    <row r="18" spans="1:6" s="309" customFormat="1" ht="18.75">
      <c r="A18" s="305" t="s">
        <v>198</v>
      </c>
      <c r="B18" s="306" t="s">
        <v>352</v>
      </c>
      <c r="C18" s="307">
        <f>C17*0.5</f>
        <v>4147.5</v>
      </c>
      <c r="D18" s="307">
        <f>D17*0.5</f>
        <v>4147.5</v>
      </c>
      <c r="E18" s="307">
        <f>E17*0.5</f>
        <v>4147.5</v>
      </c>
      <c r="F18" s="308">
        <f>SUM(C18:E18)</f>
        <v>12442.5</v>
      </c>
    </row>
    <row r="19" spans="1:6" s="269" customFormat="1" ht="31.5">
      <c r="A19" s="310" t="s">
        <v>199</v>
      </c>
      <c r="B19" s="322" t="s">
        <v>360</v>
      </c>
      <c r="C19" s="299"/>
      <c r="D19" s="299"/>
      <c r="E19" s="299"/>
      <c r="F19" s="299">
        <f>SUM(C19:E19)</f>
        <v>0</v>
      </c>
    </row>
    <row r="20" spans="1:6" s="269" customFormat="1" ht="31.5">
      <c r="A20" s="310" t="s">
        <v>200</v>
      </c>
      <c r="B20" s="322" t="s">
        <v>361</v>
      </c>
      <c r="C20" s="299"/>
      <c r="D20" s="299"/>
      <c r="E20" s="299"/>
      <c r="F20" s="299">
        <f>SUM(C20:E20)</f>
        <v>0</v>
      </c>
    </row>
    <row r="21" spans="1:6" s="269" customFormat="1" ht="15.75">
      <c r="A21" s="310" t="s">
        <v>201</v>
      </c>
      <c r="B21" s="321" t="s">
        <v>362</v>
      </c>
      <c r="C21" s="299"/>
      <c r="D21" s="299"/>
      <c r="E21" s="299"/>
      <c r="F21" s="299"/>
    </row>
    <row r="22" spans="1:6" s="269" customFormat="1" ht="31.5">
      <c r="A22" s="310" t="s">
        <v>202</v>
      </c>
      <c r="B22" s="311" t="s">
        <v>363</v>
      </c>
      <c r="C22" s="299"/>
      <c r="D22" s="299"/>
      <c r="E22" s="299"/>
      <c r="F22" s="299"/>
    </row>
    <row r="23" spans="1:6" s="269" customFormat="1" ht="47.25">
      <c r="A23" s="310" t="s">
        <v>203</v>
      </c>
      <c r="B23" s="311" t="s">
        <v>364</v>
      </c>
      <c r="C23" s="299"/>
      <c r="D23" s="299"/>
      <c r="E23" s="299"/>
      <c r="F23" s="299"/>
    </row>
    <row r="24" spans="1:6" s="269" customFormat="1" ht="31.5">
      <c r="A24" s="310" t="s">
        <v>204</v>
      </c>
      <c r="B24" s="311" t="s">
        <v>365</v>
      </c>
      <c r="C24" s="299"/>
      <c r="D24" s="299"/>
      <c r="E24" s="299"/>
      <c r="F24" s="299"/>
    </row>
    <row r="25" spans="1:6" s="269" customFormat="1" ht="31.5">
      <c r="A25" s="310" t="s">
        <v>206</v>
      </c>
      <c r="B25" s="311" t="s">
        <v>366</v>
      </c>
      <c r="C25" s="312"/>
      <c r="D25" s="312"/>
      <c r="E25" s="312"/>
      <c r="F25" s="312"/>
    </row>
    <row r="26" spans="1:6" s="304" customFormat="1" ht="15.75">
      <c r="A26" s="301" t="s">
        <v>207</v>
      </c>
      <c r="B26" s="313" t="s">
        <v>353</v>
      </c>
      <c r="C26" s="314">
        <f>SUM(C19:C24)</f>
        <v>0</v>
      </c>
      <c r="D26" s="314">
        <f>SUM(D19:D24)</f>
        <v>0</v>
      </c>
      <c r="E26" s="314">
        <f>SUM(E19:E24)</f>
        <v>0</v>
      </c>
      <c r="F26" s="314">
        <f>SUM(F19:F24)</f>
        <v>0</v>
      </c>
    </row>
    <row r="27" spans="1:6" s="317" customFormat="1" ht="37.5">
      <c r="A27" s="305" t="s">
        <v>208</v>
      </c>
      <c r="B27" s="315" t="s">
        <v>354</v>
      </c>
      <c r="C27" s="316">
        <f>C18-C26</f>
        <v>4147.5</v>
      </c>
      <c r="D27" s="316">
        <f>D18-D26</f>
        <v>4147.5</v>
      </c>
      <c r="E27" s="316">
        <f>E18-E26</f>
        <v>4147.5</v>
      </c>
      <c r="F27" s="316">
        <f>SUM(C27:E27)</f>
        <v>12442.5</v>
      </c>
    </row>
    <row r="28" spans="1:6" s="269" customFormat="1" ht="15.75">
      <c r="A28" s="318"/>
      <c r="B28" s="319"/>
      <c r="C28" s="299"/>
      <c r="D28" s="299"/>
      <c r="E28" s="299"/>
      <c r="F28" s="299"/>
    </row>
    <row r="29" spans="1:7" s="269" customFormat="1" ht="15.75">
      <c r="A29" s="318"/>
      <c r="B29" s="319"/>
      <c r="C29" s="299"/>
      <c r="D29" s="299"/>
      <c r="E29" s="299"/>
      <c r="F29" s="299"/>
      <c r="G29" s="299"/>
    </row>
    <row r="30" spans="1:6" s="269" customFormat="1" ht="15.75">
      <c r="A30" s="319"/>
      <c r="B30" s="319"/>
      <c r="C30" s="299"/>
      <c r="D30" s="299"/>
      <c r="E30" s="299"/>
      <c r="F30" s="299"/>
    </row>
    <row r="31" spans="1:6" s="269" customFormat="1" ht="15.75">
      <c r="A31" s="319"/>
      <c r="B31" s="319"/>
      <c r="C31" s="299"/>
      <c r="D31" s="299"/>
      <c r="E31" s="299"/>
      <c r="F31" s="299"/>
    </row>
    <row r="32" spans="1:6" s="269" customFormat="1" ht="15.75">
      <c r="A32" s="319"/>
      <c r="B32" s="319"/>
      <c r="C32" s="299"/>
      <c r="D32" s="299"/>
      <c r="E32" s="299"/>
      <c r="F32" s="299"/>
    </row>
    <row r="33" spans="1:6" s="269" customFormat="1" ht="15.75">
      <c r="A33" s="319"/>
      <c r="B33" s="320"/>
      <c r="C33" s="299"/>
      <c r="D33" s="299"/>
      <c r="E33" s="299"/>
      <c r="F33" s="299"/>
    </row>
    <row r="34" spans="1:6" s="269" customFormat="1" ht="15.75">
      <c r="A34" s="319"/>
      <c r="B34" s="319"/>
      <c r="C34" s="299"/>
      <c r="D34" s="299"/>
      <c r="E34" s="299"/>
      <c r="F34" s="299"/>
    </row>
    <row r="35" spans="1:6" s="269" customFormat="1" ht="15.75">
      <c r="A35" s="319"/>
      <c r="B35" s="319"/>
      <c r="C35" s="299"/>
      <c r="D35" s="299"/>
      <c r="E35" s="299"/>
      <c r="F35" s="299"/>
    </row>
  </sheetData>
  <sheetProtection/>
  <mergeCells count="9">
    <mergeCell ref="A1:F1"/>
    <mergeCell ref="A2:F2"/>
    <mergeCell ref="A3:F3"/>
    <mergeCell ref="A4:F4"/>
    <mergeCell ref="B7:B10"/>
    <mergeCell ref="C7:E8"/>
    <mergeCell ref="F7:F10"/>
    <mergeCell ref="C10:E10"/>
    <mergeCell ref="A5:F5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2:N23"/>
  <sheetViews>
    <sheetView zoomScalePageLayoutView="0" workbookViewId="0" topLeftCell="A1">
      <selection activeCell="H17" sqref="H17"/>
    </sheetView>
  </sheetViews>
  <sheetFormatPr defaultColWidth="9.00390625" defaultRowHeight="12.75"/>
  <cols>
    <col min="1" max="1" width="1.875" style="0" customWidth="1"/>
    <col min="2" max="2" width="27.625" style="0" customWidth="1"/>
    <col min="3" max="3" width="11.125" style="0" customWidth="1"/>
    <col min="4" max="4" width="15.75390625" style="0" customWidth="1"/>
    <col min="5" max="5" width="12.875" style="0" customWidth="1"/>
    <col min="6" max="6" width="12.00390625" style="0" customWidth="1"/>
    <col min="7" max="7" width="10.125" style="0" customWidth="1"/>
    <col min="8" max="8" width="11.125" style="0" customWidth="1"/>
    <col min="9" max="9" width="12.375" style="0" customWidth="1"/>
    <col min="10" max="11" width="12.00390625" style="0" customWidth="1"/>
    <col min="12" max="12" width="13.375" style="0" customWidth="1"/>
    <col min="13" max="13" width="12.75390625" style="0" customWidth="1"/>
    <col min="14" max="14" width="11.875" style="0" customWidth="1"/>
  </cols>
  <sheetData>
    <row r="2" spans="1:4" ht="12.75">
      <c r="A2" s="826" t="s">
        <v>514</v>
      </c>
      <c r="B2" s="826"/>
      <c r="C2" s="826"/>
      <c r="D2" s="826"/>
    </row>
    <row r="4" spans="1:14" ht="18.75" customHeight="1">
      <c r="A4" s="827"/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7"/>
      <c r="N4" s="827"/>
    </row>
    <row r="5" spans="1:14" ht="18" customHeight="1">
      <c r="A5" s="827" t="s">
        <v>441</v>
      </c>
      <c r="B5" s="827"/>
      <c r="C5" s="827"/>
      <c r="D5" s="827"/>
      <c r="E5" s="827"/>
      <c r="F5" s="827"/>
      <c r="G5" s="827"/>
      <c r="H5" s="827"/>
      <c r="I5" s="827"/>
      <c r="J5" s="827"/>
      <c r="K5" s="827"/>
      <c r="L5" s="827"/>
      <c r="M5" s="827"/>
      <c r="N5" s="827"/>
    </row>
    <row r="6" spans="1:14" ht="16.5" customHeight="1">
      <c r="A6" s="827" t="s">
        <v>442</v>
      </c>
      <c r="B6" s="827"/>
      <c r="C6" s="827"/>
      <c r="D6" s="827"/>
      <c r="E6" s="827"/>
      <c r="F6" s="827"/>
      <c r="G6" s="827"/>
      <c r="H6" s="827"/>
      <c r="I6" s="827"/>
      <c r="J6" s="827"/>
      <c r="K6" s="827"/>
      <c r="L6" s="827"/>
      <c r="M6" s="827"/>
      <c r="N6" s="827"/>
    </row>
    <row r="7" spans="1:14" ht="16.5" customHeight="1">
      <c r="A7" s="827" t="s">
        <v>480</v>
      </c>
      <c r="B7" s="827"/>
      <c r="C7" s="827"/>
      <c r="D7" s="827"/>
      <c r="E7" s="827"/>
      <c r="F7" s="827"/>
      <c r="G7" s="827"/>
      <c r="H7" s="827"/>
      <c r="I7" s="827"/>
      <c r="J7" s="827"/>
      <c r="K7" s="827"/>
      <c r="L7" s="827"/>
      <c r="M7" s="827"/>
      <c r="N7" s="827"/>
    </row>
    <row r="9" ht="13.5" thickBot="1">
      <c r="N9" s="464" t="s">
        <v>443</v>
      </c>
    </row>
    <row r="10" spans="1:14" ht="21" customHeight="1" thickBot="1">
      <c r="A10" s="825" t="s">
        <v>444</v>
      </c>
      <c r="B10" s="828" t="s">
        <v>0</v>
      </c>
      <c r="C10" s="829" t="s">
        <v>445</v>
      </c>
      <c r="D10" s="830" t="s">
        <v>446</v>
      </c>
      <c r="E10" s="830"/>
      <c r="F10" s="830"/>
      <c r="G10" s="830"/>
      <c r="H10" s="830"/>
      <c r="I10" s="824" t="s">
        <v>447</v>
      </c>
      <c r="J10" s="824"/>
      <c r="K10" s="824"/>
      <c r="L10" s="824"/>
      <c r="M10" s="824" t="s">
        <v>448</v>
      </c>
      <c r="N10" s="824"/>
    </row>
    <row r="11" spans="1:14" ht="63" customHeight="1" thickBot="1">
      <c r="A11" s="825"/>
      <c r="B11" s="828"/>
      <c r="C11" s="829"/>
      <c r="D11" s="466" t="s">
        <v>449</v>
      </c>
      <c r="E11" s="466" t="s">
        <v>450</v>
      </c>
      <c r="F11" s="466" t="s">
        <v>446</v>
      </c>
      <c r="G11" s="466" t="s">
        <v>451</v>
      </c>
      <c r="H11" s="466" t="s">
        <v>452</v>
      </c>
      <c r="I11" s="466" t="s">
        <v>453</v>
      </c>
      <c r="J11" s="466" t="s">
        <v>447</v>
      </c>
      <c r="K11" s="466" t="s">
        <v>460</v>
      </c>
      <c r="L11" s="466" t="s">
        <v>454</v>
      </c>
      <c r="M11" s="466" t="s">
        <v>455</v>
      </c>
      <c r="N11" s="466" t="s">
        <v>456</v>
      </c>
    </row>
    <row r="12" spans="1:14" ht="16.5" customHeight="1" thickBot="1">
      <c r="A12" s="467" t="s">
        <v>39</v>
      </c>
      <c r="B12" s="467" t="s">
        <v>457</v>
      </c>
      <c r="C12" s="468">
        <f>H12+M12+L12+N12</f>
        <v>166601736</v>
      </c>
      <c r="D12" s="468">
        <f>36233972-700730+130720+467820+32100-417779+128360</f>
        <v>35874463</v>
      </c>
      <c r="E12" s="468">
        <f>8300000-2100000-140000+68056</f>
        <v>6128056</v>
      </c>
      <c r="F12" s="468">
        <v>7824055</v>
      </c>
      <c r="G12" s="467"/>
      <c r="H12" s="468">
        <f>D12+E12+F12</f>
        <v>49826574</v>
      </c>
      <c r="I12" s="467"/>
      <c r="J12" s="468"/>
      <c r="K12" s="467">
        <v>8277879</v>
      </c>
      <c r="L12" s="468">
        <f>I12+J12+K12</f>
        <v>8277879</v>
      </c>
      <c r="M12" s="468">
        <f>98322035+25+104+234696+964900+20509434+822484</f>
        <v>120853678</v>
      </c>
      <c r="N12" s="468">
        <f>-12356395</f>
        <v>-12356395</v>
      </c>
    </row>
    <row r="13" spans="1:14" ht="18.75" customHeight="1" thickBot="1">
      <c r="A13" s="467" t="s">
        <v>22</v>
      </c>
      <c r="B13" s="467" t="s">
        <v>458</v>
      </c>
      <c r="C13" s="468">
        <f>H13+N13+M13</f>
        <v>16378994</v>
      </c>
      <c r="D13" s="467"/>
      <c r="E13" s="467"/>
      <c r="F13" s="468">
        <v>3200115</v>
      </c>
      <c r="G13" s="467"/>
      <c r="H13" s="468">
        <f>D13+E13+F13</f>
        <v>3200115</v>
      </c>
      <c r="I13" s="467"/>
      <c r="J13" s="467"/>
      <c r="K13" s="467"/>
      <c r="L13" s="467"/>
      <c r="M13" s="468">
        <v>822484</v>
      </c>
      <c r="N13" s="468">
        <f>12356395</f>
        <v>12356395</v>
      </c>
    </row>
    <row r="14" spans="1:14" ht="20.25" customHeight="1" thickBot="1">
      <c r="A14" s="467" t="s">
        <v>40</v>
      </c>
      <c r="B14" s="467" t="s">
        <v>459</v>
      </c>
      <c r="C14" s="468">
        <f>C12+C13</f>
        <v>182980730</v>
      </c>
      <c r="D14" s="468">
        <f aca="true" t="shared" si="0" ref="D14:N14">D12+D13</f>
        <v>35874463</v>
      </c>
      <c r="E14" s="468">
        <f t="shared" si="0"/>
        <v>6128056</v>
      </c>
      <c r="F14" s="468">
        <f t="shared" si="0"/>
        <v>11024170</v>
      </c>
      <c r="G14" s="468">
        <f t="shared" si="0"/>
        <v>0</v>
      </c>
      <c r="H14" s="468">
        <f t="shared" si="0"/>
        <v>53026689</v>
      </c>
      <c r="I14" s="468">
        <f t="shared" si="0"/>
        <v>0</v>
      </c>
      <c r="J14" s="468">
        <f t="shared" si="0"/>
        <v>0</v>
      </c>
      <c r="K14" s="468">
        <f t="shared" si="0"/>
        <v>8277879</v>
      </c>
      <c r="L14" s="468">
        <f t="shared" si="0"/>
        <v>8277879</v>
      </c>
      <c r="M14" s="468">
        <f t="shared" si="0"/>
        <v>121676162</v>
      </c>
      <c r="N14" s="468">
        <f t="shared" si="0"/>
        <v>0</v>
      </c>
    </row>
    <row r="23" ht="12.75">
      <c r="B23" s="470"/>
    </row>
  </sheetData>
  <sheetProtection/>
  <mergeCells count="11">
    <mergeCell ref="I10:L10"/>
    <mergeCell ref="M10:N10"/>
    <mergeCell ref="A10:A11"/>
    <mergeCell ref="A2:D2"/>
    <mergeCell ref="A4:N4"/>
    <mergeCell ref="A5:N5"/>
    <mergeCell ref="A6:N6"/>
    <mergeCell ref="A7:N7"/>
    <mergeCell ref="B10:B11"/>
    <mergeCell ref="C10:C11"/>
    <mergeCell ref="D10:H10"/>
  </mergeCells>
  <printOptions/>
  <pageMargins left="0.1181102362204724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H14"/>
  <sheetViews>
    <sheetView tabSelected="1" zoomScalePageLayoutView="0" workbookViewId="0" topLeftCell="A1">
      <selection activeCell="G9" sqref="G9:H9"/>
    </sheetView>
  </sheetViews>
  <sheetFormatPr defaultColWidth="9.00390625" defaultRowHeight="12.75"/>
  <cols>
    <col min="1" max="1" width="2.75390625" style="0" customWidth="1"/>
    <col min="2" max="2" width="26.75390625" style="0" customWidth="1"/>
    <col min="3" max="3" width="14.25390625" style="0" customWidth="1"/>
    <col min="4" max="4" width="9.75390625" style="0" customWidth="1"/>
    <col min="5" max="5" width="12.375" style="0" customWidth="1"/>
    <col min="6" max="6" width="10.625" style="0" customWidth="1"/>
    <col min="8" max="8" width="6.375" style="0" customWidth="1"/>
  </cols>
  <sheetData>
    <row r="2" spans="1:8" ht="12.75">
      <c r="A2" s="826" t="s">
        <v>515</v>
      </c>
      <c r="B2" s="826"/>
      <c r="C2" s="826"/>
      <c r="D2" s="826"/>
      <c r="E2" s="826"/>
      <c r="F2" s="826"/>
      <c r="G2" s="826"/>
      <c r="H2" s="826"/>
    </row>
    <row r="5" spans="1:8" ht="20.25" customHeight="1">
      <c r="A5" s="827"/>
      <c r="B5" s="827"/>
      <c r="C5" s="827"/>
      <c r="D5" s="827"/>
      <c r="E5" s="827"/>
      <c r="F5" s="827"/>
      <c r="G5" s="827"/>
      <c r="H5" s="827"/>
    </row>
    <row r="6" spans="1:8" ht="17.25" customHeight="1">
      <c r="A6" s="827" t="str">
        <f>'[1]9.mell'!A7</f>
        <v>SITKE KÖZSÉG ÖNKORMÁNYZATA</v>
      </c>
      <c r="B6" s="827"/>
      <c r="C6" s="827"/>
      <c r="D6" s="827"/>
      <c r="E6" s="827"/>
      <c r="F6" s="827"/>
      <c r="G6" s="827"/>
      <c r="H6" s="827"/>
    </row>
    <row r="7" spans="1:8" ht="25.5" customHeight="1">
      <c r="A7" s="831" t="str">
        <f>'[1]9.mell'!A8</f>
        <v>KÖLTSÉGVETÉSI SZERVEK KÖZPONTI KÖLTSÉGVETÉSI ÉS ÖNKORMÁNYZATI TÁMOGATÁSA</v>
      </c>
      <c r="B7" s="831"/>
      <c r="C7" s="831"/>
      <c r="D7" s="831"/>
      <c r="E7" s="831"/>
      <c r="F7" s="831"/>
      <c r="G7" s="831"/>
      <c r="H7" s="831"/>
    </row>
    <row r="8" spans="1:8" ht="16.5" customHeight="1">
      <c r="A8" s="827" t="str">
        <f>'[1]9.mell'!A9</f>
        <v>2020. év</v>
      </c>
      <c r="B8" s="827"/>
      <c r="C8" s="827"/>
      <c r="D8" s="827"/>
      <c r="E8" s="827"/>
      <c r="F8" s="827"/>
      <c r="G8" s="827"/>
      <c r="H8" s="827"/>
    </row>
    <row r="10" spans="7:8" ht="13.5" thickBot="1">
      <c r="G10" s="854" t="str">
        <f>'[1]9.mell'!G11</f>
        <v> (  Ft-ban ) </v>
      </c>
      <c r="H10" s="854"/>
    </row>
    <row r="11" spans="1:8" ht="71.25" customHeight="1" thickBot="1">
      <c r="A11" s="852" t="str">
        <f>'[1]9.mell'!A12</f>
        <v>SORSZÁM</v>
      </c>
      <c r="B11" s="844" t="str">
        <f>'[1]9.mell'!B12</f>
        <v>Intézmény megnevezése</v>
      </c>
      <c r="C11" s="850" t="str">
        <f>'[1]9.mell'!C12</f>
        <v>központi költségvetési támogatás</v>
      </c>
      <c r="D11" s="851"/>
      <c r="E11" s="848" t="str">
        <f>'[1]9.mell'!E12</f>
        <v>önkormányzati támogatás</v>
      </c>
      <c r="F11" s="849"/>
      <c r="G11" s="848" t="str">
        <f>'[1]9.mell'!G12</f>
        <v> összes támogatás </v>
      </c>
      <c r="H11" s="849"/>
    </row>
    <row r="12" spans="1:8" ht="24.75" customHeight="1" thickBot="1">
      <c r="A12" s="853"/>
      <c r="B12" s="845"/>
      <c r="C12" s="465" t="str">
        <f>'[1]9.mell'!C13</f>
        <v>  Ft </v>
      </c>
      <c r="D12" s="466" t="str">
        <f>'[1]9.mell'!D13</f>
        <v>megoszlás    %-a</v>
      </c>
      <c r="E12" s="467" t="str">
        <f>'[1]9.mell'!E13</f>
        <v>  Ft </v>
      </c>
      <c r="F12" s="466" t="str">
        <f>'[1]9.mell'!F13</f>
        <v>megoszlás %-a</v>
      </c>
      <c r="G12" s="846">
        <f>'[1]9.mell'!G13</f>
        <v>0</v>
      </c>
      <c r="H12" s="847"/>
    </row>
    <row r="13" spans="1:8" ht="18" customHeight="1" thickBot="1">
      <c r="A13" s="467" t="str">
        <f>'[1]9.mell'!A14</f>
        <v>1.</v>
      </c>
      <c r="B13" s="467" t="str">
        <f>'[1]9.mell'!B14</f>
        <v>Sitkei Önkormányzati Konyha</v>
      </c>
      <c r="C13" s="468">
        <f>'[1]9.mell'!C14</f>
        <v>6450425</v>
      </c>
      <c r="D13" s="469">
        <f>'[1]9.mell'!D14</f>
        <v>52.20313044379045</v>
      </c>
      <c r="E13" s="468">
        <f>'[1]9.mell'!E14</f>
        <v>5905970</v>
      </c>
      <c r="F13" s="469">
        <f>'[1]9.mell'!F14</f>
        <v>47.79686955620956</v>
      </c>
      <c r="G13" s="855">
        <f>'[1]9.mell'!G14</f>
        <v>12356395</v>
      </c>
      <c r="H13" s="856"/>
    </row>
    <row r="14" spans="1:8" ht="23.25" customHeight="1" thickBot="1">
      <c r="A14" s="467" t="str">
        <f>'[1]9.mell'!A15</f>
        <v>2.</v>
      </c>
      <c r="B14" s="467" t="str">
        <f>'[1]9.mell'!B15</f>
        <v>Összesen:</v>
      </c>
      <c r="C14" s="468">
        <f>'[1]9.mell'!C15</f>
        <v>6450425</v>
      </c>
      <c r="D14" s="469">
        <f>'[1]9.mell'!D15</f>
        <v>52.20313044379045</v>
      </c>
      <c r="E14" s="468">
        <f>'[1]9.mell'!E15</f>
        <v>5905970</v>
      </c>
      <c r="F14" s="469">
        <f>'[1]9.mell'!F15</f>
        <v>47.79686955620956</v>
      </c>
      <c r="G14" s="855">
        <f>'[1]9.mell'!G15</f>
        <v>12356395</v>
      </c>
      <c r="H14" s="856"/>
    </row>
  </sheetData>
  <sheetProtection/>
  <mergeCells count="14">
    <mergeCell ref="G10:H10"/>
    <mergeCell ref="G12:H12"/>
    <mergeCell ref="G13:H13"/>
    <mergeCell ref="G14:H14"/>
    <mergeCell ref="A2:H2"/>
    <mergeCell ref="A5:H5"/>
    <mergeCell ref="A6:H6"/>
    <mergeCell ref="A7:H7"/>
    <mergeCell ref="A8:H8"/>
    <mergeCell ref="A11:A12"/>
    <mergeCell ref="C11:D11"/>
    <mergeCell ref="B11:B12"/>
    <mergeCell ref="E11:F11"/>
    <mergeCell ref="G11:H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9"/>
  <sheetViews>
    <sheetView zoomScalePageLayoutView="0" workbookViewId="0" topLeftCell="A34">
      <selection activeCell="A53" sqref="A53"/>
    </sheetView>
  </sheetViews>
  <sheetFormatPr defaultColWidth="9.00390625" defaultRowHeight="12.75"/>
  <cols>
    <col min="1" max="1" width="5.625" style="4" customWidth="1"/>
    <col min="2" max="2" width="64.625" style="4" customWidth="1"/>
    <col min="3" max="3" width="14.625" style="59" customWidth="1"/>
    <col min="4" max="4" width="4.875" style="4" customWidth="1"/>
    <col min="5" max="5" width="16.375" style="59" customWidth="1"/>
    <col min="6" max="6" width="5.25390625" style="4" customWidth="1"/>
    <col min="7" max="7" width="9.125" style="4" customWidth="1"/>
    <col min="8" max="8" width="14.25390625" style="4" bestFit="1" customWidth="1"/>
    <col min="9" max="16384" width="9.125" style="4" customWidth="1"/>
  </cols>
  <sheetData>
    <row r="1" spans="2:6" ht="15">
      <c r="B1" s="499" t="s">
        <v>498</v>
      </c>
      <c r="C1" s="499"/>
      <c r="D1" s="499"/>
      <c r="E1" s="499"/>
      <c r="F1" s="499"/>
    </row>
    <row r="2" spans="2:6" ht="15">
      <c r="B2" s="106"/>
      <c r="C2" s="106"/>
      <c r="D2" s="106"/>
      <c r="E2" s="106"/>
      <c r="F2" s="106"/>
    </row>
    <row r="3" spans="2:6" s="56" customFormat="1" ht="15.75">
      <c r="B3" s="502"/>
      <c r="C3" s="502"/>
      <c r="D3" s="502"/>
      <c r="E3" s="502"/>
      <c r="F3" s="502"/>
    </row>
    <row r="4" spans="2:6" s="56" customFormat="1" ht="15.75">
      <c r="B4" s="501" t="str">
        <f>'[1]1.mell. -mérleg'!B6</f>
        <v>SITKE KÖZSÉG ÖNKORMÁNYZATA</v>
      </c>
      <c r="C4" s="501"/>
      <c r="D4" s="501"/>
      <c r="E4" s="501"/>
      <c r="F4" s="501"/>
    </row>
    <row r="5" spans="2:6" ht="15.75">
      <c r="B5" s="501" t="str">
        <f>'[1]1.mell. -mérleg'!B7</f>
        <v>BEVÉTELEINEK ÉS KIADÁSAINAK ALAKULÁSA</v>
      </c>
      <c r="C5" s="501"/>
      <c r="D5" s="501"/>
      <c r="E5" s="501"/>
      <c r="F5" s="501"/>
    </row>
    <row r="6" spans="2:6" ht="12.75" customHeight="1">
      <c r="B6" s="500" t="str">
        <f>'[1]1.mell. -mérleg'!B8</f>
        <v>2020. évre</v>
      </c>
      <c r="C6" s="500"/>
      <c r="D6" s="500"/>
      <c r="E6" s="500"/>
      <c r="F6" s="500"/>
    </row>
    <row r="7" spans="2:6" s="1" customFormat="1" ht="15">
      <c r="B7" s="4"/>
      <c r="C7" s="59"/>
      <c r="D7" s="4"/>
      <c r="E7" s="53"/>
      <c r="F7" s="4"/>
    </row>
    <row r="8" spans="1:5" s="1" customFormat="1" ht="18.75">
      <c r="A8" s="378" t="str">
        <f>'[1]1.mell. -mérleg'!A10</f>
        <v>1.</v>
      </c>
      <c r="B8" s="123" t="str">
        <f>'[1]1.mell. -mérleg'!B10</f>
        <v>BEVÉTELEK:</v>
      </c>
      <c r="C8" s="60"/>
      <c r="E8" s="124"/>
    </row>
    <row r="9" spans="1:6" ht="15.75">
      <c r="A9" s="378" t="str">
        <f>'[1]1.mell. -mérleg'!A11</f>
        <v>1.1.</v>
      </c>
      <c r="B9" s="7" t="str">
        <f>'[1]1.mell. -mérleg'!B11</f>
        <v>MŰKÖDÉSI TÁMOGATÁSOK ÁLLAMHÁZTARTÁSON BELÜLRŐL</v>
      </c>
      <c r="C9" s="60"/>
      <c r="D9" s="1"/>
      <c r="E9" s="125">
        <f>'[1]1.mell. -mérleg'!E11</f>
        <v>35874463</v>
      </c>
      <c r="F9" s="1" t="str">
        <f>'[1]1.mell. -mérleg'!F11</f>
        <v> Ft</v>
      </c>
    </row>
    <row r="10" spans="1:8" ht="15.75">
      <c r="A10" s="378" t="str">
        <f>'[1]1.mell. -mérleg'!A12</f>
        <v>1.1.1.</v>
      </c>
      <c r="B10" s="126" t="str">
        <f>'[1]1.mell. -mérleg'!B12</f>
        <v> ebből:   Helyi önkormányzatok  működésének  általános támogatása</v>
      </c>
      <c r="C10" s="59">
        <f>'[1]1.mell. -mérleg'!C12</f>
        <v>35714003</v>
      </c>
      <c r="D10" s="4" t="str">
        <f>'[1]1.mell. -mérleg'!D12</f>
        <v>e Ft</v>
      </c>
      <c r="E10" s="53"/>
      <c r="H10" s="100"/>
    </row>
    <row r="11" spans="1:6" s="1" customFormat="1" ht="15.75" customHeight="1">
      <c r="A11" s="378" t="str">
        <f>'[1]1.mell. -mérleg'!A13</f>
        <v>1.1.2.</v>
      </c>
      <c r="B11" s="126" t="str">
        <f>'[1]1.mell. -mérleg'!B13</f>
        <v>             Egyéb működési célú támogatások bevételei államháztartáson belülről</v>
      </c>
      <c r="C11" s="59">
        <f>'[1]1.mell. -mérleg'!C13</f>
        <v>160460</v>
      </c>
      <c r="D11" s="4" t="str">
        <f>'[1]1.mell. -mérleg'!D13</f>
        <v>e Ft</v>
      </c>
      <c r="E11" s="53"/>
      <c r="F11" s="4"/>
    </row>
    <row r="12" spans="1:5" s="1" customFormat="1" ht="15.75">
      <c r="A12" s="378"/>
      <c r="B12" s="7"/>
      <c r="C12" s="60"/>
      <c r="E12" s="125"/>
    </row>
    <row r="13" spans="1:6" s="1" customFormat="1" ht="15.75">
      <c r="A13" s="378" t="str">
        <f>'[1]1.mell. -mérleg'!A15</f>
        <v>1.2.</v>
      </c>
      <c r="B13" s="7" t="str">
        <f>'[1]1.mell. -mérleg'!B15</f>
        <v>FELHALMOZÁSI TÁMOGATÁSOK ÁLLAMHÁZTARTÁSON BELÜLRŐL</v>
      </c>
      <c r="C13" s="60"/>
      <c r="E13" s="125"/>
      <c r="F13" s="1" t="str">
        <f>'[1]1.mell. -mérleg'!F15</f>
        <v> Ft</v>
      </c>
    </row>
    <row r="14" spans="1:5" s="1" customFormat="1" ht="15.75">
      <c r="A14" s="378"/>
      <c r="B14" s="7"/>
      <c r="C14" s="60"/>
      <c r="E14" s="125"/>
    </row>
    <row r="15" spans="1:6" s="1" customFormat="1" ht="15.75">
      <c r="A15" s="378" t="str">
        <f>'[1]1.mell. -mérleg'!A17</f>
        <v>1.3.</v>
      </c>
      <c r="B15" s="7" t="str">
        <f>'[1]1.mell. -mérleg'!B17</f>
        <v>KÖZHATALMI BEVÉTELEK</v>
      </c>
      <c r="C15" s="60"/>
      <c r="E15" s="125">
        <f>'[1]1.mell. -mérleg'!E17</f>
        <v>6128056</v>
      </c>
      <c r="F15" s="1" t="str">
        <f>'[1]1.mell. -mérleg'!F17</f>
        <v> Ft</v>
      </c>
    </row>
    <row r="16" spans="1:8" s="1" customFormat="1" ht="15.75">
      <c r="A16" s="378"/>
      <c r="B16" s="7"/>
      <c r="C16" s="60"/>
      <c r="E16" s="125">
        <f>'[1]1.mell. -mérleg'!E18</f>
        <v>0</v>
      </c>
      <c r="H16" s="101"/>
    </row>
    <row r="17" spans="1:6" s="1" customFormat="1" ht="15.75">
      <c r="A17" s="378" t="str">
        <f>'[1]1.mell. -mérleg'!A19</f>
        <v>1.4.</v>
      </c>
      <c r="B17" s="7" t="str">
        <f>'[1]1.mell. -mérleg'!B19</f>
        <v>MŰKÖDÉSI BEVÉTELEK</v>
      </c>
      <c r="C17" s="60"/>
      <c r="E17" s="125">
        <f>'[1]1.mell. -mérleg'!E19</f>
        <v>11024170</v>
      </c>
      <c r="F17" s="1" t="str">
        <f>'[1]1.mell. -mérleg'!F19</f>
        <v> Ft</v>
      </c>
    </row>
    <row r="18" spans="1:5" s="1" customFormat="1" ht="15.75">
      <c r="A18" s="378"/>
      <c r="B18" s="8"/>
      <c r="C18" s="61"/>
      <c r="E18" s="125"/>
    </row>
    <row r="19" spans="1:6" s="1" customFormat="1" ht="15.75">
      <c r="A19" s="378" t="str">
        <f>'[1]1.mell. -mérleg'!A21</f>
        <v>1.5.</v>
      </c>
      <c r="B19" s="7" t="str">
        <f>'[1]1.mell. -mérleg'!B21</f>
        <v>FELHALMOZÁSI BEVÉTELEK</v>
      </c>
      <c r="C19" s="60"/>
      <c r="E19" s="125"/>
      <c r="F19" s="1" t="str">
        <f>'[1]1.mell. -mérleg'!F21</f>
        <v> Ft</v>
      </c>
    </row>
    <row r="20" spans="1:5" s="1" customFormat="1" ht="15.75">
      <c r="A20" s="378"/>
      <c r="B20" s="8"/>
      <c r="C20" s="60"/>
      <c r="E20" s="125"/>
    </row>
    <row r="21" spans="1:6" s="1" customFormat="1" ht="15.75">
      <c r="A21" s="378" t="str">
        <f>'[1]1.mell. -mérleg'!A23</f>
        <v>1.6.</v>
      </c>
      <c r="B21" s="7" t="str">
        <f>'[1]1.mell. -mérleg'!B23</f>
        <v>MŰKÖDÉSI CÉLÚ ÁTVETT PÉNZESZKÖZÖK</v>
      </c>
      <c r="E21" s="125"/>
      <c r="F21" s="1" t="str">
        <f>'[1]1.mell. -mérleg'!F23</f>
        <v> Ft</v>
      </c>
    </row>
    <row r="22" spans="1:8" s="6" customFormat="1" ht="32.25">
      <c r="A22" s="379" t="str">
        <f>'[1]1.mell. -mérleg'!A24</f>
        <v>1.6.1.</v>
      </c>
      <c r="B22" s="126" t="str">
        <f>'[1]1.mell. -mérleg'!B24</f>
        <v> ebből: működési célú visszatérítendő támogatások, kölcsönök visszatérülése államházt.kívülről</v>
      </c>
      <c r="C22" s="61"/>
      <c r="D22" s="1" t="str">
        <f>'[1]1.mell. -mérleg'!D24</f>
        <v>e Ft</v>
      </c>
      <c r="E22" s="125"/>
      <c r="F22" s="1"/>
      <c r="G22" s="1"/>
      <c r="H22" s="102"/>
    </row>
    <row r="23" spans="1:8" ht="18.75">
      <c r="A23" s="378"/>
      <c r="B23" s="56" t="str">
        <f>'[1]1.mell. -mérleg'!B25</f>
        <v>           Egyéb működési célú átvett pénzeszközök</v>
      </c>
      <c r="C23" s="60"/>
      <c r="D23" s="1" t="str">
        <f>'[1]1.mell. -mérleg'!D25</f>
        <v>e Ft</v>
      </c>
      <c r="E23" s="125"/>
      <c r="F23" s="1"/>
      <c r="G23" s="6"/>
      <c r="H23" s="103"/>
    </row>
    <row r="24" spans="1:8" s="1" customFormat="1" ht="18.75">
      <c r="A24" s="378"/>
      <c r="B24" s="70"/>
      <c r="C24" s="59"/>
      <c r="D24" s="4"/>
      <c r="E24" s="127"/>
      <c r="F24" s="6"/>
      <c r="H24" s="104"/>
    </row>
    <row r="25" spans="1:6" s="1" customFormat="1" ht="15.75">
      <c r="A25" s="378" t="str">
        <f>'[1]1.mell. -mérleg'!A27</f>
        <v>1.7.</v>
      </c>
      <c r="B25" s="7" t="str">
        <f>'[1]1.mell. -mérleg'!B27</f>
        <v>FELHALMOZÁSI CÉLÚ ÁTVETT PÉNZESZKÖZÖK</v>
      </c>
      <c r="C25" s="60"/>
      <c r="E25" s="125">
        <f>'[1]1.mell. -mérleg'!E27</f>
        <v>8277879</v>
      </c>
      <c r="F25" s="1" t="str">
        <f>'[1]1.mell. -mérleg'!F27</f>
        <v> Ft</v>
      </c>
    </row>
    <row r="26" spans="1:5" s="1" customFormat="1" ht="31.5">
      <c r="A26" s="378" t="str">
        <f>'[1]1.mell. -mérleg'!A28</f>
        <v>1.7.1.</v>
      </c>
      <c r="B26" s="126" t="str">
        <f>'[1]1.mell. -mérleg'!B28</f>
        <v> ebből: felhalmozási célú visszatérítendő támogatások, kölcsönök visszatérülése államházt.kívülről</v>
      </c>
      <c r="C26" s="60">
        <f>'[1]1.mell. -mérleg'!C28</f>
        <v>2277879</v>
      </c>
      <c r="D26" s="1" t="str">
        <f>'[1]1.mell. -mérleg'!D28</f>
        <v>e Ft</v>
      </c>
      <c r="E26" s="125"/>
    </row>
    <row r="27" spans="1:5" s="1" customFormat="1" ht="15.75">
      <c r="A27" s="378" t="str">
        <f>'[1]1.mell. -mérleg'!A29</f>
        <v>1.7.2.</v>
      </c>
      <c r="B27" s="56" t="str">
        <f>'[1]1.mell. -mérleg'!B29</f>
        <v>           Egyéb felhalmozási célú átvett pénzeszközök</v>
      </c>
      <c r="C27" s="60">
        <f>'[1]1.mell. -mérleg'!C29</f>
        <v>6000000</v>
      </c>
      <c r="D27" s="1" t="str">
        <f>'[1]1.mell. -mérleg'!D29</f>
        <v>e Ft</v>
      </c>
      <c r="E27" s="125"/>
    </row>
    <row r="28" spans="1:5" s="1" customFormat="1" ht="15.75">
      <c r="A28" s="378"/>
      <c r="B28" s="70"/>
      <c r="E28" s="124"/>
    </row>
    <row r="29" spans="1:6" s="1" customFormat="1" ht="15.75">
      <c r="A29" s="378" t="str">
        <f>'[1]1.mell. -mérleg'!A31</f>
        <v>2.</v>
      </c>
      <c r="B29" s="7" t="str">
        <f>'[1]1.mell. -mérleg'!B31</f>
        <v>TÁRGYÉVI BEVÉTELEK ÖSSZESEN:</v>
      </c>
      <c r="E29" s="128">
        <f>'[1]1.mell. -mérleg'!E31</f>
        <v>61304568</v>
      </c>
      <c r="F29" s="1" t="str">
        <f>'[1]1.mell. -mérleg'!F31</f>
        <v> Ft</v>
      </c>
    </row>
    <row r="30" spans="1:5" s="1" customFormat="1" ht="15.75">
      <c r="A30" s="378"/>
      <c r="B30" s="56"/>
      <c r="E30" s="124"/>
    </row>
    <row r="31" spans="1:5" s="1" customFormat="1" ht="18.75">
      <c r="A31" s="378" t="str">
        <f>'[1]1.mell. -mérleg'!A33</f>
        <v>3.</v>
      </c>
      <c r="B31" s="123" t="str">
        <f>'[1]1.mell. -mérleg'!B33</f>
        <v>KIADÁSOK:</v>
      </c>
      <c r="E31" s="124"/>
    </row>
    <row r="32" spans="1:6" s="1" customFormat="1" ht="15.75">
      <c r="A32" s="378" t="str">
        <f>'[1]1.mell. -mérleg'!A34</f>
        <v>3.1.</v>
      </c>
      <c r="B32" s="9" t="str">
        <f>'[1]1.mell. -mérleg'!B34</f>
        <v>MŰKÖDÉSI KIADÁSOK</v>
      </c>
      <c r="C32" s="60"/>
      <c r="E32" s="125">
        <f>'[1]1.mell. -mérleg'!E34</f>
        <v>80595219</v>
      </c>
      <c r="F32" s="1" t="str">
        <f>'[1]1.mell. -mérleg'!F34</f>
        <v> Ft</v>
      </c>
    </row>
    <row r="33" spans="1:5" s="1" customFormat="1" ht="15.75">
      <c r="A33" s="378"/>
      <c r="B33" s="8" t="str">
        <f>'[1]1.mell. -mérleg'!B35</f>
        <v> ebből:</v>
      </c>
      <c r="C33" s="60"/>
      <c r="E33" s="125"/>
    </row>
    <row r="34" spans="1:5" s="1" customFormat="1" ht="15.75">
      <c r="A34" s="378" t="str">
        <f>'[1]1.mell. -mérleg'!A36</f>
        <v>3.1.1.</v>
      </c>
      <c r="B34" s="56" t="str">
        <f>'[1]1.mell. -mérleg'!B36</f>
        <v>       - Személyi juttatások</v>
      </c>
      <c r="C34" s="60">
        <f>'[1]1.mell. -mérleg'!C36</f>
        <v>24850551</v>
      </c>
      <c r="D34" s="1" t="str">
        <f>'[1]1.mell. -mérleg'!D36</f>
        <v> Ft</v>
      </c>
      <c r="E34" s="125"/>
    </row>
    <row r="35" spans="1:5" s="1" customFormat="1" ht="15.75">
      <c r="A35" s="378" t="str">
        <f>'[1]1.mell. -mérleg'!A37</f>
        <v>3.1.2</v>
      </c>
      <c r="B35" s="56" t="str">
        <f>'[1]1.mell. -mérleg'!B37</f>
        <v>       - Munkáltatót terhelő járulékok</v>
      </c>
      <c r="C35" s="60">
        <f>'[1]1.mell. -mérleg'!C37</f>
        <v>4343697</v>
      </c>
      <c r="D35" s="1" t="str">
        <f>'[1]1.mell. -mérleg'!D37</f>
        <v> Ft</v>
      </c>
      <c r="E35" s="125"/>
    </row>
    <row r="36" spans="1:5" s="1" customFormat="1" ht="15.75">
      <c r="A36" s="378" t="str">
        <f>'[1]1.mell. -mérleg'!A38</f>
        <v>3.1.3.</v>
      </c>
      <c r="B36" s="56" t="str">
        <f>'[1]1.mell. -mérleg'!B38</f>
        <v>       - Dologi kiadások</v>
      </c>
      <c r="C36" s="60">
        <f>'[1]1.mell. -mérleg'!C38</f>
        <v>27510946</v>
      </c>
      <c r="D36" s="1" t="str">
        <f>'[1]1.mell. -mérleg'!D38</f>
        <v> Ft</v>
      </c>
      <c r="E36" s="125"/>
    </row>
    <row r="37" spans="1:5" s="1" customFormat="1" ht="15.75">
      <c r="A37" s="378" t="str">
        <f>'[1]1.mell. -mérleg'!A39</f>
        <v>3.1.4.</v>
      </c>
      <c r="B37" s="129" t="str">
        <f>'[1]1.mell. -mérleg'!B39</f>
        <v>       - Ellátottak juttatásai</v>
      </c>
      <c r="C37" s="60">
        <f>'[1]1.mell. -mérleg'!C39</f>
        <v>2700000</v>
      </c>
      <c r="D37" s="1" t="str">
        <f>'[1]1.mell. -mérleg'!D39</f>
        <v> Ft</v>
      </c>
      <c r="E37" s="125"/>
    </row>
    <row r="38" spans="1:5" s="1" customFormat="1" ht="15.75">
      <c r="A38" s="378" t="str">
        <f>'[1]1.mell. -mérleg'!A40</f>
        <v>3.1.5.</v>
      </c>
      <c r="B38" s="56" t="str">
        <f>'[1]1.mell. -mérleg'!B40</f>
        <v>       - egyéb működési kiadások</v>
      </c>
      <c r="C38" s="60">
        <f>'[1]1.mell. -mérleg'!C40</f>
        <v>2570200</v>
      </c>
      <c r="D38" s="1" t="str">
        <f>'[1]1.mell. -mérleg'!D40</f>
        <v> Ft</v>
      </c>
      <c r="E38" s="125"/>
    </row>
    <row r="39" spans="1:5" s="1" customFormat="1" ht="15.75">
      <c r="A39" s="378" t="str">
        <f>'[1]1.mell. -mérleg'!A41</f>
        <v>3.1.6.</v>
      </c>
      <c r="B39" s="56" t="str">
        <f>'[1]1.mell. -mérleg'!B41</f>
        <v>       - Általános tartalék</v>
      </c>
      <c r="C39" s="61">
        <f>'[1]1.mell. -mérleg'!C41</f>
        <v>18619825</v>
      </c>
      <c r="D39" s="1" t="str">
        <f>'[1]1.mell. -mérleg'!D41</f>
        <v>Ft</v>
      </c>
      <c r="E39" s="125"/>
    </row>
    <row r="40" spans="1:6" s="1" customFormat="1" ht="15.75">
      <c r="A40" s="378" t="str">
        <f>'[1]1.mell. -mérleg'!A42</f>
        <v>3.2</v>
      </c>
      <c r="B40" s="9" t="str">
        <f>'[1]1.mell. -mérleg'!B42</f>
        <v>FELHALMOZÁSI KIADÁSOK</v>
      </c>
      <c r="C40" s="60"/>
      <c r="E40" s="130">
        <f>'[1]1.mell. -mérleg'!E42</f>
        <v>100936152</v>
      </c>
      <c r="F40" s="1" t="str">
        <f>'[1]1.mell. -mérleg'!F42</f>
        <v> Ft</v>
      </c>
    </row>
    <row r="41" spans="1:5" s="1" customFormat="1" ht="15.75">
      <c r="A41" s="378"/>
      <c r="B41" s="8" t="str">
        <f>'[1]1.mell. -mérleg'!B43</f>
        <v> ebből:</v>
      </c>
      <c r="C41" s="60"/>
      <c r="E41" s="125"/>
    </row>
    <row r="42" spans="1:5" s="1" customFormat="1" ht="15.75">
      <c r="A42" s="378" t="str">
        <f>'[1]1.mell. -mérleg'!A44</f>
        <v>3.2.1.</v>
      </c>
      <c r="B42" s="56" t="str">
        <f>'[1]1.mell. -mérleg'!B44</f>
        <v>       - Beruházások</v>
      </c>
      <c r="C42" s="61">
        <f>'[1]1.mell. -mérleg'!C44</f>
        <v>10258089</v>
      </c>
      <c r="D42" s="1" t="str">
        <f>'[1]1.mell. -mérleg'!D44</f>
        <v> Ft</v>
      </c>
      <c r="E42" s="125"/>
    </row>
    <row r="43" spans="1:5" s="1" customFormat="1" ht="15.75">
      <c r="A43" s="378" t="str">
        <f>'[1]1.mell. -mérleg'!A45</f>
        <v>3.2.2.</v>
      </c>
      <c r="B43" s="56" t="str">
        <f>'[1]1.mell. -mérleg'!B45</f>
        <v>       - Felújítások</v>
      </c>
      <c r="C43" s="61">
        <f>'[1]1.mell. -mérleg'!C45</f>
        <v>87074490</v>
      </c>
      <c r="D43" s="1" t="str">
        <f>'[1]1.mell. -mérleg'!D45</f>
        <v> Ft</v>
      </c>
      <c r="E43" s="125"/>
    </row>
    <row r="44" spans="1:7" ht="13.5" customHeight="1">
      <c r="A44" s="378" t="str">
        <f>'[1]1.mell. -mérleg'!A46</f>
        <v>3.2.3</v>
      </c>
      <c r="B44" s="56" t="str">
        <f>'[1]1.mell. -mérleg'!B46</f>
        <v>       - egyéb felhalmozási kiadások</v>
      </c>
      <c r="C44" s="61">
        <f>'[1]1.mell. -mérleg'!C46</f>
        <v>3603573</v>
      </c>
      <c r="D44" s="1" t="str">
        <f>'[1]1.mell. -mérleg'!D46</f>
        <v> Ft</v>
      </c>
      <c r="E44" s="125"/>
      <c r="F44" s="1"/>
      <c r="G44" s="1"/>
    </row>
    <row r="45" spans="1:5" s="1" customFormat="1" ht="7.5" customHeight="1" hidden="1">
      <c r="A45" s="1">
        <f>'[1]1.mell. -mérleg'!A47</f>
        <v>0</v>
      </c>
      <c r="B45" s="1">
        <f>'[1]1.mell. -mérleg'!B47</f>
        <v>0</v>
      </c>
      <c r="C45" s="1">
        <f>'[1]1.mell. -mérleg'!C47</f>
        <v>0</v>
      </c>
      <c r="D45" s="1">
        <f>'[1]1.mell. -mérleg'!D47</f>
        <v>0</v>
      </c>
      <c r="E45" s="125"/>
    </row>
    <row r="46" spans="1:6" s="1" customFormat="1" ht="15.75">
      <c r="A46" s="378" t="str">
        <f>'[1]1.mell. -mérleg'!A48</f>
        <v>4.</v>
      </c>
      <c r="B46" s="18" t="str">
        <f>'[1]1.mell. -mérleg'!B48</f>
        <v>FINANSZÍROZÁSI KIADÁSOK</v>
      </c>
      <c r="C46" s="61"/>
      <c r="E46" s="125">
        <f>'[1]1.mell. -mérleg'!E48</f>
        <v>1449359</v>
      </c>
      <c r="F46" s="1" t="str">
        <f>'[1]1.mell. -mérleg'!F48</f>
        <v> Ft</v>
      </c>
    </row>
    <row r="47" spans="1:5" s="1" customFormat="1" ht="15.75">
      <c r="A47" s="378" t="str">
        <f>'[1]1.mell. -mérleg'!A49</f>
        <v>4.1.</v>
      </c>
      <c r="B47" s="56" t="str">
        <f>'[1]1.mell. -mérleg'!B49</f>
        <v> ebből: fejlesztési célú hitelek törlesztése</v>
      </c>
      <c r="C47" s="60"/>
      <c r="D47" s="1" t="str">
        <f>'[1]1.mell. -mérleg'!D49</f>
        <v> Ft</v>
      </c>
      <c r="E47" s="125"/>
    </row>
    <row r="48" spans="1:7" s="6" customFormat="1" ht="18.75">
      <c r="A48" s="380" t="str">
        <f>'[1]1.mell. -mérleg'!A50</f>
        <v>4.2.</v>
      </c>
      <c r="B48" s="56" t="str">
        <f>'[1]1.mell. -mérleg'!B50</f>
        <v>           befektetési célú részesedések vásárlása</v>
      </c>
      <c r="C48" s="60"/>
      <c r="D48" s="1" t="str">
        <f>'[1]1.mell. -mérleg'!D50</f>
        <v> Ft</v>
      </c>
      <c r="E48" s="125"/>
      <c r="F48" s="1"/>
      <c r="G48" s="4"/>
    </row>
    <row r="49" spans="1:7" ht="15.75">
      <c r="A49" s="378" t="str">
        <f>'[1]1.mell. -mérleg'!A51</f>
        <v>4.3.</v>
      </c>
      <c r="B49" s="56" t="str">
        <f>'[1]1.mell. -mérleg'!B51</f>
        <v>          Áht-n belüli megelőlegezések visszafizetése</v>
      </c>
      <c r="C49" s="61">
        <f>'[1]1.mell. -mérleg'!C51</f>
        <v>1449359</v>
      </c>
      <c r="D49" s="1" t="str">
        <f>'[1]1.mell. -mérleg'!D51</f>
        <v> Ft</v>
      </c>
      <c r="E49" s="125"/>
      <c r="F49" s="1"/>
      <c r="G49" s="1"/>
    </row>
    <row r="50" spans="1:7" ht="15.75">
      <c r="A50" s="378" t="str">
        <f>'[1]1.mell. -mérleg'!A52</f>
        <v>5.</v>
      </c>
      <c r="B50" s="7" t="str">
        <f>'[1]1.mell. -mérleg'!B52</f>
        <v>TÁRGYÉVI KIADÁSOK ÖSSZESEN:</v>
      </c>
      <c r="C50" s="61"/>
      <c r="D50" s="1"/>
      <c r="E50" s="53">
        <f>'[1]1.mell. -mérleg'!E52</f>
        <v>182980730</v>
      </c>
      <c r="F50" s="4" t="str">
        <f>'[1]1.mell. -mérleg'!F52</f>
        <v> Ft</v>
      </c>
      <c r="G50" s="1"/>
    </row>
    <row r="51" spans="1:7" ht="15.75">
      <c r="A51" s="378"/>
      <c r="B51" s="56"/>
      <c r="C51" s="60"/>
      <c r="D51" s="1"/>
      <c r="E51" s="130"/>
      <c r="F51" s="1"/>
      <c r="G51" s="1"/>
    </row>
    <row r="52" spans="1:7" ht="18.75">
      <c r="A52" s="378" t="str">
        <f>'[1]1.mell. -mérleg'!A54</f>
        <v>6.</v>
      </c>
      <c r="B52" s="7" t="str">
        <f>'[1]1.mell. -mérleg'!B54</f>
        <v>TÁRGYÉVI BEVÉTELEK ÉS KIADÁSOK EGYENLEGE:</v>
      </c>
      <c r="C52" s="60"/>
      <c r="D52" s="1"/>
      <c r="E52" s="53">
        <f>'[1]1.mell. -mérleg'!E54</f>
        <v>-121676162</v>
      </c>
      <c r="F52" s="4" t="str">
        <f>'[1]1.mell. -mérleg'!F54</f>
        <v> Ft</v>
      </c>
      <c r="G52" s="6"/>
    </row>
    <row r="53" spans="1:5" ht="15.75">
      <c r="A53" s="378"/>
      <c r="B53" s="56"/>
      <c r="C53" s="60"/>
      <c r="D53" s="1"/>
      <c r="E53" s="53"/>
    </row>
    <row r="54" spans="1:6" ht="32.25">
      <c r="A54" s="378" t="str">
        <f>'[1]1.mell. -mérleg'!A56</f>
        <v>7.</v>
      </c>
      <c r="B54" s="118" t="str">
        <f>'[1]1.mell. -mérleg'!B56</f>
        <v>ELŐZŐ ÉVEK KÖLTSÉGVETÉSI MARADVÁNY IGÉNYBEVÉTELE </v>
      </c>
      <c r="C54" s="62"/>
      <c r="D54" s="6"/>
      <c r="E54" s="53">
        <f>'[1]1.mell. -mérleg'!E56</f>
        <v>120226803</v>
      </c>
      <c r="F54" s="4" t="str">
        <f>'[1]1.mell. -mérleg'!F56</f>
        <v> Ft</v>
      </c>
    </row>
    <row r="55" spans="1:7" s="1" customFormat="1" ht="15.75">
      <c r="A55" s="378" t="str">
        <f>'[1]1.mell. -mérleg'!A57</f>
        <v>8.</v>
      </c>
      <c r="B55" s="21" t="str">
        <f>'[1]1.mell. -mérleg'!B57</f>
        <v>2019.ÉVBEN MEGELŐLEGEZETT ÁLLAMI TÁMOGATÁS</v>
      </c>
      <c r="C55" s="59"/>
      <c r="D55" s="4"/>
      <c r="E55" s="53">
        <f>'[1]1.mell. -mérleg'!E57</f>
        <v>1449359</v>
      </c>
      <c r="F55" s="4" t="str">
        <f>'[1]1.mell. -mérleg'!F57</f>
        <v>Ft</v>
      </c>
      <c r="G55" s="4"/>
    </row>
    <row r="56" spans="1:6" ht="15.75">
      <c r="A56" s="381" t="str">
        <f>'[1]1.mell. -mérleg'!A58</f>
        <v>9.</v>
      </c>
      <c r="B56" s="7" t="str">
        <f>'[1]1.mell. -mérleg'!B58</f>
        <v>TÁRGYÉVI KÖLTSÉGVETÉS EGYENLEGE</v>
      </c>
      <c r="E56" s="53">
        <f>'[1]1.mell. -mérleg'!E58</f>
        <v>0</v>
      </c>
      <c r="F56" s="4" t="str">
        <f>'[1]1.mell. -mérleg'!F58</f>
        <v> Ft</v>
      </c>
    </row>
    <row r="57" spans="2:5" s="1" customFormat="1" ht="10.5" customHeight="1">
      <c r="B57" s="5"/>
      <c r="C57" s="60"/>
      <c r="E57" s="24"/>
    </row>
    <row r="58" spans="2:6" ht="15.75">
      <c r="B58" s="5"/>
      <c r="C58" s="60"/>
      <c r="D58" s="1"/>
      <c r="E58" s="24"/>
      <c r="F58" s="7"/>
    </row>
    <row r="59" spans="2:6" ht="15.75">
      <c r="B59" s="7"/>
      <c r="E59" s="25"/>
      <c r="F59" s="7"/>
    </row>
  </sheetData>
  <sheetProtection/>
  <mergeCells count="5">
    <mergeCell ref="B1:F1"/>
    <mergeCell ref="B6:F6"/>
    <mergeCell ref="B4:F4"/>
    <mergeCell ref="B3:F3"/>
    <mergeCell ref="B5:F5"/>
  </mergeCells>
  <printOptions horizontalCentered="1"/>
  <pageMargins left="0.1968503937007874" right="0.1968503937007874" top="0" bottom="0" header="0.5118110236220472" footer="0.5118110236220472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0"/>
  <sheetViews>
    <sheetView zoomScalePageLayoutView="0" workbookViewId="0" topLeftCell="A99">
      <selection activeCell="A103" sqref="A103:IV103"/>
    </sheetView>
  </sheetViews>
  <sheetFormatPr defaultColWidth="9.00390625" defaultRowHeight="12.75"/>
  <cols>
    <col min="1" max="1" width="4.25390625" style="69" customWidth="1"/>
    <col min="2" max="5" width="3.125" style="67" customWidth="1"/>
    <col min="6" max="6" width="54.25390625" style="8" customWidth="1"/>
    <col min="7" max="7" width="13.25390625" style="8" customWidth="1"/>
    <col min="8" max="8" width="12.625" style="8" customWidth="1"/>
    <col min="9" max="9" width="9.375" style="8" customWidth="1"/>
    <col min="10" max="10" width="9.125" style="8" customWidth="1"/>
    <col min="11" max="11" width="10.125" style="8" bestFit="1" customWidth="1"/>
    <col min="12" max="16384" width="9.125" style="8" customWidth="1"/>
  </cols>
  <sheetData>
    <row r="1" spans="1:9" ht="15.75">
      <c r="A1" s="499" t="s">
        <v>499</v>
      </c>
      <c r="B1" s="499"/>
      <c r="C1" s="499"/>
      <c r="D1" s="499"/>
      <c r="E1" s="499"/>
      <c r="F1" s="499"/>
      <c r="G1" s="499"/>
      <c r="H1" s="499"/>
      <c r="I1" s="499"/>
    </row>
    <row r="2" spans="1:9" s="9" customFormat="1" ht="15.75">
      <c r="A2" s="514" t="s">
        <v>4</v>
      </c>
      <c r="B2" s="514"/>
      <c r="C2" s="514"/>
      <c r="D2" s="514"/>
      <c r="E2" s="514"/>
      <c r="F2" s="514"/>
      <c r="G2" s="514"/>
      <c r="H2" s="514"/>
      <c r="I2" s="514"/>
    </row>
    <row r="3" spans="1:9" s="9" customFormat="1" ht="15.75">
      <c r="A3" s="514" t="s">
        <v>33</v>
      </c>
      <c r="B3" s="514"/>
      <c r="C3" s="514"/>
      <c r="D3" s="514"/>
      <c r="E3" s="514"/>
      <c r="F3" s="514"/>
      <c r="G3" s="514"/>
      <c r="H3" s="514"/>
      <c r="I3" s="514"/>
    </row>
    <row r="4" spans="1:9" ht="15.75">
      <c r="A4" s="514" t="s">
        <v>480</v>
      </c>
      <c r="B4" s="514"/>
      <c r="C4" s="514"/>
      <c r="D4" s="514"/>
      <c r="E4" s="514"/>
      <c r="F4" s="514"/>
      <c r="G4" s="514"/>
      <c r="H4" s="514"/>
      <c r="I4" s="514"/>
    </row>
    <row r="5" ht="15.75" customHeight="1" hidden="1"/>
    <row r="6" spans="1:9" ht="15.75">
      <c r="A6" s="504"/>
      <c r="B6" s="504"/>
      <c r="C6" s="504"/>
      <c r="D6" s="504"/>
      <c r="E6" s="504"/>
      <c r="F6" s="504"/>
      <c r="G6" s="504"/>
      <c r="H6" s="504"/>
      <c r="I6" s="504"/>
    </row>
    <row r="7" spans="1:9" s="67" customFormat="1" ht="19.5" customHeight="1" thickBot="1">
      <c r="A7" s="69"/>
      <c r="F7" s="8"/>
      <c r="G7" s="8"/>
      <c r="H7" s="71"/>
      <c r="I7" s="72" t="s">
        <v>391</v>
      </c>
    </row>
    <row r="8" spans="1:9" ht="19.5" customHeight="1">
      <c r="A8" s="505" t="s">
        <v>17</v>
      </c>
      <c r="B8" s="506"/>
      <c r="C8" s="506"/>
      <c r="D8" s="506"/>
      <c r="E8" s="506"/>
      <c r="F8" s="507"/>
      <c r="G8" s="73" t="s">
        <v>15</v>
      </c>
      <c r="H8" s="73" t="s">
        <v>15</v>
      </c>
      <c r="I8" s="73" t="s">
        <v>16</v>
      </c>
    </row>
    <row r="9" spans="1:9" ht="19.5" customHeight="1">
      <c r="A9" s="508"/>
      <c r="B9" s="509"/>
      <c r="C9" s="509"/>
      <c r="D9" s="509"/>
      <c r="E9" s="509"/>
      <c r="F9" s="510"/>
      <c r="G9" s="74" t="s">
        <v>9</v>
      </c>
      <c r="H9" s="74" t="s">
        <v>9</v>
      </c>
      <c r="I9" s="74"/>
    </row>
    <row r="10" spans="1:9" ht="19.5" customHeight="1" thickBot="1">
      <c r="A10" s="511"/>
      <c r="B10" s="512"/>
      <c r="C10" s="512"/>
      <c r="D10" s="512"/>
      <c r="E10" s="512"/>
      <c r="F10" s="513"/>
      <c r="G10" s="75" t="s">
        <v>464</v>
      </c>
      <c r="H10" s="75" t="s">
        <v>480</v>
      </c>
      <c r="I10" s="75" t="s">
        <v>18</v>
      </c>
    </row>
    <row r="11" spans="1:9" ht="6.75" customHeight="1">
      <c r="A11" s="325"/>
      <c r="B11" s="325"/>
      <c r="C11" s="325"/>
      <c r="D11" s="325"/>
      <c r="E11" s="325"/>
      <c r="F11" s="325"/>
      <c r="G11" s="325"/>
      <c r="H11" s="325"/>
      <c r="I11" s="325"/>
    </row>
    <row r="12" spans="1:9" ht="15.75" customHeight="1">
      <c r="A12" s="18" t="s">
        <v>42</v>
      </c>
      <c r="B12" s="503" t="s">
        <v>73</v>
      </c>
      <c r="C12" s="503"/>
      <c r="D12" s="503"/>
      <c r="E12" s="503"/>
      <c r="F12" s="503"/>
      <c r="G12" s="108"/>
      <c r="H12" s="109"/>
      <c r="I12" s="108"/>
    </row>
    <row r="13" spans="1:9" ht="15.75">
      <c r="A13" s="18"/>
      <c r="B13" s="18" t="s">
        <v>42</v>
      </c>
      <c r="C13" s="18" t="s">
        <v>74</v>
      </c>
      <c r="D13" s="18"/>
      <c r="E13" s="18"/>
      <c r="F13" s="18"/>
      <c r="G13" s="51"/>
      <c r="H13" s="51"/>
      <c r="I13" s="18"/>
    </row>
    <row r="14" spans="1:9" ht="18" customHeight="1">
      <c r="A14" s="18"/>
      <c r="B14" s="18"/>
      <c r="C14" s="18" t="s">
        <v>39</v>
      </c>
      <c r="D14" s="503" t="s">
        <v>75</v>
      </c>
      <c r="E14" s="503"/>
      <c r="F14" s="503"/>
      <c r="G14" s="109"/>
      <c r="H14" s="109"/>
      <c r="I14" s="108"/>
    </row>
    <row r="15" spans="1:9" ht="21.75" customHeight="1">
      <c r="A15" s="18"/>
      <c r="B15" s="18"/>
      <c r="C15" s="18"/>
      <c r="D15" s="18" t="s">
        <v>39</v>
      </c>
      <c r="E15" s="503" t="s">
        <v>76</v>
      </c>
      <c r="F15" s="503"/>
      <c r="G15" s="109"/>
      <c r="H15" s="109"/>
      <c r="I15" s="108"/>
    </row>
    <row r="16" spans="1:9" ht="15.75">
      <c r="A16" s="21"/>
      <c r="B16" s="21"/>
      <c r="C16" s="21"/>
      <c r="D16" s="21"/>
      <c r="E16" s="21" t="s">
        <v>49</v>
      </c>
      <c r="F16" s="21" t="s">
        <v>43</v>
      </c>
      <c r="G16" s="50"/>
      <c r="H16" s="50"/>
      <c r="I16" s="110"/>
    </row>
    <row r="17" spans="1:9" ht="17.25" customHeight="1">
      <c r="A17" s="21"/>
      <c r="B17" s="21"/>
      <c r="C17" s="21"/>
      <c r="D17" s="21"/>
      <c r="E17" s="21"/>
      <c r="F17" s="21" t="s">
        <v>77</v>
      </c>
      <c r="G17" s="50"/>
      <c r="I17" s="110"/>
    </row>
    <row r="18" spans="1:9" ht="17.25" customHeight="1">
      <c r="A18" s="21"/>
      <c r="B18" s="21"/>
      <c r="C18" s="21"/>
      <c r="D18" s="21"/>
      <c r="E18" s="21" t="s">
        <v>50</v>
      </c>
      <c r="F18" s="111" t="s">
        <v>44</v>
      </c>
      <c r="G18" s="112"/>
      <c r="I18" s="110"/>
    </row>
    <row r="19" spans="1:9" ht="36.75" customHeight="1">
      <c r="A19" s="21"/>
      <c r="B19" s="21"/>
      <c r="C19" s="21"/>
      <c r="D19" s="21"/>
      <c r="E19" s="21" t="s">
        <v>78</v>
      </c>
      <c r="F19" s="111" t="s">
        <v>79</v>
      </c>
      <c r="G19" s="341">
        <f>2553350</f>
        <v>2553350</v>
      </c>
      <c r="H19" s="341">
        <v>2885400</v>
      </c>
      <c r="I19" s="110">
        <f>H19/G19*100</f>
        <v>113.00448430493273</v>
      </c>
    </row>
    <row r="20" spans="1:9" ht="15.75">
      <c r="A20" s="21"/>
      <c r="B20" s="21"/>
      <c r="C20" s="21"/>
      <c r="D20" s="21"/>
      <c r="E20" s="21"/>
      <c r="F20" s="21" t="s">
        <v>77</v>
      </c>
      <c r="G20" s="341"/>
      <c r="H20" s="341"/>
      <c r="I20" s="110"/>
    </row>
    <row r="21" spans="1:9" ht="15.75">
      <c r="A21" s="21"/>
      <c r="B21" s="21"/>
      <c r="C21" s="21"/>
      <c r="D21" s="21"/>
      <c r="E21" s="21" t="s">
        <v>80</v>
      </c>
      <c r="F21" s="111" t="s">
        <v>81</v>
      </c>
      <c r="G21" s="341">
        <v>3072000</v>
      </c>
      <c r="H21" s="341">
        <v>3072000</v>
      </c>
      <c r="I21" s="110">
        <f>H21/G21*100</f>
        <v>100</v>
      </c>
    </row>
    <row r="22" spans="1:9" ht="15.75">
      <c r="A22" s="21"/>
      <c r="B22" s="21"/>
      <c r="C22" s="21"/>
      <c r="D22" s="21"/>
      <c r="E22" s="21"/>
      <c r="F22" s="21" t="s">
        <v>77</v>
      </c>
      <c r="G22" s="341"/>
      <c r="H22" s="341"/>
      <c r="I22" s="110"/>
    </row>
    <row r="23" spans="1:9" ht="17.25" customHeight="1">
      <c r="A23" s="21"/>
      <c r="B23" s="21"/>
      <c r="C23" s="21"/>
      <c r="D23" s="21"/>
      <c r="E23" s="21" t="s">
        <v>82</v>
      </c>
      <c r="F23" s="111" t="s">
        <v>83</v>
      </c>
      <c r="G23" s="341">
        <v>100000</v>
      </c>
      <c r="H23" s="341">
        <v>100000</v>
      </c>
      <c r="I23" s="110">
        <f>H23/G23*100</f>
        <v>100</v>
      </c>
    </row>
    <row r="24" spans="1:9" ht="15.75">
      <c r="A24" s="21"/>
      <c r="B24" s="21"/>
      <c r="C24" s="21"/>
      <c r="D24" s="21"/>
      <c r="E24" s="21"/>
      <c r="F24" s="21" t="s">
        <v>77</v>
      </c>
      <c r="G24" s="341"/>
      <c r="H24" s="341"/>
      <c r="I24" s="110"/>
    </row>
    <row r="25" spans="1:9" ht="15.75">
      <c r="A25" s="21"/>
      <c r="B25" s="21"/>
      <c r="C25" s="21"/>
      <c r="D25" s="21"/>
      <c r="E25" s="21" t="s">
        <v>84</v>
      </c>
      <c r="F25" s="111" t="s">
        <v>85</v>
      </c>
      <c r="G25" s="341">
        <v>7506890</v>
      </c>
      <c r="H25" s="341">
        <v>7416090</v>
      </c>
      <c r="I25" s="110">
        <f>H25/G25*100</f>
        <v>98.79044451164198</v>
      </c>
    </row>
    <row r="26" spans="1:9" s="57" customFormat="1" ht="15.75">
      <c r="A26" s="21"/>
      <c r="B26" s="21"/>
      <c r="C26" s="21"/>
      <c r="D26" s="21"/>
      <c r="E26" s="21"/>
      <c r="F26" s="21" t="s">
        <v>77</v>
      </c>
      <c r="G26" s="342"/>
      <c r="H26" s="342"/>
      <c r="I26" s="110"/>
    </row>
    <row r="27" spans="1:9" ht="15.75">
      <c r="A27" s="21"/>
      <c r="B27" s="21"/>
      <c r="C27" s="21"/>
      <c r="D27" s="21" t="s">
        <v>51</v>
      </c>
      <c r="E27" s="21" t="s">
        <v>86</v>
      </c>
      <c r="F27" s="21"/>
      <c r="G27" s="341">
        <v>5000000</v>
      </c>
      <c r="H27" s="341">
        <v>5000000</v>
      </c>
      <c r="I27" s="110">
        <f>H27/G27*100</f>
        <v>100</v>
      </c>
    </row>
    <row r="28" spans="1:9" ht="15.75">
      <c r="A28" s="21"/>
      <c r="B28" s="21"/>
      <c r="C28" s="21"/>
      <c r="D28" s="21"/>
      <c r="E28" s="21"/>
      <c r="F28" s="21" t="s">
        <v>77</v>
      </c>
      <c r="G28" s="341"/>
      <c r="H28" s="341"/>
      <c r="I28" s="110"/>
    </row>
    <row r="29" spans="1:9" ht="15.75">
      <c r="A29" s="21"/>
      <c r="B29" s="21"/>
      <c r="C29" s="21"/>
      <c r="D29" s="21"/>
      <c r="E29" s="21" t="s">
        <v>392</v>
      </c>
      <c r="F29" s="21"/>
      <c r="G29" s="341"/>
      <c r="H29" s="341">
        <v>4231957</v>
      </c>
      <c r="I29" s="110"/>
    </row>
    <row r="30" spans="1:9" ht="15.75">
      <c r="A30" s="21"/>
      <c r="B30" s="21"/>
      <c r="C30" s="21"/>
      <c r="D30" s="21" t="s">
        <v>52</v>
      </c>
      <c r="E30" s="21" t="s">
        <v>139</v>
      </c>
      <c r="F30" s="21"/>
      <c r="G30" s="341">
        <v>17850</v>
      </c>
      <c r="H30" s="341">
        <v>17850</v>
      </c>
      <c r="I30" s="110">
        <f>H30/G30*100</f>
        <v>100</v>
      </c>
    </row>
    <row r="31" spans="1:9" ht="15.75">
      <c r="A31" s="21"/>
      <c r="B31" s="21"/>
      <c r="C31" s="21"/>
      <c r="D31" s="21" t="s">
        <v>140</v>
      </c>
      <c r="E31" s="21" t="s">
        <v>99</v>
      </c>
      <c r="F31" s="21"/>
      <c r="G31" s="341">
        <v>423800</v>
      </c>
      <c r="H31" s="341">
        <f>525200-417779</f>
        <v>107421</v>
      </c>
      <c r="I31" s="110">
        <f>H31/G31*100</f>
        <v>25.347097687588484</v>
      </c>
    </row>
    <row r="32" spans="1:9" ht="15.75" customHeight="1">
      <c r="A32" s="21"/>
      <c r="B32" s="21"/>
      <c r="C32" s="21" t="s">
        <v>22</v>
      </c>
      <c r="D32" s="515" t="s">
        <v>87</v>
      </c>
      <c r="E32" s="515"/>
      <c r="F32" s="515"/>
      <c r="G32" s="341">
        <v>3000</v>
      </c>
      <c r="H32" s="341"/>
      <c r="I32" s="110"/>
    </row>
    <row r="33" spans="1:9" ht="16.5" customHeight="1">
      <c r="A33" s="21"/>
      <c r="B33" s="21"/>
      <c r="C33" s="21" t="s">
        <v>98</v>
      </c>
      <c r="D33" s="21" t="s">
        <v>424</v>
      </c>
      <c r="E33" s="21"/>
      <c r="F33" s="21"/>
      <c r="G33" s="341">
        <v>1120500</v>
      </c>
      <c r="H33" s="341">
        <v>1024800</v>
      </c>
      <c r="I33" s="110">
        <f>H33/G33*100</f>
        <v>91.45917001338688</v>
      </c>
    </row>
    <row r="34" spans="1:9" ht="21" customHeight="1">
      <c r="A34" s="114"/>
      <c r="B34" s="114"/>
      <c r="C34" s="115"/>
      <c r="D34" s="517" t="s">
        <v>88</v>
      </c>
      <c r="E34" s="517"/>
      <c r="F34" s="517"/>
      <c r="G34" s="343">
        <f>SUM(G16:G33)</f>
        <v>19797390</v>
      </c>
      <c r="H34" s="343">
        <f>SUM(H16:H33)</f>
        <v>23855518</v>
      </c>
      <c r="I34" s="110">
        <f>H34/G34*100</f>
        <v>120.49829800796974</v>
      </c>
    </row>
    <row r="35" spans="1:9" ht="33" customHeight="1">
      <c r="A35" s="21"/>
      <c r="B35" s="18" t="s">
        <v>46</v>
      </c>
      <c r="C35" s="18" t="s">
        <v>40</v>
      </c>
      <c r="D35" s="503" t="s">
        <v>89</v>
      </c>
      <c r="E35" s="503"/>
      <c r="F35" s="503"/>
      <c r="G35" s="341"/>
      <c r="H35" s="341"/>
      <c r="I35" s="110"/>
    </row>
    <row r="36" spans="1:9" ht="15.75">
      <c r="A36" s="21"/>
      <c r="B36" s="21"/>
      <c r="C36" s="21"/>
      <c r="D36" s="21" t="s">
        <v>39</v>
      </c>
      <c r="E36" s="21" t="s">
        <v>141</v>
      </c>
      <c r="F36" s="21"/>
      <c r="G36" s="341"/>
      <c r="H36" s="341"/>
      <c r="I36" s="110"/>
    </row>
    <row r="37" spans="1:9" ht="30.75" customHeight="1">
      <c r="A37" s="21"/>
      <c r="B37" s="21"/>
      <c r="C37" s="21"/>
      <c r="D37" s="21" t="s">
        <v>22</v>
      </c>
      <c r="E37" s="515" t="s">
        <v>142</v>
      </c>
      <c r="F37" s="515"/>
      <c r="G37" s="341">
        <v>2728000</v>
      </c>
      <c r="H37" s="341">
        <v>3289000</v>
      </c>
      <c r="I37" s="110">
        <f>H37/G37*100</f>
        <v>120.56451612903226</v>
      </c>
    </row>
    <row r="38" spans="1:9" ht="15.75">
      <c r="A38" s="21"/>
      <c r="B38" s="21"/>
      <c r="C38" s="21"/>
      <c r="D38" s="21" t="s">
        <v>40</v>
      </c>
      <c r="E38" s="21" t="s">
        <v>90</v>
      </c>
      <c r="F38" s="21"/>
      <c r="G38" s="341">
        <v>719680</v>
      </c>
      <c r="H38" s="341">
        <f>849680+130720+15000</f>
        <v>995400</v>
      </c>
      <c r="I38" s="110">
        <f>H38/G38*100</f>
        <v>138.311471765229</v>
      </c>
    </row>
    <row r="39" spans="1:9" ht="15.75">
      <c r="A39" s="21"/>
      <c r="B39" s="21"/>
      <c r="C39" s="21"/>
      <c r="D39" s="21" t="s">
        <v>92</v>
      </c>
      <c r="E39" s="21" t="s">
        <v>93</v>
      </c>
      <c r="F39" s="21"/>
      <c r="G39" s="341"/>
      <c r="H39" s="341"/>
      <c r="I39" s="110"/>
    </row>
    <row r="40" spans="1:9" ht="31.5">
      <c r="A40" s="21"/>
      <c r="B40" s="21"/>
      <c r="C40" s="21"/>
      <c r="D40" s="21"/>
      <c r="E40" s="21" t="s">
        <v>49</v>
      </c>
      <c r="F40" s="111" t="s">
        <v>425</v>
      </c>
      <c r="G40" s="341">
        <v>1900000</v>
      </c>
      <c r="H40" s="341">
        <f>2288000-616000+133760</f>
        <v>1805760</v>
      </c>
      <c r="I40" s="110">
        <f>H40/G40*100</f>
        <v>95.04</v>
      </c>
    </row>
    <row r="41" spans="1:9" ht="15.75">
      <c r="A41" s="21"/>
      <c r="B41" s="21"/>
      <c r="C41" s="21"/>
      <c r="D41" s="21"/>
      <c r="E41" s="21" t="s">
        <v>50</v>
      </c>
      <c r="F41" s="21" t="s">
        <v>426</v>
      </c>
      <c r="G41" s="341">
        <v>4072068</v>
      </c>
      <c r="H41" s="341">
        <f>3733995-84730</f>
        <v>3649265</v>
      </c>
      <c r="I41" s="110">
        <f>H41/G41*100</f>
        <v>89.61699559044692</v>
      </c>
    </row>
    <row r="42" spans="1:9" ht="33.75" customHeight="1">
      <c r="A42" s="114"/>
      <c r="B42" s="114"/>
      <c r="C42" s="517" t="s">
        <v>94</v>
      </c>
      <c r="D42" s="517"/>
      <c r="E42" s="517"/>
      <c r="F42" s="517"/>
      <c r="G42" s="344">
        <f>SUM(G36:G41)</f>
        <v>9419748</v>
      </c>
      <c r="H42" s="344">
        <f>SUM(H36:H41)</f>
        <v>9739425</v>
      </c>
      <c r="I42" s="110">
        <f>H42/G42*100</f>
        <v>103.39368951271308</v>
      </c>
    </row>
    <row r="43" spans="1:9" ht="3" customHeight="1">
      <c r="A43" s="114"/>
      <c r="B43" s="114"/>
      <c r="C43" s="323"/>
      <c r="D43" s="323"/>
      <c r="E43" s="323"/>
      <c r="F43" s="323"/>
      <c r="G43" s="344"/>
      <c r="H43" s="341"/>
      <c r="I43" s="110"/>
    </row>
    <row r="44" spans="1:9" ht="14.25" customHeight="1">
      <c r="A44" s="21"/>
      <c r="B44" s="21"/>
      <c r="C44" s="18" t="s">
        <v>91</v>
      </c>
      <c r="D44" s="503" t="s">
        <v>95</v>
      </c>
      <c r="E44" s="503"/>
      <c r="F44" s="503"/>
      <c r="G44" s="345"/>
      <c r="H44" s="341"/>
      <c r="I44" s="110"/>
    </row>
    <row r="45" spans="1:9" ht="15.75" customHeight="1">
      <c r="A45" s="21"/>
      <c r="B45" s="21"/>
      <c r="C45" s="21"/>
      <c r="D45" s="21" t="s">
        <v>39</v>
      </c>
      <c r="E45" s="515" t="s">
        <v>47</v>
      </c>
      <c r="F45" s="515"/>
      <c r="G45" s="346"/>
      <c r="H45" s="341"/>
      <c r="I45" s="110"/>
    </row>
    <row r="46" spans="1:9" ht="31.5">
      <c r="A46" s="21"/>
      <c r="B46" s="21"/>
      <c r="C46" s="21"/>
      <c r="D46" s="21"/>
      <c r="E46" s="21" t="s">
        <v>52</v>
      </c>
      <c r="F46" s="111" t="s">
        <v>96</v>
      </c>
      <c r="G46" s="346">
        <v>1800000</v>
      </c>
      <c r="H46" s="341">
        <f>1800000+319060</f>
        <v>2119060</v>
      </c>
      <c r="I46" s="110">
        <f>H46/G46*100</f>
        <v>117.72555555555554</v>
      </c>
    </row>
    <row r="47" spans="1:9" ht="30" customHeight="1">
      <c r="A47" s="114"/>
      <c r="B47" s="114"/>
      <c r="C47" s="516" t="s">
        <v>97</v>
      </c>
      <c r="D47" s="516"/>
      <c r="E47" s="516"/>
      <c r="F47" s="516"/>
      <c r="G47" s="344">
        <f>SUM(G46:G46)</f>
        <v>1800000</v>
      </c>
      <c r="H47" s="344">
        <f>SUM(H46:H46)</f>
        <v>2119060</v>
      </c>
      <c r="I47" s="110">
        <f>H47/G47*100</f>
        <v>117.72555555555554</v>
      </c>
    </row>
    <row r="48" spans="1:9" ht="15.75" customHeight="1">
      <c r="A48" s="116"/>
      <c r="B48" s="503" t="s">
        <v>100</v>
      </c>
      <c r="C48" s="503"/>
      <c r="D48" s="503"/>
      <c r="E48" s="503"/>
      <c r="F48" s="503"/>
      <c r="G48" s="349">
        <f>G34+G42+G47</f>
        <v>31017138</v>
      </c>
      <c r="H48" s="349">
        <f>H34+H42+H47</f>
        <v>35714003</v>
      </c>
      <c r="I48" s="110">
        <f>H48/G48*100</f>
        <v>115.14280589008567</v>
      </c>
    </row>
    <row r="49" spans="1:9" ht="12" customHeight="1">
      <c r="A49" s="116"/>
      <c r="B49" s="107" t="s">
        <v>45</v>
      </c>
      <c r="C49" s="503" t="s">
        <v>519</v>
      </c>
      <c r="D49" s="521"/>
      <c r="E49" s="521"/>
      <c r="F49" s="521"/>
      <c r="G49" s="349"/>
      <c r="H49" s="349"/>
      <c r="I49" s="110"/>
    </row>
    <row r="50" spans="1:9" ht="36" customHeight="1">
      <c r="A50" s="116"/>
      <c r="B50" s="118"/>
      <c r="C50" s="118" t="s">
        <v>39</v>
      </c>
      <c r="D50" s="515" t="s">
        <v>520</v>
      </c>
      <c r="E50" s="832"/>
      <c r="F50" s="832"/>
      <c r="G50" s="833"/>
      <c r="H50" s="833">
        <v>32100</v>
      </c>
      <c r="I50" s="110"/>
    </row>
    <row r="51" spans="1:9" s="76" customFormat="1" ht="32.25" customHeight="1">
      <c r="A51" s="116"/>
      <c r="B51" s="118"/>
      <c r="C51" s="118" t="s">
        <v>22</v>
      </c>
      <c r="D51" s="515" t="s">
        <v>521</v>
      </c>
      <c r="E51" s="832"/>
      <c r="F51" s="832"/>
      <c r="G51" s="833"/>
      <c r="H51" s="833">
        <v>128360</v>
      </c>
      <c r="I51" s="110"/>
    </row>
    <row r="52" spans="1:9" ht="15.75" customHeight="1">
      <c r="A52" s="116"/>
      <c r="B52" s="118"/>
      <c r="C52" s="515" t="s">
        <v>522</v>
      </c>
      <c r="D52" s="832"/>
      <c r="E52" s="832"/>
      <c r="F52" s="832"/>
      <c r="G52" s="833"/>
      <c r="H52" s="833"/>
      <c r="I52" s="110"/>
    </row>
    <row r="53" spans="1:9" ht="18" customHeight="1">
      <c r="A53" s="116"/>
      <c r="B53" s="118"/>
      <c r="C53" s="515" t="s">
        <v>523</v>
      </c>
      <c r="D53" s="832"/>
      <c r="E53" s="832"/>
      <c r="F53" s="832"/>
      <c r="G53" s="833"/>
      <c r="H53" s="833"/>
      <c r="I53" s="110"/>
    </row>
    <row r="54" spans="1:9" ht="14.25" customHeight="1">
      <c r="A54" s="116"/>
      <c r="B54" s="517" t="s">
        <v>524</v>
      </c>
      <c r="C54" s="834"/>
      <c r="D54" s="834"/>
      <c r="E54" s="834"/>
      <c r="F54" s="834"/>
      <c r="G54" s="835"/>
      <c r="H54" s="835">
        <f>H50+H52+H53+H51</f>
        <v>160460</v>
      </c>
      <c r="I54" s="110"/>
    </row>
    <row r="55" spans="1:9" ht="15.75">
      <c r="A55" s="21"/>
      <c r="B55" s="21"/>
      <c r="C55" s="21"/>
      <c r="D55" s="21"/>
      <c r="E55" s="21"/>
      <c r="F55" s="21"/>
      <c r="G55" s="347"/>
      <c r="H55" s="341"/>
      <c r="I55" s="110"/>
    </row>
    <row r="56" spans="1:9" ht="35.25" customHeight="1">
      <c r="A56" s="503" t="s">
        <v>101</v>
      </c>
      <c r="B56" s="503"/>
      <c r="C56" s="503"/>
      <c r="D56" s="503"/>
      <c r="E56" s="503"/>
      <c r="F56" s="503"/>
      <c r="G56" s="350">
        <f>G48</f>
        <v>31017138</v>
      </c>
      <c r="H56" s="350">
        <f>H48+H54</f>
        <v>35874463</v>
      </c>
      <c r="I56" s="110">
        <f>H56/G56*100</f>
        <v>115.6601327949729</v>
      </c>
    </row>
    <row r="57" spans="1:9" ht="30.75" customHeight="1">
      <c r="A57" s="18" t="s">
        <v>45</v>
      </c>
      <c r="B57" s="503" t="s">
        <v>102</v>
      </c>
      <c r="C57" s="503"/>
      <c r="D57" s="503"/>
      <c r="E57" s="503"/>
      <c r="F57" s="503"/>
      <c r="G57" s="350">
        <v>15833638</v>
      </c>
      <c r="H57" s="345"/>
      <c r="I57" s="110"/>
    </row>
    <row r="58" spans="1:9" s="9" customFormat="1" ht="15.75">
      <c r="A58" s="107"/>
      <c r="B58" s="107"/>
      <c r="C58" s="107"/>
      <c r="D58" s="107"/>
      <c r="E58" s="107"/>
      <c r="F58" s="107"/>
      <c r="G58" s="349"/>
      <c r="H58" s="349"/>
      <c r="I58" s="110"/>
    </row>
    <row r="59" spans="1:9" ht="15.75">
      <c r="A59" s="18" t="s">
        <v>46</v>
      </c>
      <c r="B59" s="18" t="s">
        <v>103</v>
      </c>
      <c r="C59" s="18"/>
      <c r="D59" s="18"/>
      <c r="E59" s="18"/>
      <c r="F59" s="18"/>
      <c r="G59" s="351"/>
      <c r="H59" s="352"/>
      <c r="I59" s="110"/>
    </row>
    <row r="60" spans="1:9" ht="15.75">
      <c r="A60" s="21"/>
      <c r="B60" s="21" t="s">
        <v>39</v>
      </c>
      <c r="C60" s="21" t="s">
        <v>104</v>
      </c>
      <c r="D60" s="21"/>
      <c r="E60" s="21"/>
      <c r="F60" s="21"/>
      <c r="G60" s="353"/>
      <c r="H60" s="347"/>
      <c r="I60" s="110"/>
    </row>
    <row r="61" spans="1:9" ht="15.75">
      <c r="A61" s="21"/>
      <c r="B61" s="21"/>
      <c r="C61" s="21" t="s">
        <v>39</v>
      </c>
      <c r="D61" s="21" t="s">
        <v>105</v>
      </c>
      <c r="E61" s="21"/>
      <c r="F61" s="21"/>
      <c r="G61" s="347">
        <v>1500000</v>
      </c>
      <c r="H61" s="341">
        <v>1500000</v>
      </c>
      <c r="I61" s="110">
        <f>H61/G61*100</f>
        <v>100</v>
      </c>
    </row>
    <row r="62" spans="1:9" ht="15.75">
      <c r="A62" s="18"/>
      <c r="B62" s="18" t="s">
        <v>22</v>
      </c>
      <c r="C62" s="18" t="s">
        <v>106</v>
      </c>
      <c r="D62" s="18"/>
      <c r="E62" s="18"/>
      <c r="F62" s="18"/>
      <c r="G62" s="352"/>
      <c r="H62" s="341"/>
      <c r="I62" s="110"/>
    </row>
    <row r="63" spans="1:9" ht="15.75">
      <c r="A63" s="21"/>
      <c r="B63" s="21"/>
      <c r="C63" s="21" t="s">
        <v>39</v>
      </c>
      <c r="D63" s="21" t="s">
        <v>107</v>
      </c>
      <c r="E63" s="21"/>
      <c r="F63" s="21"/>
      <c r="G63" s="347">
        <v>3900000</v>
      </c>
      <c r="H63" s="488">
        <v>4200000</v>
      </c>
      <c r="I63" s="110">
        <f>H63/G63*100</f>
        <v>107.6923076923077</v>
      </c>
    </row>
    <row r="64" spans="1:9" ht="15.75">
      <c r="A64" s="18"/>
      <c r="B64" s="18" t="s">
        <v>40</v>
      </c>
      <c r="C64" s="18" t="s">
        <v>108</v>
      </c>
      <c r="D64" s="18"/>
      <c r="E64" s="18"/>
      <c r="F64" s="18"/>
      <c r="G64" s="352"/>
      <c r="H64" s="341"/>
      <c r="I64" s="110"/>
    </row>
    <row r="65" spans="1:9" ht="15.75">
      <c r="A65" s="21"/>
      <c r="B65" s="21"/>
      <c r="C65" s="21" t="s">
        <v>39</v>
      </c>
      <c r="D65" s="21" t="s">
        <v>109</v>
      </c>
      <c r="E65" s="21"/>
      <c r="F65" s="21"/>
      <c r="G65" s="347">
        <v>1913000</v>
      </c>
      <c r="H65" s="341"/>
      <c r="I65" s="110"/>
    </row>
    <row r="66" spans="1:9" ht="15.75">
      <c r="A66" s="21"/>
      <c r="B66" s="18" t="s">
        <v>91</v>
      </c>
      <c r="C66" s="18" t="s">
        <v>110</v>
      </c>
      <c r="D66" s="21"/>
      <c r="E66" s="21"/>
      <c r="F66" s="21"/>
      <c r="G66" s="347"/>
      <c r="H66" s="341"/>
      <c r="I66" s="110"/>
    </row>
    <row r="67" spans="1:9" ht="15.75" customHeight="1">
      <c r="A67" s="21"/>
      <c r="B67" s="21"/>
      <c r="C67" s="21" t="s">
        <v>39</v>
      </c>
      <c r="D67" s="21" t="s">
        <v>111</v>
      </c>
      <c r="E67" s="21"/>
      <c r="F67" s="21"/>
      <c r="G67" s="347">
        <v>140000</v>
      </c>
      <c r="H67" s="341">
        <f>140000-71944</f>
        <v>68056</v>
      </c>
      <c r="I67" s="110">
        <f>H67/G67*100</f>
        <v>48.611428571428576</v>
      </c>
    </row>
    <row r="68" spans="1:9" ht="15.75">
      <c r="A68" s="21"/>
      <c r="B68" s="21"/>
      <c r="C68" s="18" t="s">
        <v>22</v>
      </c>
      <c r="D68" s="21" t="s">
        <v>72</v>
      </c>
      <c r="E68" s="21"/>
      <c r="F68" s="21"/>
      <c r="G68" s="347">
        <v>280000</v>
      </c>
      <c r="H68" s="341">
        <v>280000</v>
      </c>
      <c r="I68" s="110">
        <f>H68/G68*100</f>
        <v>100</v>
      </c>
    </row>
    <row r="69" spans="1:9" ht="15.75" customHeight="1">
      <c r="A69" s="18"/>
      <c r="B69" s="18" t="s">
        <v>92</v>
      </c>
      <c r="C69" s="18" t="s">
        <v>112</v>
      </c>
      <c r="D69" s="18"/>
      <c r="E69" s="18"/>
      <c r="F69" s="18"/>
      <c r="G69" s="352"/>
      <c r="H69" s="341"/>
      <c r="I69" s="110"/>
    </row>
    <row r="70" spans="1:9" s="9" customFormat="1" ht="15.75">
      <c r="A70" s="21"/>
      <c r="B70" s="21"/>
      <c r="C70" s="18" t="s">
        <v>39</v>
      </c>
      <c r="D70" s="21" t="s">
        <v>113</v>
      </c>
      <c r="E70" s="21"/>
      <c r="F70" s="21"/>
      <c r="G70" s="347">
        <v>5000</v>
      </c>
      <c r="H70" s="341">
        <v>5000</v>
      </c>
      <c r="I70" s="110">
        <f>H70/G70*100</f>
        <v>100</v>
      </c>
    </row>
    <row r="71" spans="1:9" ht="12.75" customHeight="1">
      <c r="A71" s="116"/>
      <c r="B71" s="116"/>
      <c r="C71" s="116" t="s">
        <v>40</v>
      </c>
      <c r="D71" s="119" t="s">
        <v>112</v>
      </c>
      <c r="E71" s="116"/>
      <c r="F71" s="116"/>
      <c r="G71" s="348"/>
      <c r="H71" s="341"/>
      <c r="I71" s="110"/>
    </row>
    <row r="72" spans="1:9" ht="15.75">
      <c r="A72" s="21"/>
      <c r="B72" s="21"/>
      <c r="C72" s="18" t="s">
        <v>91</v>
      </c>
      <c r="D72" s="21" t="s">
        <v>114</v>
      </c>
      <c r="E72" s="21"/>
      <c r="F72" s="21"/>
      <c r="G72" s="347">
        <v>75000</v>
      </c>
      <c r="H72" s="341">
        <v>75000</v>
      </c>
      <c r="I72" s="110">
        <f>H72/G72*100</f>
        <v>100</v>
      </c>
    </row>
    <row r="73" spans="1:9" ht="15.75">
      <c r="A73" s="116"/>
      <c r="B73" s="116"/>
      <c r="C73" s="116"/>
      <c r="D73" s="116"/>
      <c r="E73" s="116"/>
      <c r="F73" s="116"/>
      <c r="G73" s="348"/>
      <c r="H73" s="341"/>
      <c r="I73" s="110"/>
    </row>
    <row r="74" spans="1:9" ht="15.75">
      <c r="A74" s="18" t="s">
        <v>63</v>
      </c>
      <c r="B74" s="116"/>
      <c r="C74" s="116"/>
      <c r="D74" s="116"/>
      <c r="E74" s="116"/>
      <c r="F74" s="116"/>
      <c r="G74" s="349">
        <f>G61+G63+G65+G67+G68+G70+G71+G72</f>
        <v>7813000</v>
      </c>
      <c r="H74" s="349">
        <f>H61+H63+H65+H67+H68+H70+H71+H72</f>
        <v>6128056</v>
      </c>
      <c r="I74" s="110">
        <f>H74/G74*100</f>
        <v>78.43409701779086</v>
      </c>
    </row>
    <row r="75" spans="1:9" ht="15.75">
      <c r="A75" s="116"/>
      <c r="B75" s="116"/>
      <c r="C75" s="116"/>
      <c r="D75" s="116"/>
      <c r="E75" s="116"/>
      <c r="F75" s="116"/>
      <c r="G75" s="348"/>
      <c r="H75" s="348"/>
      <c r="I75" s="110"/>
    </row>
    <row r="76" spans="1:9" ht="15.75">
      <c r="A76" s="18" t="s">
        <v>115</v>
      </c>
      <c r="B76" s="18" t="s">
        <v>48</v>
      </c>
      <c r="C76" s="18"/>
      <c r="D76" s="18"/>
      <c r="E76" s="18"/>
      <c r="F76" s="18"/>
      <c r="G76" s="351"/>
      <c r="H76" s="352"/>
      <c r="I76" s="110"/>
    </row>
    <row r="77" spans="1:9" ht="15.75">
      <c r="A77" s="116"/>
      <c r="B77" s="116" t="s">
        <v>39</v>
      </c>
      <c r="C77" s="518" t="s">
        <v>116</v>
      </c>
      <c r="D77" s="518"/>
      <c r="E77" s="518"/>
      <c r="F77" s="518"/>
      <c r="G77" s="348"/>
      <c r="H77" s="348"/>
      <c r="I77" s="110"/>
    </row>
    <row r="78" spans="1:9" ht="15.75">
      <c r="A78" s="116"/>
      <c r="B78" s="116"/>
      <c r="C78" s="116" t="s">
        <v>39</v>
      </c>
      <c r="D78" s="119" t="s">
        <v>127</v>
      </c>
      <c r="E78" s="119"/>
      <c r="F78" s="119"/>
      <c r="G78" s="348">
        <v>282128</v>
      </c>
      <c r="H78" s="341">
        <v>334191</v>
      </c>
      <c r="I78" s="110">
        <f>H78/G78*100</f>
        <v>118.45368059887711</v>
      </c>
    </row>
    <row r="79" spans="1:9" ht="15.75">
      <c r="A79" s="116"/>
      <c r="B79" s="116"/>
      <c r="C79" s="116" t="s">
        <v>22</v>
      </c>
      <c r="D79" s="119" t="s">
        <v>119</v>
      </c>
      <c r="E79" s="119"/>
      <c r="F79" s="119"/>
      <c r="G79" s="348"/>
      <c r="H79" s="423"/>
      <c r="I79" s="110"/>
    </row>
    <row r="80" spans="1:9" ht="15.75">
      <c r="A80" s="116"/>
      <c r="B80" s="116"/>
      <c r="C80" s="116"/>
      <c r="D80" s="119" t="s">
        <v>39</v>
      </c>
      <c r="E80" s="119" t="s">
        <v>120</v>
      </c>
      <c r="F80" s="119"/>
      <c r="G80" s="348">
        <v>20000</v>
      </c>
      <c r="H80" s="341">
        <f>20000+735000</f>
        <v>755000</v>
      </c>
      <c r="I80" s="110">
        <f>H80/G80*100</f>
        <v>3775</v>
      </c>
    </row>
    <row r="81" spans="1:9" ht="15.75">
      <c r="A81" s="116"/>
      <c r="B81" s="116"/>
      <c r="C81" s="116"/>
      <c r="D81" s="119" t="s">
        <v>22</v>
      </c>
      <c r="E81" s="119" t="s">
        <v>121</v>
      </c>
      <c r="F81" s="119"/>
      <c r="G81" s="348">
        <v>64680</v>
      </c>
      <c r="H81" s="341">
        <v>275000</v>
      </c>
      <c r="I81" s="110">
        <f>H81/G81*100</f>
        <v>425.17006802721085</v>
      </c>
    </row>
    <row r="82" spans="1:9" ht="15.75">
      <c r="A82" s="116"/>
      <c r="B82" s="116"/>
      <c r="C82" s="116"/>
      <c r="D82" s="119" t="s">
        <v>40</v>
      </c>
      <c r="E82" s="119" t="s">
        <v>122</v>
      </c>
      <c r="F82" s="119"/>
      <c r="G82" s="348">
        <v>2000</v>
      </c>
      <c r="H82" s="341">
        <v>2000</v>
      </c>
      <c r="I82" s="110">
        <f>H82/G82*100</f>
        <v>100</v>
      </c>
    </row>
    <row r="83" spans="1:9" ht="15.75">
      <c r="A83" s="116"/>
      <c r="B83" s="116"/>
      <c r="C83" s="116"/>
      <c r="D83" s="119" t="s">
        <v>91</v>
      </c>
      <c r="E83" s="119" t="s">
        <v>123</v>
      </c>
      <c r="F83" s="119"/>
      <c r="G83" s="348">
        <v>203028</v>
      </c>
      <c r="H83" s="341">
        <v>203028</v>
      </c>
      <c r="I83" s="110">
        <f>H83/G83*100</f>
        <v>100</v>
      </c>
    </row>
    <row r="84" spans="1:9" ht="15.75">
      <c r="A84" s="116"/>
      <c r="B84" s="116"/>
      <c r="C84" s="116" t="s">
        <v>40</v>
      </c>
      <c r="D84" s="119" t="s">
        <v>143</v>
      </c>
      <c r="E84" s="119"/>
      <c r="F84" s="119"/>
      <c r="G84" s="348"/>
      <c r="H84" s="423"/>
      <c r="I84" s="110"/>
    </row>
    <row r="85" spans="1:9" ht="15.75">
      <c r="A85" s="116"/>
      <c r="B85" s="116"/>
      <c r="D85" s="116" t="s">
        <v>39</v>
      </c>
      <c r="E85" s="119" t="s">
        <v>117</v>
      </c>
      <c r="F85" s="116"/>
      <c r="G85" s="348">
        <v>41000</v>
      </c>
      <c r="H85" s="341">
        <v>41000</v>
      </c>
      <c r="I85" s="110">
        <f>H85/G85*100</f>
        <v>100</v>
      </c>
    </row>
    <row r="86" spans="1:9" ht="15.75">
      <c r="A86" s="116"/>
      <c r="B86" s="116"/>
      <c r="D86" s="116" t="s">
        <v>22</v>
      </c>
      <c r="E86" s="119" t="s">
        <v>118</v>
      </c>
      <c r="F86" s="119"/>
      <c r="G86" s="348">
        <v>411746</v>
      </c>
      <c r="H86" s="341">
        <v>220191</v>
      </c>
      <c r="I86" s="110">
        <f>H86/G86*100</f>
        <v>53.477386544131576</v>
      </c>
    </row>
    <row r="87" spans="4:9" ht="15.75">
      <c r="D87" s="67" t="s">
        <v>40</v>
      </c>
      <c r="E87" s="119" t="s">
        <v>64</v>
      </c>
      <c r="G87" s="348">
        <v>521023</v>
      </c>
      <c r="H87" s="341">
        <v>521023</v>
      </c>
      <c r="I87" s="110">
        <f>H87/G87*100</f>
        <v>100</v>
      </c>
    </row>
    <row r="88" spans="1:9" ht="15.75">
      <c r="A88" s="116"/>
      <c r="B88" s="116" t="s">
        <v>22</v>
      </c>
      <c r="C88" s="119" t="s">
        <v>124</v>
      </c>
      <c r="D88" s="119"/>
      <c r="E88" s="119"/>
      <c r="F88" s="119"/>
      <c r="G88" s="348"/>
      <c r="H88" s="423"/>
      <c r="I88" s="110"/>
    </row>
    <row r="89" spans="1:9" ht="15.75">
      <c r="A89" s="116"/>
      <c r="B89" s="116"/>
      <c r="C89" s="116" t="s">
        <v>39</v>
      </c>
      <c r="D89" s="119" t="s">
        <v>125</v>
      </c>
      <c r="E89" s="119"/>
      <c r="F89" s="119"/>
      <c r="G89" s="348">
        <v>4156873</v>
      </c>
      <c r="H89" s="341">
        <v>4156873</v>
      </c>
      <c r="I89" s="110">
        <f>H89/G89*100</f>
        <v>100</v>
      </c>
    </row>
    <row r="90" spans="1:9" ht="24.75" customHeight="1">
      <c r="A90" s="116"/>
      <c r="B90" s="116" t="s">
        <v>40</v>
      </c>
      <c r="C90" s="119" t="s">
        <v>126</v>
      </c>
      <c r="D90" s="119"/>
      <c r="E90" s="119"/>
      <c r="F90" s="119"/>
      <c r="G90" s="348"/>
      <c r="H90" s="423"/>
      <c r="I90" s="110"/>
    </row>
    <row r="91" spans="1:9" ht="19.5" customHeight="1">
      <c r="A91" s="116"/>
      <c r="B91" s="116"/>
      <c r="C91" s="116" t="s">
        <v>39</v>
      </c>
      <c r="D91" s="119" t="s">
        <v>70</v>
      </c>
      <c r="E91" s="119"/>
      <c r="F91" s="119"/>
      <c r="G91" s="348">
        <v>1098372</v>
      </c>
      <c r="H91" s="341">
        <v>1089620</v>
      </c>
      <c r="I91" s="110">
        <f aca="true" t="shared" si="0" ref="I91:I99">H91/G91*100</f>
        <v>99.20318434920046</v>
      </c>
    </row>
    <row r="92" spans="1:11" ht="21" customHeight="1">
      <c r="A92" s="116"/>
      <c r="B92" s="116" t="s">
        <v>91</v>
      </c>
      <c r="C92" s="119" t="s">
        <v>128</v>
      </c>
      <c r="D92" s="116"/>
      <c r="E92" s="116"/>
      <c r="F92" s="116"/>
      <c r="G92" s="348">
        <v>1818495</v>
      </c>
      <c r="H92" s="341">
        <f>1122355+59452+90232+140676+294197+10800+253808</f>
        <v>1971520</v>
      </c>
      <c r="I92" s="110">
        <f t="shared" si="0"/>
        <v>108.4149255290776</v>
      </c>
      <c r="K92" s="340"/>
    </row>
    <row r="93" spans="1:9" ht="1.5" customHeight="1" hidden="1">
      <c r="A93" s="116"/>
      <c r="B93" s="116" t="s">
        <v>92</v>
      </c>
      <c r="C93" s="119" t="s">
        <v>129</v>
      </c>
      <c r="D93" s="116"/>
      <c r="E93" s="116"/>
      <c r="F93" s="116"/>
      <c r="G93" s="348">
        <v>1484220</v>
      </c>
      <c r="H93" s="341">
        <f>1004191+59452+97770+81475+211836</f>
        <v>1454724</v>
      </c>
      <c r="I93" s="110">
        <f t="shared" si="0"/>
        <v>98.01269353599871</v>
      </c>
    </row>
    <row r="94" spans="1:9" ht="1.5" customHeight="1" hidden="1">
      <c r="A94" s="116"/>
      <c r="B94" s="116" t="s">
        <v>98</v>
      </c>
      <c r="C94" s="119" t="s">
        <v>130</v>
      </c>
      <c r="D94" s="116"/>
      <c r="E94" s="116"/>
      <c r="F94" s="116"/>
      <c r="G94" s="348">
        <v>2000</v>
      </c>
      <c r="H94" s="341"/>
      <c r="I94" s="110"/>
    </row>
    <row r="95" spans="1:9" ht="1.5" customHeight="1" hidden="1">
      <c r="A95" s="116"/>
      <c r="B95" s="373" t="s">
        <v>196</v>
      </c>
      <c r="C95" s="518" t="s">
        <v>399</v>
      </c>
      <c r="D95" s="518"/>
      <c r="E95" s="518"/>
      <c r="F95" s="518"/>
      <c r="G95" s="348"/>
      <c r="H95" s="341"/>
      <c r="I95" s="110"/>
    </row>
    <row r="96" spans="1:9" ht="15.75">
      <c r="A96" s="116"/>
      <c r="B96" s="116" t="s">
        <v>92</v>
      </c>
      <c r="C96" s="119" t="s">
        <v>129</v>
      </c>
      <c r="D96" s="116"/>
      <c r="E96" s="116"/>
      <c r="F96" s="116"/>
      <c r="G96" s="348">
        <v>1484220</v>
      </c>
      <c r="H96" s="341">
        <f>1004191+59452+97770+81475+211836</f>
        <v>1454724</v>
      </c>
      <c r="I96" s="110">
        <f>H96/G96*100</f>
        <v>98.01269353599871</v>
      </c>
    </row>
    <row r="97" spans="1:9" ht="24.75" customHeight="1">
      <c r="A97" s="116"/>
      <c r="B97" s="116" t="s">
        <v>98</v>
      </c>
      <c r="C97" s="119" t="s">
        <v>130</v>
      </c>
      <c r="D97" s="116"/>
      <c r="E97" s="116"/>
      <c r="F97" s="116"/>
      <c r="G97" s="348">
        <v>2000</v>
      </c>
      <c r="H97" s="341"/>
      <c r="I97" s="110"/>
    </row>
    <row r="98" spans="1:9" ht="19.5" customHeight="1">
      <c r="A98" s="116"/>
      <c r="B98" s="373" t="s">
        <v>196</v>
      </c>
      <c r="C98" s="518" t="s">
        <v>399</v>
      </c>
      <c r="D98" s="518"/>
      <c r="E98" s="518"/>
      <c r="F98" s="518"/>
      <c r="G98" s="348"/>
      <c r="H98" s="341"/>
      <c r="I98" s="110"/>
    </row>
    <row r="99" spans="1:9" ht="23.25" customHeight="1">
      <c r="A99" s="18" t="s">
        <v>19</v>
      </c>
      <c r="B99" s="116"/>
      <c r="C99" s="116"/>
      <c r="D99" s="116"/>
      <c r="E99" s="116"/>
      <c r="F99" s="116"/>
      <c r="G99" s="349">
        <f>SUM(G77:G95)</f>
        <v>10105565</v>
      </c>
      <c r="H99" s="480">
        <f>SUM(H77:H95)</f>
        <v>11024170</v>
      </c>
      <c r="I99" s="110">
        <f t="shared" si="0"/>
        <v>109.09009046005839</v>
      </c>
    </row>
    <row r="100" spans="1:9" ht="9.75" customHeight="1">
      <c r="A100" s="116"/>
      <c r="B100" s="116"/>
      <c r="C100" s="116"/>
      <c r="D100" s="116"/>
      <c r="E100" s="116"/>
      <c r="F100" s="116"/>
      <c r="G100" s="348"/>
      <c r="H100" s="423"/>
      <c r="I100" s="110"/>
    </row>
    <row r="101" spans="1:9" ht="12" customHeight="1">
      <c r="A101" s="116"/>
      <c r="B101" s="116"/>
      <c r="C101" s="116"/>
      <c r="D101" s="116"/>
      <c r="E101" s="116"/>
      <c r="F101" s="116"/>
      <c r="G101" s="348"/>
      <c r="H101" s="423"/>
      <c r="I101" s="110"/>
    </row>
    <row r="102" spans="1:9" ht="12.75" customHeight="1">
      <c r="A102" s="116"/>
      <c r="B102" s="116"/>
      <c r="C102" s="116"/>
      <c r="D102" s="116"/>
      <c r="E102" s="116"/>
      <c r="F102" s="116"/>
      <c r="G102" s="348"/>
      <c r="H102" s="423"/>
      <c r="I102" s="110"/>
    </row>
    <row r="103" spans="1:9" ht="7.5" customHeight="1">
      <c r="A103" s="116"/>
      <c r="B103" s="116"/>
      <c r="C103" s="116"/>
      <c r="D103" s="116"/>
      <c r="E103" s="116"/>
      <c r="F103" s="116"/>
      <c r="G103" s="348"/>
      <c r="H103" s="423"/>
      <c r="I103" s="110"/>
    </row>
    <row r="104" spans="1:9" ht="15.75">
      <c r="A104" s="18" t="s">
        <v>53</v>
      </c>
      <c r="B104" s="18" t="s">
        <v>131</v>
      </c>
      <c r="C104" s="18"/>
      <c r="D104" s="18"/>
      <c r="E104" s="18"/>
      <c r="F104" s="18"/>
      <c r="G104" s="352"/>
      <c r="H104" s="423"/>
      <c r="I104" s="110"/>
    </row>
    <row r="105" spans="1:9" ht="14.25" customHeight="1">
      <c r="A105" s="21"/>
      <c r="B105" s="21" t="s">
        <v>39</v>
      </c>
      <c r="C105" s="515" t="s">
        <v>468</v>
      </c>
      <c r="D105" s="515"/>
      <c r="E105" s="515"/>
      <c r="F105" s="515"/>
      <c r="G105" s="346"/>
      <c r="H105" s="341">
        <v>1952679</v>
      </c>
      <c r="I105" s="110"/>
    </row>
    <row r="106" spans="1:9" ht="15.75" customHeight="1">
      <c r="A106" s="21"/>
      <c r="B106" s="21"/>
      <c r="C106" s="118" t="s">
        <v>39</v>
      </c>
      <c r="D106" s="515" t="s">
        <v>132</v>
      </c>
      <c r="E106" s="515"/>
      <c r="F106" s="515"/>
      <c r="G106" s="346">
        <v>346850</v>
      </c>
      <c r="H106" s="341">
        <v>325200</v>
      </c>
      <c r="I106" s="110">
        <f>H106/G106*100</f>
        <v>93.75810869251838</v>
      </c>
    </row>
    <row r="107" spans="1:9" ht="15.75" customHeight="1">
      <c r="A107" s="116"/>
      <c r="B107" s="116" t="s">
        <v>469</v>
      </c>
      <c r="C107" s="520" t="s">
        <v>470</v>
      </c>
      <c r="D107" s="521"/>
      <c r="E107" s="521"/>
      <c r="F107" s="521"/>
      <c r="G107" s="348">
        <v>6000000</v>
      </c>
      <c r="H107" s="341">
        <v>6000000</v>
      </c>
      <c r="I107" s="110"/>
    </row>
    <row r="108" spans="1:9" ht="15.75" customHeight="1">
      <c r="A108" s="522" t="s">
        <v>133</v>
      </c>
      <c r="B108" s="522"/>
      <c r="C108" s="522"/>
      <c r="D108" s="522"/>
      <c r="E108" s="522"/>
      <c r="F108" s="522"/>
      <c r="G108" s="351">
        <f>SUM(G106:G107)</f>
        <v>6346850</v>
      </c>
      <c r="H108" s="351">
        <f>SUM(H105:H107)</f>
        <v>8277879</v>
      </c>
      <c r="I108" s="110">
        <f>H108/G108*100</f>
        <v>130.42499822746717</v>
      </c>
    </row>
    <row r="109" spans="1:9" ht="15.75" customHeight="1">
      <c r="A109" s="116"/>
      <c r="B109" s="116"/>
      <c r="C109" s="116"/>
      <c r="D109" s="116"/>
      <c r="E109" s="116"/>
      <c r="F109" s="116"/>
      <c r="G109" s="348"/>
      <c r="H109" s="341"/>
      <c r="I109" s="110"/>
    </row>
    <row r="110" spans="1:9" ht="36" customHeight="1">
      <c r="A110" s="121" t="s">
        <v>134</v>
      </c>
      <c r="B110" s="121"/>
      <c r="C110" s="121"/>
      <c r="D110" s="121"/>
      <c r="E110" s="121"/>
      <c r="F110" s="121"/>
      <c r="G110" s="351">
        <f>G108+G99+G74+G56+G57</f>
        <v>71116191</v>
      </c>
      <c r="H110" s="351">
        <f>H108+H99+H74+H56+H57</f>
        <v>61304568</v>
      </c>
      <c r="I110" s="110">
        <f>H110/G110*100</f>
        <v>86.20339072996752</v>
      </c>
    </row>
    <row r="111" spans="1:9" ht="16.5" customHeight="1">
      <c r="A111" s="121"/>
      <c r="B111" s="121"/>
      <c r="C111" s="121"/>
      <c r="D111" s="121"/>
      <c r="E111" s="121"/>
      <c r="F111" s="121"/>
      <c r="G111" s="354"/>
      <c r="H111" s="341"/>
      <c r="I111" s="110"/>
    </row>
    <row r="112" spans="1:9" ht="16.5" customHeight="1">
      <c r="A112" s="122" t="s">
        <v>135</v>
      </c>
      <c r="B112" s="503" t="s">
        <v>136</v>
      </c>
      <c r="C112" s="503"/>
      <c r="D112" s="503"/>
      <c r="E112" s="503"/>
      <c r="F112" s="503"/>
      <c r="G112" s="346"/>
      <c r="H112" s="341"/>
      <c r="I112" s="110"/>
    </row>
    <row r="113" spans="1:9" ht="15.75" customHeight="1">
      <c r="A113" s="18"/>
      <c r="B113" s="107" t="s">
        <v>39</v>
      </c>
      <c r="C113" s="503" t="s">
        <v>137</v>
      </c>
      <c r="D113" s="503"/>
      <c r="E113" s="503"/>
      <c r="F113" s="503"/>
      <c r="G113" s="346"/>
      <c r="H113" s="341"/>
      <c r="I113" s="110"/>
    </row>
    <row r="114" spans="1:9" ht="36" customHeight="1">
      <c r="A114" s="18"/>
      <c r="B114" s="107"/>
      <c r="C114" s="118" t="s">
        <v>39</v>
      </c>
      <c r="D114" s="515" t="s">
        <v>496</v>
      </c>
      <c r="E114" s="515"/>
      <c r="F114" s="515"/>
      <c r="G114" s="346">
        <v>4976007</v>
      </c>
      <c r="H114" s="341">
        <f>90724266+663690</f>
        <v>91387956</v>
      </c>
      <c r="I114" s="110">
        <f>H114/G114*100</f>
        <v>1836.5720948543683</v>
      </c>
    </row>
    <row r="115" spans="1:9" ht="15.75" customHeight="1">
      <c r="A115" s="21"/>
      <c r="B115" s="21"/>
      <c r="C115" s="377" t="s">
        <v>22</v>
      </c>
      <c r="D115" s="519" t="s">
        <v>497</v>
      </c>
      <c r="E115" s="519"/>
      <c r="F115" s="519"/>
      <c r="G115" s="347"/>
      <c r="H115" s="341">
        <f>5484720+25+234696+104+964900+140000+289419</f>
        <v>7113864</v>
      </c>
      <c r="I115" s="110"/>
    </row>
    <row r="116" spans="1:9" ht="15.75" customHeight="1">
      <c r="A116" s="21"/>
      <c r="B116" s="21"/>
      <c r="C116" s="21" t="s">
        <v>40</v>
      </c>
      <c r="D116" s="519" t="s">
        <v>409</v>
      </c>
      <c r="E116" s="519"/>
      <c r="F116" s="519"/>
      <c r="G116" s="347">
        <v>1240566</v>
      </c>
      <c r="H116" s="479">
        <v>1449359</v>
      </c>
      <c r="I116" s="110">
        <f>H116/G116*100</f>
        <v>116.8304628693677</v>
      </c>
    </row>
    <row r="117" spans="1:9" ht="15.75" customHeight="1">
      <c r="A117" s="21"/>
      <c r="B117" s="21"/>
      <c r="C117" s="21" t="s">
        <v>91</v>
      </c>
      <c r="D117" s="519" t="s">
        <v>525</v>
      </c>
      <c r="E117" s="521"/>
      <c r="F117" s="521"/>
      <c r="G117" s="347"/>
      <c r="H117" s="479">
        <v>20902499</v>
      </c>
      <c r="I117" s="110"/>
    </row>
    <row r="118" spans="1:9" ht="15.75" customHeight="1">
      <c r="A118" s="21"/>
      <c r="B118" s="21"/>
      <c r="C118" s="21" t="s">
        <v>92</v>
      </c>
      <c r="D118" s="519" t="s">
        <v>526</v>
      </c>
      <c r="E118" s="521"/>
      <c r="F118" s="521"/>
      <c r="G118" s="347"/>
      <c r="H118" s="479">
        <v>822484</v>
      </c>
      <c r="I118" s="110"/>
    </row>
    <row r="119" spans="1:9" ht="16.5">
      <c r="A119" s="121" t="s">
        <v>136</v>
      </c>
      <c r="B119" s="121"/>
      <c r="C119" s="121"/>
      <c r="D119" s="121"/>
      <c r="E119" s="121"/>
      <c r="F119" s="121"/>
      <c r="G119" s="351">
        <f>G114+G115+G116</f>
        <v>6216573</v>
      </c>
      <c r="H119" s="351">
        <f>SUM(H114:H118)</f>
        <v>121676162</v>
      </c>
      <c r="I119" s="110">
        <f>H119/G119*100</f>
        <v>1957.2867880743938</v>
      </c>
    </row>
    <row r="120" spans="1:9" ht="15.75">
      <c r="A120" s="21"/>
      <c r="B120" s="21"/>
      <c r="C120" s="21"/>
      <c r="D120" s="21"/>
      <c r="E120" s="21"/>
      <c r="F120" s="21"/>
      <c r="G120" s="355"/>
      <c r="H120" s="353"/>
      <c r="I120" s="110"/>
    </row>
    <row r="121" spans="1:9" ht="18.75">
      <c r="A121" s="20" t="s">
        <v>138</v>
      </c>
      <c r="B121" s="20"/>
      <c r="C121" s="20"/>
      <c r="D121" s="20"/>
      <c r="E121" s="20"/>
      <c r="F121" s="20"/>
      <c r="G121" s="351">
        <f>G110+G119</f>
        <v>77332764</v>
      </c>
      <c r="H121" s="351">
        <f>H110+H119</f>
        <v>182980730</v>
      </c>
      <c r="I121" s="110">
        <f>H121/G121*100</f>
        <v>236.61475490517833</v>
      </c>
    </row>
    <row r="122" spans="7:8" ht="15.75">
      <c r="G122" s="340"/>
      <c r="H122" s="340"/>
    </row>
    <row r="123" spans="7:8" ht="15.75">
      <c r="G123" s="340"/>
      <c r="H123" s="340"/>
    </row>
    <row r="124" spans="7:8" ht="15.75">
      <c r="G124" s="340"/>
      <c r="H124" s="340"/>
    </row>
    <row r="125" spans="7:8" ht="15.75">
      <c r="G125" s="340"/>
      <c r="H125" s="340"/>
    </row>
    <row r="126" spans="7:8" ht="15.75">
      <c r="G126" s="340"/>
      <c r="H126" s="340"/>
    </row>
    <row r="127" spans="7:8" ht="15.75">
      <c r="G127" s="340"/>
      <c r="H127" s="340"/>
    </row>
    <row r="128" spans="7:8" ht="15.75">
      <c r="G128" s="340"/>
      <c r="H128" s="340"/>
    </row>
    <row r="129" spans="7:8" ht="15.75">
      <c r="G129" s="340"/>
      <c r="H129" s="340"/>
    </row>
    <row r="130" spans="7:8" ht="15.75">
      <c r="G130" s="340"/>
      <c r="H130" s="340"/>
    </row>
    <row r="131" spans="7:8" ht="15.75">
      <c r="G131" s="340"/>
      <c r="H131" s="340"/>
    </row>
    <row r="132" spans="7:8" ht="15.75">
      <c r="G132" s="340"/>
      <c r="H132" s="340"/>
    </row>
    <row r="133" spans="7:8" ht="15.75">
      <c r="G133" s="340"/>
      <c r="H133" s="340"/>
    </row>
    <row r="134" spans="7:8" ht="15.75">
      <c r="G134" s="340"/>
      <c r="H134" s="340"/>
    </row>
    <row r="135" spans="7:8" ht="15.75">
      <c r="G135" s="340"/>
      <c r="H135" s="340"/>
    </row>
    <row r="136" spans="7:8" ht="15.75">
      <c r="G136" s="340"/>
      <c r="H136" s="340"/>
    </row>
    <row r="137" spans="7:8" ht="15.75">
      <c r="G137" s="340"/>
      <c r="H137" s="340"/>
    </row>
    <row r="138" spans="7:8" ht="15.75">
      <c r="G138" s="340"/>
      <c r="H138" s="340"/>
    </row>
    <row r="139" spans="7:8" ht="15.75">
      <c r="G139" s="340"/>
      <c r="H139" s="340"/>
    </row>
    <row r="140" spans="7:8" ht="15.75">
      <c r="G140" s="340"/>
      <c r="H140" s="340"/>
    </row>
    <row r="141" spans="7:8" ht="15.75">
      <c r="G141" s="340"/>
      <c r="H141" s="340"/>
    </row>
    <row r="142" spans="7:8" ht="15.75">
      <c r="G142" s="340"/>
      <c r="H142" s="340"/>
    </row>
    <row r="143" spans="7:8" ht="15.75">
      <c r="G143" s="340"/>
      <c r="H143" s="340"/>
    </row>
    <row r="144" spans="7:8" ht="15.75">
      <c r="G144" s="340"/>
      <c r="H144" s="340"/>
    </row>
    <row r="145" spans="7:8" ht="15.75">
      <c r="G145" s="340"/>
      <c r="H145" s="340"/>
    </row>
    <row r="146" spans="7:8" ht="15.75">
      <c r="G146" s="340"/>
      <c r="H146" s="340"/>
    </row>
    <row r="147" spans="7:8" ht="15.75">
      <c r="G147" s="340"/>
      <c r="H147" s="340"/>
    </row>
    <row r="148" spans="7:8" ht="15.75">
      <c r="G148" s="340"/>
      <c r="H148" s="340"/>
    </row>
    <row r="149" spans="7:8" ht="15.75">
      <c r="G149" s="340"/>
      <c r="H149" s="340"/>
    </row>
    <row r="150" spans="7:8" ht="15.75">
      <c r="G150" s="340"/>
      <c r="H150" s="340"/>
    </row>
  </sheetData>
  <sheetProtection/>
  <mergeCells count="40">
    <mergeCell ref="D118:F118"/>
    <mergeCell ref="C98:F98"/>
    <mergeCell ref="B112:F112"/>
    <mergeCell ref="C113:F113"/>
    <mergeCell ref="D114:F114"/>
    <mergeCell ref="D115:F115"/>
    <mergeCell ref="D116:F116"/>
    <mergeCell ref="D117:F117"/>
    <mergeCell ref="C53:F53"/>
    <mergeCell ref="B54:F54"/>
    <mergeCell ref="A56:F56"/>
    <mergeCell ref="B57:F57"/>
    <mergeCell ref="C77:F77"/>
    <mergeCell ref="C95:F95"/>
    <mergeCell ref="C107:F107"/>
    <mergeCell ref="C105:F105"/>
    <mergeCell ref="D106:F106"/>
    <mergeCell ref="A108:F108"/>
    <mergeCell ref="B48:F48"/>
    <mergeCell ref="C49:F49"/>
    <mergeCell ref="D50:F50"/>
    <mergeCell ref="D51:F51"/>
    <mergeCell ref="C52:F52"/>
    <mergeCell ref="E45:F45"/>
    <mergeCell ref="C47:F47"/>
    <mergeCell ref="C42:F42"/>
    <mergeCell ref="E15:F15"/>
    <mergeCell ref="D32:F32"/>
    <mergeCell ref="D34:F34"/>
    <mergeCell ref="D35:F35"/>
    <mergeCell ref="E37:F37"/>
    <mergeCell ref="D44:F44"/>
    <mergeCell ref="D14:F14"/>
    <mergeCell ref="A1:I1"/>
    <mergeCell ref="A6:I6"/>
    <mergeCell ref="B12:F12"/>
    <mergeCell ref="A8:F10"/>
    <mergeCell ref="A2:I2"/>
    <mergeCell ref="A3:I3"/>
    <mergeCell ref="A4:I4"/>
  </mergeCells>
  <printOptions horizontalCentered="1"/>
  <pageMargins left="0.1968503937007874" right="0.1968503937007874" top="0.3937007874015748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31"/>
  <sheetViews>
    <sheetView zoomScalePageLayoutView="0" workbookViewId="0" topLeftCell="A4">
      <selection activeCell="C9" sqref="C9:C12"/>
    </sheetView>
  </sheetViews>
  <sheetFormatPr defaultColWidth="9.00390625" defaultRowHeight="12.75"/>
  <cols>
    <col min="1" max="1" width="3.875" style="194" customWidth="1"/>
    <col min="2" max="2" width="9.125" style="194" customWidth="1"/>
    <col min="3" max="3" width="61.125" style="194" customWidth="1"/>
    <col min="4" max="7" width="26.25390625" style="194" customWidth="1"/>
    <col min="8" max="16384" width="9.125" style="194" customWidth="1"/>
  </cols>
  <sheetData>
    <row r="2" spans="2:7" s="186" customFormat="1" ht="15.75">
      <c r="B2" s="545" t="s">
        <v>500</v>
      </c>
      <c r="C2" s="545"/>
      <c r="D2" s="545"/>
      <c r="E2" s="545"/>
      <c r="F2" s="545"/>
      <c r="G2" s="545"/>
    </row>
    <row r="3" spans="3:7" s="82" customFormat="1" ht="15" customHeight="1">
      <c r="C3" s="543"/>
      <c r="D3" s="543"/>
      <c r="E3" s="543"/>
      <c r="F3" s="543"/>
      <c r="G3" s="543"/>
    </row>
    <row r="4" spans="2:7" s="188" customFormat="1" ht="15" customHeight="1">
      <c r="B4" s="544"/>
      <c r="C4" s="544"/>
      <c r="D4" s="544"/>
      <c r="E4" s="544"/>
      <c r="F4" s="544"/>
      <c r="G4" s="544"/>
    </row>
    <row r="5" spans="2:7" s="141" customFormat="1" ht="15" customHeight="1">
      <c r="B5" s="544" t="s">
        <v>36</v>
      </c>
      <c r="C5" s="544"/>
      <c r="D5" s="544"/>
      <c r="E5" s="544"/>
      <c r="F5" s="544"/>
      <c r="G5" s="544"/>
    </row>
    <row r="6" spans="2:7" s="141" customFormat="1" ht="15.75" customHeight="1">
      <c r="B6" s="546" t="s">
        <v>218</v>
      </c>
      <c r="C6" s="546"/>
      <c r="D6" s="546"/>
      <c r="E6" s="546"/>
      <c r="F6" s="546"/>
      <c r="G6" s="546"/>
    </row>
    <row r="7" spans="3:7" s="141" customFormat="1" ht="15" customHeight="1">
      <c r="C7" s="544" t="s">
        <v>480</v>
      </c>
      <c r="D7" s="544"/>
      <c r="E7" s="544"/>
      <c r="F7" s="544"/>
      <c r="G7" s="544"/>
    </row>
    <row r="8" spans="3:7" s="186" customFormat="1" ht="12" customHeight="1" thickBot="1">
      <c r="C8" s="187"/>
      <c r="D8" s="191"/>
      <c r="E8" s="192"/>
      <c r="F8" s="192"/>
      <c r="G8" s="193"/>
    </row>
    <row r="9" spans="1:7" s="186" customFormat="1" ht="23.25" customHeight="1" thickBot="1">
      <c r="A9" s="523" t="s">
        <v>393</v>
      </c>
      <c r="B9" s="526" t="s">
        <v>145</v>
      </c>
      <c r="C9" s="529" t="s">
        <v>146</v>
      </c>
      <c r="D9" s="532" t="s">
        <v>219</v>
      </c>
      <c r="E9" s="535" t="s">
        <v>220</v>
      </c>
      <c r="F9" s="535"/>
      <c r="G9" s="536"/>
    </row>
    <row r="10" spans="1:7" s="186" customFormat="1" ht="39.75" customHeight="1" thickBot="1">
      <c r="A10" s="524"/>
      <c r="B10" s="527"/>
      <c r="C10" s="530"/>
      <c r="D10" s="533"/>
      <c r="E10" s="360" t="s">
        <v>221</v>
      </c>
      <c r="F10" s="361" t="s">
        <v>222</v>
      </c>
      <c r="G10" s="362" t="s">
        <v>223</v>
      </c>
    </row>
    <row r="11" spans="1:7" s="186" customFormat="1" ht="22.5" customHeight="1">
      <c r="A11" s="524"/>
      <c r="B11" s="527"/>
      <c r="C11" s="530"/>
      <c r="D11" s="533"/>
      <c r="E11" s="537" t="s">
        <v>224</v>
      </c>
      <c r="F11" s="538"/>
      <c r="G11" s="539"/>
    </row>
    <row r="12" spans="1:7" ht="21.75" customHeight="1" thickBot="1">
      <c r="A12" s="525"/>
      <c r="B12" s="528"/>
      <c r="C12" s="531"/>
      <c r="D12" s="534"/>
      <c r="E12" s="540"/>
      <c r="F12" s="541"/>
      <c r="G12" s="542"/>
    </row>
    <row r="13" spans="1:7" ht="13.5" customHeight="1">
      <c r="A13" s="363" t="s">
        <v>39</v>
      </c>
      <c r="B13" s="356" t="s">
        <v>162</v>
      </c>
      <c r="C13" s="195" t="s">
        <v>163</v>
      </c>
      <c r="D13" s="196">
        <f>SUM(E13:G13)</f>
        <v>2282879</v>
      </c>
      <c r="E13" s="196">
        <v>5000</v>
      </c>
      <c r="F13" s="196">
        <v>2277879</v>
      </c>
      <c r="G13" s="197"/>
    </row>
    <row r="14" spans="1:7" ht="13.5" customHeight="1">
      <c r="A14" s="359" t="s">
        <v>22</v>
      </c>
      <c r="B14" s="357" t="s">
        <v>164</v>
      </c>
      <c r="C14" s="134" t="s">
        <v>31</v>
      </c>
      <c r="D14" s="198">
        <f aca="true" t="shared" si="0" ref="D14:D22">SUM(E14:G14)</f>
        <v>51800</v>
      </c>
      <c r="E14" s="198">
        <v>51800</v>
      </c>
      <c r="F14" s="198"/>
      <c r="G14" s="199"/>
    </row>
    <row r="15" spans="1:7" ht="12.75" customHeight="1">
      <c r="A15" s="359" t="s">
        <v>40</v>
      </c>
      <c r="B15" s="357" t="s">
        <v>165</v>
      </c>
      <c r="C15" s="134" t="s">
        <v>166</v>
      </c>
      <c r="D15" s="198">
        <f t="shared" si="0"/>
        <v>1488836</v>
      </c>
      <c r="E15" s="198">
        <v>275000</v>
      </c>
      <c r="F15" s="198">
        <v>1213836</v>
      </c>
      <c r="G15" s="199"/>
    </row>
    <row r="16" spans="1:7" ht="13.5" customHeight="1">
      <c r="A16" s="359" t="s">
        <v>91</v>
      </c>
      <c r="B16" s="357" t="s">
        <v>225</v>
      </c>
      <c r="C16" s="134" t="s">
        <v>226</v>
      </c>
      <c r="D16" s="198">
        <f t="shared" si="0"/>
        <v>35874463</v>
      </c>
      <c r="E16" s="198">
        <f>36233972-700730+130720+467820+128360-417779+32100</f>
        <v>35874463</v>
      </c>
      <c r="F16" s="198"/>
      <c r="G16" s="199"/>
    </row>
    <row r="17" spans="1:7" ht="15">
      <c r="A17" s="359" t="s">
        <v>92</v>
      </c>
      <c r="B17" s="357" t="s">
        <v>395</v>
      </c>
      <c r="C17" s="134" t="s">
        <v>396</v>
      </c>
      <c r="D17" s="198">
        <f t="shared" si="0"/>
        <v>120853678</v>
      </c>
      <c r="E17" s="198">
        <f>98322035+25+234696+104+964900+20902499+140000+289419</f>
        <v>120853678</v>
      </c>
      <c r="F17" s="198"/>
      <c r="G17" s="199"/>
    </row>
    <row r="18" spans="1:7" ht="15">
      <c r="A18" s="359" t="s">
        <v>98</v>
      </c>
      <c r="B18" s="357" t="s">
        <v>397</v>
      </c>
      <c r="C18" s="134" t="s">
        <v>398</v>
      </c>
      <c r="D18" s="198">
        <f t="shared" si="0"/>
        <v>0</v>
      </c>
      <c r="E18" s="198"/>
      <c r="F18" s="198"/>
      <c r="G18" s="199"/>
    </row>
    <row r="19" spans="1:7" ht="15">
      <c r="A19" s="359" t="s">
        <v>196</v>
      </c>
      <c r="B19" s="357" t="s">
        <v>169</v>
      </c>
      <c r="C19" s="134" t="s">
        <v>170</v>
      </c>
      <c r="D19" s="198">
        <f t="shared" si="0"/>
        <v>6283419</v>
      </c>
      <c r="E19" s="198">
        <v>6283419</v>
      </c>
      <c r="F19" s="198"/>
      <c r="G19" s="199"/>
    </row>
    <row r="20" spans="1:7" ht="15">
      <c r="A20" s="359" t="s">
        <v>197</v>
      </c>
      <c r="B20" s="357" t="s">
        <v>177</v>
      </c>
      <c r="C20" s="134" t="s">
        <v>178</v>
      </c>
      <c r="D20" s="198">
        <f t="shared" si="0"/>
        <v>6000000</v>
      </c>
      <c r="E20" s="198">
        <v>6000000</v>
      </c>
      <c r="F20" s="198"/>
      <c r="G20" s="199"/>
    </row>
    <row r="21" spans="1:7" ht="15">
      <c r="A21" s="359" t="s">
        <v>198</v>
      </c>
      <c r="B21" s="358">
        <v>104051</v>
      </c>
      <c r="C21" s="134" t="s">
        <v>286</v>
      </c>
      <c r="D21" s="198">
        <f t="shared" si="0"/>
        <v>0</v>
      </c>
      <c r="E21" s="198"/>
      <c r="F21" s="198"/>
      <c r="G21" s="199"/>
    </row>
    <row r="22" spans="1:7" ht="30.75" thickBot="1">
      <c r="A22" s="359" t="s">
        <v>198</v>
      </c>
      <c r="B22" s="358">
        <v>900020</v>
      </c>
      <c r="C22" s="134" t="s">
        <v>231</v>
      </c>
      <c r="D22" s="198">
        <f t="shared" si="0"/>
        <v>6123056</v>
      </c>
      <c r="E22" s="198">
        <f>8295000-2100000-140000+68056</f>
        <v>6123056</v>
      </c>
      <c r="F22" s="198"/>
      <c r="G22" s="199"/>
    </row>
    <row r="23" spans="1:7" ht="30" customHeight="1" thickBot="1">
      <c r="A23" s="471" t="s">
        <v>199</v>
      </c>
      <c r="B23" s="472"/>
      <c r="C23" s="458" t="s">
        <v>431</v>
      </c>
      <c r="D23" s="460">
        <f>SUM(D13:D22)</f>
        <v>178958131</v>
      </c>
      <c r="E23" s="460">
        <f>SUM(E13:E22)</f>
        <v>175466416</v>
      </c>
      <c r="F23" s="460">
        <f>SUM(F13:F22)</f>
        <v>3491715</v>
      </c>
      <c r="G23" s="460">
        <f>SUM(G13:G22)</f>
        <v>0</v>
      </c>
    </row>
    <row r="24" spans="1:7" ht="14.25">
      <c r="A24" s="836"/>
      <c r="B24" s="836"/>
      <c r="C24" s="836"/>
      <c r="D24" s="837"/>
      <c r="E24" s="837"/>
      <c r="F24" s="837"/>
      <c r="G24" s="837"/>
    </row>
    <row r="25" spans="1:7" ht="15">
      <c r="A25" s="359" t="s">
        <v>200</v>
      </c>
      <c r="B25" s="357" t="s">
        <v>395</v>
      </c>
      <c r="C25" s="134" t="s">
        <v>396</v>
      </c>
      <c r="D25" s="198">
        <f>SUM(E25:G25)</f>
        <v>822484</v>
      </c>
      <c r="E25" s="198">
        <v>822484</v>
      </c>
      <c r="F25" s="487"/>
      <c r="G25" s="487"/>
    </row>
    <row r="26" spans="1:7" ht="15">
      <c r="A26" s="359" t="s">
        <v>201</v>
      </c>
      <c r="B26" s="357" t="s">
        <v>227</v>
      </c>
      <c r="C26" s="134" t="s">
        <v>228</v>
      </c>
      <c r="D26" s="198">
        <f>SUM(E26:G26)</f>
        <v>339094</v>
      </c>
      <c r="E26" s="198">
        <v>339094</v>
      </c>
      <c r="F26" s="198"/>
      <c r="G26" s="199"/>
    </row>
    <row r="27" spans="1:7" ht="15">
      <c r="A27" s="359" t="s">
        <v>202</v>
      </c>
      <c r="B27" s="357" t="s">
        <v>229</v>
      </c>
      <c r="C27" s="134" t="s">
        <v>230</v>
      </c>
      <c r="D27" s="198">
        <f>SUM(E27:G27)</f>
        <v>522193</v>
      </c>
      <c r="E27" s="198"/>
      <c r="F27" s="198">
        <v>522193</v>
      </c>
      <c r="G27" s="199"/>
    </row>
    <row r="28" spans="1:7" ht="15.75" thickBot="1">
      <c r="A28" s="452" t="s">
        <v>203</v>
      </c>
      <c r="B28" s="357" t="s">
        <v>229</v>
      </c>
      <c r="C28" s="136" t="s">
        <v>368</v>
      </c>
      <c r="D28" s="198">
        <f>SUM(E28:G28)</f>
        <v>743175</v>
      </c>
      <c r="E28" s="198"/>
      <c r="F28" s="198">
        <v>743175</v>
      </c>
      <c r="G28" s="199"/>
    </row>
    <row r="29" spans="1:7" ht="15.75" thickBot="1">
      <c r="A29" s="200" t="s">
        <v>204</v>
      </c>
      <c r="B29" s="358" t="s">
        <v>186</v>
      </c>
      <c r="C29" s="432" t="s">
        <v>284</v>
      </c>
      <c r="D29" s="456">
        <f>SUM(E29:G29)</f>
        <v>1595653</v>
      </c>
      <c r="E29" s="456">
        <v>1595653</v>
      </c>
      <c r="F29" s="456"/>
      <c r="G29" s="457"/>
    </row>
    <row r="30" spans="1:7" ht="15" thickBot="1">
      <c r="A30" s="200" t="s">
        <v>206</v>
      </c>
      <c r="B30" s="200"/>
      <c r="C30" s="445" t="s">
        <v>434</v>
      </c>
      <c r="D30" s="473">
        <f>D26+D27+D28+D29+D25</f>
        <v>4022599</v>
      </c>
      <c r="E30" s="473">
        <f>E26+E27+E28+E29</f>
        <v>1934747</v>
      </c>
      <c r="F30" s="473">
        <f>F26+F27+F28+F29</f>
        <v>1265368</v>
      </c>
      <c r="G30" s="473">
        <f>G26+G27+G28+G29</f>
        <v>0</v>
      </c>
    </row>
    <row r="31" spans="1:7" ht="16.5" thickBot="1">
      <c r="A31" s="481" t="s">
        <v>207</v>
      </c>
      <c r="B31" s="200"/>
      <c r="C31" s="446" t="s">
        <v>435</v>
      </c>
      <c r="D31" s="473">
        <f>D23+D30</f>
        <v>182980730</v>
      </c>
      <c r="E31" s="473">
        <f>E23+E30</f>
        <v>177401163</v>
      </c>
      <c r="F31" s="473">
        <f>F23+F30</f>
        <v>4757083</v>
      </c>
      <c r="G31" s="473">
        <f>G23+G30</f>
        <v>0</v>
      </c>
    </row>
  </sheetData>
  <sheetProtection/>
  <mergeCells count="12">
    <mergeCell ref="A9:A12"/>
    <mergeCell ref="B9:B12"/>
    <mergeCell ref="C9:C12"/>
    <mergeCell ref="D9:D12"/>
    <mergeCell ref="E9:G9"/>
    <mergeCell ref="E11:G12"/>
    <mergeCell ref="C3:G3"/>
    <mergeCell ref="C7:G7"/>
    <mergeCell ref="B2:G2"/>
    <mergeCell ref="B4:G4"/>
    <mergeCell ref="B5:G5"/>
    <mergeCell ref="B6:G6"/>
  </mergeCells>
  <printOptions horizontalCentered="1"/>
  <pageMargins left="0" right="0" top="0.7874015748031497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9"/>
  <sheetViews>
    <sheetView zoomScalePageLayoutView="0" workbookViewId="0" topLeftCell="A28">
      <selection activeCell="M38" sqref="M38"/>
    </sheetView>
  </sheetViews>
  <sheetFormatPr defaultColWidth="9.00390625" defaultRowHeight="12.75"/>
  <cols>
    <col min="1" max="1" width="4.75390625" style="10" customWidth="1"/>
    <col min="2" max="2" width="9.125" style="10" customWidth="1"/>
    <col min="3" max="3" width="44.125" style="10" customWidth="1"/>
    <col min="4" max="4" width="13.00390625" style="10" customWidth="1"/>
    <col min="5" max="5" width="11.75390625" style="10" customWidth="1"/>
    <col min="6" max="6" width="10.375" style="10" customWidth="1"/>
    <col min="7" max="7" width="12.625" style="10" customWidth="1"/>
    <col min="8" max="8" width="10.375" style="10" customWidth="1"/>
    <col min="9" max="9" width="10.25390625" style="10" customWidth="1"/>
    <col min="10" max="10" width="12.25390625" style="10" customWidth="1"/>
    <col min="11" max="11" width="11.125" style="10" customWidth="1"/>
    <col min="12" max="12" width="12.25390625" style="10" customWidth="1"/>
    <col min="13" max="13" width="11.125" style="10" customWidth="1"/>
    <col min="14" max="14" width="13.375" style="10" customWidth="1"/>
    <col min="15" max="15" width="15.25390625" style="10" customWidth="1"/>
    <col min="16" max="16" width="9.875" style="10" customWidth="1"/>
    <col min="17" max="17" width="10.625" style="10" customWidth="1"/>
    <col min="18" max="18" width="11.00390625" style="10" customWidth="1"/>
    <col min="19" max="19" width="10.875" style="10" customWidth="1"/>
    <col min="20" max="16384" width="9.125" style="10" customWidth="1"/>
  </cols>
  <sheetData>
    <row r="1" spans="2:20" ht="15.75">
      <c r="B1" s="545" t="s">
        <v>501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</row>
    <row r="2" spans="2:17" ht="15.75" customHeight="1"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</row>
    <row r="3" spans="2:20" s="132" customFormat="1" ht="15.75" customHeight="1"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  <c r="P3" s="550"/>
      <c r="Q3" s="550"/>
      <c r="R3" s="550"/>
      <c r="S3" s="550"/>
      <c r="T3" s="550"/>
    </row>
    <row r="4" spans="2:17" s="132" customFormat="1" ht="15.75" customHeigh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2:21" s="132" customFormat="1" ht="15.75" customHeight="1">
      <c r="B5" s="550" t="s">
        <v>36</v>
      </c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  <c r="N5" s="550"/>
      <c r="O5" s="550"/>
      <c r="P5" s="550"/>
      <c r="Q5" s="550"/>
      <c r="R5" s="550"/>
      <c r="S5" s="550"/>
      <c r="T5" s="550"/>
      <c r="U5" s="550"/>
    </row>
    <row r="6" spans="2:21" s="132" customFormat="1" ht="15.75" customHeight="1">
      <c r="B6" s="550" t="s">
        <v>144</v>
      </c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</row>
    <row r="7" spans="2:21" s="132" customFormat="1" ht="15.75" customHeight="1">
      <c r="B7" s="550" t="s">
        <v>479</v>
      </c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</row>
    <row r="8" spans="20:21" s="132" customFormat="1" ht="15.75" thickBot="1">
      <c r="T8" s="558" t="s">
        <v>394</v>
      </c>
      <c r="U8" s="558"/>
    </row>
    <row r="9" spans="1:21" s="133" customFormat="1" ht="20.25" customHeight="1" thickBot="1">
      <c r="A9" s="586" t="s">
        <v>393</v>
      </c>
      <c r="B9" s="583" t="s">
        <v>145</v>
      </c>
      <c r="C9" s="580" t="s">
        <v>146</v>
      </c>
      <c r="D9" s="547" t="s">
        <v>147</v>
      </c>
      <c r="E9" s="564" t="s">
        <v>148</v>
      </c>
      <c r="F9" s="565"/>
      <c r="G9" s="565"/>
      <c r="H9" s="565"/>
      <c r="I9" s="565"/>
      <c r="J9" s="565"/>
      <c r="K9" s="565"/>
      <c r="L9" s="565"/>
      <c r="M9" s="565"/>
      <c r="N9" s="565"/>
      <c r="O9" s="565"/>
      <c r="P9" s="565"/>
      <c r="Q9" s="565"/>
      <c r="R9" s="565"/>
      <c r="S9" s="566"/>
      <c r="T9" s="559" t="s">
        <v>3</v>
      </c>
      <c r="U9" s="560"/>
    </row>
    <row r="10" spans="1:21" s="133" customFormat="1" ht="38.25" customHeight="1" thickBot="1">
      <c r="A10" s="587"/>
      <c r="B10" s="584"/>
      <c r="C10" s="581"/>
      <c r="D10" s="548"/>
      <c r="E10" s="577" t="s">
        <v>65</v>
      </c>
      <c r="F10" s="578"/>
      <c r="G10" s="578"/>
      <c r="H10" s="578"/>
      <c r="I10" s="578"/>
      <c r="J10" s="578"/>
      <c r="K10" s="579"/>
      <c r="L10" s="567" t="s">
        <v>66</v>
      </c>
      <c r="M10" s="568"/>
      <c r="N10" s="568"/>
      <c r="O10" s="569"/>
      <c r="P10" s="574" t="s">
        <v>149</v>
      </c>
      <c r="Q10" s="575"/>
      <c r="R10" s="575"/>
      <c r="S10" s="576"/>
      <c r="T10" s="572" t="s">
        <v>7</v>
      </c>
      <c r="U10" s="573"/>
    </row>
    <row r="11" spans="1:21" s="133" customFormat="1" ht="21" customHeight="1" thickBot="1">
      <c r="A11" s="587"/>
      <c r="B11" s="584"/>
      <c r="C11" s="581"/>
      <c r="D11" s="548"/>
      <c r="E11" s="547" t="s">
        <v>150</v>
      </c>
      <c r="F11" s="547" t="s">
        <v>151</v>
      </c>
      <c r="G11" s="547" t="s">
        <v>152</v>
      </c>
      <c r="H11" s="547" t="s">
        <v>153</v>
      </c>
      <c r="I11" s="547" t="s">
        <v>154</v>
      </c>
      <c r="J11" s="547" t="s">
        <v>527</v>
      </c>
      <c r="K11" s="551" t="s">
        <v>155</v>
      </c>
      <c r="L11" s="561" t="s">
        <v>156</v>
      </c>
      <c r="M11" s="561" t="s">
        <v>67</v>
      </c>
      <c r="N11" s="547" t="s">
        <v>232</v>
      </c>
      <c r="O11" s="555" t="s">
        <v>233</v>
      </c>
      <c r="P11" s="547" t="s">
        <v>369</v>
      </c>
      <c r="Q11" s="547" t="s">
        <v>157</v>
      </c>
      <c r="R11" s="547" t="s">
        <v>158</v>
      </c>
      <c r="S11" s="555" t="s">
        <v>234</v>
      </c>
      <c r="T11" s="184" t="s">
        <v>159</v>
      </c>
      <c r="U11" s="185" t="s">
        <v>160</v>
      </c>
    </row>
    <row r="12" spans="1:21" s="133" customFormat="1" ht="18.75" customHeight="1">
      <c r="A12" s="587"/>
      <c r="B12" s="584"/>
      <c r="C12" s="581"/>
      <c r="D12" s="548"/>
      <c r="E12" s="548"/>
      <c r="F12" s="548"/>
      <c r="G12" s="548"/>
      <c r="H12" s="548"/>
      <c r="I12" s="548"/>
      <c r="J12" s="838"/>
      <c r="K12" s="552"/>
      <c r="L12" s="562"/>
      <c r="M12" s="562"/>
      <c r="N12" s="548"/>
      <c r="O12" s="556"/>
      <c r="P12" s="548"/>
      <c r="Q12" s="548"/>
      <c r="R12" s="548"/>
      <c r="S12" s="556"/>
      <c r="T12" s="570" t="s">
        <v>161</v>
      </c>
      <c r="U12" s="571"/>
    </row>
    <row r="13" spans="1:21" s="133" customFormat="1" ht="20.25" customHeight="1" thickBot="1">
      <c r="A13" s="588"/>
      <c r="B13" s="585"/>
      <c r="C13" s="582"/>
      <c r="D13" s="549"/>
      <c r="E13" s="549"/>
      <c r="F13" s="549"/>
      <c r="G13" s="549"/>
      <c r="H13" s="549"/>
      <c r="I13" s="549"/>
      <c r="J13" s="839"/>
      <c r="K13" s="553"/>
      <c r="L13" s="563"/>
      <c r="M13" s="563"/>
      <c r="N13" s="549"/>
      <c r="O13" s="557"/>
      <c r="P13" s="549"/>
      <c r="Q13" s="549"/>
      <c r="R13" s="549"/>
      <c r="S13" s="557"/>
      <c r="T13" s="572"/>
      <c r="U13" s="573"/>
    </row>
    <row r="14" spans="1:21" s="132" customFormat="1" ht="30">
      <c r="A14" s="411" t="s">
        <v>39</v>
      </c>
      <c r="B14" s="409" t="s">
        <v>162</v>
      </c>
      <c r="C14" s="134" t="s">
        <v>163</v>
      </c>
      <c r="D14" s="372">
        <f>K14+O14+Q14+R14</f>
        <v>41244437</v>
      </c>
      <c r="E14" s="364">
        <f>13212033+4108</f>
        <v>13216141</v>
      </c>
      <c r="F14" s="365">
        <f>2600726-4108</f>
        <v>2596618</v>
      </c>
      <c r="G14" s="365">
        <f>3859180+140000-337700</f>
        <v>3661480</v>
      </c>
      <c r="H14" s="365"/>
      <c r="I14" s="365">
        <f>445200+20902499-700730+130720+467820+128360-40640-128360+32100-2100000-140000+68056-18619825</f>
        <v>445200</v>
      </c>
      <c r="J14" s="365">
        <v>18619825</v>
      </c>
      <c r="K14" s="366">
        <f>SUM(E14:J14)</f>
        <v>38539264</v>
      </c>
      <c r="L14" s="367">
        <v>101600</v>
      </c>
      <c r="M14" s="367"/>
      <c r="N14" s="367">
        <v>2603573</v>
      </c>
      <c r="O14" s="368">
        <f>SUM(L14:N14)</f>
        <v>2705173</v>
      </c>
      <c r="P14" s="368"/>
      <c r="Q14" s="369"/>
      <c r="R14" s="370"/>
      <c r="S14" s="370"/>
      <c r="T14" s="415">
        <f>0.5+0.1+0.2-0.3</f>
        <v>0.5</v>
      </c>
      <c r="U14" s="416">
        <v>0.5</v>
      </c>
    </row>
    <row r="15" spans="1:21" s="132" customFormat="1" ht="15">
      <c r="A15" s="411" t="s">
        <v>22</v>
      </c>
      <c r="B15" s="357" t="s">
        <v>164</v>
      </c>
      <c r="C15" s="134" t="s">
        <v>31</v>
      </c>
      <c r="D15" s="372">
        <f aca="true" t="shared" si="0" ref="D15:D37">K15+O15+Q15+R15</f>
        <v>68150</v>
      </c>
      <c r="E15" s="364"/>
      <c r="F15" s="365"/>
      <c r="G15" s="365">
        <v>68150</v>
      </c>
      <c r="H15" s="365"/>
      <c r="I15" s="365"/>
      <c r="J15" s="365"/>
      <c r="K15" s="366">
        <f aca="true" t="shared" si="1" ref="K15:K22">SUM(E15:I15)</f>
        <v>68150</v>
      </c>
      <c r="L15" s="367"/>
      <c r="M15" s="367"/>
      <c r="N15" s="367"/>
      <c r="O15" s="368"/>
      <c r="P15" s="368"/>
      <c r="Q15" s="369"/>
      <c r="R15" s="370"/>
      <c r="S15" s="370"/>
      <c r="T15" s="417"/>
      <c r="U15" s="418"/>
    </row>
    <row r="16" spans="1:21" s="132" customFormat="1" ht="29.25" customHeight="1">
      <c r="A16" s="411" t="s">
        <v>40</v>
      </c>
      <c r="B16" s="357" t="s">
        <v>165</v>
      </c>
      <c r="C16" s="134" t="s">
        <v>166</v>
      </c>
      <c r="D16" s="372">
        <f>K16+O16+S16</f>
        <v>507808</v>
      </c>
      <c r="E16" s="364"/>
      <c r="F16" s="365"/>
      <c r="G16" s="365">
        <v>507808</v>
      </c>
      <c r="H16" s="365"/>
      <c r="I16" s="365"/>
      <c r="J16" s="365"/>
      <c r="K16" s="366">
        <f t="shared" si="1"/>
        <v>507808</v>
      </c>
      <c r="L16" s="367"/>
      <c r="M16" s="367"/>
      <c r="N16" s="367"/>
      <c r="O16" s="368">
        <f>SUM(L16:N16)</f>
        <v>0</v>
      </c>
      <c r="P16" s="368"/>
      <c r="Q16" s="369"/>
      <c r="R16" s="370"/>
      <c r="S16" s="370"/>
      <c r="T16" s="419"/>
      <c r="U16" s="418"/>
    </row>
    <row r="17" spans="1:21" s="132" customFormat="1" ht="30" customHeight="1">
      <c r="A17" s="411" t="s">
        <v>91</v>
      </c>
      <c r="B17" s="357" t="s">
        <v>225</v>
      </c>
      <c r="C17" s="134" t="s">
        <v>226</v>
      </c>
      <c r="D17" s="372">
        <f>K17+O17+S17</f>
        <v>1449359</v>
      </c>
      <c r="E17" s="364"/>
      <c r="F17" s="365"/>
      <c r="G17" s="365"/>
      <c r="H17" s="365"/>
      <c r="I17" s="365"/>
      <c r="J17" s="365"/>
      <c r="K17" s="366">
        <f t="shared" si="1"/>
        <v>0</v>
      </c>
      <c r="L17" s="367"/>
      <c r="M17" s="367"/>
      <c r="N17" s="367"/>
      <c r="O17" s="368">
        <f>SUM(L17:N17)</f>
        <v>0</v>
      </c>
      <c r="P17" s="368">
        <v>1449359</v>
      </c>
      <c r="Q17" s="369"/>
      <c r="R17" s="370"/>
      <c r="S17" s="370">
        <f>P17+Q17+R17</f>
        <v>1449359</v>
      </c>
      <c r="T17" s="415"/>
      <c r="U17" s="418"/>
    </row>
    <row r="18" spans="1:21" s="132" customFormat="1" ht="17.25" customHeight="1">
      <c r="A18" s="411" t="s">
        <v>92</v>
      </c>
      <c r="B18" s="357" t="s">
        <v>395</v>
      </c>
      <c r="C18" s="134" t="s">
        <v>396</v>
      </c>
      <c r="D18" s="372">
        <f>K18+O18+S18</f>
        <v>1300000</v>
      </c>
      <c r="E18" s="364"/>
      <c r="F18" s="365"/>
      <c r="G18" s="365"/>
      <c r="H18" s="365"/>
      <c r="I18" s="365">
        <f>1200000+100000</f>
        <v>1300000</v>
      </c>
      <c r="J18" s="365"/>
      <c r="K18" s="366">
        <f t="shared" si="1"/>
        <v>1300000</v>
      </c>
      <c r="L18" s="367"/>
      <c r="M18" s="367"/>
      <c r="N18" s="367"/>
      <c r="O18" s="368"/>
      <c r="P18" s="368"/>
      <c r="Q18" s="369"/>
      <c r="R18" s="370"/>
      <c r="S18" s="370"/>
      <c r="T18" s="415"/>
      <c r="U18" s="418"/>
    </row>
    <row r="19" spans="1:21" s="132" customFormat="1" ht="18.75" customHeight="1">
      <c r="A19" s="411" t="s">
        <v>98</v>
      </c>
      <c r="B19" s="357" t="s">
        <v>397</v>
      </c>
      <c r="C19" s="134" t="s">
        <v>398</v>
      </c>
      <c r="D19" s="372">
        <f>K19+O19+S19</f>
        <v>127000</v>
      </c>
      <c r="E19" s="364"/>
      <c r="F19" s="365"/>
      <c r="G19" s="365">
        <v>127000</v>
      </c>
      <c r="H19" s="365"/>
      <c r="I19" s="365"/>
      <c r="J19" s="365"/>
      <c r="K19" s="366">
        <f t="shared" si="1"/>
        <v>127000</v>
      </c>
      <c r="L19" s="367"/>
      <c r="M19" s="367"/>
      <c r="N19" s="367"/>
      <c r="O19" s="368">
        <f>SUM(L19:N19)</f>
        <v>0</v>
      </c>
      <c r="P19" s="368"/>
      <c r="Q19" s="369"/>
      <c r="R19" s="370"/>
      <c r="S19" s="370"/>
      <c r="T19" s="415"/>
      <c r="U19" s="418"/>
    </row>
    <row r="20" spans="1:21" s="132" customFormat="1" ht="24.75" customHeight="1">
      <c r="A20" s="411" t="s">
        <v>196</v>
      </c>
      <c r="B20" s="357" t="s">
        <v>167</v>
      </c>
      <c r="C20" s="134" t="s">
        <v>168</v>
      </c>
      <c r="D20" s="372">
        <f>K20+O20+Q20+R20</f>
        <v>26670</v>
      </c>
      <c r="E20" s="364"/>
      <c r="F20" s="365"/>
      <c r="G20" s="365">
        <v>26670</v>
      </c>
      <c r="H20" s="365"/>
      <c r="I20" s="365"/>
      <c r="J20" s="365"/>
      <c r="K20" s="366">
        <f t="shared" si="1"/>
        <v>26670</v>
      </c>
      <c r="L20" s="367"/>
      <c r="M20" s="367"/>
      <c r="N20" s="367"/>
      <c r="O20" s="368">
        <f>SUM(L20:N20)</f>
        <v>0</v>
      </c>
      <c r="P20" s="368"/>
      <c r="Q20" s="369"/>
      <c r="R20" s="370"/>
      <c r="S20" s="370"/>
      <c r="T20" s="415"/>
      <c r="U20" s="418"/>
    </row>
    <row r="21" spans="1:21" s="132" customFormat="1" ht="15">
      <c r="A21" s="411" t="s">
        <v>197</v>
      </c>
      <c r="B21" s="357" t="s">
        <v>375</v>
      </c>
      <c r="C21" s="134" t="s">
        <v>376</v>
      </c>
      <c r="D21" s="372">
        <f>K21+O21+Q21+R21</f>
        <v>74676</v>
      </c>
      <c r="E21" s="364"/>
      <c r="F21" s="365"/>
      <c r="G21" s="365">
        <v>74676</v>
      </c>
      <c r="H21" s="365"/>
      <c r="I21" s="365"/>
      <c r="J21" s="365"/>
      <c r="K21" s="366">
        <f t="shared" si="1"/>
        <v>74676</v>
      </c>
      <c r="L21" s="367"/>
      <c r="M21" s="367"/>
      <c r="N21" s="367"/>
      <c r="O21" s="368">
        <f>SUM(L21:N21)</f>
        <v>0</v>
      </c>
      <c r="P21" s="368"/>
      <c r="Q21" s="369"/>
      <c r="R21" s="370"/>
      <c r="S21" s="370"/>
      <c r="T21" s="415"/>
      <c r="U21" s="418"/>
    </row>
    <row r="22" spans="1:21" s="132" customFormat="1" ht="30">
      <c r="A22" s="411" t="s">
        <v>198</v>
      </c>
      <c r="B22" s="357" t="s">
        <v>169</v>
      </c>
      <c r="C22" s="134" t="s">
        <v>170</v>
      </c>
      <c r="D22" s="372">
        <f>K22+O22+Q22+R22</f>
        <v>6283419</v>
      </c>
      <c r="E22" s="364"/>
      <c r="F22" s="365"/>
      <c r="G22" s="365">
        <v>6283419</v>
      </c>
      <c r="H22" s="365"/>
      <c r="I22" s="365"/>
      <c r="J22" s="365"/>
      <c r="K22" s="366">
        <f t="shared" si="1"/>
        <v>6283419</v>
      </c>
      <c r="L22" s="367"/>
      <c r="M22" s="367"/>
      <c r="N22" s="367"/>
      <c r="O22" s="368">
        <f>SUM(L22:N22)</f>
        <v>0</v>
      </c>
      <c r="P22" s="368"/>
      <c r="Q22" s="369"/>
      <c r="R22" s="370"/>
      <c r="S22" s="370"/>
      <c r="T22" s="419"/>
      <c r="U22" s="418"/>
    </row>
    <row r="23" spans="1:21" s="132" customFormat="1" ht="15">
      <c r="A23" s="411" t="s">
        <v>199</v>
      </c>
      <c r="B23" s="357" t="s">
        <v>171</v>
      </c>
      <c r="C23" s="134" t="s">
        <v>172</v>
      </c>
      <c r="D23" s="372">
        <f>K23+O23+Q23+R23</f>
        <v>1000000</v>
      </c>
      <c r="E23" s="364"/>
      <c r="F23" s="365"/>
      <c r="G23" s="365"/>
      <c r="H23" s="365"/>
      <c r="I23" s="365"/>
      <c r="J23" s="365"/>
      <c r="K23" s="366"/>
      <c r="L23" s="367"/>
      <c r="M23" s="367"/>
      <c r="N23" s="367">
        <v>1000000</v>
      </c>
      <c r="O23" s="368">
        <f>SUM(L23:N23)</f>
        <v>1000000</v>
      </c>
      <c r="P23" s="368"/>
      <c r="Q23" s="369"/>
      <c r="R23" s="370"/>
      <c r="S23" s="370"/>
      <c r="T23" s="419"/>
      <c r="U23" s="418"/>
    </row>
    <row r="24" spans="1:21" s="132" customFormat="1" ht="15">
      <c r="A24" s="411" t="s">
        <v>200</v>
      </c>
      <c r="B24" s="357" t="s">
        <v>173</v>
      </c>
      <c r="C24" s="134" t="s">
        <v>174</v>
      </c>
      <c r="D24" s="372">
        <f t="shared" si="0"/>
        <v>1943100</v>
      </c>
      <c r="E24" s="364"/>
      <c r="F24" s="365"/>
      <c r="G24" s="365">
        <v>1943100</v>
      </c>
      <c r="H24" s="367"/>
      <c r="I24" s="365"/>
      <c r="J24" s="365"/>
      <c r="K24" s="366">
        <f aca="true" t="shared" si="2" ref="K24:K34">SUM(E24:I24)</f>
        <v>1943100</v>
      </c>
      <c r="L24" s="367"/>
      <c r="M24" s="367"/>
      <c r="N24" s="367"/>
      <c r="O24" s="368"/>
      <c r="P24" s="368"/>
      <c r="Q24" s="369"/>
      <c r="R24" s="370"/>
      <c r="S24" s="370"/>
      <c r="T24" s="419"/>
      <c r="U24" s="418"/>
    </row>
    <row r="25" spans="1:21" s="132" customFormat="1" ht="15">
      <c r="A25" s="411" t="s">
        <v>201</v>
      </c>
      <c r="B25" s="357" t="s">
        <v>175</v>
      </c>
      <c r="C25" s="134" t="s">
        <v>176</v>
      </c>
      <c r="D25" s="372">
        <f t="shared" si="0"/>
        <v>232410</v>
      </c>
      <c r="E25" s="364"/>
      <c r="F25" s="365"/>
      <c r="G25" s="365">
        <v>232410</v>
      </c>
      <c r="H25" s="367"/>
      <c r="I25" s="365"/>
      <c r="J25" s="365"/>
      <c r="K25" s="366">
        <f t="shared" si="2"/>
        <v>232410</v>
      </c>
      <c r="L25" s="367"/>
      <c r="M25" s="367"/>
      <c r="N25" s="367"/>
      <c r="O25" s="368"/>
      <c r="P25" s="368"/>
      <c r="Q25" s="369"/>
      <c r="R25" s="370"/>
      <c r="S25" s="370"/>
      <c r="T25" s="419"/>
      <c r="U25" s="418"/>
    </row>
    <row r="26" spans="1:21" s="132" customFormat="1" ht="30">
      <c r="A26" s="411" t="s">
        <v>202</v>
      </c>
      <c r="B26" s="357" t="s">
        <v>177</v>
      </c>
      <c r="C26" s="134" t="s">
        <v>178</v>
      </c>
      <c r="D26" s="372">
        <f t="shared" si="0"/>
        <v>103288416</v>
      </c>
      <c r="E26" s="364">
        <f>1974000+8217</f>
        <v>1982217</v>
      </c>
      <c r="F26" s="365">
        <f>353550-8217</f>
        <v>345333</v>
      </c>
      <c r="G26" s="365">
        <f>2944946+964900</f>
        <v>3909846</v>
      </c>
      <c r="H26" s="367"/>
      <c r="I26" s="365"/>
      <c r="J26" s="365"/>
      <c r="K26" s="366">
        <f t="shared" si="2"/>
        <v>6237396</v>
      </c>
      <c r="L26" s="367">
        <f>9741809+25+234696</f>
        <v>9976530</v>
      </c>
      <c r="M26" s="367">
        <f>87074386+104</f>
        <v>87074490</v>
      </c>
      <c r="N26" s="367"/>
      <c r="O26" s="368">
        <f>SUM(L26:N26)</f>
        <v>97051020</v>
      </c>
      <c r="P26" s="368"/>
      <c r="Q26" s="369"/>
      <c r="R26" s="370"/>
      <c r="S26" s="370"/>
      <c r="T26" s="419">
        <v>1</v>
      </c>
      <c r="U26" s="418">
        <v>1</v>
      </c>
    </row>
    <row r="27" spans="1:21" s="132" customFormat="1" ht="15">
      <c r="A27" s="411" t="s">
        <v>203</v>
      </c>
      <c r="B27" s="357" t="s">
        <v>179</v>
      </c>
      <c r="C27" s="134" t="s">
        <v>29</v>
      </c>
      <c r="D27" s="372">
        <f t="shared" si="0"/>
        <v>146050</v>
      </c>
      <c r="E27" s="364"/>
      <c r="F27" s="365"/>
      <c r="G27" s="365">
        <v>146050</v>
      </c>
      <c r="H27" s="367"/>
      <c r="I27" s="365"/>
      <c r="J27" s="365"/>
      <c r="K27" s="366">
        <f t="shared" si="2"/>
        <v>146050</v>
      </c>
      <c r="L27" s="367"/>
      <c r="M27" s="367"/>
      <c r="N27" s="367"/>
      <c r="O27" s="368">
        <f aca="true" t="shared" si="3" ref="O27:O37">SUM(L27:N27)</f>
        <v>0</v>
      </c>
      <c r="P27" s="368"/>
      <c r="Q27" s="369"/>
      <c r="R27" s="370"/>
      <c r="S27" s="370"/>
      <c r="T27" s="419"/>
      <c r="U27" s="418"/>
    </row>
    <row r="28" spans="1:21" s="132" customFormat="1" ht="30">
      <c r="A28" s="411" t="s">
        <v>204</v>
      </c>
      <c r="B28" s="357" t="s">
        <v>528</v>
      </c>
      <c r="C28" s="134" t="s">
        <v>529</v>
      </c>
      <c r="D28" s="372">
        <f t="shared" si="0"/>
        <v>337700</v>
      </c>
      <c r="E28" s="364"/>
      <c r="F28" s="365"/>
      <c r="G28" s="365">
        <v>337700</v>
      </c>
      <c r="H28" s="367"/>
      <c r="I28" s="365"/>
      <c r="J28" s="365"/>
      <c r="K28" s="366">
        <f t="shared" si="2"/>
        <v>337700</v>
      </c>
      <c r="L28" s="367"/>
      <c r="M28" s="367"/>
      <c r="N28" s="367"/>
      <c r="O28" s="368"/>
      <c r="P28" s="368"/>
      <c r="Q28" s="369"/>
      <c r="R28" s="370"/>
      <c r="S28" s="370"/>
      <c r="T28" s="419"/>
      <c r="U28" s="418"/>
    </row>
    <row r="29" spans="1:21" s="132" customFormat="1" ht="31.5" customHeight="1">
      <c r="A29" s="411" t="s">
        <v>206</v>
      </c>
      <c r="B29" s="357" t="s">
        <v>180</v>
      </c>
      <c r="C29" s="134" t="s">
        <v>181</v>
      </c>
      <c r="D29" s="372">
        <f t="shared" si="0"/>
        <v>675000</v>
      </c>
      <c r="E29" s="364"/>
      <c r="F29" s="365"/>
      <c r="G29" s="365"/>
      <c r="H29" s="365"/>
      <c r="I29" s="365">
        <v>675000</v>
      </c>
      <c r="J29" s="365"/>
      <c r="K29" s="366">
        <f t="shared" si="2"/>
        <v>675000</v>
      </c>
      <c r="L29" s="367"/>
      <c r="M29" s="367"/>
      <c r="N29" s="367"/>
      <c r="O29" s="368">
        <f t="shared" si="3"/>
        <v>0</v>
      </c>
      <c r="P29" s="368"/>
      <c r="Q29" s="369"/>
      <c r="R29" s="370"/>
      <c r="S29" s="370"/>
      <c r="T29" s="419"/>
      <c r="U29" s="418"/>
    </row>
    <row r="30" spans="1:21" s="132" customFormat="1" ht="15">
      <c r="A30" s="411" t="s">
        <v>207</v>
      </c>
      <c r="B30" s="357" t="s">
        <v>182</v>
      </c>
      <c r="C30" s="134" t="s">
        <v>32</v>
      </c>
      <c r="D30" s="372">
        <f t="shared" si="0"/>
        <v>1097824</v>
      </c>
      <c r="E30" s="364">
        <f>725740+1644</f>
        <v>727384</v>
      </c>
      <c r="F30" s="365">
        <f>128625-1644</f>
        <v>126981</v>
      </c>
      <c r="G30" s="365">
        <v>63500</v>
      </c>
      <c r="H30" s="365"/>
      <c r="I30" s="365"/>
      <c r="J30" s="365"/>
      <c r="K30" s="366">
        <f t="shared" si="2"/>
        <v>917865</v>
      </c>
      <c r="L30" s="367">
        <v>179959</v>
      </c>
      <c r="M30" s="367"/>
      <c r="N30" s="367"/>
      <c r="O30" s="368">
        <f t="shared" si="3"/>
        <v>179959</v>
      </c>
      <c r="P30" s="368"/>
      <c r="Q30" s="369"/>
      <c r="R30" s="370"/>
      <c r="S30" s="370"/>
      <c r="T30" s="419">
        <v>0.2</v>
      </c>
      <c r="U30" s="418">
        <v>0.2</v>
      </c>
    </row>
    <row r="31" spans="1:21" s="132" customFormat="1" ht="30">
      <c r="A31" s="411" t="s">
        <v>208</v>
      </c>
      <c r="B31" s="357" t="s">
        <v>370</v>
      </c>
      <c r="C31" s="134" t="s">
        <v>371</v>
      </c>
      <c r="D31" s="372">
        <f t="shared" si="0"/>
        <v>3545527</v>
      </c>
      <c r="E31" s="364">
        <f>2488610+2465</f>
        <v>2491075</v>
      </c>
      <c r="F31" s="365">
        <f>192937-2465</f>
        <v>190472</v>
      </c>
      <c r="G31" s="365">
        <v>863980</v>
      </c>
      <c r="H31" s="365"/>
      <c r="I31" s="365"/>
      <c r="J31" s="365"/>
      <c r="K31" s="366">
        <f t="shared" si="2"/>
        <v>3545527</v>
      </c>
      <c r="L31" s="367"/>
      <c r="M31" s="367"/>
      <c r="N31" s="367"/>
      <c r="O31" s="368">
        <f t="shared" si="3"/>
        <v>0</v>
      </c>
      <c r="P31" s="368"/>
      <c r="Q31" s="369"/>
      <c r="R31" s="370"/>
      <c r="S31" s="370"/>
      <c r="T31" s="419">
        <f>0.3</f>
        <v>0.3</v>
      </c>
      <c r="U31" s="418">
        <f>T31</f>
        <v>0.3</v>
      </c>
    </row>
    <row r="32" spans="1:21" s="132" customFormat="1" ht="15">
      <c r="A32" s="411" t="s">
        <v>278</v>
      </c>
      <c r="B32" s="357" t="s">
        <v>372</v>
      </c>
      <c r="C32" s="134" t="s">
        <v>373</v>
      </c>
      <c r="D32" s="372">
        <f t="shared" si="0"/>
        <v>231500</v>
      </c>
      <c r="E32" s="364">
        <v>200000</v>
      </c>
      <c r="F32" s="365">
        <v>31500</v>
      </c>
      <c r="G32" s="365"/>
      <c r="H32" s="365"/>
      <c r="I32" s="365"/>
      <c r="J32" s="365"/>
      <c r="K32" s="366">
        <f t="shared" si="2"/>
        <v>231500</v>
      </c>
      <c r="L32" s="367"/>
      <c r="M32" s="367"/>
      <c r="N32" s="367"/>
      <c r="O32" s="368">
        <f t="shared" si="3"/>
        <v>0</v>
      </c>
      <c r="P32" s="368"/>
      <c r="Q32" s="369"/>
      <c r="R32" s="370"/>
      <c r="S32" s="370"/>
      <c r="T32" s="419"/>
      <c r="U32" s="418"/>
    </row>
    <row r="33" spans="1:21" s="132" customFormat="1" ht="15">
      <c r="A33" s="411" t="s">
        <v>280</v>
      </c>
      <c r="B33" s="357" t="s">
        <v>183</v>
      </c>
      <c r="C33" s="134" t="s">
        <v>30</v>
      </c>
      <c r="D33" s="372">
        <f t="shared" si="0"/>
        <v>120000</v>
      </c>
      <c r="E33" s="364"/>
      <c r="F33" s="365"/>
      <c r="G33" s="365"/>
      <c r="H33" s="365"/>
      <c r="I33" s="365">
        <v>120000</v>
      </c>
      <c r="J33" s="365"/>
      <c r="K33" s="366">
        <f t="shared" si="2"/>
        <v>120000</v>
      </c>
      <c r="L33" s="367"/>
      <c r="M33" s="367"/>
      <c r="N33" s="367"/>
      <c r="O33" s="368">
        <f t="shared" si="3"/>
        <v>0</v>
      </c>
      <c r="P33" s="368"/>
      <c r="Q33" s="369"/>
      <c r="R33" s="370"/>
      <c r="S33" s="370"/>
      <c r="T33" s="419"/>
      <c r="U33" s="418"/>
    </row>
    <row r="34" spans="1:21" s="132" customFormat="1" ht="15">
      <c r="A34" s="411" t="s">
        <v>400</v>
      </c>
      <c r="B34" s="357" t="s">
        <v>184</v>
      </c>
      <c r="C34" s="134" t="s">
        <v>185</v>
      </c>
      <c r="D34" s="372">
        <f t="shared" si="0"/>
        <v>0</v>
      </c>
      <c r="E34" s="364"/>
      <c r="F34" s="365"/>
      <c r="G34" s="365"/>
      <c r="H34" s="365"/>
      <c r="I34" s="365"/>
      <c r="J34" s="365"/>
      <c r="K34" s="366">
        <f t="shared" si="2"/>
        <v>0</v>
      </c>
      <c r="L34" s="367"/>
      <c r="M34" s="367"/>
      <c r="N34" s="367"/>
      <c r="O34" s="368">
        <f t="shared" si="3"/>
        <v>0</v>
      </c>
      <c r="P34" s="368"/>
      <c r="Q34" s="369"/>
      <c r="R34" s="370"/>
      <c r="S34" s="370"/>
      <c r="T34" s="419"/>
      <c r="U34" s="418"/>
    </row>
    <row r="35" spans="1:21" s="132" customFormat="1" ht="30">
      <c r="A35" s="411" t="s">
        <v>401</v>
      </c>
      <c r="B35" s="357">
        <v>104051</v>
      </c>
      <c r="C35" s="134" t="s">
        <v>286</v>
      </c>
      <c r="D35" s="372"/>
      <c r="E35" s="364"/>
      <c r="F35" s="365"/>
      <c r="G35" s="365"/>
      <c r="H35" s="365"/>
      <c r="I35" s="365"/>
      <c r="J35" s="365"/>
      <c r="K35" s="366"/>
      <c r="L35" s="367"/>
      <c r="M35" s="367"/>
      <c r="N35" s="367"/>
      <c r="O35" s="368"/>
      <c r="P35" s="368"/>
      <c r="Q35" s="369"/>
      <c r="R35" s="370"/>
      <c r="S35" s="370"/>
      <c r="T35" s="419"/>
      <c r="U35" s="418"/>
    </row>
    <row r="36" spans="1:21" s="132" customFormat="1" ht="15">
      <c r="A36" s="411" t="s">
        <v>402</v>
      </c>
      <c r="B36" s="357">
        <v>107052</v>
      </c>
      <c r="C36" s="137" t="s">
        <v>187</v>
      </c>
      <c r="D36" s="372">
        <f t="shared" si="0"/>
        <v>132050</v>
      </c>
      <c r="E36" s="364"/>
      <c r="F36" s="365"/>
      <c r="G36" s="365">
        <v>132050</v>
      </c>
      <c r="H36" s="365"/>
      <c r="I36" s="365"/>
      <c r="J36" s="365"/>
      <c r="K36" s="366">
        <f>SUM(E36:I36)</f>
        <v>132050</v>
      </c>
      <c r="L36" s="367"/>
      <c r="M36" s="367"/>
      <c r="N36" s="367"/>
      <c r="O36" s="368">
        <f t="shared" si="3"/>
        <v>0</v>
      </c>
      <c r="P36" s="368"/>
      <c r="Q36" s="369"/>
      <c r="R36" s="370"/>
      <c r="S36" s="370"/>
      <c r="T36" s="419"/>
      <c r="U36" s="418"/>
    </row>
    <row r="37" spans="1:21" s="132" customFormat="1" ht="27.75" customHeight="1" thickBot="1">
      <c r="A37" s="411" t="s">
        <v>403</v>
      </c>
      <c r="B37" s="357">
        <v>107060</v>
      </c>
      <c r="C37" s="134" t="s">
        <v>188</v>
      </c>
      <c r="D37" s="372">
        <f t="shared" si="0"/>
        <v>2770640</v>
      </c>
      <c r="E37" s="364"/>
      <c r="F37" s="365"/>
      <c r="G37" s="365">
        <v>40640</v>
      </c>
      <c r="H37" s="365">
        <v>2700000</v>
      </c>
      <c r="I37" s="365">
        <v>30000</v>
      </c>
      <c r="J37" s="365"/>
      <c r="K37" s="366">
        <f>SUM(E37:I37)</f>
        <v>2770640</v>
      </c>
      <c r="L37" s="367"/>
      <c r="M37" s="367"/>
      <c r="N37" s="367"/>
      <c r="O37" s="368">
        <f t="shared" si="3"/>
        <v>0</v>
      </c>
      <c r="P37" s="368"/>
      <c r="Q37" s="369"/>
      <c r="R37" s="370"/>
      <c r="S37" s="370"/>
      <c r="T37" s="415"/>
      <c r="U37" s="418"/>
    </row>
    <row r="38" spans="1:21" ht="15" thickBot="1">
      <c r="A38" s="443" t="s">
        <v>404</v>
      </c>
      <c r="B38" s="410"/>
      <c r="C38" s="201" t="s">
        <v>431</v>
      </c>
      <c r="D38" s="371">
        <f aca="true" t="shared" si="4" ref="D38:U38">SUM(D14:D37)</f>
        <v>166601736</v>
      </c>
      <c r="E38" s="371">
        <f t="shared" si="4"/>
        <v>18616817</v>
      </c>
      <c r="F38" s="371">
        <f t="shared" si="4"/>
        <v>3290904</v>
      </c>
      <c r="G38" s="371">
        <f t="shared" si="4"/>
        <v>18418479</v>
      </c>
      <c r="H38" s="371">
        <f t="shared" si="4"/>
        <v>2700000</v>
      </c>
      <c r="I38" s="371">
        <f t="shared" si="4"/>
        <v>2570200</v>
      </c>
      <c r="J38" s="371">
        <f t="shared" si="4"/>
        <v>18619825</v>
      </c>
      <c r="K38" s="371">
        <f>SUM(K14:K37)</f>
        <v>64216225</v>
      </c>
      <c r="L38" s="371">
        <f t="shared" si="4"/>
        <v>10258089</v>
      </c>
      <c r="M38" s="371">
        <f t="shared" si="4"/>
        <v>87074490</v>
      </c>
      <c r="N38" s="371">
        <f t="shared" si="4"/>
        <v>3603573</v>
      </c>
      <c r="O38" s="371">
        <f t="shared" si="4"/>
        <v>100936152</v>
      </c>
      <c r="P38" s="371">
        <f t="shared" si="4"/>
        <v>1449359</v>
      </c>
      <c r="Q38" s="371">
        <f t="shared" si="4"/>
        <v>0</v>
      </c>
      <c r="R38" s="371">
        <f t="shared" si="4"/>
        <v>0</v>
      </c>
      <c r="S38" s="371">
        <f t="shared" si="4"/>
        <v>1449359</v>
      </c>
      <c r="T38" s="420">
        <f t="shared" si="4"/>
        <v>2</v>
      </c>
      <c r="U38" s="420">
        <f t="shared" si="4"/>
        <v>2</v>
      </c>
    </row>
    <row r="39" spans="1:21" ht="14.25">
      <c r="A39" s="484"/>
      <c r="B39" s="447"/>
      <c r="C39" s="447"/>
      <c r="D39" s="448"/>
      <c r="E39" s="448"/>
      <c r="F39" s="448"/>
      <c r="G39" s="448"/>
      <c r="H39" s="448"/>
      <c r="I39" s="448"/>
      <c r="J39" s="448"/>
      <c r="K39" s="448"/>
      <c r="L39" s="448"/>
      <c r="M39" s="448"/>
      <c r="N39" s="448"/>
      <c r="O39" s="448"/>
      <c r="P39" s="448"/>
      <c r="Q39" s="448"/>
      <c r="R39" s="448"/>
      <c r="S39" s="448"/>
      <c r="T39" s="449"/>
      <c r="U39" s="449"/>
    </row>
    <row r="40" spans="1:21" ht="15">
      <c r="A40" s="411" t="s">
        <v>462</v>
      </c>
      <c r="B40" s="357" t="s">
        <v>395</v>
      </c>
      <c r="C40" s="134" t="s">
        <v>396</v>
      </c>
      <c r="D40" s="429">
        <f aca="true" t="shared" si="5" ref="D40:D45">K40+O40+Q40+R40</f>
        <v>89479</v>
      </c>
      <c r="E40" s="494"/>
      <c r="F40" s="485"/>
      <c r="G40" s="365">
        <v>89479</v>
      </c>
      <c r="H40" s="494"/>
      <c r="I40" s="494"/>
      <c r="J40" s="494"/>
      <c r="K40" s="366">
        <f aca="true" t="shared" si="6" ref="K40:K45">SUM(E40:I40)</f>
        <v>89479</v>
      </c>
      <c r="L40" s="494"/>
      <c r="M40" s="494"/>
      <c r="N40" s="494"/>
      <c r="O40" s="494"/>
      <c r="P40" s="494"/>
      <c r="Q40" s="494"/>
      <c r="R40" s="494"/>
      <c r="S40" s="494"/>
      <c r="T40" s="495"/>
      <c r="U40" s="495"/>
    </row>
    <row r="41" spans="1:21" ht="15">
      <c r="A41" s="411" t="s">
        <v>406</v>
      </c>
      <c r="B41" s="357" t="s">
        <v>429</v>
      </c>
      <c r="C41" s="134" t="s">
        <v>430</v>
      </c>
      <c r="D41" s="429">
        <f t="shared" si="5"/>
        <v>0</v>
      </c>
      <c r="E41" s="485">
        <f>82280-82280</f>
        <v>0</v>
      </c>
      <c r="F41" s="485">
        <f>7199-7199</f>
        <v>0</v>
      </c>
      <c r="G41" s="485"/>
      <c r="H41" s="485"/>
      <c r="I41" s="485"/>
      <c r="J41" s="485"/>
      <c r="K41" s="366">
        <f t="shared" si="6"/>
        <v>0</v>
      </c>
      <c r="L41" s="485"/>
      <c r="M41" s="485"/>
      <c r="N41" s="485"/>
      <c r="O41" s="485"/>
      <c r="P41" s="485"/>
      <c r="Q41" s="485"/>
      <c r="R41" s="485"/>
      <c r="S41" s="485"/>
      <c r="T41" s="486"/>
      <c r="U41" s="486"/>
    </row>
    <row r="42" spans="1:21" ht="19.5" customHeight="1">
      <c r="A42" s="411" t="s">
        <v>414</v>
      </c>
      <c r="B42" s="357" t="s">
        <v>227</v>
      </c>
      <c r="C42" s="134" t="s">
        <v>228</v>
      </c>
      <c r="D42" s="429">
        <f t="shared" si="5"/>
        <v>8226029</v>
      </c>
      <c r="E42" s="428">
        <f>3232996+8546</f>
        <v>3241542</v>
      </c>
      <c r="F42" s="365">
        <f>555998-8546</f>
        <v>547452</v>
      </c>
      <c r="G42" s="365">
        <f>4009344+427691</f>
        <v>4437035</v>
      </c>
      <c r="H42" s="365"/>
      <c r="I42" s="365"/>
      <c r="J42" s="365"/>
      <c r="K42" s="366">
        <f t="shared" si="6"/>
        <v>8226029</v>
      </c>
      <c r="L42" s="367"/>
      <c r="M42" s="367"/>
      <c r="N42" s="367"/>
      <c r="O42" s="368">
        <f>SUM(L42:N42)</f>
        <v>0</v>
      </c>
      <c r="P42" s="368"/>
      <c r="Q42" s="369"/>
      <c r="R42" s="370"/>
      <c r="S42" s="370"/>
      <c r="T42" s="419">
        <v>1</v>
      </c>
      <c r="U42" s="418">
        <v>1</v>
      </c>
    </row>
    <row r="43" spans="1:21" ht="30">
      <c r="A43" s="431" t="s">
        <v>432</v>
      </c>
      <c r="B43" s="357" t="s">
        <v>229</v>
      </c>
      <c r="C43" s="134" t="s">
        <v>230</v>
      </c>
      <c r="D43" s="430">
        <f t="shared" si="5"/>
        <v>1974827</v>
      </c>
      <c r="E43" s="428">
        <f>746076+1972</f>
        <v>748048</v>
      </c>
      <c r="F43" s="365">
        <f>128307-1972</f>
        <v>126335</v>
      </c>
      <c r="G43" s="365">
        <f>1001745+98699</f>
        <v>1100444</v>
      </c>
      <c r="H43" s="365"/>
      <c r="I43" s="365"/>
      <c r="J43" s="365"/>
      <c r="K43" s="366">
        <f t="shared" si="6"/>
        <v>1974827</v>
      </c>
      <c r="L43" s="367"/>
      <c r="M43" s="367"/>
      <c r="N43" s="367"/>
      <c r="O43" s="368">
        <f>SUM(L43:N43)</f>
        <v>0</v>
      </c>
      <c r="P43" s="368"/>
      <c r="Q43" s="369"/>
      <c r="R43" s="370"/>
      <c r="S43" s="370"/>
      <c r="T43" s="419"/>
      <c r="U43" s="418"/>
    </row>
    <row r="44" spans="1:21" ht="15">
      <c r="A44" s="431" t="s">
        <v>433</v>
      </c>
      <c r="B44" s="357" t="s">
        <v>285</v>
      </c>
      <c r="C44" s="136" t="s">
        <v>374</v>
      </c>
      <c r="D44" s="430">
        <f t="shared" si="5"/>
        <v>1711172</v>
      </c>
      <c r="E44" s="428">
        <f>621730+1643</f>
        <v>623373</v>
      </c>
      <c r="F44" s="365">
        <f>106923-1643</f>
        <v>105280</v>
      </c>
      <c r="G44" s="365">
        <f>900271+82248</f>
        <v>982519</v>
      </c>
      <c r="H44" s="365"/>
      <c r="I44" s="365"/>
      <c r="J44" s="365"/>
      <c r="K44" s="366">
        <f t="shared" si="6"/>
        <v>1711172</v>
      </c>
      <c r="L44" s="367"/>
      <c r="M44" s="367"/>
      <c r="N44" s="367"/>
      <c r="O44" s="368">
        <f>SUM(L44:N44)</f>
        <v>0</v>
      </c>
      <c r="P44" s="368"/>
      <c r="Q44" s="369"/>
      <c r="R44" s="370"/>
      <c r="S44" s="370"/>
      <c r="T44" s="419"/>
      <c r="U44" s="418"/>
    </row>
    <row r="45" spans="1:21" ht="16.5" customHeight="1" thickBot="1">
      <c r="A45" s="840" t="s">
        <v>463</v>
      </c>
      <c r="B45" s="358" t="s">
        <v>186</v>
      </c>
      <c r="C45" s="432" t="s">
        <v>284</v>
      </c>
      <c r="D45" s="433">
        <f t="shared" si="5"/>
        <v>4377487</v>
      </c>
      <c r="E45" s="434">
        <f>1616498+4273</f>
        <v>1620771</v>
      </c>
      <c r="F45" s="435">
        <f>277999-4273</f>
        <v>273726</v>
      </c>
      <c r="G45" s="435">
        <f>2269144+213846</f>
        <v>2482990</v>
      </c>
      <c r="H45" s="435"/>
      <c r="I45" s="435"/>
      <c r="J45" s="435"/>
      <c r="K45" s="436">
        <f t="shared" si="6"/>
        <v>4377487</v>
      </c>
      <c r="L45" s="437"/>
      <c r="M45" s="437"/>
      <c r="N45" s="437"/>
      <c r="O45" s="438">
        <f>SUM(L45:N45)</f>
        <v>0</v>
      </c>
      <c r="P45" s="438"/>
      <c r="Q45" s="439"/>
      <c r="R45" s="440"/>
      <c r="S45" s="440"/>
      <c r="T45" s="417">
        <v>1</v>
      </c>
      <c r="U45" s="441">
        <v>1</v>
      </c>
    </row>
    <row r="46" spans="1:21" ht="21.75" customHeight="1" thickBot="1">
      <c r="A46" s="444" t="s">
        <v>516</v>
      </c>
      <c r="B46" s="442"/>
      <c r="C46" s="445" t="s">
        <v>434</v>
      </c>
      <c r="D46" s="450">
        <f>D43+D44+D45+D42+D41+D40</f>
        <v>16378994</v>
      </c>
      <c r="E46" s="450">
        <f>E43+E44+E45+E42+E41</f>
        <v>6233734</v>
      </c>
      <c r="F46" s="450">
        <f>F43+F44+F45+F42+F41+F40</f>
        <v>1052793</v>
      </c>
      <c r="G46" s="450">
        <f>G43+G44+G45+G42+G41+G40</f>
        <v>9092467</v>
      </c>
      <c r="H46" s="450">
        <f>H43+H44+H45+H42+H41</f>
        <v>0</v>
      </c>
      <c r="I46" s="450">
        <f>I43+I44+I45+I42+I41</f>
        <v>0</v>
      </c>
      <c r="J46" s="450"/>
      <c r="K46" s="450">
        <f>K43+K44+K45+K42+K41+K40</f>
        <v>16378994</v>
      </c>
      <c r="L46" s="450">
        <f aca="true" t="shared" si="7" ref="L46:U46">L43+L44+L45+L42</f>
        <v>0</v>
      </c>
      <c r="M46" s="450">
        <f t="shared" si="7"/>
        <v>0</v>
      </c>
      <c r="N46" s="450">
        <f t="shared" si="7"/>
        <v>0</v>
      </c>
      <c r="O46" s="450">
        <f t="shared" si="7"/>
        <v>0</v>
      </c>
      <c r="P46" s="450">
        <f t="shared" si="7"/>
        <v>0</v>
      </c>
      <c r="Q46" s="450">
        <f t="shared" si="7"/>
        <v>0</v>
      </c>
      <c r="R46" s="450">
        <f t="shared" si="7"/>
        <v>0</v>
      </c>
      <c r="S46" s="450">
        <f t="shared" si="7"/>
        <v>0</v>
      </c>
      <c r="T46" s="483">
        <f t="shared" si="7"/>
        <v>2</v>
      </c>
      <c r="U46" s="483">
        <f t="shared" si="7"/>
        <v>2</v>
      </c>
    </row>
    <row r="47" spans="1:21" ht="16.5" thickBot="1">
      <c r="A47" s="444" t="s">
        <v>530</v>
      </c>
      <c r="B47" s="442"/>
      <c r="C47" s="446" t="s">
        <v>435</v>
      </c>
      <c r="D47" s="450">
        <f>D38+D46</f>
        <v>182980730</v>
      </c>
      <c r="E47" s="450">
        <f aca="true" t="shared" si="8" ref="E47:U47">E38+E46</f>
        <v>24850551</v>
      </c>
      <c r="F47" s="450">
        <f>F38+F46</f>
        <v>4343697</v>
      </c>
      <c r="G47" s="450">
        <f t="shared" si="8"/>
        <v>27510946</v>
      </c>
      <c r="H47" s="450">
        <f t="shared" si="8"/>
        <v>2700000</v>
      </c>
      <c r="I47" s="450">
        <f t="shared" si="8"/>
        <v>2570200</v>
      </c>
      <c r="J47" s="450">
        <f t="shared" si="8"/>
        <v>18619825</v>
      </c>
      <c r="K47" s="450">
        <f>K38+K46</f>
        <v>80595219</v>
      </c>
      <c r="L47" s="450">
        <f t="shared" si="8"/>
        <v>10258089</v>
      </c>
      <c r="M47" s="450">
        <f t="shared" si="8"/>
        <v>87074490</v>
      </c>
      <c r="N47" s="450">
        <f t="shared" si="8"/>
        <v>3603573</v>
      </c>
      <c r="O47" s="450">
        <f t="shared" si="8"/>
        <v>100936152</v>
      </c>
      <c r="P47" s="450">
        <f t="shared" si="8"/>
        <v>1449359</v>
      </c>
      <c r="Q47" s="450">
        <f t="shared" si="8"/>
        <v>0</v>
      </c>
      <c r="R47" s="450">
        <f t="shared" si="8"/>
        <v>0</v>
      </c>
      <c r="S47" s="450">
        <f t="shared" si="8"/>
        <v>1449359</v>
      </c>
      <c r="T47" s="483">
        <f t="shared" si="8"/>
        <v>4</v>
      </c>
      <c r="U47" s="483">
        <f t="shared" si="8"/>
        <v>4</v>
      </c>
    </row>
    <row r="48" spans="4:10" ht="12.75">
      <c r="D48" s="451"/>
      <c r="J48" s="451"/>
    </row>
    <row r="49" ht="12.75">
      <c r="D49" s="451"/>
    </row>
  </sheetData>
  <sheetProtection/>
  <mergeCells count="33">
    <mergeCell ref="T12:U13"/>
    <mergeCell ref="B5:U5"/>
    <mergeCell ref="B6:U6"/>
    <mergeCell ref="B7:U7"/>
    <mergeCell ref="T8:U8"/>
    <mergeCell ref="E9:S9"/>
    <mergeCell ref="T9:U9"/>
    <mergeCell ref="C9:C13"/>
    <mergeCell ref="F11:F13"/>
    <mergeCell ref="B9:B13"/>
    <mergeCell ref="A9:A13"/>
    <mergeCell ref="I11:I13"/>
    <mergeCell ref="D9:D13"/>
    <mergeCell ref="E10:K10"/>
    <mergeCell ref="N11:N13"/>
    <mergeCell ref="O11:O13"/>
    <mergeCell ref="E11:E13"/>
    <mergeCell ref="L10:O10"/>
    <mergeCell ref="P10:S10"/>
    <mergeCell ref="T10:U10"/>
    <mergeCell ref="S11:S13"/>
    <mergeCell ref="K11:K13"/>
    <mergeCell ref="G11:G13"/>
    <mergeCell ref="L11:L13"/>
    <mergeCell ref="M11:M13"/>
    <mergeCell ref="B1:T1"/>
    <mergeCell ref="H11:H13"/>
    <mergeCell ref="Q11:Q13"/>
    <mergeCell ref="J11:J13"/>
    <mergeCell ref="P11:P13"/>
    <mergeCell ref="B2:Q2"/>
    <mergeCell ref="B3:T3"/>
    <mergeCell ref="R11:R1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8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N46"/>
  <sheetViews>
    <sheetView zoomScalePageLayoutView="0" workbookViewId="0" topLeftCell="A16">
      <selection activeCell="E25" sqref="E25"/>
    </sheetView>
  </sheetViews>
  <sheetFormatPr defaultColWidth="9.00390625" defaultRowHeight="12.75"/>
  <cols>
    <col min="1" max="1" width="4.125" style="194" customWidth="1"/>
    <col min="2" max="2" width="9.125" style="194" customWidth="1"/>
    <col min="3" max="3" width="63.125" style="194" customWidth="1"/>
    <col min="4" max="4" width="24.00390625" style="194" customWidth="1"/>
    <col min="5" max="7" width="26.25390625" style="194" customWidth="1"/>
    <col min="8" max="16384" width="9.125" style="194" customWidth="1"/>
  </cols>
  <sheetData>
    <row r="2" spans="2:7" s="186" customFormat="1" ht="15.75">
      <c r="B2" s="545" t="s">
        <v>502</v>
      </c>
      <c r="C2" s="545"/>
      <c r="D2" s="545"/>
      <c r="E2" s="545"/>
      <c r="F2" s="545"/>
      <c r="G2" s="545"/>
    </row>
    <row r="3" spans="3:7" s="82" customFormat="1" ht="15" customHeight="1">
      <c r="C3" s="543"/>
      <c r="D3" s="543"/>
      <c r="E3" s="543"/>
      <c r="F3" s="543"/>
      <c r="G3" s="543"/>
    </row>
    <row r="4" spans="4:7" s="188" customFormat="1" ht="15" customHeight="1">
      <c r="D4" s="189"/>
      <c r="E4" s="190"/>
      <c r="F4" s="190"/>
      <c r="G4" s="190"/>
    </row>
    <row r="5" spans="3:7" s="141" customFormat="1" ht="15" customHeight="1">
      <c r="C5" s="544" t="s">
        <v>36</v>
      </c>
      <c r="D5" s="544"/>
      <c r="E5" s="544"/>
      <c r="F5" s="544"/>
      <c r="G5" s="544"/>
    </row>
    <row r="6" spans="3:7" s="141" customFormat="1" ht="15.75" customHeight="1">
      <c r="C6" s="546" t="s">
        <v>236</v>
      </c>
      <c r="D6" s="546"/>
      <c r="E6" s="546"/>
      <c r="F6" s="546"/>
      <c r="G6" s="546"/>
    </row>
    <row r="7" spans="3:7" s="141" customFormat="1" ht="15" customHeight="1">
      <c r="C7" s="544" t="s">
        <v>480</v>
      </c>
      <c r="D7" s="544"/>
      <c r="E7" s="544"/>
      <c r="F7" s="544"/>
      <c r="G7" s="544"/>
    </row>
    <row r="8" spans="3:7" s="186" customFormat="1" ht="12" customHeight="1" thickBot="1">
      <c r="C8" s="187"/>
      <c r="D8" s="191"/>
      <c r="E8" s="192"/>
      <c r="F8" s="192"/>
      <c r="G8" s="193"/>
    </row>
    <row r="9" spans="1:7" s="186" customFormat="1" ht="19.5" customHeight="1" thickBot="1">
      <c r="A9" s="589" t="s">
        <v>407</v>
      </c>
      <c r="B9" s="591" t="s">
        <v>145</v>
      </c>
      <c r="C9" s="529" t="s">
        <v>146</v>
      </c>
      <c r="D9" s="532" t="s">
        <v>237</v>
      </c>
      <c r="E9" s="535" t="s">
        <v>220</v>
      </c>
      <c r="F9" s="535"/>
      <c r="G9" s="536"/>
    </row>
    <row r="10" spans="1:7" s="186" customFormat="1" ht="33" customHeight="1" thickBot="1">
      <c r="A10" s="590"/>
      <c r="B10" s="592"/>
      <c r="C10" s="530"/>
      <c r="D10" s="533"/>
      <c r="E10" s="360" t="s">
        <v>221</v>
      </c>
      <c r="F10" s="361" t="s">
        <v>222</v>
      </c>
      <c r="G10" s="362" t="s">
        <v>223</v>
      </c>
    </row>
    <row r="11" spans="1:7" s="186" customFormat="1" ht="22.5" customHeight="1">
      <c r="A11" s="590"/>
      <c r="B11" s="592"/>
      <c r="C11" s="530"/>
      <c r="D11" s="533"/>
      <c r="E11" s="537" t="s">
        <v>224</v>
      </c>
      <c r="F11" s="538"/>
      <c r="G11" s="539"/>
    </row>
    <row r="12" spans="1:7" ht="13.5" customHeight="1" thickBot="1">
      <c r="A12" s="590"/>
      <c r="B12" s="592"/>
      <c r="C12" s="530"/>
      <c r="D12" s="533"/>
      <c r="E12" s="593"/>
      <c r="F12" s="594"/>
      <c r="G12" s="595"/>
    </row>
    <row r="13" spans="1:7" ht="30.75" thickBot="1">
      <c r="A13" s="200" t="s">
        <v>39</v>
      </c>
      <c r="B13" s="384" t="s">
        <v>162</v>
      </c>
      <c r="C13" s="385" t="s">
        <v>163</v>
      </c>
      <c r="D13" s="396">
        <f>SUM(E13:G13)</f>
        <v>41244437</v>
      </c>
      <c r="E13" s="391">
        <f>19073318+20902499-700730+130720+467820+140000+128360-40640-337700-128360+32100+68056</f>
        <v>39735443</v>
      </c>
      <c r="F13" s="386">
        <f>1145421+2603573-2100000-140000</f>
        <v>1508994</v>
      </c>
      <c r="G13" s="387"/>
    </row>
    <row r="14" spans="1:7" ht="15">
      <c r="A14" s="363" t="s">
        <v>22</v>
      </c>
      <c r="B14" s="382" t="s">
        <v>164</v>
      </c>
      <c r="C14" s="383" t="s">
        <v>31</v>
      </c>
      <c r="D14" s="397">
        <f aca="true" t="shared" si="0" ref="D14:D35">SUM(E14:G14)</f>
        <v>68150</v>
      </c>
      <c r="E14" s="392">
        <v>68150</v>
      </c>
      <c r="F14" s="196"/>
      <c r="G14" s="197"/>
    </row>
    <row r="15" spans="1:7" ht="15">
      <c r="A15" s="359" t="s">
        <v>40</v>
      </c>
      <c r="B15" s="357" t="s">
        <v>165</v>
      </c>
      <c r="C15" s="134" t="s">
        <v>166</v>
      </c>
      <c r="D15" s="398">
        <f t="shared" si="0"/>
        <v>507808</v>
      </c>
      <c r="E15" s="393">
        <v>507808</v>
      </c>
      <c r="F15" s="198"/>
      <c r="G15" s="199"/>
    </row>
    <row r="16" spans="1:7" ht="15">
      <c r="A16" s="359" t="s">
        <v>91</v>
      </c>
      <c r="B16" s="357" t="s">
        <v>225</v>
      </c>
      <c r="C16" s="134" t="s">
        <v>226</v>
      </c>
      <c r="D16" s="398">
        <f>SUM(E16:G16)</f>
        <v>1449359</v>
      </c>
      <c r="E16" s="393">
        <v>1449359</v>
      </c>
      <c r="F16" s="198"/>
      <c r="G16" s="199"/>
    </row>
    <row r="17" spans="1:7" ht="15">
      <c r="A17" s="359" t="s">
        <v>92</v>
      </c>
      <c r="B17" s="357" t="s">
        <v>395</v>
      </c>
      <c r="C17" s="134" t="s">
        <v>396</v>
      </c>
      <c r="D17" s="398">
        <f>SUM(E17:G17)</f>
        <v>1300000</v>
      </c>
      <c r="E17" s="393">
        <v>1200000</v>
      </c>
      <c r="F17" s="198">
        <v>100000</v>
      </c>
      <c r="G17" s="199"/>
    </row>
    <row r="18" spans="1:7" ht="15">
      <c r="A18" s="359" t="s">
        <v>98</v>
      </c>
      <c r="B18" s="135" t="s">
        <v>397</v>
      </c>
      <c r="C18" s="134" t="s">
        <v>398</v>
      </c>
      <c r="D18" s="398">
        <f>SUM(E18:G18)</f>
        <v>127000</v>
      </c>
      <c r="E18" s="393">
        <v>127000</v>
      </c>
      <c r="F18" s="198"/>
      <c r="G18" s="199"/>
    </row>
    <row r="19" spans="1:7" ht="27" customHeight="1">
      <c r="A19" s="359" t="s">
        <v>196</v>
      </c>
      <c r="B19" s="357" t="s">
        <v>167</v>
      </c>
      <c r="C19" s="134" t="s">
        <v>168</v>
      </c>
      <c r="D19" s="398">
        <f t="shared" si="0"/>
        <v>26670</v>
      </c>
      <c r="E19" s="393">
        <v>26670</v>
      </c>
      <c r="F19" s="198"/>
      <c r="G19" s="199"/>
    </row>
    <row r="20" spans="1:7" ht="15">
      <c r="A20" s="359" t="s">
        <v>197</v>
      </c>
      <c r="B20" s="357" t="s">
        <v>375</v>
      </c>
      <c r="C20" s="134" t="s">
        <v>376</v>
      </c>
      <c r="D20" s="398">
        <f t="shared" si="0"/>
        <v>74676</v>
      </c>
      <c r="E20" s="394">
        <v>74676</v>
      </c>
      <c r="F20" s="140"/>
      <c r="G20" s="388"/>
    </row>
    <row r="21" spans="1:7" ht="15">
      <c r="A21" s="359" t="s">
        <v>198</v>
      </c>
      <c r="B21" s="357" t="s">
        <v>169</v>
      </c>
      <c r="C21" s="134" t="s">
        <v>170</v>
      </c>
      <c r="D21" s="398">
        <f t="shared" si="0"/>
        <v>6283419</v>
      </c>
      <c r="E21" s="393">
        <v>6283419</v>
      </c>
      <c r="F21" s="198"/>
      <c r="G21" s="199"/>
    </row>
    <row r="22" spans="1:7" ht="15">
      <c r="A22" s="359" t="s">
        <v>199</v>
      </c>
      <c r="B22" s="357" t="s">
        <v>171</v>
      </c>
      <c r="C22" s="134" t="s">
        <v>172</v>
      </c>
      <c r="D22" s="398">
        <f t="shared" si="0"/>
        <v>1000000</v>
      </c>
      <c r="E22" s="393"/>
      <c r="F22" s="198">
        <v>1000000</v>
      </c>
      <c r="G22" s="199"/>
    </row>
    <row r="23" spans="1:7" ht="15">
      <c r="A23" s="359" t="s">
        <v>200</v>
      </c>
      <c r="B23" s="357" t="s">
        <v>173</v>
      </c>
      <c r="C23" s="134" t="s">
        <v>174</v>
      </c>
      <c r="D23" s="398">
        <f t="shared" si="0"/>
        <v>1943100</v>
      </c>
      <c r="E23" s="393">
        <v>1943100</v>
      </c>
      <c r="F23" s="198"/>
      <c r="G23" s="199"/>
    </row>
    <row r="24" spans="1:7" ht="15">
      <c r="A24" s="359" t="s">
        <v>201</v>
      </c>
      <c r="B24" s="357" t="s">
        <v>175</v>
      </c>
      <c r="C24" s="134" t="s">
        <v>176</v>
      </c>
      <c r="D24" s="398">
        <f t="shared" si="0"/>
        <v>232410</v>
      </c>
      <c r="E24" s="393">
        <v>232410</v>
      </c>
      <c r="F24" s="198"/>
      <c r="G24" s="199"/>
    </row>
    <row r="25" spans="1:7" ht="15">
      <c r="A25" s="359" t="s">
        <v>202</v>
      </c>
      <c r="B25" s="357" t="s">
        <v>177</v>
      </c>
      <c r="C25" s="134" t="s">
        <v>178</v>
      </c>
      <c r="D25" s="398">
        <f t="shared" si="0"/>
        <v>103288416</v>
      </c>
      <c r="E25" s="393">
        <f>102017141+25+234696+104+964900</f>
        <v>103216866</v>
      </c>
      <c r="F25" s="198">
        <v>71550</v>
      </c>
      <c r="G25" s="199"/>
    </row>
    <row r="26" spans="1:7" ht="15">
      <c r="A26" s="359" t="s">
        <v>203</v>
      </c>
      <c r="B26" s="357" t="s">
        <v>179</v>
      </c>
      <c r="C26" s="134" t="s">
        <v>29</v>
      </c>
      <c r="D26" s="398">
        <f t="shared" si="0"/>
        <v>146050</v>
      </c>
      <c r="E26" s="393">
        <v>146050</v>
      </c>
      <c r="F26" s="198"/>
      <c r="G26" s="199"/>
    </row>
    <row r="27" spans="1:7" ht="15">
      <c r="A27" s="359" t="s">
        <v>204</v>
      </c>
      <c r="B27" s="357" t="s">
        <v>528</v>
      </c>
      <c r="C27" s="134" t="s">
        <v>529</v>
      </c>
      <c r="D27" s="398">
        <f t="shared" si="0"/>
        <v>337700</v>
      </c>
      <c r="E27" s="393">
        <v>337700</v>
      </c>
      <c r="F27" s="198"/>
      <c r="G27" s="199"/>
    </row>
    <row r="28" spans="1:7" ht="15">
      <c r="A28" s="359" t="s">
        <v>206</v>
      </c>
      <c r="B28" s="357" t="s">
        <v>180</v>
      </c>
      <c r="C28" s="134" t="s">
        <v>181</v>
      </c>
      <c r="D28" s="398">
        <f t="shared" si="0"/>
        <v>675000</v>
      </c>
      <c r="E28" s="393">
        <v>675000</v>
      </c>
      <c r="F28" s="198"/>
      <c r="G28" s="199"/>
    </row>
    <row r="29" spans="1:7" ht="15">
      <c r="A29" s="359" t="s">
        <v>207</v>
      </c>
      <c r="B29" s="357" t="s">
        <v>182</v>
      </c>
      <c r="C29" s="134" t="s">
        <v>32</v>
      </c>
      <c r="D29" s="398">
        <f t="shared" si="0"/>
        <v>1097824</v>
      </c>
      <c r="E29" s="393">
        <v>1083514</v>
      </c>
      <c r="F29" s="198">
        <v>14310</v>
      </c>
      <c r="G29" s="199"/>
    </row>
    <row r="30" spans="1:7" ht="15">
      <c r="A30" s="359" t="s">
        <v>208</v>
      </c>
      <c r="B30" s="357" t="s">
        <v>370</v>
      </c>
      <c r="C30" s="134" t="s">
        <v>377</v>
      </c>
      <c r="D30" s="398">
        <f t="shared" si="0"/>
        <v>3545527</v>
      </c>
      <c r="E30" s="393">
        <v>3524062</v>
      </c>
      <c r="F30" s="198">
        <v>21465</v>
      </c>
      <c r="G30" s="199"/>
    </row>
    <row r="31" spans="1:7" ht="15">
      <c r="A31" s="359" t="s">
        <v>278</v>
      </c>
      <c r="B31" s="357" t="s">
        <v>378</v>
      </c>
      <c r="C31" s="134" t="s">
        <v>379</v>
      </c>
      <c r="D31" s="398">
        <f t="shared" si="0"/>
        <v>231500</v>
      </c>
      <c r="E31" s="393">
        <v>231500</v>
      </c>
      <c r="F31" s="198"/>
      <c r="G31" s="199"/>
    </row>
    <row r="32" spans="1:7" ht="15">
      <c r="A32" s="359" t="s">
        <v>280</v>
      </c>
      <c r="B32" s="357" t="s">
        <v>183</v>
      </c>
      <c r="C32" s="134" t="s">
        <v>30</v>
      </c>
      <c r="D32" s="398">
        <f t="shared" si="0"/>
        <v>120000</v>
      </c>
      <c r="E32" s="393"/>
      <c r="F32" s="198">
        <v>120000</v>
      </c>
      <c r="G32" s="199"/>
    </row>
    <row r="33" spans="1:7" ht="15">
      <c r="A33" s="359" t="s">
        <v>400</v>
      </c>
      <c r="B33" s="357" t="s">
        <v>184</v>
      </c>
      <c r="C33" s="134" t="s">
        <v>185</v>
      </c>
      <c r="D33" s="398">
        <f t="shared" si="0"/>
        <v>0</v>
      </c>
      <c r="E33" s="393"/>
      <c r="F33" s="198">
        <f>100000-100000</f>
        <v>0</v>
      </c>
      <c r="G33" s="199"/>
    </row>
    <row r="34" spans="1:14" ht="15">
      <c r="A34" s="359" t="s">
        <v>401</v>
      </c>
      <c r="B34" s="357">
        <v>104051</v>
      </c>
      <c r="C34" s="137" t="s">
        <v>286</v>
      </c>
      <c r="D34" s="398">
        <f t="shared" si="0"/>
        <v>0</v>
      </c>
      <c r="E34" s="393"/>
      <c r="F34" s="198"/>
      <c r="G34" s="199"/>
      <c r="H34" s="337"/>
      <c r="I34" s="337"/>
      <c r="J34" s="338"/>
      <c r="K34" s="339"/>
      <c r="L34" s="339"/>
      <c r="M34" s="339"/>
      <c r="N34" s="338"/>
    </row>
    <row r="35" spans="1:7" ht="15">
      <c r="A35" s="359" t="s">
        <v>402</v>
      </c>
      <c r="B35" s="357">
        <v>107052</v>
      </c>
      <c r="C35" s="137" t="s">
        <v>187</v>
      </c>
      <c r="D35" s="398">
        <f t="shared" si="0"/>
        <v>132050</v>
      </c>
      <c r="E35" s="395">
        <v>132050</v>
      </c>
      <c r="F35" s="140"/>
      <c r="G35" s="388"/>
    </row>
    <row r="36" spans="1:7" ht="18.75" customHeight="1" thickBot="1">
      <c r="A36" s="389" t="s">
        <v>403</v>
      </c>
      <c r="B36" s="357">
        <v>107060</v>
      </c>
      <c r="C36" s="134" t="s">
        <v>188</v>
      </c>
      <c r="D36" s="398">
        <f>SUM(E36:G36)</f>
        <v>2770640</v>
      </c>
      <c r="E36" s="393">
        <f>2730000+40640</f>
        <v>2770640</v>
      </c>
      <c r="F36" s="198"/>
      <c r="G36" s="199"/>
    </row>
    <row r="37" spans="1:7" ht="15" thickBot="1">
      <c r="A37" s="841" t="s">
        <v>404</v>
      </c>
      <c r="B37" s="374"/>
      <c r="C37" s="390" t="s">
        <v>436</v>
      </c>
      <c r="D37" s="460">
        <f>SUM(D13:D36)</f>
        <v>166601736</v>
      </c>
      <c r="E37" s="461">
        <f>SUM(E13:E36)</f>
        <v>163765417</v>
      </c>
      <c r="F37" s="460">
        <f>SUM(F13:F36)</f>
        <v>2836319</v>
      </c>
      <c r="G37" s="460">
        <f>SUM(G13:G36)</f>
        <v>0</v>
      </c>
    </row>
    <row r="38" ht="12.75">
      <c r="A38" s="336"/>
    </row>
    <row r="39" spans="1:7" ht="15">
      <c r="A39" s="359" t="s">
        <v>405</v>
      </c>
      <c r="B39" s="357" t="s">
        <v>395</v>
      </c>
      <c r="C39" s="134" t="s">
        <v>396</v>
      </c>
      <c r="D39" s="398">
        <f aca="true" t="shared" si="1" ref="D39:D44">SUM(E39:G39)</f>
        <v>89479</v>
      </c>
      <c r="E39" s="393">
        <v>89479</v>
      </c>
      <c r="F39" s="487"/>
      <c r="G39" s="487"/>
    </row>
    <row r="40" spans="1:7" ht="15">
      <c r="A40" s="359" t="s">
        <v>406</v>
      </c>
      <c r="B40" s="357" t="s">
        <v>429</v>
      </c>
      <c r="C40" s="134" t="s">
        <v>430</v>
      </c>
      <c r="D40" s="398">
        <f t="shared" si="1"/>
        <v>0</v>
      </c>
      <c r="E40" s="393">
        <f>89479-89479</f>
        <v>0</v>
      </c>
      <c r="F40" s="487"/>
      <c r="G40" s="487"/>
    </row>
    <row r="41" spans="1:7" ht="15">
      <c r="A41" s="359" t="s">
        <v>414</v>
      </c>
      <c r="B41" s="357" t="s">
        <v>227</v>
      </c>
      <c r="C41" s="134" t="s">
        <v>228</v>
      </c>
      <c r="D41" s="398">
        <f t="shared" si="1"/>
        <v>8226029</v>
      </c>
      <c r="E41" s="393">
        <f>7737176+427691</f>
        <v>8164867</v>
      </c>
      <c r="F41" s="198">
        <v>61162</v>
      </c>
      <c r="G41" s="199"/>
    </row>
    <row r="42" spans="1:7" ht="15">
      <c r="A42" s="452" t="s">
        <v>432</v>
      </c>
      <c r="B42" s="357" t="s">
        <v>229</v>
      </c>
      <c r="C42" s="134" t="s">
        <v>230</v>
      </c>
      <c r="D42" s="398">
        <f t="shared" si="1"/>
        <v>1974827</v>
      </c>
      <c r="E42" s="393"/>
      <c r="F42" s="198">
        <f>1876128+98699</f>
        <v>1974827</v>
      </c>
      <c r="G42" s="199"/>
    </row>
    <row r="43" spans="1:7" ht="18" customHeight="1">
      <c r="A43" s="452" t="s">
        <v>433</v>
      </c>
      <c r="B43" s="357" t="s">
        <v>229</v>
      </c>
      <c r="C43" s="134" t="s">
        <v>438</v>
      </c>
      <c r="D43" s="398">
        <f t="shared" si="1"/>
        <v>1711172</v>
      </c>
      <c r="E43" s="393"/>
      <c r="F43" s="198">
        <f>1628924+82248</f>
        <v>1711172</v>
      </c>
      <c r="G43" s="199"/>
    </row>
    <row r="44" spans="1:7" ht="24.75" customHeight="1" thickBot="1">
      <c r="A44" s="452" t="s">
        <v>463</v>
      </c>
      <c r="B44" s="358" t="s">
        <v>186</v>
      </c>
      <c r="C44" s="453" t="s">
        <v>437</v>
      </c>
      <c r="D44" s="454">
        <f t="shared" si="1"/>
        <v>4377487</v>
      </c>
      <c r="E44" s="455">
        <f>4133060+213846</f>
        <v>4346906</v>
      </c>
      <c r="F44" s="456">
        <v>30581</v>
      </c>
      <c r="G44" s="457"/>
    </row>
    <row r="45" spans="1:7" ht="15" thickBot="1">
      <c r="A45" s="458" t="s">
        <v>516</v>
      </c>
      <c r="B45" s="458"/>
      <c r="C45" s="445" t="s">
        <v>434</v>
      </c>
      <c r="D45" s="459">
        <f>D41+D42+D43+D44+D40+D39</f>
        <v>16378994</v>
      </c>
      <c r="E45" s="459">
        <f>E41+E42+E43+E44+E40+E39</f>
        <v>12601252</v>
      </c>
      <c r="F45" s="459">
        <f>F41+F42+F43+F44</f>
        <v>3777742</v>
      </c>
      <c r="G45" s="459">
        <f>G41+G42+G43+G44</f>
        <v>0</v>
      </c>
    </row>
    <row r="46" spans="1:7" ht="16.5" thickBot="1">
      <c r="A46" s="458" t="s">
        <v>530</v>
      </c>
      <c r="B46" s="458"/>
      <c r="C46" s="446" t="s">
        <v>435</v>
      </c>
      <c r="D46" s="459">
        <f>D37+D45</f>
        <v>182980730</v>
      </c>
      <c r="E46" s="459">
        <f>E37+E45</f>
        <v>176366669</v>
      </c>
      <c r="F46" s="459">
        <f>F37+F45</f>
        <v>6614061</v>
      </c>
      <c r="G46" s="459">
        <f>G37+G45</f>
        <v>0</v>
      </c>
    </row>
  </sheetData>
  <sheetProtection/>
  <mergeCells count="11">
    <mergeCell ref="E11:G12"/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</mergeCells>
  <printOptions horizontalCentered="1"/>
  <pageMargins left="0" right="0" top="0" bottom="0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U39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2" width="9.125" style="11" customWidth="1"/>
    <col min="3" max="3" width="23.125" style="11" customWidth="1"/>
    <col min="4" max="4" width="17.375" style="11" customWidth="1"/>
    <col min="5" max="5" width="14.375" style="11" customWidth="1"/>
    <col min="6" max="6" width="17.125" style="11" customWidth="1"/>
    <col min="7" max="16384" width="9.125" style="11" customWidth="1"/>
  </cols>
  <sheetData>
    <row r="1" spans="1:10" ht="15.75">
      <c r="A1" s="545" t="s">
        <v>503</v>
      </c>
      <c r="B1" s="545"/>
      <c r="C1" s="545"/>
      <c r="D1" s="545"/>
      <c r="E1" s="545"/>
      <c r="F1" s="545"/>
      <c r="G1" s="105"/>
      <c r="H1" s="105"/>
      <c r="I1" s="105"/>
      <c r="J1" s="105"/>
    </row>
    <row r="2" spans="1:6" ht="15">
      <c r="A2" s="613"/>
      <c r="B2" s="613"/>
      <c r="C2" s="613"/>
      <c r="D2" s="613"/>
      <c r="E2" s="613"/>
      <c r="F2" s="613"/>
    </row>
    <row r="3" spans="1:6" ht="15">
      <c r="A3" s="613"/>
      <c r="B3" s="613"/>
      <c r="C3" s="613"/>
      <c r="D3" s="613"/>
      <c r="E3" s="613"/>
      <c r="F3" s="613"/>
    </row>
    <row r="4" ht="12.75" customHeight="1"/>
    <row r="5" spans="1:6" s="21" customFormat="1" ht="15.75">
      <c r="A5" s="614" t="s">
        <v>4</v>
      </c>
      <c r="B5" s="614"/>
      <c r="C5" s="614"/>
      <c r="D5" s="614"/>
      <c r="E5" s="614"/>
      <c r="F5" s="614"/>
    </row>
    <row r="6" spans="1:6" s="21" customFormat="1" ht="15.75">
      <c r="A6" s="614" t="s">
        <v>380</v>
      </c>
      <c r="B6" s="614"/>
      <c r="C6" s="614"/>
      <c r="D6" s="614"/>
      <c r="E6" s="614"/>
      <c r="F6" s="614"/>
    </row>
    <row r="7" spans="1:6" ht="15">
      <c r="A7" s="613" t="s">
        <v>481</v>
      </c>
      <c r="B7" s="613"/>
      <c r="C7" s="613"/>
      <c r="D7" s="613"/>
      <c r="E7" s="613"/>
      <c r="F7" s="613"/>
    </row>
    <row r="8" ht="15">
      <c r="F8" s="138" t="s">
        <v>391</v>
      </c>
    </row>
    <row r="9" spans="1:6" ht="15">
      <c r="A9" s="604" t="s">
        <v>0</v>
      </c>
      <c r="B9" s="605"/>
      <c r="C9" s="605"/>
      <c r="D9" s="605"/>
      <c r="E9" s="606"/>
      <c r="F9" s="599" t="s">
        <v>10</v>
      </c>
    </row>
    <row r="10" spans="1:6" ht="15">
      <c r="A10" s="607"/>
      <c r="B10" s="608"/>
      <c r="C10" s="608"/>
      <c r="D10" s="608"/>
      <c r="E10" s="609"/>
      <c r="F10" s="600"/>
    </row>
    <row r="11" spans="1:6" ht="15">
      <c r="A11" s="610"/>
      <c r="B11" s="611"/>
      <c r="C11" s="611"/>
      <c r="D11" s="611"/>
      <c r="E11" s="612"/>
      <c r="F11" s="601"/>
    </row>
    <row r="12" spans="1:6" ht="15">
      <c r="A12" s="13" t="s">
        <v>189</v>
      </c>
      <c r="E12" s="22"/>
      <c r="F12" s="23"/>
    </row>
    <row r="13" spans="1:2" s="13" customFormat="1" ht="15">
      <c r="A13" s="138"/>
      <c r="B13" s="11"/>
    </row>
    <row r="14" spans="1:5" ht="29.25" customHeight="1">
      <c r="A14" s="138"/>
      <c r="B14" s="522" t="s">
        <v>190</v>
      </c>
      <c r="C14" s="522"/>
      <c r="D14" s="522"/>
      <c r="E14" s="522"/>
    </row>
    <row r="15" spans="1:6" ht="15.75">
      <c r="A15" s="139" t="s">
        <v>39</v>
      </c>
      <c r="B15" s="15" t="s">
        <v>471</v>
      </c>
      <c r="F15" s="52">
        <v>74200</v>
      </c>
    </row>
    <row r="16" spans="1:6" ht="15">
      <c r="A16" s="12" t="s">
        <v>22</v>
      </c>
      <c r="B16" s="11" t="s">
        <v>23</v>
      </c>
      <c r="F16" s="52">
        <v>222600</v>
      </c>
    </row>
    <row r="17" spans="1:6" ht="15">
      <c r="A17" s="12" t="s">
        <v>40</v>
      </c>
      <c r="B17" s="11" t="s">
        <v>488</v>
      </c>
      <c r="F17" s="52">
        <v>148400</v>
      </c>
    </row>
    <row r="18" spans="1:6" ht="15.75">
      <c r="A18" s="12" t="s">
        <v>91</v>
      </c>
      <c r="B18" s="14" t="s">
        <v>421</v>
      </c>
      <c r="F18" s="52">
        <v>100000</v>
      </c>
    </row>
    <row r="19" spans="1:6" ht="37.5" customHeight="1">
      <c r="A19" s="462" t="s">
        <v>92</v>
      </c>
      <c r="B19" s="602" t="s">
        <v>439</v>
      </c>
      <c r="C19" s="597"/>
      <c r="D19" s="597"/>
      <c r="E19" s="597"/>
      <c r="F19" s="52">
        <v>1200000</v>
      </c>
    </row>
    <row r="20" ht="13.5" customHeight="1">
      <c r="F20" s="52"/>
    </row>
    <row r="21" spans="1:6" ht="33.75" customHeight="1">
      <c r="A21" s="13"/>
      <c r="B21" s="522" t="s">
        <v>191</v>
      </c>
      <c r="C21" s="522"/>
      <c r="D21" s="522"/>
      <c r="E21" s="522"/>
      <c r="F21" s="53">
        <f>SUM(F15:F20)</f>
        <v>1745200</v>
      </c>
    </row>
    <row r="22" ht="13.5" customHeight="1">
      <c r="F22" s="52"/>
    </row>
    <row r="23" spans="1:6" ht="33" customHeight="1">
      <c r="A23" s="13"/>
      <c r="B23" s="522" t="s">
        <v>192</v>
      </c>
      <c r="C23" s="522"/>
      <c r="D23" s="522"/>
      <c r="E23" s="522"/>
      <c r="F23" s="52"/>
    </row>
    <row r="24" spans="1:6" ht="13.5" customHeight="1">
      <c r="A24" s="12"/>
      <c r="F24" s="52"/>
    </row>
    <row r="25" spans="1:255" ht="15.75">
      <c r="A25" s="12" t="s">
        <v>39</v>
      </c>
      <c r="B25" s="17" t="s">
        <v>21</v>
      </c>
      <c r="C25" s="17"/>
      <c r="D25" s="17"/>
      <c r="E25" s="17"/>
      <c r="F25" s="52">
        <v>40000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</row>
    <row r="26" spans="1:255" ht="15.75">
      <c r="A26" s="12" t="s">
        <v>22</v>
      </c>
      <c r="B26" s="17" t="s">
        <v>472</v>
      </c>
      <c r="C26" s="17"/>
      <c r="D26" s="17"/>
      <c r="E26" s="17"/>
      <c r="F26" s="52">
        <v>40000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</row>
    <row r="27" spans="1:255" ht="15.75">
      <c r="A27" s="12" t="s">
        <v>40</v>
      </c>
      <c r="B27" s="17" t="s">
        <v>473</v>
      </c>
      <c r="C27" s="17"/>
      <c r="D27" s="17"/>
      <c r="E27" s="17"/>
      <c r="F27" s="52">
        <v>40000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  <c r="IU27" s="17"/>
    </row>
    <row r="28" spans="1:255" ht="15.75">
      <c r="A28" s="12" t="s">
        <v>91</v>
      </c>
      <c r="B28" s="17" t="s">
        <v>41</v>
      </c>
      <c r="C28" s="17"/>
      <c r="D28" s="17"/>
      <c r="E28" s="17"/>
      <c r="F28" s="52">
        <v>75000</v>
      </c>
      <c r="G28" s="6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</row>
    <row r="29" spans="1:6" ht="13.5" customHeight="1">
      <c r="A29" s="12" t="s">
        <v>92</v>
      </c>
      <c r="B29" s="17" t="s">
        <v>68</v>
      </c>
      <c r="F29" s="52">
        <v>600000</v>
      </c>
    </row>
    <row r="30" spans="1:6" ht="13.5" customHeight="1">
      <c r="A30" s="489" t="s">
        <v>98</v>
      </c>
      <c r="B30" s="11" t="s">
        <v>474</v>
      </c>
      <c r="F30" s="52">
        <v>30000</v>
      </c>
    </row>
    <row r="31" spans="1:8" ht="32.25" customHeight="1">
      <c r="A31" s="13"/>
      <c r="B31" s="522" t="s">
        <v>193</v>
      </c>
      <c r="C31" s="522"/>
      <c r="D31" s="522"/>
      <c r="E31" s="522"/>
      <c r="F31" s="53">
        <f>SUM(F24:F30)</f>
        <v>825000</v>
      </c>
      <c r="G31" s="16"/>
      <c r="H31" s="16"/>
    </row>
    <row r="32" spans="1:8" ht="6.75" customHeight="1">
      <c r="A32" s="13"/>
      <c r="F32" s="52"/>
      <c r="G32" s="16"/>
      <c r="H32" s="16"/>
    </row>
    <row r="33" spans="1:7" s="18" customFormat="1" ht="15.75">
      <c r="A33" s="13" t="s">
        <v>194</v>
      </c>
      <c r="F33" s="53">
        <f>F31+F21</f>
        <v>2570200</v>
      </c>
      <c r="G33" s="19"/>
    </row>
    <row r="34" spans="1:7" s="18" customFormat="1" ht="15.75">
      <c r="A34" s="13"/>
      <c r="F34" s="53"/>
      <c r="G34" s="19"/>
    </row>
    <row r="35" spans="1:7" s="18" customFormat="1" ht="28.5" customHeight="1">
      <c r="A35" s="54"/>
      <c r="B35" s="596" t="s">
        <v>476</v>
      </c>
      <c r="C35" s="603"/>
      <c r="D35" s="603"/>
      <c r="E35" s="603"/>
      <c r="F35" s="52"/>
      <c r="G35" s="19"/>
    </row>
    <row r="36" spans="1:7" s="18" customFormat="1" ht="37.5" customHeight="1">
      <c r="A36" s="412" t="s">
        <v>203</v>
      </c>
      <c r="B36" s="598" t="s">
        <v>486</v>
      </c>
      <c r="C36" s="597"/>
      <c r="D36" s="597"/>
      <c r="E36" s="597"/>
      <c r="F36" s="52">
        <v>650894</v>
      </c>
      <c r="G36" s="19"/>
    </row>
    <row r="37" spans="1:6" s="20" customFormat="1" ht="39" customHeight="1">
      <c r="A37" s="412" t="s">
        <v>204</v>
      </c>
      <c r="B37" s="598" t="s">
        <v>487</v>
      </c>
      <c r="C37" s="597"/>
      <c r="D37" s="597"/>
      <c r="E37" s="597"/>
      <c r="F37" s="52">
        <v>1952679</v>
      </c>
    </row>
    <row r="38" ht="6" customHeight="1"/>
    <row r="39" spans="1:6" ht="52.5" customHeight="1">
      <c r="A39" s="596" t="s">
        <v>477</v>
      </c>
      <c r="B39" s="597"/>
      <c r="C39" s="597"/>
      <c r="D39" s="597"/>
      <c r="E39" s="597"/>
      <c r="F39" s="490">
        <f>F36+F37</f>
        <v>2603573</v>
      </c>
    </row>
  </sheetData>
  <sheetProtection/>
  <mergeCells count="17">
    <mergeCell ref="A9:E11"/>
    <mergeCell ref="A1:F1"/>
    <mergeCell ref="A2:F2"/>
    <mergeCell ref="A3:F3"/>
    <mergeCell ref="A5:F5"/>
    <mergeCell ref="A7:F7"/>
    <mergeCell ref="A6:F6"/>
    <mergeCell ref="A39:E39"/>
    <mergeCell ref="B36:E36"/>
    <mergeCell ref="B37:E37"/>
    <mergeCell ref="B14:E14"/>
    <mergeCell ref="B21:E21"/>
    <mergeCell ref="F9:F11"/>
    <mergeCell ref="B19:E19"/>
    <mergeCell ref="B35:E35"/>
    <mergeCell ref="B23:E23"/>
    <mergeCell ref="B31:E3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39" customWidth="1"/>
    <col min="2" max="2" width="67.875" style="39" customWidth="1"/>
    <col min="3" max="3" width="18.00390625" style="39" customWidth="1"/>
    <col min="4" max="16384" width="9.125" style="39" customWidth="1"/>
  </cols>
  <sheetData>
    <row r="1" spans="2:4" ht="15.75">
      <c r="B1" s="545" t="s">
        <v>504</v>
      </c>
      <c r="C1" s="545"/>
      <c r="D1" s="105"/>
    </row>
    <row r="2" spans="2:4" ht="15">
      <c r="B2" s="106"/>
      <c r="C2" s="106"/>
      <c r="D2" s="105"/>
    </row>
    <row r="3" spans="2:3" ht="15.75" customHeight="1">
      <c r="B3" s="615"/>
      <c r="C3" s="615"/>
    </row>
    <row r="4" spans="2:3" ht="15">
      <c r="B4" s="40"/>
      <c r="C4" s="40"/>
    </row>
    <row r="5" spans="2:3" s="14" customFormat="1" ht="15.75" customHeight="1">
      <c r="B5" s="616" t="s">
        <v>34</v>
      </c>
      <c r="C5" s="616"/>
    </row>
    <row r="6" spans="2:6" s="21" customFormat="1" ht="15.75">
      <c r="B6" s="614" t="s">
        <v>35</v>
      </c>
      <c r="C6" s="614"/>
      <c r="D6" s="55"/>
      <c r="E6" s="55"/>
      <c r="F6" s="55"/>
    </row>
    <row r="7" spans="2:6" s="11" customFormat="1" ht="15">
      <c r="B7" s="613" t="s">
        <v>482</v>
      </c>
      <c r="C7" s="613"/>
      <c r="D7" s="54"/>
      <c r="E7" s="54"/>
      <c r="F7" s="54"/>
    </row>
    <row r="8" ht="15.75" customHeight="1" thickBot="1">
      <c r="C8" s="41"/>
    </row>
    <row r="9" spans="1:3" ht="15" customHeight="1">
      <c r="A9" s="617" t="s">
        <v>393</v>
      </c>
      <c r="B9" s="42"/>
      <c r="C9" s="43" t="s">
        <v>15</v>
      </c>
    </row>
    <row r="10" spans="1:3" ht="15.75" customHeight="1">
      <c r="A10" s="618"/>
      <c r="B10" s="44" t="s">
        <v>0</v>
      </c>
      <c r="C10" s="45"/>
    </row>
    <row r="11" spans="1:3" ht="15.75" thickBot="1">
      <c r="A11" s="619"/>
      <c r="B11" s="46"/>
      <c r="C11" s="47" t="s">
        <v>9</v>
      </c>
    </row>
    <row r="12" ht="11.25" customHeight="1"/>
    <row r="13" ht="11.25" customHeight="1">
      <c r="C13" s="52"/>
    </row>
    <row r="14" spans="1:3" ht="15">
      <c r="A14" s="39" t="s">
        <v>39</v>
      </c>
      <c r="B14" s="48" t="s">
        <v>24</v>
      </c>
      <c r="C14" s="52"/>
    </row>
    <row r="15" spans="2:3" ht="15">
      <c r="B15" s="48" t="s">
        <v>8</v>
      </c>
      <c r="C15" s="52"/>
    </row>
    <row r="16" spans="1:3" ht="28.5" customHeight="1">
      <c r="A16" s="412" t="s">
        <v>22</v>
      </c>
      <c r="B16" s="182" t="s">
        <v>290</v>
      </c>
      <c r="C16" s="53"/>
    </row>
    <row r="17" spans="1:3" ht="28.5" customHeight="1">
      <c r="A17" s="412"/>
      <c r="B17" s="182"/>
      <c r="C17" s="52"/>
    </row>
    <row r="18" spans="1:3" ht="15">
      <c r="A18" s="412" t="s">
        <v>40</v>
      </c>
      <c r="B18" s="39" t="s">
        <v>69</v>
      </c>
      <c r="C18" s="52">
        <v>400000</v>
      </c>
    </row>
    <row r="19" spans="1:3" ht="30">
      <c r="A19" s="412" t="s">
        <v>91</v>
      </c>
      <c r="B19" s="182" t="s">
        <v>287</v>
      </c>
      <c r="C19" s="52">
        <v>250000</v>
      </c>
    </row>
    <row r="20" spans="1:3" ht="15">
      <c r="A20" s="412" t="s">
        <v>92</v>
      </c>
      <c r="B20" s="182" t="s">
        <v>288</v>
      </c>
      <c r="C20" s="52">
        <v>400000</v>
      </c>
    </row>
    <row r="21" spans="1:3" ht="15">
      <c r="A21" s="412" t="s">
        <v>98</v>
      </c>
      <c r="B21" s="182" t="s">
        <v>289</v>
      </c>
      <c r="C21" s="52">
        <v>240000</v>
      </c>
    </row>
    <row r="23" spans="1:3" ht="15">
      <c r="A23" s="412" t="s">
        <v>196</v>
      </c>
      <c r="B23" s="39" t="s">
        <v>71</v>
      </c>
      <c r="C23" s="52">
        <v>210000</v>
      </c>
    </row>
    <row r="24" spans="1:3" ht="14.25" customHeight="1">
      <c r="A24" s="412" t="s">
        <v>197</v>
      </c>
      <c r="B24" s="39" t="s">
        <v>475</v>
      </c>
      <c r="C24" s="52">
        <v>1200000</v>
      </c>
    </row>
    <row r="25" spans="1:3" ht="15">
      <c r="A25" s="412" t="s">
        <v>198</v>
      </c>
      <c r="B25" s="48" t="s">
        <v>24</v>
      </c>
      <c r="C25" s="52"/>
    </row>
    <row r="26" spans="1:3" ht="15">
      <c r="A26" s="412"/>
      <c r="B26" s="48" t="s">
        <v>25</v>
      </c>
      <c r="C26" s="53">
        <f>SUM(C18:C25)</f>
        <v>2700000</v>
      </c>
    </row>
    <row r="27" spans="1:3" ht="11.25" customHeight="1">
      <c r="A27" s="412"/>
      <c r="C27" s="52"/>
    </row>
    <row r="28" spans="1:3" ht="15">
      <c r="A28" s="412" t="s">
        <v>199</v>
      </c>
      <c r="B28" s="48" t="s">
        <v>26</v>
      </c>
      <c r="C28" s="53">
        <f>C26+C16</f>
        <v>2700000</v>
      </c>
    </row>
    <row r="29" spans="1:3" ht="15">
      <c r="A29" s="412"/>
      <c r="B29" s="48"/>
      <c r="C29" s="53"/>
    </row>
    <row r="30" spans="1:5" ht="13.5" customHeight="1">
      <c r="A30" s="412"/>
      <c r="B30" s="14"/>
      <c r="C30" s="14"/>
      <c r="D30" s="11"/>
      <c r="E30" s="52"/>
    </row>
    <row r="31" spans="1:3" s="48" customFormat="1" ht="14.25">
      <c r="A31" s="413" t="s">
        <v>201</v>
      </c>
      <c r="B31" s="48" t="s">
        <v>212</v>
      </c>
      <c r="C31" s="53"/>
    </row>
    <row r="32" spans="1:3" ht="11.25" customHeight="1">
      <c r="A32" s="412"/>
      <c r="C32" s="52"/>
    </row>
    <row r="33" spans="1:3" ht="30" customHeight="1">
      <c r="A33" s="412" t="s">
        <v>202</v>
      </c>
      <c r="B33" s="182" t="s">
        <v>213</v>
      </c>
      <c r="C33" s="52">
        <v>1000000</v>
      </c>
    </row>
    <row r="34" spans="1:3" ht="18.75" customHeight="1">
      <c r="A34" s="412" t="s">
        <v>203</v>
      </c>
      <c r="B34" s="48" t="s">
        <v>214</v>
      </c>
      <c r="C34" s="53">
        <f>C33</f>
        <v>1000000</v>
      </c>
    </row>
    <row r="35" spans="1:3" ht="11.25" customHeight="1">
      <c r="A35" s="412"/>
      <c r="C35" s="52"/>
    </row>
    <row r="36" spans="1:3" s="49" customFormat="1" ht="16.5">
      <c r="A36" s="491" t="s">
        <v>204</v>
      </c>
      <c r="B36" s="492" t="s">
        <v>27</v>
      </c>
      <c r="C36" s="50"/>
    </row>
    <row r="37" spans="1:3" s="49" customFormat="1" ht="16.5">
      <c r="A37" s="491"/>
      <c r="B37" s="492" t="s">
        <v>28</v>
      </c>
      <c r="C37" s="51">
        <f>C28+C34</f>
        <v>3700000</v>
      </c>
    </row>
  </sheetData>
  <sheetProtection/>
  <mergeCells count="6">
    <mergeCell ref="B7:C7"/>
    <mergeCell ref="B6:C6"/>
    <mergeCell ref="B3:C3"/>
    <mergeCell ref="B5:C5"/>
    <mergeCell ref="B1:C1"/>
    <mergeCell ref="A9:A11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0"/>
  <sheetViews>
    <sheetView zoomScalePageLayoutView="0" workbookViewId="0" topLeftCell="A1">
      <selection activeCell="A8" sqref="A8:C30"/>
    </sheetView>
  </sheetViews>
  <sheetFormatPr defaultColWidth="9.00390625" defaultRowHeight="12.75"/>
  <cols>
    <col min="1" max="1" width="6.125" style="15" customWidth="1"/>
    <col min="2" max="2" width="70.375" style="15" customWidth="1"/>
    <col min="3" max="3" width="20.00390625" style="15" customWidth="1"/>
    <col min="4" max="16384" width="9.125" style="15" customWidth="1"/>
  </cols>
  <sheetData>
    <row r="1" spans="2:5" s="202" customFormat="1" ht="15.75">
      <c r="B1" s="545" t="s">
        <v>505</v>
      </c>
      <c r="C1" s="545"/>
      <c r="D1" s="143"/>
      <c r="E1" s="405"/>
    </row>
    <row r="2" spans="2:5" s="202" customFormat="1" ht="15.75">
      <c r="B2" s="620"/>
      <c r="C2" s="620"/>
      <c r="D2" s="143"/>
      <c r="E2" s="405"/>
    </row>
    <row r="4" spans="2:5" s="204" customFormat="1" ht="18.75">
      <c r="B4" s="203" t="s">
        <v>238</v>
      </c>
      <c r="C4" s="203"/>
      <c r="D4" s="15"/>
      <c r="E4" s="15"/>
    </row>
    <row r="5" spans="2:5" s="204" customFormat="1" ht="18.75">
      <c r="B5" s="504" t="s">
        <v>239</v>
      </c>
      <c r="C5" s="504"/>
      <c r="D5" s="15"/>
      <c r="E5" s="15"/>
    </row>
    <row r="6" spans="2:5" s="204" customFormat="1" ht="18.75">
      <c r="B6" s="504" t="s">
        <v>480</v>
      </c>
      <c r="C6" s="504"/>
      <c r="D6" s="15"/>
      <c r="E6" s="15"/>
    </row>
    <row r="7" ht="16.5" thickBot="1"/>
    <row r="8" spans="1:3" ht="15.75" customHeight="1">
      <c r="A8" s="621" t="s">
        <v>393</v>
      </c>
      <c r="B8" s="205"/>
      <c r="C8" s="206" t="s">
        <v>9</v>
      </c>
    </row>
    <row r="9" spans="1:3" ht="15.75">
      <c r="A9" s="622"/>
      <c r="B9" s="207" t="s">
        <v>240</v>
      </c>
      <c r="C9" s="207"/>
    </row>
    <row r="10" spans="1:3" ht="16.5" thickBot="1">
      <c r="A10" s="623"/>
      <c r="B10" s="208"/>
      <c r="C10" s="209" t="s">
        <v>418</v>
      </c>
    </row>
    <row r="11" spans="2:3" ht="15.75">
      <c r="B11" s="210"/>
      <c r="C11" s="211"/>
    </row>
    <row r="12" spans="1:3" ht="31.5" customHeight="1">
      <c r="A12" s="414" t="s">
        <v>39</v>
      </c>
      <c r="B12" s="406" t="s">
        <v>419</v>
      </c>
      <c r="C12" s="211"/>
    </row>
    <row r="13" spans="1:3" ht="18" customHeight="1">
      <c r="A13" s="414" t="s">
        <v>410</v>
      </c>
      <c r="B13" s="214" t="s">
        <v>381</v>
      </c>
      <c r="C13" s="213">
        <v>80000</v>
      </c>
    </row>
    <row r="14" spans="1:3" ht="18" customHeight="1">
      <c r="A14" s="414"/>
      <c r="B14" s="214" t="s">
        <v>241</v>
      </c>
      <c r="C14" s="327">
        <v>21600</v>
      </c>
    </row>
    <row r="15" spans="1:3" ht="18" customHeight="1">
      <c r="A15" s="414"/>
      <c r="B15" s="210" t="s">
        <v>2</v>
      </c>
      <c r="C15" s="215">
        <f>SUM(C13:C14)</f>
        <v>101600</v>
      </c>
    </row>
    <row r="16" spans="1:3" ht="18" customHeight="1">
      <c r="A16" s="414"/>
      <c r="B16" s="210"/>
      <c r="C16" s="215"/>
    </row>
    <row r="17" spans="1:3" ht="18" customHeight="1">
      <c r="A17" s="414" t="s">
        <v>22</v>
      </c>
      <c r="B17" s="407" t="s">
        <v>382</v>
      </c>
      <c r="C17" s="215"/>
    </row>
    <row r="18" spans="1:3" ht="18" customHeight="1">
      <c r="A18" s="414" t="s">
        <v>420</v>
      </c>
      <c r="B18" s="214" t="s">
        <v>383</v>
      </c>
      <c r="C18" s="213">
        <v>141700</v>
      </c>
    </row>
    <row r="19" spans="1:3" ht="18" customHeight="1">
      <c r="A19" s="414"/>
      <c r="B19" s="214" t="s">
        <v>241</v>
      </c>
      <c r="C19" s="328">
        <v>38259</v>
      </c>
    </row>
    <row r="20" spans="1:3" ht="18" customHeight="1">
      <c r="A20" s="414"/>
      <c r="B20" s="210" t="s">
        <v>2</v>
      </c>
      <c r="C20" s="215">
        <f>SUM(C18:C19)</f>
        <v>179959</v>
      </c>
    </row>
    <row r="21" spans="1:3" ht="18" customHeight="1">
      <c r="A21" s="414"/>
      <c r="B21" s="210"/>
      <c r="C21" s="215"/>
    </row>
    <row r="22" spans="1:3" ht="18" customHeight="1">
      <c r="A22" s="414" t="s">
        <v>40</v>
      </c>
      <c r="B22" s="407" t="s">
        <v>465</v>
      </c>
      <c r="C22" s="211"/>
    </row>
    <row r="23" spans="1:3" ht="18" customHeight="1">
      <c r="A23" s="414" t="s">
        <v>413</v>
      </c>
      <c r="B23" s="408" t="s">
        <v>466</v>
      </c>
      <c r="C23" s="326">
        <v>6096007</v>
      </c>
    </row>
    <row r="24" spans="1:3" ht="18" customHeight="1">
      <c r="A24" s="414" t="s">
        <v>491</v>
      </c>
      <c r="B24" s="408" t="s">
        <v>490</v>
      </c>
      <c r="C24" s="326">
        <f>1574709+20</f>
        <v>1574729</v>
      </c>
    </row>
    <row r="25" spans="1:3" ht="18" customHeight="1">
      <c r="A25" s="496" t="s">
        <v>517</v>
      </c>
      <c r="B25" s="408" t="s">
        <v>518</v>
      </c>
      <c r="C25" s="326">
        <v>184800</v>
      </c>
    </row>
    <row r="26" spans="1:3" ht="18" customHeight="1">
      <c r="A26" s="414"/>
      <c r="B26" s="214" t="s">
        <v>241</v>
      </c>
      <c r="C26" s="327">
        <f>C23*0.27+C24*0.27+C25*0.27-1</f>
        <v>2120993.72</v>
      </c>
    </row>
    <row r="27" spans="1:3" ht="18" customHeight="1">
      <c r="A27" s="414"/>
      <c r="B27" s="210" t="s">
        <v>2</v>
      </c>
      <c r="C27" s="215">
        <f>SUM(C23:C26)</f>
        <v>9976529.72</v>
      </c>
    </row>
    <row r="28" spans="1:3" ht="18" customHeight="1">
      <c r="A28" s="414"/>
      <c r="B28" s="210"/>
      <c r="C28" s="215"/>
    </row>
    <row r="29" spans="1:3" ht="18" customHeight="1">
      <c r="A29" s="414"/>
      <c r="B29" s="210"/>
      <c r="C29" s="212"/>
    </row>
    <row r="30" spans="1:3" ht="18" customHeight="1">
      <c r="A30" s="414" t="s">
        <v>196</v>
      </c>
      <c r="B30" s="210" t="s">
        <v>242</v>
      </c>
      <c r="C30" s="215">
        <f>C15+C20+C27</f>
        <v>10258088.72</v>
      </c>
    </row>
  </sheetData>
  <sheetProtection/>
  <mergeCells count="5">
    <mergeCell ref="B5:C5"/>
    <mergeCell ref="B6:C6"/>
    <mergeCell ref="B2:C2"/>
    <mergeCell ref="B1:C1"/>
    <mergeCell ref="A8:A10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Vargáné Horváth Krisztina</cp:lastModifiedBy>
  <cp:lastPrinted>2020-02-13T12:10:02Z</cp:lastPrinted>
  <dcterms:created xsi:type="dcterms:W3CDTF">2002-11-26T17:22:50Z</dcterms:created>
  <dcterms:modified xsi:type="dcterms:W3CDTF">2020-09-21T13:53:34Z</dcterms:modified>
  <cp:category/>
  <cp:version/>
  <cp:contentType/>
  <cp:contentStatus/>
</cp:coreProperties>
</file>