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5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 - közgazd.mérleg" sheetId="7" r:id="rId7"/>
    <sheet name="7.mell. -ei.felh.ütemt." sheetId="8" r:id="rId8"/>
    <sheet name="Munka1" sheetId="9" r:id="rId9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<sst xmlns="http://schemas.openxmlformats.org/spreadsheetml/2006/main" count="642" uniqueCount="382">
  <si>
    <t>Megnevezés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</si>
  <si>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</si>
  <si>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</si>
  <si>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</si>
  <si>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</si>
  <si>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</si>
  <si>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</si>
  <si>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</si>
  <si>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</si>
  <si>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</si>
  <si>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</si>
  <si>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</si>
  <si>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</si>
  <si>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</si>
  <si>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</si>
  <si>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</si>
  <si>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</si>
  <si>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</si>
  <si>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</si>
  <si>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</si>
  <si>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</si>
  <si>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</si>
  <si>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</si>
  <si>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</si>
  <si>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</si>
  <si>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</si>
  <si>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</si>
  <si>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</si>
  <si>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</si>
  <si>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</si>
  <si>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</si>
  <si>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</si>
  <si>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</si>
  <si>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</si>
  <si>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</si>
  <si>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</si>
  <si>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</si>
  <si>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</si>
  <si>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</si>
  <si>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</si>
  <si>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</si>
  <si>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</si>
  <si>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</si>
  <si>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</si>
  <si>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</si>
  <si>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</si>
  <si>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</si>
  <si>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</si>
  <si>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</si>
  <si>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</si>
  <si>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</si>
  <si>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</si>
  <si>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</si>
  <si>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</si>
  <si>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</si>
  <si>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</si>
  <si>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</si>
  <si>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</si>
  <si>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</si>
  <si>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</si>
  <si>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</si>
  <si>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</si>
  <si>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</si>
  <si>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</si>
  <si>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</si>
  <si>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</si>
  <si>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</si>
  <si>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</si>
  <si>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</si>
  <si>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</si>
  <si>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</si>
  <si>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</si>
  <si>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</si>
  <si>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</si>
  <si>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</si>
  <si>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</si>
  <si>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</si>
  <si>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</si>
  <si>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</si>
  <si>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</si>
  <si>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</si>
  <si>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</si>
  <si>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</si>
  <si>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</si>
  <si>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</si>
  <si>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</si>
  <si>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</si>
  <si>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</si>
  <si>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</si>
  <si>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</si>
  <si>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</si>
  <si>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</si>
  <si>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</si>
  <si>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</si>
  <si>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</si>
  <si>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</si>
  <si>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</si>
  <si>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</si>
  <si>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</si>
  <si>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</si>
  <si>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</si>
  <si>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</si>
  <si>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</si>
  <si>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</si>
  <si>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</si>
  <si>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</si>
  <si>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</si>
  <si>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</si>
  <si>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</si>
  <si>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</si>
  <si>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</si>
  <si>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</si>
  <si>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</si>
  <si>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</si>
  <si>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</si>
  <si>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</si>
  <si>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</si>
  <si>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</si>
  <si>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</si>
  <si>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</si>
  <si>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</si>
  <si>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</si>
  <si>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</si>
  <si>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</si>
  <si>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</si>
  <si>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</si>
  <si>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</si>
  <si>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</si>
  <si>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</si>
  <si>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</si>
  <si>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</si>
  <si>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</si>
  <si>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</si>
  <si>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</si>
  <si>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</si>
  <si>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</si>
  <si>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</si>
  <si>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</si>
  <si>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</si>
  <si>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</si>
  <si>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</si>
  <si>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</si>
  <si>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</si>
  <si>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</si>
  <si>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</si>
  <si>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</si>
  <si>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</si>
  <si>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</si>
  <si>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</si>
  <si>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</si>
  <si>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</si>
  <si>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</si>
  <si>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</si>
  <si>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</si>
  <si>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</si>
  <si>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</si>
  <si>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</si>
  <si>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</si>
  <si>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</si>
  <si>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</si>
  <si>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</si>
  <si>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</si>
  <si>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</si>
  <si>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</si>
  <si>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</si>
  <si>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</si>
  <si>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</si>
  <si>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</si>
  <si>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</si>
  <si>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</si>
  <si>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</si>
  <si>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</si>
  <si>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</si>
  <si>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</si>
  <si>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</si>
  <si>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</si>
  <si>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</si>
  <si>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</si>
  <si>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</si>
  <si>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</si>
  <si>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</si>
  <si>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</si>
  <si>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</si>
  <si>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</si>
  <si>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</si>
  <si>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</si>
  <si>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</si>
  <si>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</si>
  <si>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</si>
  <si>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</si>
  <si>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</si>
  <si>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</si>
  <si>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</si>
  <si>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</si>
  <si>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</si>
  <si>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</si>
  <si>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</si>
  <si>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</si>
  <si>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</si>
  <si>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</si>
  <si>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</si>
  <si>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</si>
  <si>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</si>
  <si>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</si>
  <si>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</si>
  <si>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</si>
  <si>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</si>
  <si>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</si>
  <si>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</si>
  <si>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</si>
  <si>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</si>
  <si>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</si>
  <si>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</si>
  <si>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</si>
  <si>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</si>
  <si>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</si>
  <si>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</si>
  <si>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</si>
  <si>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</si>
  <si>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</si>
  <si>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</si>
  <si>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</si>
  <si>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</si>
  <si>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</si>
  <si>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</si>
  <si>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</si>
  <si>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</si>
  <si>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</si>
  <si>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</si>
  <si>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</si>
  <si>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</si>
  <si>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</si>
  <si>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</si>
  <si>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</si>
  <si>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</si>
  <si>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</si>
  <si>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</si>
  <si>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</si>
  <si>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</si>
  <si>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</si>
  <si>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</si>
  <si>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</si>
  <si>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</si>
  <si>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</si>
  <si>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</si>
  <si>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</si>
  <si>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</si>
  <si>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</si>
  <si>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</si>
  <si>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</si>
  <si>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</si>
  <si>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Egyéb működési célú támogatások államháztartáson belülről összesen: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</si>
  <si>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</si>
  <si>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</si>
  <si>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</si>
  <si>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</si>
  <si>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</si>
  <si>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</si>
  <si>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</si>
  <si>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</si>
  <si>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KÖLTSÉGVETÉSI (MŰKÖDÉSI ÉS FELHALMOZÁSI) MÉRLEGE</t>
  </si>
  <si>
    <t>Bögöt község Önkormányzata</t>
  </si>
  <si>
    <t>költségvetése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</si>
  <si>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</si>
  <si>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</si>
  <si>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</si>
  <si>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</si>
  <si>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</si>
  <si>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</si>
  <si>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</si>
  <si>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</si>
  <si>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</si>
  <si>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</si>
  <si>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</si>
  <si>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</si>
  <si>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</si>
  <si>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</si>
  <si>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</si>
  <si>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</si>
  <si>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</si>
  <si>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</si>
  <si>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</si>
  <si>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</si>
  <si>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</si>
  <si>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</si>
  <si>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</si>
  <si>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</si>
  <si>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</si>
  <si>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 xml:space="preserve">2017. évi </t>
  </si>
  <si>
    <t>2017. évre</t>
  </si>
  <si>
    <t>2017. év</t>
  </si>
  <si>
    <t>( Ft-ban)</t>
  </si>
  <si>
    <t>2016. évről áthúzódó bérkompenzáció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</si>
  <si>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</si>
  <si>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</si>
  <si>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</si>
  <si>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</si>
  <si>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</si>
  <si>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</si>
  <si>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>Ft-ban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</si>
  <si>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</si>
  <si>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</si>
  <si>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</si>
  <si>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</si>
  <si>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</si>
  <si>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</si>
  <si>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</si>
  <si>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ebből: KEHOP pályázati támogatás összege:</t>
  </si>
  <si>
    <t xml:space="preserve">           10%-os önerő pályázat összege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</si>
  <si>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</si>
  <si>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</si>
  <si>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</si>
  <si>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</si>
  <si>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</si>
  <si>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</si>
  <si>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</si>
  <si>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</si>
  <si>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</si>
  <si>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</si>
  <si>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</si>
  <si>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</si>
  <si>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</si>
  <si>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</si>
  <si>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</si>
  <si>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</si>
  <si>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</si>
  <si>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</si>
  <si>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</si>
  <si>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</si>
  <si>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</si>
  <si>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</si>
  <si>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</si>
  <si>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</si>
  <si>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</si>
  <si>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</si>
  <si>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</si>
  <si>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sorszám</t>
  </si>
  <si>
    <t>TERVEZET</t>
  </si>
  <si>
    <t>"1. melléklet  a  2/2017. (II.13.) önkormányzati rendelethez"</t>
  </si>
  <si>
    <t>"2. melléklet  a  2/2017. (II.13.) önkormányzati rendelethez"</t>
  </si>
  <si>
    <t>"3. melléklet  a  2/2017. (II.13.) önkormányzati rendelethez"</t>
  </si>
  <si>
    <t>"4. melléklet  a  2/2017. (II.13.) önkormányzati rendelethez"</t>
  </si>
  <si>
    <t>"5. melléklet  a  2/2017. (II.13.) önkormányzati rendelethez"</t>
  </si>
  <si>
    <t>"11. melléklet a 2/2017. (II.13.) önkormányzati rendelethez"</t>
  </si>
  <si>
    <t>"10.melléklet a 2/2017. (II.13.) önkormányzati rendelethez"</t>
  </si>
  <si>
    <t>1.1</t>
  </si>
  <si>
    <t>041233</t>
  </si>
  <si>
    <t>Hosszabb időtartamú közfoglalkoztatás</t>
  </si>
  <si>
    <t>közfoglalkoztatás támogatása</t>
  </si>
  <si>
    <t>Szociális ágazati összevont pótlék</t>
  </si>
  <si>
    <t xml:space="preserve">1.1.6. </t>
  </si>
  <si>
    <t xml:space="preserve">       Tartalékok</t>
  </si>
  <si>
    <t xml:space="preserve"> Ft </t>
  </si>
  <si>
    <t>2.1</t>
  </si>
  <si>
    <t>2.3</t>
  </si>
  <si>
    <t>3.3.</t>
  </si>
  <si>
    <t>4.1</t>
  </si>
  <si>
    <t>4.2</t>
  </si>
  <si>
    <t>(Ft-ban)</t>
  </si>
  <si>
    <t>Települési arculati kézikönyv elkészítésének támogatása</t>
  </si>
  <si>
    <t>f,</t>
  </si>
  <si>
    <t>Működési célú költségvetési és kiegészítő támogatás</t>
  </si>
  <si>
    <t>2017.évi bérkompenzációs támogatás</t>
  </si>
  <si>
    <t>Polgármesteri béremelés különbözetének támogatására</t>
  </si>
  <si>
    <t>Működési célú költségvetési és kiegészítő támogatás összesen:</t>
  </si>
  <si>
    <t>6. Elszámolásból származó bevételek</t>
  </si>
  <si>
    <t>2016.évi ébes beszámoló 11/C űrlap alapján</t>
  </si>
  <si>
    <t xml:space="preserve"> Elszámolásból származó bevételek összesen:</t>
  </si>
  <si>
    <t>nyári diákmunka támogatása</t>
  </si>
  <si>
    <t>3.sz.módosítás</t>
  </si>
  <si>
    <t>1. melléklet a ……./2017. (XI. …) önkormányzati rendelethez</t>
  </si>
  <si>
    <t>2. melléklet a ……./2017. (XI. …) önkormányzati rendelethez</t>
  </si>
  <si>
    <t>3. melléklet a ……./2017. (XI. …) önkormányzati rendelethez</t>
  </si>
  <si>
    <t>4. melléklet a ……./2017.( XI. …) önkormányzati rendelethez</t>
  </si>
  <si>
    <t>5. melléklet a ……./2017. (XI. …) önkormányzati rendelethez</t>
  </si>
  <si>
    <t>6. melléklet a ……./2017. (XI. …) önkormányzati rendelethez</t>
  </si>
  <si>
    <t>7. melléklet a ……./2017. (XI. …) önkormányzati rendelethez</t>
  </si>
  <si>
    <t>3/1.1</t>
  </si>
  <si>
    <t>3/1.2</t>
  </si>
  <si>
    <t>3/2</t>
  </si>
  <si>
    <t>3/3.1</t>
  </si>
  <si>
    <t>3/3.2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</si>
</sst>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6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8" xfId="57" applyFont="1" applyBorder="1" applyAlignment="1">
      <alignment horizontal="right"/>
      <protection/>
    </xf>
    <xf numFmtId="0" fontId="10" fillId="0" borderId="18" xfId="57" applyFont="1" applyBorder="1" applyAlignment="1">
      <alignment/>
      <protection/>
    </xf>
    <xf numFmtId="168" fontId="10" fillId="0" borderId="18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9" xfId="58" applyFont="1" applyBorder="1" applyAlignment="1">
      <alignment horizontal="right"/>
      <protection/>
    </xf>
    <xf numFmtId="0" fontId="6" fillId="0" borderId="19" xfId="58" applyFont="1" applyBorder="1">
      <alignment/>
      <protection/>
    </xf>
    <xf numFmtId="168" fontId="6" fillId="0" borderId="19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6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0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2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0" fontId="9" fillId="0" borderId="24" xfId="59" applyFont="1" applyBorder="1" applyAlignment="1" quotePrefix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25" xfId="59" applyFont="1" applyBorder="1">
      <alignment/>
      <protection/>
    </xf>
    <xf numFmtId="0" fontId="8" fillId="0" borderId="19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168" fontId="10" fillId="0" borderId="18" xfId="40" applyNumberFormat="1" applyFont="1" applyBorder="1" applyAlignment="1">
      <alignment/>
    </xf>
    <xf numFmtId="168" fontId="10" fillId="0" borderId="23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21" fillId="0" borderId="18" xfId="40" applyNumberFormat="1" applyFont="1" applyFill="1" applyBorder="1" applyAlignment="1">
      <alignment/>
    </xf>
    <xf numFmtId="168" fontId="21" fillId="0" borderId="38" xfId="40" applyNumberFormat="1" applyFont="1" applyFill="1" applyBorder="1" applyAlignment="1">
      <alignment/>
    </xf>
    <xf numFmtId="168" fontId="10" fillId="0" borderId="18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6" fillId="0" borderId="25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1" fillId="0" borderId="0" xfId="0" applyFon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10" fillId="0" borderId="0" xfId="40" applyNumberFormat="1" applyFont="1" applyBorder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168" fontId="10" fillId="0" borderId="0" xfId="0" applyNumberFormat="1" applyFont="1" applyAlignment="1">
      <alignment wrapText="1"/>
    </xf>
    <xf numFmtId="0" fontId="9" fillId="0" borderId="15" xfId="59" applyFont="1" applyBorder="1" applyAlignment="1">
      <alignment horizontal="left" vertical="center" wrapText="1"/>
      <protection/>
    </xf>
    <xf numFmtId="3" fontId="9" fillId="0" borderId="47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9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8" fillId="0" borderId="25" xfId="59" applyNumberFormat="1" applyFont="1" applyBorder="1" applyAlignment="1">
      <alignment horizontal="right"/>
      <protection/>
    </xf>
    <xf numFmtId="3" fontId="9" fillId="0" borderId="38" xfId="59" applyNumberFormat="1" applyFont="1" applyBorder="1">
      <alignment/>
      <protection/>
    </xf>
    <xf numFmtId="3" fontId="9" fillId="0" borderId="23" xfId="59" applyNumberFormat="1" applyFont="1" applyBorder="1">
      <alignment/>
      <protection/>
    </xf>
    <xf numFmtId="3" fontId="9" fillId="0" borderId="47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18" xfId="60" applyNumberFormat="1" applyFont="1" applyBorder="1">
      <alignment/>
      <protection/>
    </xf>
    <xf numFmtId="3" fontId="14" fillId="0" borderId="17" xfId="59" applyNumberFormat="1" applyFont="1" applyBorder="1" applyAlignment="1">
      <alignment horizontal="right"/>
      <protection/>
    </xf>
    <xf numFmtId="3" fontId="14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3" fontId="14" fillId="0" borderId="48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8" fillId="0" borderId="19" xfId="59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5" fillId="0" borderId="0" xfId="40" applyNumberFormat="1" applyFont="1" applyAlignment="1">
      <alignment wrapText="1"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5" fillId="0" borderId="0" xfId="4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10" fillId="0" borderId="0" xfId="60" applyFont="1">
      <alignment/>
      <protection/>
    </xf>
    <xf numFmtId="49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vertical="center"/>
    </xf>
    <xf numFmtId="0" fontId="8" fillId="0" borderId="25" xfId="60" applyFont="1" applyBorder="1" applyAlignment="1">
      <alignment vertical="center"/>
      <protection/>
    </xf>
    <xf numFmtId="0" fontId="8" fillId="0" borderId="19" xfId="60" applyFont="1" applyBorder="1" applyAlignment="1">
      <alignment vertical="center"/>
      <protection/>
    </xf>
    <xf numFmtId="0" fontId="0" fillId="0" borderId="0" xfId="0" applyNumberFormat="1" applyAlignment="1" quotePrefix="1">
      <alignment horizontal="center"/>
    </xf>
    <xf numFmtId="3" fontId="4" fillId="0" borderId="0" xfId="60" applyNumberFormat="1" applyFont="1">
      <alignment/>
      <protection/>
    </xf>
    <xf numFmtId="168" fontId="19" fillId="0" borderId="0" xfId="4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9" fillId="0" borderId="50" xfId="59" applyFont="1" applyBorder="1" applyAlignment="1">
      <alignment horizontal="left" wrapText="1"/>
      <protection/>
    </xf>
    <xf numFmtId="168" fontId="7" fillId="0" borderId="19" xfId="4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59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57" applyFont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51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2" xfId="57" applyFont="1" applyBorder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3" xfId="57" applyFont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8" fillId="0" borderId="0" xfId="57" applyFont="1" applyAlignment="1">
      <alignment horizontal="center"/>
      <protection/>
    </xf>
    <xf numFmtId="0" fontId="19" fillId="0" borderId="11" xfId="57" applyFont="1" applyBorder="1" applyAlignment="1">
      <alignment horizontal="center" textRotation="255"/>
      <protection/>
    </xf>
    <xf numFmtId="0" fontId="19" fillId="0" borderId="12" xfId="57" applyFont="1" applyBorder="1" applyAlignment="1">
      <alignment horizontal="center" textRotation="255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168" fontId="16" fillId="0" borderId="54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51" xfId="40" applyNumberFormat="1" applyFont="1" applyBorder="1" applyAlignment="1">
      <alignment horizontal="center"/>
    </xf>
    <xf numFmtId="168" fontId="16" fillId="0" borderId="20" xfId="40" applyNumberFormat="1" applyFont="1" applyBorder="1" applyAlignment="1">
      <alignment horizontal="center"/>
    </xf>
    <xf numFmtId="168" fontId="16" fillId="0" borderId="30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2" xfId="40" applyNumberFormat="1" applyFont="1" applyBorder="1" applyAlignment="1">
      <alignment horizontal="center"/>
    </xf>
    <xf numFmtId="168" fontId="16" fillId="0" borderId="34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3" xfId="4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center" textRotation="255"/>
      <protection/>
    </xf>
    <xf numFmtId="0" fontId="9" fillId="0" borderId="12" xfId="57" applyFont="1" applyBorder="1" applyAlignment="1">
      <alignment horizontal="center" textRotation="255"/>
      <protection/>
    </xf>
    <xf numFmtId="0" fontId="9" fillId="0" borderId="13" xfId="57" applyFont="1" applyBorder="1" applyAlignment="1">
      <alignment horizontal="center" textRotation="255"/>
      <protection/>
    </xf>
    <xf numFmtId="0" fontId="9" fillId="0" borderId="25" xfId="57" applyFont="1" applyBorder="1" applyAlignment="1">
      <alignment horizontal="center"/>
      <protection/>
    </xf>
    <xf numFmtId="0" fontId="9" fillId="0" borderId="54" xfId="57" applyFont="1" applyBorder="1" applyAlignment="1">
      <alignment horizontal="center"/>
      <protection/>
    </xf>
    <xf numFmtId="0" fontId="9" fillId="0" borderId="55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60" applyFont="1" applyAlignment="1">
      <alignment horizontal="center" vertic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10" xfId="60" applyFont="1" applyBorder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53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7" fillId="0" borderId="30" xfId="57" applyFont="1" applyBorder="1" applyAlignment="1">
      <alignment horizontal="center"/>
      <protection/>
    </xf>
    <xf numFmtId="0" fontId="7" fillId="0" borderId="5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wrapText="1"/>
      <protection/>
    </xf>
    <xf numFmtId="0" fontId="9" fillId="0" borderId="54" xfId="57" applyFont="1" applyBorder="1" applyAlignment="1">
      <alignment horizontal="center" wrapText="1"/>
      <protection/>
    </xf>
    <xf numFmtId="0" fontId="9" fillId="0" borderId="55" xfId="57" applyFont="1" applyBorder="1" applyAlignment="1">
      <alignment horizontal="center" wrapText="1"/>
      <protection/>
    </xf>
    <xf numFmtId="44" fontId="9" fillId="0" borderId="25" xfId="62" applyFont="1" applyBorder="1" applyAlignment="1">
      <alignment horizontal="center"/>
    </xf>
    <xf numFmtId="44" fontId="9" fillId="0" borderId="54" xfId="62" applyFont="1" applyBorder="1" applyAlignment="1">
      <alignment horizontal="center"/>
    </xf>
    <xf numFmtId="44" fontId="9" fillId="0" borderId="55" xfId="62" applyFont="1" applyBorder="1" applyAlignment="1">
      <alignment horizontal="center"/>
    </xf>
    <xf numFmtId="0" fontId="19" fillId="0" borderId="13" xfId="57" applyFont="1" applyBorder="1" applyAlignment="1">
      <alignment horizontal="center" textRotation="255"/>
      <protection/>
    </xf>
    <xf numFmtId="0" fontId="6" fillId="0" borderId="0" xfId="57" applyFont="1" applyAlignment="1">
      <alignment horizontal="center" vertic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57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1" xfId="57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A19">
      <selection activeCell="T47" sqref="T47"/>
    </sheetView>
  </sheetViews>
  <sheetFormatPr defaultColWidth="9.00390625" defaultRowHeight="12.75"/>
  <cols>
    <col min="14" max="14" width="11.00390625" style="0" customWidth="1"/>
  </cols>
  <sheetData>
    <row r="42" spans="14:22" ht="22.5">
      <c r="N42" s="277" t="s">
        <v>261</v>
      </c>
      <c r="O42" s="277"/>
      <c r="P42" s="277"/>
      <c r="Q42" s="277"/>
      <c r="R42" s="277"/>
      <c r="S42" s="277"/>
      <c r="T42" s="277"/>
      <c r="U42" s="277"/>
      <c r="V42" s="277"/>
    </row>
    <row r="43" spans="14:21" ht="22.5">
      <c r="N43" s="277"/>
      <c r="O43" s="277"/>
      <c r="P43" s="277"/>
      <c r="Q43" s="277"/>
      <c r="R43" s="277"/>
      <c r="S43" s="277"/>
      <c r="T43" s="277"/>
      <c r="U43" s="277"/>
    </row>
    <row r="44" spans="14:22" ht="22.5">
      <c r="N44" s="277" t="s">
        <v>288</v>
      </c>
      <c r="O44" s="277"/>
      <c r="P44" s="277"/>
      <c r="Q44" s="277"/>
      <c r="R44" s="277"/>
      <c r="S44" s="277"/>
      <c r="T44" s="277"/>
      <c r="U44" s="277"/>
      <c r="V44" s="277"/>
    </row>
    <row r="45" spans="14:22" ht="22.5">
      <c r="N45" s="277" t="s">
        <v>262</v>
      </c>
      <c r="O45" s="277"/>
      <c r="P45" s="277"/>
      <c r="Q45" s="277"/>
      <c r="R45" s="277"/>
      <c r="S45" s="277"/>
      <c r="T45" s="277"/>
      <c r="U45" s="277"/>
      <c r="V45" s="277"/>
    </row>
    <row r="47" spans="17:19" ht="12.75">
      <c r="Q47" s="278" t="s">
        <v>369</v>
      </c>
      <c r="R47" s="279"/>
      <c r="S47" s="279"/>
    </row>
    <row r="48" spans="17:19" ht="12.75">
      <c r="Q48" s="279"/>
      <c r="R48" s="279"/>
      <c r="S48" s="279"/>
    </row>
    <row r="50" spans="17:19" ht="15.75" customHeight="1">
      <c r="Q50" s="278" t="s">
        <v>337</v>
      </c>
      <c r="R50" s="278"/>
      <c r="S50" s="278"/>
    </row>
    <row r="53" spans="14:16" s="139" customFormat="1" ht="15.75">
      <c r="N53" s="203"/>
      <c r="O53" s="13"/>
      <c r="P53" s="15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125" style="242" customWidth="1"/>
    <col min="2" max="2" width="64.625" style="2" customWidth="1"/>
    <col min="3" max="3" width="14.875" style="23" customWidth="1"/>
    <col min="4" max="4" width="4.875" style="2" customWidth="1"/>
    <col min="5" max="5" width="17.25390625" style="2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.75">
      <c r="A1" s="282" t="s">
        <v>370</v>
      </c>
      <c r="B1" s="282"/>
      <c r="C1" s="282"/>
      <c r="D1" s="282"/>
      <c r="E1" s="282"/>
      <c r="F1" s="282"/>
    </row>
    <row r="3" spans="1:6" ht="15">
      <c r="A3" s="260" t="s">
        <v>338</v>
      </c>
      <c r="C3" s="260"/>
      <c r="D3" s="260"/>
      <c r="E3" s="260"/>
      <c r="F3" s="260"/>
    </row>
    <row r="4" spans="2:6" ht="15">
      <c r="B4" s="45"/>
      <c r="C4" s="45"/>
      <c r="D4" s="45"/>
      <c r="E4" s="45"/>
      <c r="F4" s="45"/>
    </row>
    <row r="5" spans="1:6" s="21" customFormat="1" ht="15.75">
      <c r="A5" s="243"/>
      <c r="B5" s="281" t="s">
        <v>337</v>
      </c>
      <c r="C5" s="281"/>
      <c r="D5" s="281"/>
      <c r="E5" s="281"/>
      <c r="F5" s="281"/>
    </row>
    <row r="6" spans="1:6" s="21" customFormat="1" ht="15.75">
      <c r="A6" s="243"/>
      <c r="B6" s="281" t="s">
        <v>252</v>
      </c>
      <c r="C6" s="281"/>
      <c r="D6" s="281"/>
      <c r="E6" s="281"/>
      <c r="F6" s="281"/>
    </row>
    <row r="7" spans="2:6" ht="15.75">
      <c r="B7" s="281" t="s">
        <v>89</v>
      </c>
      <c r="C7" s="281"/>
      <c r="D7" s="281"/>
      <c r="E7" s="281"/>
      <c r="F7" s="281"/>
    </row>
    <row r="8" spans="2:6" ht="12.75" customHeight="1">
      <c r="B8" s="280" t="s">
        <v>289</v>
      </c>
      <c r="C8" s="280"/>
      <c r="D8" s="280"/>
      <c r="E8" s="280"/>
      <c r="F8" s="280"/>
    </row>
    <row r="9" spans="1:6" s="1" customFormat="1" ht="15">
      <c r="A9" s="244"/>
      <c r="B9" s="2"/>
      <c r="C9" s="23"/>
      <c r="D9" s="2"/>
      <c r="E9" s="20"/>
      <c r="F9" s="2"/>
    </row>
    <row r="10" spans="1:5" s="1" customFormat="1" ht="18.75">
      <c r="A10" s="244" t="s">
        <v>19</v>
      </c>
      <c r="B10" s="69" t="s">
        <v>90</v>
      </c>
      <c r="C10" s="24"/>
      <c r="E10" s="70"/>
    </row>
    <row r="11" spans="1:6" ht="15.75">
      <c r="A11" s="242" t="s">
        <v>309</v>
      </c>
      <c r="B11" s="5" t="s">
        <v>91</v>
      </c>
      <c r="C11" s="24"/>
      <c r="D11" s="1"/>
      <c r="E11" s="71">
        <f>C12+C13</f>
        <v>22192493</v>
      </c>
      <c r="F11" s="1" t="s">
        <v>296</v>
      </c>
    </row>
    <row r="12" spans="2:8" ht="15.75">
      <c r="B12" s="72" t="s">
        <v>92</v>
      </c>
      <c r="C12" s="23">
        <f>'2.mell - bevétel'!H66</f>
        <v>19631850</v>
      </c>
      <c r="D12" s="2" t="s">
        <v>296</v>
      </c>
      <c r="E12" s="20"/>
      <c r="H12" s="39"/>
    </row>
    <row r="13" spans="1:6" s="1" customFormat="1" ht="15.75" customHeight="1">
      <c r="A13" s="244"/>
      <c r="B13" s="72" t="s">
        <v>93</v>
      </c>
      <c r="C13" s="23">
        <f>'2.mell - bevétel'!H74</f>
        <v>2560643</v>
      </c>
      <c r="D13" s="2" t="s">
        <v>296</v>
      </c>
      <c r="E13" s="20"/>
      <c r="F13" s="2"/>
    </row>
    <row r="14" spans="1:5" s="1" customFormat="1" ht="15.75">
      <c r="A14" s="244"/>
      <c r="B14" s="5"/>
      <c r="C14" s="24"/>
      <c r="E14" s="71"/>
    </row>
    <row r="15" spans="1:6" s="1" customFormat="1" ht="15.75">
      <c r="A15" s="244" t="s">
        <v>310</v>
      </c>
      <c r="B15" s="5" t="s">
        <v>94</v>
      </c>
      <c r="C15" s="24"/>
      <c r="E15" s="71">
        <f>'2.mell - bevétel'!H81</f>
        <v>87489345</v>
      </c>
      <c r="F15" s="1" t="s">
        <v>296</v>
      </c>
    </row>
    <row r="16" spans="1:5" s="1" customFormat="1" ht="15.75">
      <c r="A16" s="244"/>
      <c r="B16" s="15" t="s">
        <v>307</v>
      </c>
      <c r="C16" s="24">
        <v>78740410</v>
      </c>
      <c r="E16" s="71"/>
    </row>
    <row r="17" spans="1:5" s="1" customFormat="1" ht="15.75">
      <c r="A17" s="244"/>
      <c r="B17" s="15" t="s">
        <v>308</v>
      </c>
      <c r="C17" s="24">
        <v>8748965</v>
      </c>
      <c r="E17" s="71"/>
    </row>
    <row r="18" spans="1:6" s="1" customFormat="1" ht="15.75">
      <c r="A18" s="244" t="s">
        <v>311</v>
      </c>
      <c r="B18" s="5" t="s">
        <v>67</v>
      </c>
      <c r="C18" s="24"/>
      <c r="E18" s="71">
        <f>'2.mell - bevétel'!H93</f>
        <v>1495000</v>
      </c>
      <c r="F18" s="1" t="s">
        <v>296</v>
      </c>
    </row>
    <row r="19" spans="1:8" s="1" customFormat="1" ht="15.75">
      <c r="A19" s="244"/>
      <c r="B19" s="5"/>
      <c r="C19" s="24"/>
      <c r="E19" s="71"/>
      <c r="H19" s="40"/>
    </row>
    <row r="20" spans="1:6" s="1" customFormat="1" ht="15.75">
      <c r="A20" s="244" t="s">
        <v>312</v>
      </c>
      <c r="B20" s="5" t="s">
        <v>29</v>
      </c>
      <c r="C20" s="24"/>
      <c r="E20" s="71">
        <f>'2.mell - bevétel'!H107</f>
        <v>24495159</v>
      </c>
      <c r="F20" s="1" t="s">
        <v>296</v>
      </c>
    </row>
    <row r="21" spans="1:5" s="1" customFormat="1" ht="15.75">
      <c r="A21" s="244"/>
      <c r="B21" s="8"/>
      <c r="C21" s="25"/>
      <c r="E21" s="71"/>
    </row>
    <row r="22" spans="1:5" s="1" customFormat="1" ht="15.75">
      <c r="A22" s="244"/>
      <c r="B22" s="8"/>
      <c r="C22" s="24"/>
      <c r="E22" s="71"/>
    </row>
    <row r="23" spans="1:6" s="1" customFormat="1" ht="15.75">
      <c r="A23" s="244" t="s">
        <v>313</v>
      </c>
      <c r="B23" s="5" t="s">
        <v>96</v>
      </c>
      <c r="E23" s="71">
        <f>C24+C25</f>
        <v>0</v>
      </c>
      <c r="F23" s="1" t="s">
        <v>296</v>
      </c>
    </row>
    <row r="24" spans="1:8" s="4" customFormat="1" ht="32.25">
      <c r="A24" s="245"/>
      <c r="B24" s="72" t="s">
        <v>97</v>
      </c>
      <c r="C24" s="25">
        <v>0</v>
      </c>
      <c r="D24" s="1" t="s">
        <v>296</v>
      </c>
      <c r="E24" s="71"/>
      <c r="F24" s="1"/>
      <c r="G24" s="1"/>
      <c r="H24" s="41"/>
    </row>
    <row r="25" spans="2:8" ht="18.75">
      <c r="B25" s="21" t="s">
        <v>98</v>
      </c>
      <c r="C25" s="24">
        <v>0</v>
      </c>
      <c r="D25" s="1" t="s">
        <v>296</v>
      </c>
      <c r="E25" s="71"/>
      <c r="F25" s="1"/>
      <c r="G25" s="4"/>
      <c r="H25" s="42"/>
    </row>
    <row r="26" spans="1:8" s="1" customFormat="1" ht="18.75">
      <c r="A26" s="244"/>
      <c r="B26" s="31"/>
      <c r="C26" s="23"/>
      <c r="D26" s="2"/>
      <c r="E26" s="73"/>
      <c r="F26" s="4"/>
      <c r="H26" s="43"/>
    </row>
    <row r="27" spans="1:6" s="1" customFormat="1" ht="15.75">
      <c r="A27" s="244" t="s">
        <v>314</v>
      </c>
      <c r="B27" s="5" t="s">
        <v>78</v>
      </c>
      <c r="C27" s="24"/>
      <c r="E27" s="71">
        <f>C28+C29</f>
        <v>0</v>
      </c>
      <c r="F27" s="1" t="s">
        <v>296</v>
      </c>
    </row>
    <row r="28" spans="1:5" s="1" customFormat="1" ht="31.5">
      <c r="A28" s="244"/>
      <c r="B28" s="72" t="s">
        <v>99</v>
      </c>
      <c r="C28" s="24">
        <v>0</v>
      </c>
      <c r="D28" s="1" t="s">
        <v>296</v>
      </c>
      <c r="E28" s="71"/>
    </row>
    <row r="29" spans="1:5" s="1" customFormat="1" ht="15.75">
      <c r="A29" s="244"/>
      <c r="B29" s="21" t="s">
        <v>100</v>
      </c>
      <c r="C29" s="24">
        <v>0</v>
      </c>
      <c r="D29" s="1" t="s">
        <v>296</v>
      </c>
      <c r="E29" s="71"/>
    </row>
    <row r="30" spans="1:5" s="1" customFormat="1" ht="15.75">
      <c r="A30" s="244"/>
      <c r="B30" s="31"/>
      <c r="E30" s="70"/>
    </row>
    <row r="31" spans="1:6" s="1" customFormat="1" ht="15.75">
      <c r="A31" s="244" t="s">
        <v>315</v>
      </c>
      <c r="B31" s="5" t="s">
        <v>21</v>
      </c>
      <c r="E31" s="74">
        <f>SUM(E11:E30)</f>
        <v>135671997</v>
      </c>
      <c r="F31" s="1" t="s">
        <v>296</v>
      </c>
    </row>
    <row r="32" spans="1:5" s="1" customFormat="1" ht="15.75">
      <c r="A32" s="244"/>
      <c r="B32" s="21"/>
      <c r="E32" s="70"/>
    </row>
    <row r="33" spans="1:5" s="1" customFormat="1" ht="18.75">
      <c r="A33" s="244" t="s">
        <v>13</v>
      </c>
      <c r="B33" s="69" t="s">
        <v>101</v>
      </c>
      <c r="E33" s="70"/>
    </row>
    <row r="34" spans="1:6" s="1" customFormat="1" ht="15.75">
      <c r="A34" s="244" t="s">
        <v>316</v>
      </c>
      <c r="B34" s="9" t="s">
        <v>6</v>
      </c>
      <c r="C34" s="24"/>
      <c r="E34" s="71">
        <f>C36+C37+C38+C39+C40++C41</f>
        <v>54626315</v>
      </c>
      <c r="F34" s="1" t="s">
        <v>296</v>
      </c>
    </row>
    <row r="35" spans="1:5" s="1" customFormat="1" ht="15.75">
      <c r="A35" s="244"/>
      <c r="B35" s="8" t="s">
        <v>5</v>
      </c>
      <c r="C35" s="24"/>
      <c r="E35" s="71"/>
    </row>
    <row r="36" spans="1:5" s="1" customFormat="1" ht="15.75">
      <c r="A36" s="244" t="s">
        <v>318</v>
      </c>
      <c r="B36" s="21" t="s">
        <v>323</v>
      </c>
      <c r="C36" s="24">
        <f>'4.mell. - kiadás'!E34</f>
        <v>9647212</v>
      </c>
      <c r="D36" s="1" t="s">
        <v>296</v>
      </c>
      <c r="E36" s="71"/>
    </row>
    <row r="37" spans="1:5" s="1" customFormat="1" ht="15.75">
      <c r="A37" s="244" t="s">
        <v>319</v>
      </c>
      <c r="B37" s="21" t="s">
        <v>324</v>
      </c>
      <c r="C37" s="24">
        <f>'4.mell. - kiadás'!F34</f>
        <v>2208872</v>
      </c>
      <c r="D37" s="1" t="s">
        <v>296</v>
      </c>
      <c r="E37" s="71"/>
    </row>
    <row r="38" spans="1:5" s="1" customFormat="1" ht="15.75">
      <c r="A38" s="244" t="s">
        <v>320</v>
      </c>
      <c r="B38" s="21" t="s">
        <v>325</v>
      </c>
      <c r="C38" s="24">
        <f>'4.mell. - kiadás'!G34</f>
        <v>33920173</v>
      </c>
      <c r="D38" s="1" t="s">
        <v>296</v>
      </c>
      <c r="E38" s="71"/>
    </row>
    <row r="39" spans="1:5" s="1" customFormat="1" ht="15.75">
      <c r="A39" s="244" t="s">
        <v>321</v>
      </c>
      <c r="B39" s="75" t="s">
        <v>326</v>
      </c>
      <c r="C39" s="24">
        <f>'4.mell. - kiadás'!H34</f>
        <v>1421400</v>
      </c>
      <c r="D39" s="1" t="s">
        <v>296</v>
      </c>
      <c r="E39" s="71"/>
    </row>
    <row r="40" spans="1:5" s="1" customFormat="1" ht="15.75">
      <c r="A40" s="244" t="s">
        <v>322</v>
      </c>
      <c r="B40" s="207" t="s">
        <v>327</v>
      </c>
      <c r="C40" s="24">
        <f>'4.mell. - kiadás'!I34</f>
        <v>264190</v>
      </c>
      <c r="D40" s="1" t="s">
        <v>296</v>
      </c>
      <c r="E40" s="71"/>
    </row>
    <row r="41" spans="1:5" s="1" customFormat="1" ht="15.75">
      <c r="A41" s="244" t="s">
        <v>350</v>
      </c>
      <c r="B41" s="207" t="s">
        <v>351</v>
      </c>
      <c r="C41" s="24">
        <f>'4.mell. - kiadás'!J16</f>
        <v>7164468</v>
      </c>
      <c r="D41" s="1" t="s">
        <v>352</v>
      </c>
      <c r="E41" s="71"/>
    </row>
    <row r="42" spans="1:6" s="1" customFormat="1" ht="15.75">
      <c r="A42" s="244" t="s">
        <v>317</v>
      </c>
      <c r="B42" s="9" t="s">
        <v>7</v>
      </c>
      <c r="C42" s="24"/>
      <c r="E42" s="76">
        <f>C44+C45+C46</f>
        <v>94473210</v>
      </c>
      <c r="F42" s="1" t="s">
        <v>296</v>
      </c>
    </row>
    <row r="43" spans="1:5" s="1" customFormat="1" ht="15.75">
      <c r="A43" s="244"/>
      <c r="B43" s="8" t="s">
        <v>5</v>
      </c>
      <c r="C43" s="24"/>
      <c r="E43" s="71"/>
    </row>
    <row r="44" spans="1:5" s="1" customFormat="1" ht="15.75">
      <c r="A44" s="244" t="s">
        <v>331</v>
      </c>
      <c r="B44" s="21" t="s">
        <v>328</v>
      </c>
      <c r="C44" s="25">
        <f>'4.mell. - kiadás'!L34</f>
        <v>88631578</v>
      </c>
      <c r="D44" s="1" t="s">
        <v>296</v>
      </c>
      <c r="E44" s="71"/>
    </row>
    <row r="45" spans="1:5" s="1" customFormat="1" ht="15.75">
      <c r="A45" s="244" t="s">
        <v>332</v>
      </c>
      <c r="B45" s="21" t="s">
        <v>329</v>
      </c>
      <c r="C45" s="25">
        <f>'4.mell. - kiadás'!M34</f>
        <v>5841632</v>
      </c>
      <c r="D45" s="1" t="s">
        <v>296</v>
      </c>
      <c r="E45" s="71"/>
    </row>
    <row r="46" spans="1:7" ht="15.75">
      <c r="A46" s="242" t="s">
        <v>333</v>
      </c>
      <c r="B46" s="21" t="s">
        <v>330</v>
      </c>
      <c r="C46" s="25">
        <f>'4.mell. - kiadás'!N34</f>
        <v>0</v>
      </c>
      <c r="D46" s="1" t="s">
        <v>296</v>
      </c>
      <c r="E46" s="71"/>
      <c r="F46" s="1"/>
      <c r="G46" s="1"/>
    </row>
    <row r="47" spans="1:5" s="1" customFormat="1" ht="15.75">
      <c r="A47" s="244"/>
      <c r="B47" s="21"/>
      <c r="C47" s="25"/>
      <c r="E47" s="71"/>
    </row>
    <row r="48" spans="1:6" s="1" customFormat="1" ht="15.75">
      <c r="A48" s="244" t="s">
        <v>334</v>
      </c>
      <c r="B48" s="13" t="s">
        <v>102</v>
      </c>
      <c r="C48" s="25"/>
      <c r="E48" s="71">
        <f>C49</f>
        <v>700933</v>
      </c>
      <c r="F48" s="1" t="s">
        <v>296</v>
      </c>
    </row>
    <row r="49" spans="1:5" s="1" customFormat="1" ht="15.75">
      <c r="A49" s="244"/>
      <c r="B49" s="21" t="s">
        <v>284</v>
      </c>
      <c r="C49" s="24">
        <f>'4.mell. - kiadás'!S34</f>
        <v>700933</v>
      </c>
      <c r="D49" s="1" t="s">
        <v>296</v>
      </c>
      <c r="E49" s="71"/>
    </row>
    <row r="50" spans="1:7" s="4" customFormat="1" ht="18.75">
      <c r="A50" s="245"/>
      <c r="B50" s="21" t="s">
        <v>103</v>
      </c>
      <c r="C50" s="24">
        <v>0</v>
      </c>
      <c r="D50" s="1" t="s">
        <v>296</v>
      </c>
      <c r="E50" s="71"/>
      <c r="F50" s="1"/>
      <c r="G50" s="2"/>
    </row>
    <row r="51" spans="2:7" ht="15.75">
      <c r="B51" s="21"/>
      <c r="C51" s="25"/>
      <c r="D51" s="1"/>
      <c r="E51" s="71"/>
      <c r="F51" s="1"/>
      <c r="G51" s="1"/>
    </row>
    <row r="52" spans="1:7" ht="15.75">
      <c r="A52" s="242" t="s">
        <v>335</v>
      </c>
      <c r="B52" s="5" t="s">
        <v>22</v>
      </c>
      <c r="C52" s="25"/>
      <c r="D52" s="1"/>
      <c r="E52" s="20">
        <f>SUM(E34:E51)</f>
        <v>149800458</v>
      </c>
      <c r="F52" s="2" t="s">
        <v>296</v>
      </c>
      <c r="G52" s="1"/>
    </row>
    <row r="53" spans="2:7" ht="15.75">
      <c r="B53" s="21"/>
      <c r="C53" s="24"/>
      <c r="D53" s="1"/>
      <c r="E53" s="76"/>
      <c r="F53" s="1"/>
      <c r="G53" s="1"/>
    </row>
    <row r="54" spans="1:7" ht="18.75">
      <c r="A54" s="242" t="s">
        <v>20</v>
      </c>
      <c r="B54" s="5" t="s">
        <v>23</v>
      </c>
      <c r="C54" s="24"/>
      <c r="D54" s="1"/>
      <c r="E54" s="20">
        <f>E31-E52</f>
        <v>-14128461</v>
      </c>
      <c r="F54" s="2" t="s">
        <v>296</v>
      </c>
      <c r="G54" s="4"/>
    </row>
    <row r="55" spans="2:5" ht="15.75">
      <c r="B55" s="21"/>
      <c r="C55" s="24"/>
      <c r="D55" s="1"/>
      <c r="E55" s="20"/>
    </row>
    <row r="56" spans="1:6" ht="32.25">
      <c r="A56" s="246" t="s">
        <v>58</v>
      </c>
      <c r="B56" s="77" t="s">
        <v>285</v>
      </c>
      <c r="C56" s="26"/>
      <c r="D56" s="4"/>
      <c r="E56" s="20">
        <f>'2.mell - bevétel'!H122</f>
        <v>14128461</v>
      </c>
      <c r="F56" s="2" t="s">
        <v>296</v>
      </c>
    </row>
    <row r="57" spans="1:7" s="1" customFormat="1" ht="15.75">
      <c r="A57" s="244"/>
      <c r="B57" s="21"/>
      <c r="C57" s="23"/>
      <c r="D57" s="2"/>
      <c r="E57" s="20"/>
      <c r="F57" s="2"/>
      <c r="G57" s="2"/>
    </row>
    <row r="58" spans="1:6" ht="15.75">
      <c r="A58" s="242" t="s">
        <v>59</v>
      </c>
      <c r="B58" s="5" t="s">
        <v>38</v>
      </c>
      <c r="E58" s="20">
        <f>E54+E56</f>
        <v>0</v>
      </c>
      <c r="F58" s="2" t="s">
        <v>296</v>
      </c>
    </row>
    <row r="59" spans="1:5" s="1" customFormat="1" ht="10.5" customHeight="1">
      <c r="A59" s="244"/>
      <c r="B59" s="3"/>
      <c r="C59" s="24"/>
      <c r="E59" s="16"/>
    </row>
    <row r="60" spans="2:6" ht="15.75">
      <c r="B60" s="3"/>
      <c r="C60" s="24"/>
      <c r="D60" s="1"/>
      <c r="E60" s="16"/>
      <c r="F60" s="5"/>
    </row>
    <row r="61" spans="2:6" ht="15.75">
      <c r="B61" s="5"/>
      <c r="E61" s="17"/>
      <c r="F61" s="5"/>
    </row>
  </sheetData>
  <sheetProtection/>
  <mergeCells count="5">
    <mergeCell ref="B8:F8"/>
    <mergeCell ref="B6:F6"/>
    <mergeCell ref="B5:F5"/>
    <mergeCell ref="B7:F7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07">
      <selection activeCell="I73" sqref="I73"/>
    </sheetView>
  </sheetViews>
  <sheetFormatPr defaultColWidth="9.00390625" defaultRowHeight="12.75"/>
  <cols>
    <col min="1" max="1" width="4.25390625" style="30" customWidth="1"/>
    <col min="2" max="2" width="3.125" style="27" customWidth="1"/>
    <col min="3" max="3" width="4.25390625" style="27" customWidth="1"/>
    <col min="4" max="5" width="3.125" style="27" customWidth="1"/>
    <col min="6" max="6" width="52.125" style="8" customWidth="1"/>
    <col min="7" max="7" width="15.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300" t="s">
        <v>371</v>
      </c>
      <c r="B1" s="300"/>
      <c r="C1" s="300"/>
      <c r="D1" s="300"/>
      <c r="E1" s="300"/>
      <c r="F1" s="300"/>
      <c r="G1" s="300"/>
      <c r="H1" s="300"/>
      <c r="I1" s="300"/>
    </row>
    <row r="3" spans="1:9" ht="15.75">
      <c r="A3" s="147" t="s">
        <v>339</v>
      </c>
      <c r="B3" s="147"/>
      <c r="C3" s="147"/>
      <c r="D3" s="147"/>
      <c r="E3" s="147"/>
      <c r="F3" s="44"/>
      <c r="G3" s="44"/>
      <c r="H3" s="44"/>
      <c r="I3" s="44"/>
    </row>
    <row r="4" spans="5:9" ht="15.75">
      <c r="E4" s="45"/>
      <c r="F4" s="45"/>
      <c r="G4" s="45"/>
      <c r="H4" s="45"/>
      <c r="I4" s="45"/>
    </row>
    <row r="5" spans="1:9" ht="15.75">
      <c r="A5" s="287" t="s">
        <v>337</v>
      </c>
      <c r="B5" s="287"/>
      <c r="C5" s="287"/>
      <c r="D5" s="287"/>
      <c r="E5" s="287"/>
      <c r="F5" s="287"/>
      <c r="G5" s="287"/>
      <c r="H5" s="287"/>
      <c r="I5" s="287"/>
    </row>
    <row r="6" spans="1:9" s="9" customFormat="1" ht="15.75">
      <c r="A6" s="287" t="s">
        <v>252</v>
      </c>
      <c r="B6" s="287"/>
      <c r="C6" s="287"/>
      <c r="D6" s="287"/>
      <c r="E6" s="287"/>
      <c r="F6" s="287"/>
      <c r="G6" s="287"/>
      <c r="H6" s="287"/>
      <c r="I6" s="287"/>
    </row>
    <row r="7" spans="1:9" s="9" customFormat="1" ht="15.75">
      <c r="A7" s="287" t="s">
        <v>253</v>
      </c>
      <c r="B7" s="287"/>
      <c r="C7" s="287"/>
      <c r="D7" s="287"/>
      <c r="E7" s="287"/>
      <c r="F7" s="287"/>
      <c r="G7" s="287"/>
      <c r="H7" s="287"/>
      <c r="I7" s="287"/>
    </row>
    <row r="8" spans="1:9" ht="15.75">
      <c r="A8" s="287" t="s">
        <v>290</v>
      </c>
      <c r="B8" s="287"/>
      <c r="C8" s="287"/>
      <c r="D8" s="287"/>
      <c r="E8" s="287"/>
      <c r="F8" s="287"/>
      <c r="G8" s="287"/>
      <c r="H8" s="287"/>
      <c r="I8" s="287"/>
    </row>
    <row r="9" ht="15.75" hidden="1"/>
    <row r="10" spans="8:9" ht="16.5" thickBot="1">
      <c r="H10" s="32"/>
      <c r="I10" s="33" t="s">
        <v>291</v>
      </c>
    </row>
    <row r="11" spans="1:9" ht="15.75">
      <c r="A11" s="291" t="s">
        <v>10</v>
      </c>
      <c r="B11" s="292"/>
      <c r="C11" s="292"/>
      <c r="D11" s="292"/>
      <c r="E11" s="292"/>
      <c r="F11" s="293"/>
      <c r="G11" s="34" t="s">
        <v>8</v>
      </c>
      <c r="H11" s="34" t="s">
        <v>8</v>
      </c>
      <c r="I11" s="34" t="s">
        <v>9</v>
      </c>
    </row>
    <row r="12" spans="1:9" ht="15.75">
      <c r="A12" s="294"/>
      <c r="B12" s="295"/>
      <c r="C12" s="295"/>
      <c r="D12" s="295"/>
      <c r="E12" s="295"/>
      <c r="F12" s="296"/>
      <c r="G12" s="35" t="s">
        <v>4</v>
      </c>
      <c r="H12" s="35" t="s">
        <v>4</v>
      </c>
      <c r="I12" s="35"/>
    </row>
    <row r="13" spans="1:9" ht="16.5" thickBot="1">
      <c r="A13" s="297"/>
      <c r="B13" s="298"/>
      <c r="C13" s="298"/>
      <c r="D13" s="298"/>
      <c r="E13" s="298"/>
      <c r="F13" s="299"/>
      <c r="G13" s="36" t="s">
        <v>265</v>
      </c>
      <c r="H13" s="36" t="s">
        <v>290</v>
      </c>
      <c r="I13" s="36" t="s">
        <v>11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3" t="s">
        <v>24</v>
      </c>
      <c r="B15" s="283" t="s">
        <v>40</v>
      </c>
      <c r="C15" s="283"/>
      <c r="D15" s="283"/>
      <c r="E15" s="283"/>
      <c r="F15" s="283"/>
      <c r="G15" s="47"/>
      <c r="H15" s="48"/>
      <c r="I15" s="47"/>
    </row>
    <row r="16" spans="1:9" ht="10.5" customHeight="1">
      <c r="A16" s="13"/>
      <c r="B16" s="46"/>
      <c r="C16" s="46"/>
      <c r="D16" s="46"/>
      <c r="E16" s="46"/>
      <c r="F16" s="46"/>
      <c r="G16" s="47"/>
      <c r="H16" s="48"/>
      <c r="I16" s="47"/>
    </row>
    <row r="17" spans="1:9" ht="15.75">
      <c r="A17" s="13"/>
      <c r="B17" s="13" t="s">
        <v>24</v>
      </c>
      <c r="C17" s="13" t="s">
        <v>41</v>
      </c>
      <c r="D17" s="13"/>
      <c r="E17" s="13"/>
      <c r="F17" s="13"/>
      <c r="G17" s="19"/>
      <c r="H17" s="19"/>
      <c r="I17" s="13"/>
    </row>
    <row r="18" spans="1:9" ht="6.75" customHeight="1">
      <c r="A18" s="13"/>
      <c r="B18" s="13"/>
      <c r="C18" s="13"/>
      <c r="D18" s="13"/>
      <c r="E18" s="13"/>
      <c r="F18" s="13"/>
      <c r="G18" s="19"/>
      <c r="H18" s="19"/>
      <c r="I18" s="13"/>
    </row>
    <row r="19" spans="1:9" ht="15.75">
      <c r="A19" s="13"/>
      <c r="B19" s="13"/>
      <c r="C19" s="13" t="s">
        <v>19</v>
      </c>
      <c r="D19" s="283" t="s">
        <v>42</v>
      </c>
      <c r="E19" s="283"/>
      <c r="F19" s="283"/>
      <c r="G19" s="48"/>
      <c r="H19" s="48"/>
      <c r="I19" s="47"/>
    </row>
    <row r="20" spans="1:9" ht="15.75">
      <c r="A20" s="13"/>
      <c r="B20" s="13"/>
      <c r="C20" s="13"/>
      <c r="D20" s="46"/>
      <c r="E20" s="46"/>
      <c r="F20" s="46"/>
      <c r="G20" s="48"/>
      <c r="H20" s="48"/>
      <c r="I20" s="47"/>
    </row>
    <row r="21" spans="1:9" ht="15.75">
      <c r="A21" s="13"/>
      <c r="B21" s="13"/>
      <c r="C21" s="13"/>
      <c r="D21" s="13" t="s">
        <v>19</v>
      </c>
      <c r="E21" s="283" t="s">
        <v>43</v>
      </c>
      <c r="F21" s="283"/>
      <c r="G21" s="48"/>
      <c r="H21" s="48"/>
      <c r="I21" s="47"/>
    </row>
    <row r="22" spans="1:9" ht="15.75">
      <c r="A22" s="15"/>
      <c r="B22" s="15"/>
      <c r="C22" s="15"/>
      <c r="D22" s="15"/>
      <c r="E22" s="15" t="s">
        <v>30</v>
      </c>
      <c r="F22" s="15" t="s">
        <v>25</v>
      </c>
      <c r="G22" s="18"/>
      <c r="H22" s="18"/>
      <c r="I22" s="49"/>
    </row>
    <row r="23" spans="1:9" ht="15.75">
      <c r="A23" s="15"/>
      <c r="B23" s="15"/>
      <c r="C23" s="15"/>
      <c r="D23" s="15"/>
      <c r="E23" s="15"/>
      <c r="F23" s="15" t="s">
        <v>44</v>
      </c>
      <c r="G23" s="18"/>
      <c r="I23" s="49"/>
    </row>
    <row r="24" spans="1:9" ht="31.5">
      <c r="A24" s="15"/>
      <c r="B24" s="15"/>
      <c r="C24" s="15"/>
      <c r="D24" s="15"/>
      <c r="E24" s="15" t="s">
        <v>31</v>
      </c>
      <c r="F24" s="50" t="s">
        <v>26</v>
      </c>
      <c r="G24" s="51"/>
      <c r="I24" s="49"/>
    </row>
    <row r="25" spans="1:9" ht="31.5">
      <c r="A25" s="15"/>
      <c r="B25" s="15"/>
      <c r="C25" s="15"/>
      <c r="D25" s="15"/>
      <c r="E25" s="15" t="s">
        <v>45</v>
      </c>
      <c r="F25" s="50" t="s">
        <v>46</v>
      </c>
      <c r="G25" s="18">
        <v>1074860</v>
      </c>
      <c r="H25" s="209">
        <v>1074860</v>
      </c>
      <c r="I25" s="49">
        <f>H25/G25*100</f>
        <v>100</v>
      </c>
    </row>
    <row r="26" spans="1:9" ht="15.75">
      <c r="A26" s="15"/>
      <c r="B26" s="15"/>
      <c r="C26" s="15"/>
      <c r="D26" s="15"/>
      <c r="E26" s="15"/>
      <c r="F26" s="15" t="s">
        <v>44</v>
      </c>
      <c r="G26" s="18"/>
      <c r="H26" s="209"/>
      <c r="I26" s="49"/>
    </row>
    <row r="27" spans="1:9" ht="15.75">
      <c r="A27" s="15"/>
      <c r="B27" s="15"/>
      <c r="C27" s="15"/>
      <c r="D27" s="15"/>
      <c r="E27" s="15" t="s">
        <v>47</v>
      </c>
      <c r="F27" s="50" t="s">
        <v>48</v>
      </c>
      <c r="G27" s="18">
        <v>1024000</v>
      </c>
      <c r="H27" s="209">
        <v>1024000</v>
      </c>
      <c r="I27" s="49">
        <f aca="true" t="shared" si="0" ref="I27:I36">H27/G27*100</f>
        <v>100</v>
      </c>
    </row>
    <row r="28" spans="1:9" ht="15.75">
      <c r="A28" s="15"/>
      <c r="B28" s="15"/>
      <c r="C28" s="15"/>
      <c r="D28" s="15"/>
      <c r="E28" s="15"/>
      <c r="F28" s="15" t="s">
        <v>44</v>
      </c>
      <c r="G28" s="18"/>
      <c r="H28" s="209"/>
      <c r="I28" s="49"/>
    </row>
    <row r="29" spans="1:9" ht="21" customHeight="1">
      <c r="A29" s="15"/>
      <c r="B29" s="15"/>
      <c r="C29" s="15"/>
      <c r="D29" s="15"/>
      <c r="E29" s="15" t="s">
        <v>49</v>
      </c>
      <c r="F29" s="50" t="s">
        <v>50</v>
      </c>
      <c r="G29" s="18">
        <v>100000</v>
      </c>
      <c r="H29" s="209">
        <v>357006</v>
      </c>
      <c r="I29" s="49">
        <f t="shared" si="0"/>
        <v>357.006</v>
      </c>
    </row>
    <row r="30" spans="1:9" ht="15.75">
      <c r="A30" s="15"/>
      <c r="B30" s="15"/>
      <c r="C30" s="15"/>
      <c r="D30" s="15"/>
      <c r="E30" s="15"/>
      <c r="F30" s="15" t="s">
        <v>44</v>
      </c>
      <c r="G30" s="18"/>
      <c r="H30" s="209"/>
      <c r="I30" s="49"/>
    </row>
    <row r="31" spans="1:9" ht="15.75">
      <c r="A31" s="15"/>
      <c r="B31" s="15"/>
      <c r="C31" s="15"/>
      <c r="D31" s="15"/>
      <c r="E31" s="15" t="s">
        <v>51</v>
      </c>
      <c r="F31" s="50" t="s">
        <v>52</v>
      </c>
      <c r="G31" s="18">
        <v>692350</v>
      </c>
      <c r="H31" s="209">
        <v>692350</v>
      </c>
      <c r="I31" s="49">
        <f t="shared" si="0"/>
        <v>100</v>
      </c>
    </row>
    <row r="32" spans="1:9" s="22" customFormat="1" ht="15.75">
      <c r="A32" s="15"/>
      <c r="B32" s="15"/>
      <c r="C32" s="15"/>
      <c r="D32" s="15"/>
      <c r="E32" s="15"/>
      <c r="F32" s="15" t="s">
        <v>44</v>
      </c>
      <c r="G32" s="18"/>
      <c r="H32" s="210"/>
      <c r="I32" s="49"/>
    </row>
    <row r="33" spans="1:9" ht="15.75">
      <c r="A33" s="15"/>
      <c r="B33" s="15"/>
      <c r="C33" s="15"/>
      <c r="D33" s="15" t="s">
        <v>32</v>
      </c>
      <c r="E33" s="15" t="s">
        <v>53</v>
      </c>
      <c r="F33" s="15"/>
      <c r="G33" s="18">
        <v>5000000</v>
      </c>
      <c r="H33" s="209">
        <v>5000000</v>
      </c>
      <c r="I33" s="49">
        <f t="shared" si="0"/>
        <v>100</v>
      </c>
    </row>
    <row r="34" spans="1:9" ht="15.75">
      <c r="A34" s="15"/>
      <c r="B34" s="15"/>
      <c r="C34" s="15"/>
      <c r="D34" s="15"/>
      <c r="E34" s="15"/>
      <c r="F34" s="15" t="s">
        <v>44</v>
      </c>
      <c r="G34" s="18"/>
      <c r="H34" s="209"/>
      <c r="I34" s="49"/>
    </row>
    <row r="35" spans="1:9" ht="15.75">
      <c r="A35" s="15"/>
      <c r="B35" s="15"/>
      <c r="C35" s="15"/>
      <c r="D35" s="15" t="s">
        <v>33</v>
      </c>
      <c r="E35" s="15" t="s">
        <v>85</v>
      </c>
      <c r="F35" s="15"/>
      <c r="G35" s="18">
        <v>66300</v>
      </c>
      <c r="H35" s="209">
        <v>56100</v>
      </c>
      <c r="I35" s="49">
        <f t="shared" si="0"/>
        <v>84.61538461538461</v>
      </c>
    </row>
    <row r="36" spans="1:9" ht="15.75">
      <c r="A36" s="15"/>
      <c r="B36" s="15"/>
      <c r="C36" s="15"/>
      <c r="D36" s="15" t="s">
        <v>86</v>
      </c>
      <c r="E36" s="15" t="s">
        <v>247</v>
      </c>
      <c r="F36" s="15"/>
      <c r="G36" s="18">
        <v>1989378</v>
      </c>
      <c r="H36" s="209">
        <v>2953554</v>
      </c>
      <c r="I36" s="49">
        <f t="shared" si="0"/>
        <v>148.46620400949442</v>
      </c>
    </row>
    <row r="37" spans="1:9" s="22" customFormat="1" ht="15.75">
      <c r="A37" s="15"/>
      <c r="B37" s="15"/>
      <c r="C37" s="15"/>
      <c r="D37" s="15" t="s">
        <v>13</v>
      </c>
      <c r="E37" s="15" t="s">
        <v>54</v>
      </c>
      <c r="F37" s="15"/>
      <c r="G37" s="18"/>
      <c r="I37" s="49"/>
    </row>
    <row r="38" spans="1:9" ht="15.75">
      <c r="A38" s="15"/>
      <c r="B38" s="15"/>
      <c r="C38" s="15"/>
      <c r="D38" s="15"/>
      <c r="E38" s="15"/>
      <c r="F38" s="15" t="s">
        <v>44</v>
      </c>
      <c r="G38" s="18"/>
      <c r="I38" s="49"/>
    </row>
    <row r="39" spans="1:9" ht="15.75">
      <c r="A39" s="15"/>
      <c r="B39" s="15"/>
      <c r="C39" s="15"/>
      <c r="D39" s="15" t="s">
        <v>59</v>
      </c>
      <c r="E39" s="15" t="s">
        <v>292</v>
      </c>
      <c r="F39" s="15"/>
      <c r="G39" s="18"/>
      <c r="H39" s="8">
        <v>8001</v>
      </c>
      <c r="I39" s="49"/>
    </row>
    <row r="40" spans="1:9" ht="15.75">
      <c r="A40" s="15"/>
      <c r="B40" s="15"/>
      <c r="C40" s="15"/>
      <c r="D40" s="15" t="s">
        <v>64</v>
      </c>
      <c r="E40" s="15" t="s">
        <v>359</v>
      </c>
      <c r="F40" s="15"/>
      <c r="G40" s="18"/>
      <c r="H40" s="209">
        <v>1000000</v>
      </c>
      <c r="I40" s="49"/>
    </row>
    <row r="41" spans="1:9" ht="31.5" customHeight="1">
      <c r="A41" s="53"/>
      <c r="B41" s="53"/>
      <c r="C41" s="54"/>
      <c r="D41" s="289" t="s">
        <v>55</v>
      </c>
      <c r="E41" s="289"/>
      <c r="F41" s="289"/>
      <c r="G41" s="247">
        <f>SUM(G22:G39)</f>
        <v>9946888</v>
      </c>
      <c r="H41" s="247">
        <f>SUM(H22:H40)</f>
        <v>12165871</v>
      </c>
      <c r="I41" s="248">
        <f>H41/G41*100</f>
        <v>122.3083139168753</v>
      </c>
    </row>
    <row r="42" spans="1:9" s="22" customFormat="1" ht="15.75">
      <c r="A42" s="13"/>
      <c r="B42" s="13"/>
      <c r="C42" s="13"/>
      <c r="D42" s="46"/>
      <c r="E42" s="46"/>
      <c r="F42" s="46"/>
      <c r="G42" s="48"/>
      <c r="I42" s="49"/>
    </row>
    <row r="43" spans="1:9" ht="33" customHeight="1">
      <c r="A43" s="15"/>
      <c r="B43" s="15"/>
      <c r="C43" s="249" t="s">
        <v>20</v>
      </c>
      <c r="D43" s="283" t="s">
        <v>56</v>
      </c>
      <c r="E43" s="283"/>
      <c r="F43" s="283"/>
      <c r="G43" s="48"/>
      <c r="I43" s="49"/>
    </row>
    <row r="44" spans="1:9" ht="15.75">
      <c r="A44" s="15"/>
      <c r="B44" s="15"/>
      <c r="C44" s="15"/>
      <c r="D44" s="15" t="s">
        <v>19</v>
      </c>
      <c r="E44" s="15" t="s">
        <v>87</v>
      </c>
      <c r="F44" s="15"/>
      <c r="G44" s="18"/>
      <c r="H44" s="18"/>
      <c r="I44" s="49"/>
    </row>
    <row r="45" spans="1:9" ht="30.75" customHeight="1">
      <c r="A45" s="15"/>
      <c r="B45" s="15"/>
      <c r="C45" s="15"/>
      <c r="D45" s="15" t="s">
        <v>13</v>
      </c>
      <c r="E45" s="288" t="s">
        <v>88</v>
      </c>
      <c r="F45" s="288"/>
      <c r="G45" s="18">
        <v>2229720</v>
      </c>
      <c r="H45" s="18">
        <v>2444000</v>
      </c>
      <c r="I45" s="68">
        <f>H45/G45*100</f>
        <v>109.6101752686436</v>
      </c>
    </row>
    <row r="46" spans="1:9" ht="15.75">
      <c r="A46" s="15"/>
      <c r="B46" s="15"/>
      <c r="C46" s="15"/>
      <c r="D46" s="15" t="s">
        <v>20</v>
      </c>
      <c r="E46" s="15" t="s">
        <v>57</v>
      </c>
      <c r="F46" s="15"/>
      <c r="G46" s="18"/>
      <c r="H46" s="18"/>
      <c r="I46" s="49"/>
    </row>
    <row r="47" spans="1:9" ht="15.75">
      <c r="A47" s="15"/>
      <c r="B47" s="15"/>
      <c r="C47" s="15"/>
      <c r="D47" s="15"/>
      <c r="E47" s="15" t="s">
        <v>266</v>
      </c>
      <c r="F47" s="15" t="s">
        <v>267</v>
      </c>
      <c r="G47" s="18">
        <v>221440</v>
      </c>
      <c r="H47" s="18">
        <v>221440</v>
      </c>
      <c r="I47" s="68">
        <f>H47/G47*100</f>
        <v>100</v>
      </c>
    </row>
    <row r="48" spans="1:9" ht="15.75">
      <c r="A48" s="15"/>
      <c r="B48" s="15"/>
      <c r="C48" s="15"/>
      <c r="D48" s="15"/>
      <c r="E48" s="15" t="s">
        <v>268</v>
      </c>
      <c r="F48" s="15" t="s">
        <v>269</v>
      </c>
      <c r="G48" s="18">
        <v>2500000</v>
      </c>
      <c r="H48" s="18">
        <v>2500000</v>
      </c>
      <c r="I48" s="68">
        <f>H48/G48*100</f>
        <v>100</v>
      </c>
    </row>
    <row r="49" spans="1:10" ht="15.75">
      <c r="A49" s="15"/>
      <c r="B49" s="15"/>
      <c r="C49" s="15"/>
      <c r="D49" s="15"/>
      <c r="E49" s="15" t="s">
        <v>360</v>
      </c>
      <c r="F49" s="58" t="s">
        <v>349</v>
      </c>
      <c r="G49" s="58"/>
      <c r="H49" s="18">
        <f>45840+80464+32186</f>
        <v>158490</v>
      </c>
      <c r="I49" s="61"/>
      <c r="J49" s="51"/>
    </row>
    <row r="50" spans="1:9" ht="33.75" customHeight="1">
      <c r="A50" s="53"/>
      <c r="B50" s="53"/>
      <c r="C50" s="289" t="s">
        <v>60</v>
      </c>
      <c r="D50" s="289"/>
      <c r="E50" s="289"/>
      <c r="F50" s="289"/>
      <c r="G50" s="250">
        <f>SUM(G44:G48)</f>
        <v>4951160</v>
      </c>
      <c r="H50" s="250">
        <f>SUM(H44:H49)</f>
        <v>5323930</v>
      </c>
      <c r="I50" s="248">
        <f>H50/G50*100</f>
        <v>107.52894271241486</v>
      </c>
    </row>
    <row r="51" spans="1:9" ht="12" customHeight="1">
      <c r="A51" s="15"/>
      <c r="B51" s="15"/>
      <c r="C51" s="15"/>
      <c r="D51" s="15"/>
      <c r="E51" s="15"/>
      <c r="F51" s="15"/>
      <c r="G51" s="18"/>
      <c r="H51" s="18"/>
      <c r="I51" s="49"/>
    </row>
    <row r="52" spans="1:9" ht="31.5" customHeight="1">
      <c r="A52" s="15"/>
      <c r="B52" s="15"/>
      <c r="C52" s="249" t="s">
        <v>58</v>
      </c>
      <c r="D52" s="283" t="s">
        <v>61</v>
      </c>
      <c r="E52" s="283"/>
      <c r="F52" s="283"/>
      <c r="G52" s="48"/>
      <c r="H52" s="48"/>
      <c r="I52" s="47"/>
    </row>
    <row r="53" spans="1:9" ht="15.75">
      <c r="A53" s="15"/>
      <c r="B53" s="15"/>
      <c r="C53" s="15"/>
      <c r="D53" s="15" t="s">
        <v>19</v>
      </c>
      <c r="E53" s="288" t="s">
        <v>28</v>
      </c>
      <c r="F53" s="288"/>
      <c r="G53" s="51"/>
      <c r="H53" s="51"/>
      <c r="I53" s="50"/>
    </row>
    <row r="54" spans="1:9" ht="31.5">
      <c r="A54" s="15"/>
      <c r="B54" s="15"/>
      <c r="C54" s="15"/>
      <c r="D54" s="15"/>
      <c r="E54" s="15" t="s">
        <v>33</v>
      </c>
      <c r="F54" s="50" t="s">
        <v>62</v>
      </c>
      <c r="G54" s="18">
        <v>1200000</v>
      </c>
      <c r="H54" s="51">
        <v>1200000</v>
      </c>
      <c r="I54" s="49">
        <f>H54/G54*100</f>
        <v>100</v>
      </c>
    </row>
    <row r="55" spans="1:9" ht="31.5" customHeight="1">
      <c r="A55" s="15"/>
      <c r="B55" s="15"/>
      <c r="C55" s="289" t="s">
        <v>63</v>
      </c>
      <c r="D55" s="289"/>
      <c r="E55" s="289"/>
      <c r="F55" s="289"/>
      <c r="G55" s="250">
        <f>SUM(G54)</f>
        <v>1200000</v>
      </c>
      <c r="H55" s="250">
        <f>SUM(H54)</f>
        <v>1200000</v>
      </c>
      <c r="I55" s="248">
        <f>H55/G55*100</f>
        <v>100</v>
      </c>
    </row>
    <row r="56" spans="1:9" ht="31.5" customHeight="1">
      <c r="A56" s="15"/>
      <c r="B56" s="15"/>
      <c r="C56" s="272"/>
      <c r="D56" s="272"/>
      <c r="E56" s="272"/>
      <c r="F56" s="272"/>
      <c r="G56" s="250"/>
      <c r="H56" s="250"/>
      <c r="I56" s="248"/>
    </row>
    <row r="57" spans="1:9" ht="15.75">
      <c r="A57" s="15"/>
      <c r="B57" s="15"/>
      <c r="C57" s="15"/>
      <c r="D57" s="15"/>
      <c r="E57" s="15"/>
      <c r="F57" s="50"/>
      <c r="G57" s="18"/>
      <c r="H57" s="51"/>
      <c r="I57" s="49"/>
    </row>
    <row r="58" spans="1:9" ht="15.75">
      <c r="A58" s="15"/>
      <c r="B58" s="15"/>
      <c r="C58" s="13" t="s">
        <v>59</v>
      </c>
      <c r="D58" s="13" t="s">
        <v>361</v>
      </c>
      <c r="E58" s="13"/>
      <c r="F58" s="47"/>
      <c r="G58" s="18"/>
      <c r="H58" s="51"/>
      <c r="I58" s="49"/>
    </row>
    <row r="59" spans="1:9" ht="15.75">
      <c r="A59" s="15"/>
      <c r="B59" s="15"/>
      <c r="C59" s="15"/>
      <c r="D59" s="15"/>
      <c r="E59" s="15" t="s">
        <v>19</v>
      </c>
      <c r="F59" s="50" t="s">
        <v>362</v>
      </c>
      <c r="G59" s="18"/>
      <c r="H59" s="51">
        <v>4189</v>
      </c>
      <c r="I59" s="49"/>
    </row>
    <row r="60" spans="1:9" ht="15.75">
      <c r="A60" s="15"/>
      <c r="B60" s="15"/>
      <c r="C60" s="15"/>
      <c r="D60" s="15"/>
      <c r="E60" s="15" t="s">
        <v>13</v>
      </c>
      <c r="F60" s="50" t="s">
        <v>363</v>
      </c>
      <c r="G60" s="18"/>
      <c r="H60" s="51">
        <f>661875+220625</f>
        <v>882500</v>
      </c>
      <c r="I60" s="49"/>
    </row>
    <row r="61" spans="1:9" ht="15.75">
      <c r="A61" s="15"/>
      <c r="B61" s="15"/>
      <c r="C61" s="273" t="s">
        <v>364</v>
      </c>
      <c r="D61" s="273"/>
      <c r="E61" s="273"/>
      <c r="F61" s="274"/>
      <c r="G61" s="250"/>
      <c r="H61" s="247">
        <f>H59+H60</f>
        <v>886689</v>
      </c>
      <c r="I61" s="49"/>
    </row>
    <row r="62" spans="1:9" ht="21.75" customHeight="1">
      <c r="A62" s="15"/>
      <c r="B62" s="15"/>
      <c r="C62" s="13" t="s">
        <v>365</v>
      </c>
      <c r="D62" s="13"/>
      <c r="E62" s="13"/>
      <c r="F62" s="47"/>
      <c r="G62" s="18"/>
      <c r="H62" s="51"/>
      <c r="I62" s="49"/>
    </row>
    <row r="63" spans="1:9" ht="15.75">
      <c r="A63" s="15"/>
      <c r="B63" s="15"/>
      <c r="C63" s="15"/>
      <c r="D63" s="15"/>
      <c r="E63" s="15" t="s">
        <v>19</v>
      </c>
      <c r="F63" s="50" t="s">
        <v>366</v>
      </c>
      <c r="G63" s="18"/>
      <c r="H63" s="51">
        <v>55360</v>
      </c>
      <c r="I63" s="49"/>
    </row>
    <row r="64" spans="1:9" ht="15.75">
      <c r="A64" s="15"/>
      <c r="B64" s="15"/>
      <c r="C64" s="273" t="s">
        <v>367</v>
      </c>
      <c r="D64" s="273"/>
      <c r="E64" s="273"/>
      <c r="F64" s="274"/>
      <c r="G64" s="250"/>
      <c r="H64" s="247">
        <f>H63</f>
        <v>55360</v>
      </c>
      <c r="I64" s="49"/>
    </row>
    <row r="65" spans="1:9" ht="10.5" customHeight="1">
      <c r="A65" s="15"/>
      <c r="B65" s="15"/>
      <c r="C65" s="15"/>
      <c r="D65" s="15"/>
      <c r="E65" s="15"/>
      <c r="F65" s="15"/>
      <c r="G65" s="18"/>
      <c r="H65" s="18"/>
      <c r="I65" s="49"/>
    </row>
    <row r="66" spans="1:9" ht="29.25" customHeight="1">
      <c r="A66" s="56"/>
      <c r="B66" s="283" t="s">
        <v>65</v>
      </c>
      <c r="C66" s="283"/>
      <c r="D66" s="283"/>
      <c r="E66" s="283"/>
      <c r="F66" s="283"/>
      <c r="G66" s="61">
        <f>G41+G50+G55</f>
        <v>16098048</v>
      </c>
      <c r="H66" s="61">
        <f>H41+H50+H61+H64+H55</f>
        <v>19631850</v>
      </c>
      <c r="I66" s="62">
        <f>H66/G66*100</f>
        <v>121.95174222365345</v>
      </c>
    </row>
    <row r="67" spans="1:9" ht="7.5" customHeight="1">
      <c r="A67" s="56"/>
      <c r="B67" s="46"/>
      <c r="C67" s="46"/>
      <c r="D67" s="46"/>
      <c r="E67" s="46"/>
      <c r="F67" s="46"/>
      <c r="G67" s="61"/>
      <c r="H67" s="61"/>
      <c r="I67" s="62"/>
    </row>
    <row r="68" spans="1:9" ht="19.5" customHeight="1">
      <c r="A68" s="56"/>
      <c r="B68" s="46" t="s">
        <v>249</v>
      </c>
      <c r="C68" s="283" t="s">
        <v>250</v>
      </c>
      <c r="D68" s="283"/>
      <c r="E68" s="283"/>
      <c r="F68" s="283"/>
      <c r="G68" s="61"/>
      <c r="H68" s="61"/>
      <c r="I68" s="62"/>
    </row>
    <row r="69" spans="1:9" ht="15.75" customHeight="1">
      <c r="A69" s="56"/>
      <c r="B69" s="46"/>
      <c r="C69" s="58" t="s">
        <v>13</v>
      </c>
      <c r="D69" s="284" t="s">
        <v>246</v>
      </c>
      <c r="E69" s="284"/>
      <c r="F69" s="284"/>
      <c r="G69" s="211">
        <v>76000</v>
      </c>
      <c r="H69" s="51">
        <v>46400</v>
      </c>
      <c r="I69" s="62"/>
    </row>
    <row r="70" spans="1:9" ht="15.75">
      <c r="A70" s="56"/>
      <c r="B70" s="46"/>
      <c r="C70" s="58" t="s">
        <v>20</v>
      </c>
      <c r="D70" s="285" t="s">
        <v>270</v>
      </c>
      <c r="E70" s="286"/>
      <c r="F70" s="286"/>
      <c r="G70" s="211">
        <v>1397000</v>
      </c>
      <c r="H70" s="51"/>
      <c r="I70" s="62"/>
    </row>
    <row r="71" spans="1:9" ht="15.75">
      <c r="A71" s="56"/>
      <c r="B71" s="46"/>
      <c r="C71" s="58" t="s">
        <v>58</v>
      </c>
      <c r="D71" s="284" t="s">
        <v>271</v>
      </c>
      <c r="E71" s="284"/>
      <c r="F71" s="284"/>
      <c r="G71" s="211">
        <v>244000</v>
      </c>
      <c r="H71" s="51"/>
      <c r="I71" s="62"/>
    </row>
    <row r="72" spans="1:9" ht="15.75">
      <c r="A72" s="56"/>
      <c r="B72" s="46"/>
      <c r="C72" s="8" t="s">
        <v>59</v>
      </c>
      <c r="D72" s="8" t="s">
        <v>348</v>
      </c>
      <c r="E72" s="8"/>
      <c r="H72" s="51">
        <f>449683+1408133+361991</f>
        <v>2219807</v>
      </c>
      <c r="I72" s="62"/>
    </row>
    <row r="73" spans="1:9" ht="15.75">
      <c r="A73" s="56"/>
      <c r="B73" s="46"/>
      <c r="C73" s="8" t="s">
        <v>64</v>
      </c>
      <c r="D73" s="8" t="s">
        <v>368</v>
      </c>
      <c r="E73" s="8"/>
      <c r="H73" s="51">
        <f>177772+116664</f>
        <v>294436</v>
      </c>
      <c r="I73" s="62"/>
    </row>
    <row r="74" spans="1:9" ht="31.5" customHeight="1">
      <c r="A74" s="56"/>
      <c r="B74" s="283" t="s">
        <v>251</v>
      </c>
      <c r="C74" s="283"/>
      <c r="D74" s="283"/>
      <c r="E74" s="283"/>
      <c r="F74" s="283"/>
      <c r="G74" s="61">
        <f>SUM(G69:G71)</f>
        <v>1717000</v>
      </c>
      <c r="H74" s="61">
        <f>SUM(H69:H73)</f>
        <v>2560643</v>
      </c>
      <c r="I74" s="62"/>
    </row>
    <row r="75" spans="1:9" ht="12" customHeight="1">
      <c r="A75" s="15"/>
      <c r="B75" s="15"/>
      <c r="C75" s="15"/>
      <c r="D75" s="15"/>
      <c r="E75" s="15"/>
      <c r="F75" s="15"/>
      <c r="G75" s="18"/>
      <c r="H75" s="18"/>
      <c r="I75" s="49"/>
    </row>
    <row r="76" spans="1:9" ht="36" customHeight="1">
      <c r="A76" s="283" t="s">
        <v>66</v>
      </c>
      <c r="B76" s="283"/>
      <c r="C76" s="283"/>
      <c r="D76" s="283"/>
      <c r="E76" s="283"/>
      <c r="F76" s="283"/>
      <c r="G76" s="63">
        <f>G66+G74</f>
        <v>17815048</v>
      </c>
      <c r="H76" s="63">
        <f>H66+H74</f>
        <v>22192493</v>
      </c>
      <c r="I76" s="198">
        <f>I66</f>
        <v>121.95174222365345</v>
      </c>
    </row>
    <row r="77" spans="1:9" ht="10.5" customHeight="1">
      <c r="A77" s="46"/>
      <c r="B77" s="46"/>
      <c r="C77" s="46"/>
      <c r="D77" s="46"/>
      <c r="E77" s="46"/>
      <c r="F77" s="46"/>
      <c r="G77" s="63"/>
      <c r="H77" s="63"/>
      <c r="I77" s="198"/>
    </row>
    <row r="78" spans="1:9" ht="33" customHeight="1">
      <c r="A78" s="217" t="s">
        <v>249</v>
      </c>
      <c r="B78" s="283" t="s">
        <v>300</v>
      </c>
      <c r="C78" s="283"/>
      <c r="D78" s="283"/>
      <c r="E78" s="283"/>
      <c r="F78" s="283"/>
      <c r="G78" s="63"/>
      <c r="H78" s="63"/>
      <c r="I78" s="198"/>
    </row>
    <row r="79" spans="1:9" ht="15" customHeight="1">
      <c r="A79" s="46"/>
      <c r="B79" s="46" t="s">
        <v>19</v>
      </c>
      <c r="C79" s="285" t="s">
        <v>301</v>
      </c>
      <c r="D79" s="285"/>
      <c r="E79" s="285"/>
      <c r="F79" s="285"/>
      <c r="H79" s="218">
        <v>78740410</v>
      </c>
      <c r="I79" s="198"/>
    </row>
    <row r="80" spans="1:9" ht="15" customHeight="1">
      <c r="A80" s="46"/>
      <c r="B80" s="46"/>
      <c r="C80" s="285" t="s">
        <v>302</v>
      </c>
      <c r="D80" s="285"/>
      <c r="E80" s="285"/>
      <c r="F80" s="285"/>
      <c r="H80" s="218">
        <v>8748935</v>
      </c>
      <c r="I80" s="198"/>
    </row>
    <row r="81" spans="1:9" ht="40.5" customHeight="1">
      <c r="A81" s="283" t="s">
        <v>303</v>
      </c>
      <c r="B81" s="283"/>
      <c r="C81" s="283"/>
      <c r="D81" s="283"/>
      <c r="E81" s="283"/>
      <c r="F81" s="283"/>
      <c r="G81" s="63"/>
      <c r="H81" s="63">
        <f>H79+H80</f>
        <v>87489345</v>
      </c>
      <c r="I81" s="198"/>
    </row>
    <row r="82" spans="1:9" ht="15" customHeight="1">
      <c r="A82" s="46"/>
      <c r="B82" s="46"/>
      <c r="C82" s="46"/>
      <c r="D82" s="46"/>
      <c r="E82" s="46"/>
      <c r="F82" s="46"/>
      <c r="G82" s="63"/>
      <c r="H82" s="63"/>
      <c r="I82" s="198"/>
    </row>
    <row r="83" spans="1:9" ht="15.75">
      <c r="A83" s="13" t="s">
        <v>27</v>
      </c>
      <c r="B83" s="13" t="s">
        <v>67</v>
      </c>
      <c r="C83" s="13"/>
      <c r="D83" s="13"/>
      <c r="E83" s="13"/>
      <c r="F83" s="13"/>
      <c r="G83" s="13"/>
      <c r="H83" s="19"/>
      <c r="I83" s="49"/>
    </row>
    <row r="84" spans="1:9" ht="12" customHeight="1">
      <c r="A84" s="15"/>
      <c r="B84" s="15"/>
      <c r="C84" s="15"/>
      <c r="D84" s="15"/>
      <c r="E84" s="15"/>
      <c r="F84" s="15"/>
      <c r="G84" s="18"/>
      <c r="H84" s="18"/>
      <c r="I84" s="49"/>
    </row>
    <row r="85" spans="1:9" ht="15.75">
      <c r="A85" s="13"/>
      <c r="B85" s="13" t="s">
        <v>19</v>
      </c>
      <c r="C85" s="13" t="s">
        <v>68</v>
      </c>
      <c r="D85" s="13"/>
      <c r="E85" s="13"/>
      <c r="F85" s="13"/>
      <c r="G85" s="13"/>
      <c r="H85" s="19"/>
      <c r="I85" s="49"/>
    </row>
    <row r="86" spans="1:9" s="9" customFormat="1" ht="15.75">
      <c r="A86" s="15"/>
      <c r="B86" s="15"/>
      <c r="C86" s="15" t="s">
        <v>19</v>
      </c>
      <c r="D86" s="15" t="s">
        <v>69</v>
      </c>
      <c r="E86" s="15"/>
      <c r="F86" s="15"/>
      <c r="G86" s="59">
        <v>800000</v>
      </c>
      <c r="H86" s="18">
        <v>800000</v>
      </c>
      <c r="I86" s="49">
        <f>H86/G86*100</f>
        <v>100</v>
      </c>
    </row>
    <row r="87" spans="1:9" ht="15.75">
      <c r="A87" s="13"/>
      <c r="B87" s="13" t="s">
        <v>13</v>
      </c>
      <c r="C87" s="13" t="s">
        <v>70</v>
      </c>
      <c r="D87" s="13"/>
      <c r="E87" s="13"/>
      <c r="F87" s="13"/>
      <c r="G87" s="59"/>
      <c r="H87" s="19"/>
      <c r="I87" s="49"/>
    </row>
    <row r="88" spans="1:9" ht="15.75">
      <c r="A88" s="15"/>
      <c r="B88" s="15"/>
      <c r="C88" s="15" t="s">
        <v>19</v>
      </c>
      <c r="D88" s="15" t="s">
        <v>71</v>
      </c>
      <c r="E88" s="15"/>
      <c r="F88" s="15"/>
      <c r="G88" s="59">
        <v>650000</v>
      </c>
      <c r="H88" s="18">
        <v>650000</v>
      </c>
      <c r="I88" s="49">
        <f>H88/G88*100</f>
        <v>100</v>
      </c>
    </row>
    <row r="89" spans="1:9" ht="15.75">
      <c r="A89" s="13"/>
      <c r="B89" s="13" t="s">
        <v>58</v>
      </c>
      <c r="C89" s="13" t="s">
        <v>72</v>
      </c>
      <c r="D89" s="13"/>
      <c r="E89" s="13"/>
      <c r="F89" s="13"/>
      <c r="G89" s="59"/>
      <c r="H89" s="19"/>
      <c r="I89" s="49"/>
    </row>
    <row r="90" spans="1:9" ht="15.75">
      <c r="A90" s="15"/>
      <c r="B90" s="15"/>
      <c r="C90" s="13" t="s">
        <v>19</v>
      </c>
      <c r="D90" s="15" t="s">
        <v>73</v>
      </c>
      <c r="E90" s="15"/>
      <c r="F90" s="15"/>
      <c r="G90" s="59">
        <v>5000</v>
      </c>
      <c r="H90" s="18">
        <v>5000</v>
      </c>
      <c r="I90" s="49">
        <f>H90/G90*100</f>
        <v>100</v>
      </c>
    </row>
    <row r="91" spans="1:9" ht="15.75">
      <c r="A91" s="15"/>
      <c r="B91" s="15"/>
      <c r="C91" s="13" t="s">
        <v>20</v>
      </c>
      <c r="D91" s="15" t="s">
        <v>74</v>
      </c>
      <c r="E91" s="15"/>
      <c r="F91" s="15"/>
      <c r="G91" s="59">
        <v>40000</v>
      </c>
      <c r="H91" s="18">
        <v>40000</v>
      </c>
      <c r="I91" s="49">
        <f>H91/G91*100</f>
        <v>100</v>
      </c>
    </row>
    <row r="92" spans="1:9" ht="9" customHeight="1">
      <c r="A92" s="56"/>
      <c r="B92" s="56"/>
      <c r="C92" s="56"/>
      <c r="D92" s="56"/>
      <c r="E92" s="56"/>
      <c r="F92" s="56"/>
      <c r="G92" s="59"/>
      <c r="H92" s="59"/>
      <c r="I92" s="49"/>
    </row>
    <row r="93" spans="1:9" s="9" customFormat="1" ht="15.75">
      <c r="A93" s="13" t="s">
        <v>34</v>
      </c>
      <c r="B93" s="56"/>
      <c r="C93" s="56"/>
      <c r="D93" s="56"/>
      <c r="E93" s="56"/>
      <c r="F93" s="56"/>
      <c r="G93" s="61">
        <f>G86+G88+G90+G91</f>
        <v>1495000</v>
      </c>
      <c r="H93" s="61">
        <f>H86+H88+H90+H91</f>
        <v>1495000</v>
      </c>
      <c r="I93" s="62">
        <f>H93/G93*100</f>
        <v>100</v>
      </c>
    </row>
    <row r="94" spans="1:9" ht="9" customHeight="1">
      <c r="A94" s="56"/>
      <c r="B94" s="56"/>
      <c r="C94" s="56"/>
      <c r="D94" s="56"/>
      <c r="E94" s="56"/>
      <c r="F94" s="56"/>
      <c r="G94" s="59"/>
      <c r="H94" s="59"/>
      <c r="I94" s="49"/>
    </row>
    <row r="95" spans="1:9" ht="15.75">
      <c r="A95" s="13" t="s">
        <v>75</v>
      </c>
      <c r="B95" s="13" t="s">
        <v>29</v>
      </c>
      <c r="C95" s="13"/>
      <c r="D95" s="13"/>
      <c r="E95" s="13"/>
      <c r="F95" s="13"/>
      <c r="G95" s="13"/>
      <c r="H95" s="19"/>
      <c r="I95" s="49"/>
    </row>
    <row r="96" spans="1:9" ht="9" customHeight="1">
      <c r="A96" s="56"/>
      <c r="B96" s="56"/>
      <c r="C96" s="56"/>
      <c r="D96" s="56"/>
      <c r="E96" s="56"/>
      <c r="F96" s="56"/>
      <c r="G96" s="59"/>
      <c r="H96" s="59"/>
      <c r="I96" s="49"/>
    </row>
    <row r="97" spans="1:9" ht="15.75">
      <c r="A97" s="56"/>
      <c r="B97" s="56" t="s">
        <v>19</v>
      </c>
      <c r="C97" s="60" t="s">
        <v>248</v>
      </c>
      <c r="D97" s="60"/>
      <c r="E97" s="60"/>
      <c r="F97" s="60"/>
      <c r="G97" s="59"/>
      <c r="H97" s="59"/>
      <c r="I97" s="49"/>
    </row>
    <row r="98" spans="1:9" ht="30.75" customHeight="1">
      <c r="A98" s="56"/>
      <c r="B98" s="56"/>
      <c r="C98" s="56" t="s">
        <v>19</v>
      </c>
      <c r="D98" s="290" t="s">
        <v>259</v>
      </c>
      <c r="E98" s="290"/>
      <c r="F98" s="290"/>
      <c r="G98" s="59">
        <v>54000</v>
      </c>
      <c r="H98" s="59">
        <v>54000</v>
      </c>
      <c r="I98" s="49">
        <f>H98/G98*100</f>
        <v>100</v>
      </c>
    </row>
    <row r="99" spans="1:9" ht="15.75" customHeight="1">
      <c r="A99" s="56"/>
      <c r="B99" s="56"/>
      <c r="C99" s="56">
        <v>2</v>
      </c>
      <c r="D99" s="303" t="s">
        <v>272</v>
      </c>
      <c r="E99" s="304"/>
      <c r="F99" s="304"/>
      <c r="G99" s="59">
        <v>5000</v>
      </c>
      <c r="H99" s="59">
        <v>5000</v>
      </c>
      <c r="I99" s="49">
        <f>H99/G99*100</f>
        <v>100</v>
      </c>
    </row>
    <row r="100" spans="1:9" ht="15.75">
      <c r="A100" s="56"/>
      <c r="B100" s="56" t="s">
        <v>13</v>
      </c>
      <c r="C100" s="60" t="s">
        <v>76</v>
      </c>
      <c r="D100" s="60"/>
      <c r="E100" s="60"/>
      <c r="F100" s="60"/>
      <c r="G100" s="59"/>
      <c r="H100" s="59"/>
      <c r="I100" s="49"/>
    </row>
    <row r="101" spans="1:9" ht="15.75">
      <c r="A101" s="56"/>
      <c r="B101" s="56"/>
      <c r="C101" s="56" t="s">
        <v>19</v>
      </c>
      <c r="D101" s="60" t="s">
        <v>39</v>
      </c>
      <c r="E101" s="60"/>
      <c r="F101" s="60"/>
      <c r="G101" s="59">
        <v>454000</v>
      </c>
      <c r="H101" s="59">
        <v>489450</v>
      </c>
      <c r="I101" s="49">
        <f>H101/G101*100</f>
        <v>107.80837004405286</v>
      </c>
    </row>
    <row r="102" spans="1:9" ht="15.75">
      <c r="A102" s="56"/>
      <c r="B102" s="56"/>
      <c r="C102" s="56" t="s">
        <v>13</v>
      </c>
      <c r="D102" s="60" t="s">
        <v>293</v>
      </c>
      <c r="E102" s="60"/>
      <c r="F102" s="60"/>
      <c r="G102" s="59"/>
      <c r="H102" s="59">
        <f>132152+23622123</f>
        <v>23754275</v>
      </c>
      <c r="I102" s="49"/>
    </row>
    <row r="103" spans="1:9" ht="15.75">
      <c r="A103" s="56"/>
      <c r="B103" s="56"/>
      <c r="C103" s="56" t="s">
        <v>20</v>
      </c>
      <c r="D103" s="60" t="s">
        <v>294</v>
      </c>
      <c r="E103" s="60"/>
      <c r="F103" s="60"/>
      <c r="G103" s="59"/>
      <c r="H103" s="59">
        <v>190434</v>
      </c>
      <c r="I103" s="49"/>
    </row>
    <row r="104" spans="1:9" ht="15.75">
      <c r="A104" s="56"/>
      <c r="B104" s="56"/>
      <c r="C104" s="56"/>
      <c r="D104" s="60"/>
      <c r="E104" s="60"/>
      <c r="F104" s="60"/>
      <c r="G104" s="59"/>
      <c r="H104" s="59"/>
      <c r="I104" s="49"/>
    </row>
    <row r="105" spans="1:9" ht="15.75">
      <c r="A105" s="56"/>
      <c r="B105" s="56" t="s">
        <v>20</v>
      </c>
      <c r="C105" s="60" t="s">
        <v>77</v>
      </c>
      <c r="D105" s="56"/>
      <c r="E105" s="56"/>
      <c r="F105" s="56"/>
      <c r="G105" s="59">
        <v>2000</v>
      </c>
      <c r="H105" s="59">
        <v>2000</v>
      </c>
      <c r="I105" s="49">
        <f>H105/G105*100</f>
        <v>100</v>
      </c>
    </row>
    <row r="106" spans="1:9" ht="11.25" customHeight="1">
      <c r="A106" s="56"/>
      <c r="B106" s="56"/>
      <c r="C106" s="56"/>
      <c r="D106" s="56"/>
      <c r="E106" s="56"/>
      <c r="F106" s="56"/>
      <c r="G106" s="59"/>
      <c r="H106" s="59"/>
      <c r="I106" s="49"/>
    </row>
    <row r="107" spans="1:9" ht="15.75">
      <c r="A107" s="13" t="s">
        <v>12</v>
      </c>
      <c r="B107" s="56"/>
      <c r="C107" s="56"/>
      <c r="D107" s="56"/>
      <c r="E107" s="56"/>
      <c r="F107" s="56"/>
      <c r="G107" s="61">
        <f>SUM(G98:G106)</f>
        <v>515000</v>
      </c>
      <c r="H107" s="61">
        <f>H98+H101+H105+H99+H102+H103</f>
        <v>24495159</v>
      </c>
      <c r="I107" s="62">
        <f>H107/G107*100</f>
        <v>4756.341553398058</v>
      </c>
    </row>
    <row r="108" spans="1:9" ht="13.5" customHeight="1">
      <c r="A108" s="56"/>
      <c r="B108" s="56"/>
      <c r="C108" s="56"/>
      <c r="D108" s="56"/>
      <c r="E108" s="56"/>
      <c r="F108" s="56"/>
      <c r="G108" s="59"/>
      <c r="H108" s="59"/>
      <c r="I108" s="49"/>
    </row>
    <row r="109" spans="1:9" ht="13.5" customHeight="1">
      <c r="A109" s="205" t="s">
        <v>273</v>
      </c>
      <c r="B109" s="305" t="s">
        <v>95</v>
      </c>
      <c r="C109" s="304"/>
      <c r="D109" s="304"/>
      <c r="E109" s="304"/>
      <c r="F109" s="304"/>
      <c r="G109" s="59"/>
      <c r="H109" s="59"/>
      <c r="I109" s="49"/>
    </row>
    <row r="110" spans="1:9" ht="13.5" customHeight="1">
      <c r="A110" s="56"/>
      <c r="B110" s="56" t="s">
        <v>19</v>
      </c>
      <c r="C110" s="303" t="s">
        <v>274</v>
      </c>
      <c r="D110" s="304"/>
      <c r="E110" s="304"/>
      <c r="F110" s="304"/>
      <c r="G110" s="59"/>
      <c r="H110" s="59"/>
      <c r="I110" s="49"/>
    </row>
    <row r="111" spans="1:9" ht="13.5" customHeight="1">
      <c r="A111" s="56"/>
      <c r="B111" s="56"/>
      <c r="C111" s="56" t="s">
        <v>19</v>
      </c>
      <c r="D111" s="303" t="s">
        <v>275</v>
      </c>
      <c r="E111" s="304"/>
      <c r="F111" s="304"/>
      <c r="G111" s="59">
        <v>1800000</v>
      </c>
      <c r="H111" s="59"/>
      <c r="I111" s="49"/>
    </row>
    <row r="112" spans="1:9" ht="9" customHeight="1">
      <c r="A112" s="56"/>
      <c r="B112" s="56"/>
      <c r="C112" s="56"/>
      <c r="D112" s="60"/>
      <c r="E112" s="204"/>
      <c r="F112" s="204"/>
      <c r="G112" s="59"/>
      <c r="H112" s="59"/>
      <c r="I112" s="49"/>
    </row>
    <row r="113" spans="1:9" ht="13.5" customHeight="1">
      <c r="A113" s="306" t="s">
        <v>276</v>
      </c>
      <c r="B113" s="307"/>
      <c r="C113" s="307"/>
      <c r="D113" s="307"/>
      <c r="E113" s="307"/>
      <c r="F113" s="307"/>
      <c r="G113" s="61">
        <f>G111</f>
        <v>1800000</v>
      </c>
      <c r="H113" s="61"/>
      <c r="I113" s="49"/>
    </row>
    <row r="114" spans="1:9" ht="12.75" customHeight="1">
      <c r="A114" s="56"/>
      <c r="B114" s="56"/>
      <c r="C114" s="56"/>
      <c r="D114" s="56"/>
      <c r="E114" s="56"/>
      <c r="F114" s="56"/>
      <c r="G114" s="59"/>
      <c r="H114" s="59"/>
      <c r="I114" s="49"/>
    </row>
    <row r="115" spans="1:9" ht="17.25" customHeight="1">
      <c r="A115" s="65" t="s">
        <v>79</v>
      </c>
      <c r="B115" s="65"/>
      <c r="C115" s="65"/>
      <c r="D115" s="65"/>
      <c r="E115" s="65"/>
      <c r="F115" s="65"/>
      <c r="G115" s="64">
        <f>G107+G93+G76+G113</f>
        <v>21625048</v>
      </c>
      <c r="H115" s="214">
        <f>H107+H93+H76+H111+H81</f>
        <v>135671997</v>
      </c>
      <c r="I115" s="62">
        <f>H115/G115*100</f>
        <v>627.3835646515097</v>
      </c>
    </row>
    <row r="116" spans="1:9" ht="17.25" customHeight="1">
      <c r="A116" s="65"/>
      <c r="B116" s="65"/>
      <c r="C116" s="65"/>
      <c r="D116" s="65"/>
      <c r="E116" s="65"/>
      <c r="F116" s="65"/>
      <c r="G116" s="64"/>
      <c r="H116" s="214"/>
      <c r="I116" s="62"/>
    </row>
    <row r="117" spans="1:9" ht="16.5">
      <c r="A117" s="65"/>
      <c r="B117" s="65"/>
      <c r="C117" s="65"/>
      <c r="D117" s="65"/>
      <c r="E117" s="65"/>
      <c r="F117" s="65"/>
      <c r="G117" s="64"/>
      <c r="H117" s="64"/>
      <c r="I117" s="62"/>
    </row>
    <row r="118" spans="1:9" ht="15.75">
      <c r="A118" s="66" t="s">
        <v>80</v>
      </c>
      <c r="B118" s="283" t="s">
        <v>81</v>
      </c>
      <c r="C118" s="283"/>
      <c r="D118" s="283"/>
      <c r="E118" s="283"/>
      <c r="F118" s="283"/>
      <c r="G118" s="13"/>
      <c r="H118" s="51"/>
      <c r="I118" s="49"/>
    </row>
    <row r="119" spans="1:9" ht="15.75">
      <c r="A119" s="13"/>
      <c r="B119" s="46" t="s">
        <v>19</v>
      </c>
      <c r="C119" s="283" t="s">
        <v>82</v>
      </c>
      <c r="D119" s="283"/>
      <c r="E119" s="283"/>
      <c r="F119" s="283"/>
      <c r="G119" s="59"/>
      <c r="H119" s="51"/>
      <c r="I119" s="49"/>
    </row>
    <row r="120" spans="1:9" ht="15.75">
      <c r="A120" s="13"/>
      <c r="B120" s="46"/>
      <c r="C120" s="58" t="s">
        <v>19</v>
      </c>
      <c r="D120" s="288" t="s">
        <v>83</v>
      </c>
      <c r="E120" s="288"/>
      <c r="F120" s="288"/>
      <c r="G120" s="59">
        <v>913000</v>
      </c>
      <c r="H120" s="215">
        <f>700933+63487+69464+6794577</f>
        <v>7628461</v>
      </c>
      <c r="I120" s="49">
        <f>H120/G120*100</f>
        <v>835.5378970427163</v>
      </c>
    </row>
    <row r="121" spans="1:9" ht="34.5" customHeight="1">
      <c r="A121" s="15"/>
      <c r="B121" s="15"/>
      <c r="C121" s="212" t="s">
        <v>13</v>
      </c>
      <c r="D121" s="301" t="s">
        <v>295</v>
      </c>
      <c r="E121" s="302"/>
      <c r="F121" s="302"/>
      <c r="G121" s="21"/>
      <c r="H121" s="216">
        <v>6500000</v>
      </c>
      <c r="I121" s="49"/>
    </row>
    <row r="122" spans="1:9" ht="16.5">
      <c r="A122" s="65" t="s">
        <v>81</v>
      </c>
      <c r="B122" s="65"/>
      <c r="C122" s="65"/>
      <c r="D122" s="65"/>
      <c r="E122" s="65"/>
      <c r="F122" s="65"/>
      <c r="G122" s="67">
        <f>G120</f>
        <v>913000</v>
      </c>
      <c r="H122" s="213">
        <f>H120+H121</f>
        <v>14128461</v>
      </c>
      <c r="I122" s="49">
        <f>H122/G122*100</f>
        <v>1547.476560788609</v>
      </c>
    </row>
    <row r="123" spans="1:9" ht="15.75">
      <c r="A123" s="15"/>
      <c r="B123" s="15"/>
      <c r="C123" s="15"/>
      <c r="D123" s="15"/>
      <c r="E123" s="15"/>
      <c r="F123" s="15"/>
      <c r="G123" s="21"/>
      <c r="H123" s="15"/>
      <c r="I123" s="49"/>
    </row>
    <row r="124" spans="1:9" ht="18.75">
      <c r="A124" s="14" t="s">
        <v>84</v>
      </c>
      <c r="B124" s="14"/>
      <c r="C124" s="14"/>
      <c r="D124" s="14"/>
      <c r="E124" s="14"/>
      <c r="F124" s="14"/>
      <c r="G124" s="67">
        <f>G115+G122</f>
        <v>22538048</v>
      </c>
      <c r="H124" s="214">
        <f>H115+H122</f>
        <v>149800458</v>
      </c>
      <c r="I124" s="62">
        <f>H124/G124*100</f>
        <v>664.6558654946515</v>
      </c>
    </row>
    <row r="125" spans="7:9" ht="15.75">
      <c r="G125" s="6"/>
      <c r="H125" s="6"/>
      <c r="I125" s="7"/>
    </row>
    <row r="126" spans="7:9" ht="15.75">
      <c r="G126" s="37"/>
      <c r="H126" s="52"/>
      <c r="I126" s="11"/>
    </row>
    <row r="127" ht="9" customHeight="1">
      <c r="I127" s="11"/>
    </row>
    <row r="128" spans="1:9" s="9" customFormat="1" ht="15.75">
      <c r="A128" s="29"/>
      <c r="B128" s="28"/>
      <c r="C128" s="28"/>
      <c r="D128" s="28"/>
      <c r="E128" s="28"/>
      <c r="H128" s="52"/>
      <c r="I128" s="10"/>
    </row>
    <row r="129" ht="9" customHeight="1">
      <c r="I129" s="11"/>
    </row>
    <row r="130" ht="9" customHeight="1">
      <c r="I130" s="11"/>
    </row>
    <row r="136" ht="15.75">
      <c r="I136" s="11"/>
    </row>
    <row r="141" ht="15.75">
      <c r="I141" s="11"/>
    </row>
  </sheetData>
  <sheetProtection/>
  <mergeCells count="37">
    <mergeCell ref="A1:I1"/>
    <mergeCell ref="C79:F79"/>
    <mergeCell ref="C80:F80"/>
    <mergeCell ref="A81:F81"/>
    <mergeCell ref="D121:F121"/>
    <mergeCell ref="D99:F99"/>
    <mergeCell ref="B109:F109"/>
    <mergeCell ref="C110:F110"/>
    <mergeCell ref="D111:F111"/>
    <mergeCell ref="A113:F113"/>
    <mergeCell ref="D120:F120"/>
    <mergeCell ref="B118:F118"/>
    <mergeCell ref="D98:F98"/>
    <mergeCell ref="A11:F13"/>
    <mergeCell ref="D19:F19"/>
    <mergeCell ref="C50:F50"/>
    <mergeCell ref="E21:F21"/>
    <mergeCell ref="D43:F43"/>
    <mergeCell ref="E45:F45"/>
    <mergeCell ref="B78:F78"/>
    <mergeCell ref="A5:I5"/>
    <mergeCell ref="A6:I6"/>
    <mergeCell ref="A7:I7"/>
    <mergeCell ref="A8:I8"/>
    <mergeCell ref="C119:F119"/>
    <mergeCell ref="B15:F15"/>
    <mergeCell ref="E53:F53"/>
    <mergeCell ref="D41:F41"/>
    <mergeCell ref="D52:F52"/>
    <mergeCell ref="C55:F55"/>
    <mergeCell ref="B66:F66"/>
    <mergeCell ref="A76:F76"/>
    <mergeCell ref="C68:F68"/>
    <mergeCell ref="D69:F69"/>
    <mergeCell ref="D70:F70"/>
    <mergeCell ref="D71:F71"/>
    <mergeCell ref="B74:F74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125" style="139" customWidth="1"/>
    <col min="2" max="2" width="9.125" style="139" customWidth="1"/>
    <col min="3" max="3" width="61.125" style="139" customWidth="1"/>
    <col min="4" max="7" width="26.25390625" style="139" customWidth="1"/>
    <col min="8" max="16384" width="9.125" style="139" customWidth="1"/>
  </cols>
  <sheetData>
    <row r="1" spans="1:7" ht="15.75">
      <c r="A1" s="300" t="s">
        <v>372</v>
      </c>
      <c r="B1" s="300"/>
      <c r="C1" s="300"/>
      <c r="D1" s="300"/>
      <c r="E1" s="300"/>
      <c r="F1" s="300"/>
      <c r="G1" s="300"/>
    </row>
    <row r="4" spans="1:7" s="130" customFormat="1" ht="12.75" customHeight="1">
      <c r="A4" s="331" t="s">
        <v>340</v>
      </c>
      <c r="B4" s="331"/>
      <c r="C4" s="331"/>
      <c r="D4" s="331"/>
      <c r="E4" s="331"/>
      <c r="F4" s="331"/>
      <c r="G4" s="331"/>
    </row>
    <row r="5" spans="3:7" s="38" customFormat="1" ht="15" customHeight="1">
      <c r="C5" s="332"/>
      <c r="D5" s="332"/>
      <c r="E5" s="332"/>
      <c r="F5" s="332"/>
      <c r="G5" s="332"/>
    </row>
    <row r="6" spans="1:7" s="133" customFormat="1" ht="15" customHeight="1">
      <c r="A6" s="308" t="s">
        <v>337</v>
      </c>
      <c r="B6" s="308"/>
      <c r="C6" s="308"/>
      <c r="D6" s="308"/>
      <c r="E6" s="308"/>
      <c r="F6" s="308"/>
      <c r="G6" s="308"/>
    </row>
    <row r="7" spans="3:7" s="85" customFormat="1" ht="15" customHeight="1">
      <c r="C7" s="308" t="s">
        <v>252</v>
      </c>
      <c r="D7" s="308"/>
      <c r="E7" s="308"/>
      <c r="F7" s="308"/>
      <c r="G7" s="308"/>
    </row>
    <row r="8" spans="3:7" s="85" customFormat="1" ht="15.75">
      <c r="C8" s="333" t="s">
        <v>191</v>
      </c>
      <c r="D8" s="333"/>
      <c r="E8" s="333"/>
      <c r="F8" s="333"/>
      <c r="G8" s="333"/>
    </row>
    <row r="9" spans="3:7" s="85" customFormat="1" ht="15" customHeight="1">
      <c r="C9" s="308" t="s">
        <v>290</v>
      </c>
      <c r="D9" s="308"/>
      <c r="E9" s="308"/>
      <c r="F9" s="308"/>
      <c r="G9" s="308"/>
    </row>
    <row r="10" spans="3:7" s="130" customFormat="1" ht="12" customHeight="1" thickBot="1">
      <c r="C10" s="131"/>
      <c r="D10" s="134"/>
      <c r="E10" s="135"/>
      <c r="F10" s="135"/>
      <c r="G10" s="271" t="s">
        <v>358</v>
      </c>
    </row>
    <row r="11" spans="1:7" s="130" customFormat="1" ht="16.5" customHeight="1" thickBot="1">
      <c r="A11" s="309" t="s">
        <v>336</v>
      </c>
      <c r="B11" s="311" t="s">
        <v>105</v>
      </c>
      <c r="C11" s="314" t="s">
        <v>106</v>
      </c>
      <c r="D11" s="317" t="s">
        <v>192</v>
      </c>
      <c r="E11" s="320" t="s">
        <v>193</v>
      </c>
      <c r="F11" s="320"/>
      <c r="G11" s="321"/>
    </row>
    <row r="12" spans="1:7" s="130" customFormat="1" ht="33" customHeight="1" thickBot="1">
      <c r="A12" s="310"/>
      <c r="B12" s="312"/>
      <c r="C12" s="315"/>
      <c r="D12" s="318"/>
      <c r="E12" s="136" t="s">
        <v>194</v>
      </c>
      <c r="F12" s="137" t="s">
        <v>195</v>
      </c>
      <c r="G12" s="138" t="s">
        <v>196</v>
      </c>
    </row>
    <row r="13" spans="1:7" s="130" customFormat="1" ht="22.5" customHeight="1">
      <c r="A13" s="310"/>
      <c r="B13" s="312"/>
      <c r="C13" s="315"/>
      <c r="D13" s="318"/>
      <c r="E13" s="322" t="s">
        <v>197</v>
      </c>
      <c r="F13" s="323"/>
      <c r="G13" s="324"/>
    </row>
    <row r="14" spans="1:7" ht="12.75">
      <c r="A14" s="310"/>
      <c r="B14" s="312"/>
      <c r="C14" s="315"/>
      <c r="D14" s="318"/>
      <c r="E14" s="325"/>
      <c r="F14" s="326"/>
      <c r="G14" s="327"/>
    </row>
    <row r="15" spans="1:7" ht="3" customHeight="1" thickBot="1">
      <c r="A15" s="251"/>
      <c r="B15" s="313"/>
      <c r="C15" s="316"/>
      <c r="D15" s="319"/>
      <c r="E15" s="328"/>
      <c r="F15" s="329"/>
      <c r="G15" s="330"/>
    </row>
    <row r="16" spans="1:7" ht="30">
      <c r="A16" s="252" t="s">
        <v>19</v>
      </c>
      <c r="B16" s="200" t="s">
        <v>122</v>
      </c>
      <c r="C16" s="275" t="s">
        <v>123</v>
      </c>
      <c r="D16" s="140">
        <f aca="true" t="shared" si="0" ref="D16:D25">SUM(E16:G16)</f>
        <v>301436</v>
      </c>
      <c r="E16" s="140">
        <f>7000+177772+116664</f>
        <v>301436</v>
      </c>
      <c r="F16" s="140"/>
      <c r="G16" s="141"/>
    </row>
    <row r="17" spans="1:7" ht="15">
      <c r="A17" s="253" t="s">
        <v>13</v>
      </c>
      <c r="B17" s="200" t="s">
        <v>124</v>
      </c>
      <c r="C17" s="199" t="s">
        <v>264</v>
      </c>
      <c r="D17" s="140">
        <f t="shared" si="0"/>
        <v>5000</v>
      </c>
      <c r="E17" s="140">
        <v>5000</v>
      </c>
      <c r="F17" s="140"/>
      <c r="G17" s="141"/>
    </row>
    <row r="18" spans="1:7" ht="15">
      <c r="A18" s="253" t="s">
        <v>20</v>
      </c>
      <c r="B18" s="82" t="s">
        <v>125</v>
      </c>
      <c r="C18" s="81" t="s">
        <v>126</v>
      </c>
      <c r="D18" s="142">
        <f t="shared" si="0"/>
        <v>54000</v>
      </c>
      <c r="E18" s="142"/>
      <c r="F18" s="142">
        <v>54000</v>
      </c>
      <c r="G18" s="143"/>
    </row>
    <row r="19" spans="1:7" ht="15">
      <c r="A19" s="253" t="s">
        <v>58</v>
      </c>
      <c r="B19" s="82" t="s">
        <v>198</v>
      </c>
      <c r="C19" s="81" t="s">
        <v>199</v>
      </c>
      <c r="D19" s="142">
        <f t="shared" si="0"/>
        <v>19631850</v>
      </c>
      <c r="E19" s="142">
        <f>17523310+12190+45840+1000000+80464+661875+55360+32186+220625</f>
        <v>19631850</v>
      </c>
      <c r="F19" s="142"/>
      <c r="G19" s="143"/>
    </row>
    <row r="20" spans="1:7" ht="15">
      <c r="A20" s="253" t="s">
        <v>59</v>
      </c>
      <c r="B20" s="145" t="s">
        <v>297</v>
      </c>
      <c r="C20" s="81" t="s">
        <v>298</v>
      </c>
      <c r="D20" s="142">
        <f t="shared" si="0"/>
        <v>14128461</v>
      </c>
      <c r="E20" s="142">
        <f>7200933+63487+69464+6794577</f>
        <v>14128461</v>
      </c>
      <c r="F20" s="142"/>
      <c r="G20" s="143"/>
    </row>
    <row r="21" spans="1:7" ht="15">
      <c r="A21" s="253"/>
      <c r="B21" s="145" t="s">
        <v>346</v>
      </c>
      <c r="C21" s="81" t="s">
        <v>347</v>
      </c>
      <c r="D21" s="142">
        <f>SUM(E21:G21)</f>
        <v>2219807</v>
      </c>
      <c r="E21" s="142">
        <f>449683+1408133+361991</f>
        <v>2219807</v>
      </c>
      <c r="F21" s="142"/>
      <c r="G21" s="143"/>
    </row>
    <row r="22" spans="1:7" ht="15">
      <c r="A22" s="253" t="s">
        <v>64</v>
      </c>
      <c r="B22" s="82" t="s">
        <v>305</v>
      </c>
      <c r="C22" s="81" t="s">
        <v>304</v>
      </c>
      <c r="D22" s="142">
        <f t="shared" si="0"/>
        <v>111111468</v>
      </c>
      <c r="E22" s="142">
        <v>111111468</v>
      </c>
      <c r="F22" s="142"/>
      <c r="G22" s="143"/>
    </row>
    <row r="23" spans="1:7" ht="15">
      <c r="A23" s="253" t="s">
        <v>151</v>
      </c>
      <c r="B23" s="145">
        <v>104051</v>
      </c>
      <c r="C23" s="81" t="s">
        <v>263</v>
      </c>
      <c r="D23" s="142">
        <f t="shared" si="0"/>
        <v>46400</v>
      </c>
      <c r="E23" s="142"/>
      <c r="F23" s="142"/>
      <c r="G23" s="143">
        <v>46400</v>
      </c>
    </row>
    <row r="24" spans="1:7" ht="15">
      <c r="A24" s="253" t="s">
        <v>153</v>
      </c>
      <c r="B24" s="145">
        <v>107051</v>
      </c>
      <c r="C24" s="83" t="s">
        <v>254</v>
      </c>
      <c r="D24" s="142">
        <f t="shared" si="0"/>
        <v>812036</v>
      </c>
      <c r="E24" s="142">
        <v>812036</v>
      </c>
      <c r="F24" s="142"/>
      <c r="G24" s="143"/>
    </row>
    <row r="25" spans="1:7" ht="30.75" thickBot="1">
      <c r="A25" s="254" t="s">
        <v>155</v>
      </c>
      <c r="B25" s="145">
        <v>900020</v>
      </c>
      <c r="C25" s="81" t="s">
        <v>200</v>
      </c>
      <c r="D25" s="142">
        <f t="shared" si="0"/>
        <v>1490000</v>
      </c>
      <c r="E25" s="142">
        <v>1490000</v>
      </c>
      <c r="F25" s="142"/>
      <c r="G25" s="143"/>
    </row>
    <row r="26" spans="1:7" ht="30" customHeight="1" thickBot="1">
      <c r="A26" s="255" t="s">
        <v>161</v>
      </c>
      <c r="B26" s="146"/>
      <c r="C26" s="146" t="s">
        <v>1</v>
      </c>
      <c r="D26" s="144">
        <f>SUM(D16:D25)</f>
        <v>149800458</v>
      </c>
      <c r="E26" s="144">
        <f>SUM(E16:E25)</f>
        <v>149700058</v>
      </c>
      <c r="F26" s="144">
        <f>SUM(F16:F25)</f>
        <v>54000</v>
      </c>
      <c r="G26" s="144">
        <f>SUM(G16:G25)</f>
        <v>46400</v>
      </c>
    </row>
  </sheetData>
  <sheetProtection/>
  <mergeCells count="13">
    <mergeCell ref="A4:G4"/>
    <mergeCell ref="A1:G1"/>
    <mergeCell ref="A6:G6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90" zoomScaleNormal="90" zoomScalePageLayoutView="0" workbookViewId="0" topLeftCell="A16">
      <selection activeCell="F34" sqref="F3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0.253906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s="261" customFormat="1" ht="15.75">
      <c r="A1" s="300" t="s">
        <v>373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</row>
    <row r="2" s="261" customFormat="1" ht="15.75"/>
    <row r="3" spans="1:21" ht="15.75">
      <c r="A3" s="87" t="s">
        <v>341</v>
      </c>
      <c r="M3" s="349"/>
      <c r="N3" s="349"/>
      <c r="O3" s="349"/>
      <c r="P3" s="349"/>
      <c r="Q3" s="349"/>
      <c r="R3" s="349"/>
      <c r="S3" s="349"/>
      <c r="T3" s="349"/>
      <c r="U3" s="349"/>
    </row>
    <row r="4" spans="2:18" ht="15.75" customHeight="1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2:21" s="78" customFormat="1" ht="15.75" customHeight="1"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</row>
    <row r="6" spans="1:21" s="78" customFormat="1" ht="15.75" customHeight="1">
      <c r="A6" s="346" t="s">
        <v>337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2:21" s="78" customFormat="1" ht="15.75" customHeight="1">
      <c r="B7" s="351" t="s">
        <v>252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</row>
    <row r="8" spans="2:21" s="78" customFormat="1" ht="15.75" customHeight="1">
      <c r="B8" s="351" t="s">
        <v>104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</row>
    <row r="9" spans="2:21" s="78" customFormat="1" ht="15.75" customHeight="1">
      <c r="B9" s="351" t="s">
        <v>289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</row>
    <row r="10" spans="20:21" s="78" customFormat="1" ht="15.75" thickBot="1">
      <c r="T10" s="350" t="s">
        <v>358</v>
      </c>
      <c r="U10" s="350"/>
    </row>
    <row r="11" spans="1:21" s="79" customFormat="1" ht="20.25" customHeight="1" thickBot="1">
      <c r="A11" s="334" t="s">
        <v>336</v>
      </c>
      <c r="B11" s="368" t="s">
        <v>105</v>
      </c>
      <c r="C11" s="358" t="s">
        <v>106</v>
      </c>
      <c r="D11" s="340" t="s">
        <v>107</v>
      </c>
      <c r="E11" s="337" t="s">
        <v>108</v>
      </c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9"/>
      <c r="T11" s="347" t="s">
        <v>2</v>
      </c>
      <c r="U11" s="348"/>
    </row>
    <row r="12" spans="1:21" s="79" customFormat="1" ht="38.25" customHeight="1" thickBot="1">
      <c r="A12" s="335"/>
      <c r="B12" s="369"/>
      <c r="C12" s="359"/>
      <c r="D12" s="341"/>
      <c r="E12" s="374" t="s">
        <v>35</v>
      </c>
      <c r="F12" s="375"/>
      <c r="G12" s="375"/>
      <c r="H12" s="375"/>
      <c r="I12" s="375"/>
      <c r="J12" s="375"/>
      <c r="K12" s="376"/>
      <c r="L12" s="337" t="s">
        <v>36</v>
      </c>
      <c r="M12" s="338"/>
      <c r="N12" s="338"/>
      <c r="O12" s="339"/>
      <c r="P12" s="371" t="s">
        <v>109</v>
      </c>
      <c r="Q12" s="372"/>
      <c r="R12" s="372"/>
      <c r="S12" s="373"/>
      <c r="T12" s="353" t="s">
        <v>3</v>
      </c>
      <c r="U12" s="354"/>
    </row>
    <row r="13" spans="1:21" s="79" customFormat="1" ht="21" customHeight="1" thickBot="1">
      <c r="A13" s="335"/>
      <c r="B13" s="369"/>
      <c r="C13" s="359"/>
      <c r="D13" s="341"/>
      <c r="E13" s="340" t="s">
        <v>110</v>
      </c>
      <c r="F13" s="340" t="s">
        <v>111</v>
      </c>
      <c r="G13" s="340" t="s">
        <v>112</v>
      </c>
      <c r="H13" s="340" t="s">
        <v>113</v>
      </c>
      <c r="I13" s="340" t="s">
        <v>114</v>
      </c>
      <c r="J13" s="343" t="s">
        <v>277</v>
      </c>
      <c r="K13" s="365" t="s">
        <v>115</v>
      </c>
      <c r="L13" s="343" t="s">
        <v>116</v>
      </c>
      <c r="M13" s="343" t="s">
        <v>37</v>
      </c>
      <c r="N13" s="340" t="s">
        <v>201</v>
      </c>
      <c r="O13" s="355" t="s">
        <v>202</v>
      </c>
      <c r="P13" s="340" t="s">
        <v>279</v>
      </c>
      <c r="Q13" s="340" t="s">
        <v>117</v>
      </c>
      <c r="R13" s="340" t="s">
        <v>118</v>
      </c>
      <c r="S13" s="355" t="s">
        <v>203</v>
      </c>
      <c r="T13" s="128" t="s">
        <v>119</v>
      </c>
      <c r="U13" s="129" t="s">
        <v>120</v>
      </c>
    </row>
    <row r="14" spans="1:21" s="79" customFormat="1" ht="18.75" customHeight="1">
      <c r="A14" s="335"/>
      <c r="B14" s="369"/>
      <c r="C14" s="359"/>
      <c r="D14" s="341"/>
      <c r="E14" s="341"/>
      <c r="F14" s="341"/>
      <c r="G14" s="341"/>
      <c r="H14" s="341"/>
      <c r="I14" s="341"/>
      <c r="J14" s="344"/>
      <c r="K14" s="366"/>
      <c r="L14" s="363"/>
      <c r="M14" s="363"/>
      <c r="N14" s="341"/>
      <c r="O14" s="356"/>
      <c r="P14" s="341"/>
      <c r="Q14" s="341"/>
      <c r="R14" s="341"/>
      <c r="S14" s="356"/>
      <c r="T14" s="361" t="s">
        <v>121</v>
      </c>
      <c r="U14" s="362"/>
    </row>
    <row r="15" spans="1:21" s="79" customFormat="1" ht="20.25" customHeight="1" thickBot="1">
      <c r="A15" s="336"/>
      <c r="B15" s="370"/>
      <c r="C15" s="360"/>
      <c r="D15" s="342"/>
      <c r="E15" s="342"/>
      <c r="F15" s="342"/>
      <c r="G15" s="342"/>
      <c r="H15" s="342"/>
      <c r="I15" s="342"/>
      <c r="J15" s="345"/>
      <c r="K15" s="367"/>
      <c r="L15" s="364"/>
      <c r="M15" s="364"/>
      <c r="N15" s="342"/>
      <c r="O15" s="357"/>
      <c r="P15" s="342"/>
      <c r="Q15" s="342"/>
      <c r="R15" s="342"/>
      <c r="S15" s="357"/>
      <c r="T15" s="353"/>
      <c r="U15" s="354"/>
    </row>
    <row r="16" spans="1:21" s="78" customFormat="1" ht="30.75" thickBot="1">
      <c r="A16" s="256" t="s">
        <v>19</v>
      </c>
      <c r="B16" s="80" t="s">
        <v>122</v>
      </c>
      <c r="C16" s="81" t="s">
        <v>123</v>
      </c>
      <c r="D16" s="220">
        <f>K16+O16+S16</f>
        <v>15837417</v>
      </c>
      <c r="E16" s="221">
        <f>3815428+145715+95626</f>
        <v>4056769</v>
      </c>
      <c r="F16" s="222">
        <f>1051960+32057+21038</f>
        <v>1105055</v>
      </c>
      <c r="G16" s="222">
        <f>2796439+63487+115570+271439</f>
        <v>3246935</v>
      </c>
      <c r="H16" s="222"/>
      <c r="I16" s="222">
        <f>264190</f>
        <v>264190</v>
      </c>
      <c r="J16" s="222">
        <f>6794577+661875+55360-115570-74930-56030-50000+220625-271439</f>
        <v>7164468</v>
      </c>
      <c r="K16" s="223">
        <f aca="true" t="shared" si="0" ref="K16:K22">SUM(E16:J16)</f>
        <v>15837417</v>
      </c>
      <c r="L16" s="224"/>
      <c r="M16" s="224"/>
      <c r="N16" s="224"/>
      <c r="O16" s="225">
        <f>SUM(L16:N16)</f>
        <v>0</v>
      </c>
      <c r="P16" s="226"/>
      <c r="Q16" s="227"/>
      <c r="R16" s="228"/>
      <c r="S16" s="228">
        <f>SUM(P16:R16)</f>
        <v>0</v>
      </c>
      <c r="T16" s="229"/>
      <c r="U16" s="230"/>
    </row>
    <row r="17" spans="1:21" s="78" customFormat="1" ht="15">
      <c r="A17" s="257" t="s">
        <v>13</v>
      </c>
      <c r="B17" s="82" t="s">
        <v>124</v>
      </c>
      <c r="C17" s="81" t="s">
        <v>15</v>
      </c>
      <c r="D17" s="220">
        <f>K17+O17+S17</f>
        <v>181534</v>
      </c>
      <c r="E17" s="221"/>
      <c r="F17" s="222"/>
      <c r="G17" s="222">
        <v>181534</v>
      </c>
      <c r="H17" s="222"/>
      <c r="I17" s="222"/>
      <c r="J17" s="222"/>
      <c r="K17" s="223">
        <f t="shared" si="0"/>
        <v>181534</v>
      </c>
      <c r="L17" s="224"/>
      <c r="M17" s="224"/>
      <c r="N17" s="224"/>
      <c r="O17" s="225">
        <f>SUM(L17:N17)</f>
        <v>0</v>
      </c>
      <c r="P17" s="225"/>
      <c r="Q17" s="227"/>
      <c r="R17" s="228"/>
      <c r="S17" s="228">
        <f aca="true" t="shared" si="1" ref="S17:S33">SUM(P17:R17)</f>
        <v>0</v>
      </c>
      <c r="T17" s="231"/>
      <c r="U17" s="232"/>
    </row>
    <row r="18" spans="1:21" s="78" customFormat="1" ht="30">
      <c r="A18" s="257" t="s">
        <v>20</v>
      </c>
      <c r="B18" s="82" t="s">
        <v>125</v>
      </c>
      <c r="C18" s="81" t="s">
        <v>306</v>
      </c>
      <c r="D18" s="220">
        <f>K18+O18+S18</f>
        <v>11480</v>
      </c>
      <c r="E18" s="221"/>
      <c r="F18" s="222"/>
      <c r="G18" s="222">
        <v>11480</v>
      </c>
      <c r="H18" s="222"/>
      <c r="I18" s="222"/>
      <c r="J18" s="222"/>
      <c r="K18" s="223">
        <f t="shared" si="0"/>
        <v>11480</v>
      </c>
      <c r="L18" s="224"/>
      <c r="M18" s="224"/>
      <c r="N18" s="224"/>
      <c r="O18" s="225"/>
      <c r="P18" s="225"/>
      <c r="Q18" s="227"/>
      <c r="R18" s="228"/>
      <c r="S18" s="228"/>
      <c r="T18" s="231"/>
      <c r="U18" s="232"/>
    </row>
    <row r="19" spans="1:21" s="78" customFormat="1" ht="30">
      <c r="A19" s="257" t="s">
        <v>58</v>
      </c>
      <c r="B19" s="82" t="s">
        <v>198</v>
      </c>
      <c r="C19" s="81" t="s">
        <v>278</v>
      </c>
      <c r="D19" s="220">
        <f aca="true" t="shared" si="2" ref="D19:D33">K19+O19+S19</f>
        <v>700933</v>
      </c>
      <c r="E19" s="221"/>
      <c r="F19" s="222"/>
      <c r="G19" s="222"/>
      <c r="H19" s="222"/>
      <c r="I19" s="222"/>
      <c r="J19" s="222"/>
      <c r="K19" s="223">
        <f t="shared" si="0"/>
        <v>0</v>
      </c>
      <c r="L19" s="224"/>
      <c r="M19" s="224"/>
      <c r="N19" s="224"/>
      <c r="O19" s="225">
        <f>SUM(L19:N19)</f>
        <v>0</v>
      </c>
      <c r="P19" s="225">
        <v>700933</v>
      </c>
      <c r="Q19" s="227"/>
      <c r="R19" s="228"/>
      <c r="S19" s="228">
        <f t="shared" si="1"/>
        <v>700933</v>
      </c>
      <c r="T19" s="231"/>
      <c r="U19" s="232"/>
    </row>
    <row r="20" spans="1:21" s="78" customFormat="1" ht="15">
      <c r="A20" s="257" t="s">
        <v>59</v>
      </c>
      <c r="B20" s="82" t="s">
        <v>346</v>
      </c>
      <c r="C20" s="81" t="s">
        <v>347</v>
      </c>
      <c r="D20" s="220">
        <f>E20+F20</f>
        <v>2222525</v>
      </c>
      <c r="E20" s="221">
        <f>395117+1255176+14888+326120</f>
        <v>1991301</v>
      </c>
      <c r="F20" s="222">
        <f>54566+138069+2718+35871</f>
        <v>231224</v>
      </c>
      <c r="G20" s="222"/>
      <c r="H20" s="222"/>
      <c r="I20" s="222"/>
      <c r="J20" s="222"/>
      <c r="K20" s="223">
        <f>SUM(E20:J20)</f>
        <v>2222525</v>
      </c>
      <c r="L20" s="224"/>
      <c r="M20" s="224"/>
      <c r="N20" s="224"/>
      <c r="O20" s="225"/>
      <c r="P20" s="225"/>
      <c r="Q20" s="227"/>
      <c r="R20" s="228"/>
      <c r="S20" s="228"/>
      <c r="T20" s="231"/>
      <c r="U20" s="232"/>
    </row>
    <row r="21" spans="1:21" s="78" customFormat="1" ht="30">
      <c r="A21" s="257" t="s">
        <v>64</v>
      </c>
      <c r="B21" s="82" t="s">
        <v>280</v>
      </c>
      <c r="C21" s="81" t="s">
        <v>281</v>
      </c>
      <c r="D21" s="220">
        <f t="shared" si="2"/>
        <v>6701930</v>
      </c>
      <c r="E21" s="221"/>
      <c r="F21" s="222"/>
      <c r="G21" s="222">
        <f>785368+74930</f>
        <v>860298</v>
      </c>
      <c r="H21" s="222"/>
      <c r="I21" s="222"/>
      <c r="J21" s="222"/>
      <c r="K21" s="223">
        <f t="shared" si="0"/>
        <v>860298</v>
      </c>
      <c r="L21" s="224"/>
      <c r="M21" s="224">
        <v>5841632</v>
      </c>
      <c r="N21" s="224"/>
      <c r="O21" s="225">
        <f>SUM(L21:N21)</f>
        <v>5841632</v>
      </c>
      <c r="P21" s="225"/>
      <c r="Q21" s="227"/>
      <c r="R21" s="228"/>
      <c r="S21" s="228"/>
      <c r="T21" s="231"/>
      <c r="U21" s="232"/>
    </row>
    <row r="22" spans="1:21" s="78" customFormat="1" ht="18.75" customHeight="1">
      <c r="A22" s="257" t="s">
        <v>151</v>
      </c>
      <c r="B22" s="82" t="s">
        <v>305</v>
      </c>
      <c r="C22" s="81" t="s">
        <v>304</v>
      </c>
      <c r="D22" s="220">
        <f t="shared" si="2"/>
        <v>111111468</v>
      </c>
      <c r="E22" s="233"/>
      <c r="F22" s="234"/>
      <c r="G22" s="234">
        <v>24110890</v>
      </c>
      <c r="H22" s="234"/>
      <c r="I22" s="234"/>
      <c r="J22" s="234"/>
      <c r="K22" s="235">
        <f t="shared" si="0"/>
        <v>24110890</v>
      </c>
      <c r="L22" s="235">
        <v>87000578</v>
      </c>
      <c r="M22" s="235"/>
      <c r="N22" s="235"/>
      <c r="O22" s="225">
        <f>SUM(L22:N22)</f>
        <v>87000578</v>
      </c>
      <c r="P22" s="236"/>
      <c r="Q22" s="236"/>
      <c r="R22" s="237"/>
      <c r="S22" s="237"/>
      <c r="T22" s="238"/>
      <c r="U22" s="239"/>
    </row>
    <row r="23" spans="1:21" s="78" customFormat="1" ht="29.25" customHeight="1">
      <c r="A23" s="257" t="s">
        <v>153</v>
      </c>
      <c r="B23" s="82" t="s">
        <v>127</v>
      </c>
      <c r="C23" s="219" t="s">
        <v>128</v>
      </c>
      <c r="D23" s="220">
        <f t="shared" si="2"/>
        <v>1188710</v>
      </c>
      <c r="E23" s="221"/>
      <c r="F23" s="222"/>
      <c r="G23" s="222">
        <f>1119246+69464</f>
        <v>1188710</v>
      </c>
      <c r="H23" s="224"/>
      <c r="I23" s="222"/>
      <c r="J23" s="222"/>
      <c r="K23" s="223">
        <f aca="true" t="shared" si="3" ref="K23:K33">SUM(E23:I23)</f>
        <v>1188710</v>
      </c>
      <c r="L23" s="224"/>
      <c r="M23" s="224"/>
      <c r="N23" s="224"/>
      <c r="O23" s="225">
        <f aca="true" t="shared" si="4" ref="O23:O33">SUM(L23:N23)</f>
        <v>0</v>
      </c>
      <c r="P23" s="225"/>
      <c r="Q23" s="227"/>
      <c r="R23" s="228"/>
      <c r="S23" s="228">
        <f t="shared" si="1"/>
        <v>0</v>
      </c>
      <c r="T23" s="240"/>
      <c r="U23" s="232"/>
    </row>
    <row r="24" spans="1:21" s="78" customFormat="1" ht="15">
      <c r="A24" s="257" t="s">
        <v>155</v>
      </c>
      <c r="B24" s="82" t="s">
        <v>129</v>
      </c>
      <c r="C24" s="81" t="s">
        <v>130</v>
      </c>
      <c r="D24" s="220">
        <f t="shared" si="2"/>
        <v>990884</v>
      </c>
      <c r="E24" s="221">
        <f>258000-76634</f>
        <v>181366</v>
      </c>
      <c r="F24" s="222">
        <v>51084</v>
      </c>
      <c r="G24" s="222">
        <f>431800+76634</f>
        <v>508434</v>
      </c>
      <c r="H24" s="224"/>
      <c r="I24" s="222"/>
      <c r="J24" s="222"/>
      <c r="K24" s="223">
        <f t="shared" si="3"/>
        <v>740884</v>
      </c>
      <c r="L24" s="224">
        <v>250000</v>
      </c>
      <c r="M24" s="224"/>
      <c r="N24" s="224"/>
      <c r="O24" s="225">
        <f t="shared" si="4"/>
        <v>250000</v>
      </c>
      <c r="P24" s="225"/>
      <c r="Q24" s="227"/>
      <c r="R24" s="228"/>
      <c r="S24" s="228">
        <f t="shared" si="1"/>
        <v>0</v>
      </c>
      <c r="T24" s="240"/>
      <c r="U24" s="232"/>
    </row>
    <row r="25" spans="1:21" s="78" customFormat="1" ht="30">
      <c r="A25" s="257" t="s">
        <v>161</v>
      </c>
      <c r="B25" s="82" t="s">
        <v>131</v>
      </c>
      <c r="C25" s="81" t="s">
        <v>132</v>
      </c>
      <c r="D25" s="220">
        <f t="shared" si="2"/>
        <v>1361095</v>
      </c>
      <c r="E25" s="221"/>
      <c r="F25" s="222"/>
      <c r="G25" s="222">
        <v>361095</v>
      </c>
      <c r="H25" s="224"/>
      <c r="I25" s="222"/>
      <c r="J25" s="222"/>
      <c r="K25" s="223">
        <f t="shared" si="3"/>
        <v>361095</v>
      </c>
      <c r="L25" s="224">
        <v>1000000</v>
      </c>
      <c r="M25" s="224"/>
      <c r="N25" s="224"/>
      <c r="O25" s="225">
        <f t="shared" si="4"/>
        <v>1000000</v>
      </c>
      <c r="P25" s="225"/>
      <c r="Q25" s="227"/>
      <c r="R25" s="228"/>
      <c r="S25" s="228">
        <f t="shared" si="1"/>
        <v>0</v>
      </c>
      <c r="T25" s="229"/>
      <c r="U25" s="232"/>
    </row>
    <row r="26" spans="1:21" s="78" customFormat="1" ht="15">
      <c r="A26" s="257" t="s">
        <v>163</v>
      </c>
      <c r="B26" s="82" t="s">
        <v>133</v>
      </c>
      <c r="C26" s="81" t="s">
        <v>14</v>
      </c>
      <c r="D26" s="220">
        <f t="shared" si="2"/>
        <v>73100</v>
      </c>
      <c r="E26" s="221"/>
      <c r="F26" s="222"/>
      <c r="G26" s="222">
        <v>73100</v>
      </c>
      <c r="H26" s="224"/>
      <c r="I26" s="222"/>
      <c r="J26" s="222"/>
      <c r="K26" s="223">
        <f t="shared" si="3"/>
        <v>73100</v>
      </c>
      <c r="L26" s="224"/>
      <c r="M26" s="224"/>
      <c r="N26" s="224"/>
      <c r="O26" s="225">
        <f t="shared" si="4"/>
        <v>0</v>
      </c>
      <c r="P26" s="225"/>
      <c r="Q26" s="227"/>
      <c r="R26" s="228"/>
      <c r="S26" s="228">
        <f t="shared" si="1"/>
        <v>0</v>
      </c>
      <c r="T26" s="240"/>
      <c r="U26" s="232"/>
    </row>
    <row r="27" spans="1:21" s="78" customFormat="1" ht="15">
      <c r="A27" s="257" t="s">
        <v>165</v>
      </c>
      <c r="B27" s="82" t="s">
        <v>134</v>
      </c>
      <c r="C27" s="81" t="s">
        <v>16</v>
      </c>
      <c r="D27" s="220">
        <f t="shared" si="2"/>
        <v>1625411</v>
      </c>
      <c r="E27" s="221">
        <v>208200</v>
      </c>
      <c r="F27" s="222">
        <v>48419</v>
      </c>
      <c r="G27" s="222">
        <v>987792</v>
      </c>
      <c r="H27" s="222"/>
      <c r="I27" s="222"/>
      <c r="J27" s="222"/>
      <c r="K27" s="223">
        <f t="shared" si="3"/>
        <v>1244411</v>
      </c>
      <c r="L27" s="224">
        <v>381000</v>
      </c>
      <c r="M27" s="224"/>
      <c r="N27" s="224"/>
      <c r="O27" s="225">
        <f t="shared" si="4"/>
        <v>381000</v>
      </c>
      <c r="P27" s="225"/>
      <c r="Q27" s="227"/>
      <c r="R27" s="228"/>
      <c r="S27" s="228">
        <f t="shared" si="1"/>
        <v>0</v>
      </c>
      <c r="T27" s="240"/>
      <c r="U27" s="232"/>
    </row>
    <row r="28" spans="1:21" s="78" customFormat="1" ht="30">
      <c r="A28" s="257" t="s">
        <v>170</v>
      </c>
      <c r="B28" s="82" t="s">
        <v>255</v>
      </c>
      <c r="C28" s="81" t="s">
        <v>256</v>
      </c>
      <c r="D28" s="220">
        <f t="shared" si="2"/>
        <v>900247</v>
      </c>
      <c r="E28" s="221">
        <v>260000</v>
      </c>
      <c r="F28" s="222">
        <v>163647</v>
      </c>
      <c r="G28" s="222">
        <v>476600</v>
      </c>
      <c r="H28" s="222"/>
      <c r="I28" s="222"/>
      <c r="J28" s="222"/>
      <c r="K28" s="223">
        <f t="shared" si="3"/>
        <v>900247</v>
      </c>
      <c r="L28" s="224"/>
      <c r="M28" s="224"/>
      <c r="N28" s="224"/>
      <c r="O28" s="225">
        <f t="shared" si="4"/>
        <v>0</v>
      </c>
      <c r="P28" s="225"/>
      <c r="Q28" s="227"/>
      <c r="R28" s="228"/>
      <c r="S28" s="228">
        <f t="shared" si="1"/>
        <v>0</v>
      </c>
      <c r="T28" s="240"/>
      <c r="U28" s="232"/>
    </row>
    <row r="29" spans="1:21" s="78" customFormat="1" ht="33.75" customHeight="1">
      <c r="A29" s="257" t="s">
        <v>172</v>
      </c>
      <c r="B29" s="82">
        <v>104051</v>
      </c>
      <c r="C29" s="84" t="s">
        <v>246</v>
      </c>
      <c r="D29" s="220">
        <f t="shared" si="2"/>
        <v>46400</v>
      </c>
      <c r="E29" s="221"/>
      <c r="F29" s="222"/>
      <c r="G29" s="222"/>
      <c r="H29" s="222">
        <v>46400</v>
      </c>
      <c r="I29" s="222"/>
      <c r="J29" s="222"/>
      <c r="K29" s="223">
        <f t="shared" si="3"/>
        <v>46400</v>
      </c>
      <c r="L29" s="224"/>
      <c r="M29" s="224"/>
      <c r="N29" s="224"/>
      <c r="O29" s="225">
        <f t="shared" si="4"/>
        <v>0</v>
      </c>
      <c r="P29" s="225"/>
      <c r="Q29" s="227"/>
      <c r="R29" s="228"/>
      <c r="S29" s="228">
        <f t="shared" si="1"/>
        <v>0</v>
      </c>
      <c r="T29" s="240"/>
      <c r="U29" s="232"/>
    </row>
    <row r="30" spans="1:21" s="78" customFormat="1" ht="30">
      <c r="A30" s="257" t="s">
        <v>174</v>
      </c>
      <c r="B30" s="82">
        <v>106020</v>
      </c>
      <c r="C30" s="81" t="s">
        <v>135</v>
      </c>
      <c r="D30" s="220">
        <f t="shared" si="2"/>
        <v>0</v>
      </c>
      <c r="E30" s="221"/>
      <c r="F30" s="222"/>
      <c r="G30" s="222"/>
      <c r="H30" s="222">
        <f>252000-252000</f>
        <v>0</v>
      </c>
      <c r="I30" s="222"/>
      <c r="J30" s="222"/>
      <c r="K30" s="223">
        <f t="shared" si="3"/>
        <v>0</v>
      </c>
      <c r="L30" s="224"/>
      <c r="M30" s="224"/>
      <c r="N30" s="224"/>
      <c r="O30" s="225">
        <f t="shared" si="4"/>
        <v>0</v>
      </c>
      <c r="P30" s="225"/>
      <c r="Q30" s="227"/>
      <c r="R30" s="228"/>
      <c r="S30" s="228">
        <f t="shared" si="1"/>
        <v>0</v>
      </c>
      <c r="T30" s="240"/>
      <c r="U30" s="232"/>
    </row>
    <row r="31" spans="1:21" s="78" customFormat="1" ht="15">
      <c r="A31" s="257" t="s">
        <v>182</v>
      </c>
      <c r="B31" s="82" t="s">
        <v>136</v>
      </c>
      <c r="C31" s="83" t="s">
        <v>257</v>
      </c>
      <c r="D31" s="220">
        <f t="shared" si="2"/>
        <v>1027895</v>
      </c>
      <c r="E31" s="221"/>
      <c r="F31" s="222"/>
      <c r="G31" s="222">
        <v>1027895</v>
      </c>
      <c r="H31" s="222"/>
      <c r="I31" s="222"/>
      <c r="J31" s="222"/>
      <c r="K31" s="223">
        <f t="shared" si="3"/>
        <v>1027895</v>
      </c>
      <c r="L31" s="224"/>
      <c r="M31" s="224"/>
      <c r="N31" s="224"/>
      <c r="O31" s="225">
        <f t="shared" si="4"/>
        <v>0</v>
      </c>
      <c r="P31" s="225"/>
      <c r="Q31" s="227"/>
      <c r="R31" s="228"/>
      <c r="S31" s="228">
        <f t="shared" si="1"/>
        <v>0</v>
      </c>
      <c r="T31" s="240"/>
      <c r="U31" s="232"/>
    </row>
    <row r="32" spans="1:21" s="78" customFormat="1" ht="15.75" thickBot="1">
      <c r="A32" s="258" t="s">
        <v>185</v>
      </c>
      <c r="B32" s="82">
        <v>107055</v>
      </c>
      <c r="C32" s="84" t="s">
        <v>258</v>
      </c>
      <c r="D32" s="220">
        <f t="shared" si="2"/>
        <v>4444429</v>
      </c>
      <c r="E32" s="221">
        <f>2810509+9598+37133+65954+26382</f>
        <v>2949576</v>
      </c>
      <c r="F32" s="222">
        <f>580548+2592+8707+14510-2718+5804</f>
        <v>609443</v>
      </c>
      <c r="G32" s="222">
        <f>779380+56030+50000</f>
        <v>885410</v>
      </c>
      <c r="H32" s="222"/>
      <c r="I32" s="222"/>
      <c r="J32" s="222"/>
      <c r="K32" s="223">
        <f t="shared" si="3"/>
        <v>4444429</v>
      </c>
      <c r="L32" s="224"/>
      <c r="M32" s="224"/>
      <c r="N32" s="224"/>
      <c r="O32" s="225">
        <f t="shared" si="4"/>
        <v>0</v>
      </c>
      <c r="P32" s="225"/>
      <c r="Q32" s="227"/>
      <c r="R32" s="228"/>
      <c r="S32" s="228">
        <f t="shared" si="1"/>
        <v>0</v>
      </c>
      <c r="T32" s="240">
        <v>1</v>
      </c>
      <c r="U32" s="232">
        <v>1</v>
      </c>
    </row>
    <row r="33" spans="1:21" s="78" customFormat="1" ht="30.75" thickBot="1">
      <c r="A33" s="259" t="s">
        <v>186</v>
      </c>
      <c r="B33" s="82">
        <v>107060</v>
      </c>
      <c r="C33" s="81" t="s">
        <v>137</v>
      </c>
      <c r="D33" s="220">
        <f t="shared" si="2"/>
        <v>1375000</v>
      </c>
      <c r="E33" s="221"/>
      <c r="F33" s="222"/>
      <c r="G33" s="222"/>
      <c r="H33" s="222">
        <f>1123000+252000</f>
        <v>1375000</v>
      </c>
      <c r="I33" s="222"/>
      <c r="J33" s="222"/>
      <c r="K33" s="223">
        <f t="shared" si="3"/>
        <v>1375000</v>
      </c>
      <c r="L33" s="224"/>
      <c r="M33" s="224"/>
      <c r="N33" s="224"/>
      <c r="O33" s="225">
        <f t="shared" si="4"/>
        <v>0</v>
      </c>
      <c r="P33" s="225"/>
      <c r="Q33" s="227"/>
      <c r="R33" s="228"/>
      <c r="S33" s="228">
        <f t="shared" si="1"/>
        <v>0</v>
      </c>
      <c r="T33" s="240"/>
      <c r="U33" s="232"/>
    </row>
    <row r="34" spans="1:21" s="78" customFormat="1" ht="33.75" customHeight="1" thickBot="1">
      <c r="A34" s="259" t="s">
        <v>242</v>
      </c>
      <c r="B34" s="148"/>
      <c r="C34" s="149" t="s">
        <v>204</v>
      </c>
      <c r="D34" s="226">
        <f>SUM(D16:D33)</f>
        <v>149800458</v>
      </c>
      <c r="E34" s="226">
        <f aca="true" t="shared" si="5" ref="E34:P34">SUM(E16:E33)</f>
        <v>9647212</v>
      </c>
      <c r="F34" s="226">
        <f t="shared" si="5"/>
        <v>2208872</v>
      </c>
      <c r="G34" s="226">
        <f t="shared" si="5"/>
        <v>33920173</v>
      </c>
      <c r="H34" s="226">
        <f t="shared" si="5"/>
        <v>1421400</v>
      </c>
      <c r="I34" s="226">
        <f t="shared" si="5"/>
        <v>264190</v>
      </c>
      <c r="J34" s="226">
        <f t="shared" si="5"/>
        <v>7164468</v>
      </c>
      <c r="K34" s="226">
        <f t="shared" si="5"/>
        <v>54626315</v>
      </c>
      <c r="L34" s="226">
        <f t="shared" si="5"/>
        <v>88631578</v>
      </c>
      <c r="M34" s="226">
        <f t="shared" si="5"/>
        <v>5841632</v>
      </c>
      <c r="N34" s="226">
        <f t="shared" si="5"/>
        <v>0</v>
      </c>
      <c r="O34" s="226">
        <f t="shared" si="5"/>
        <v>94473210</v>
      </c>
      <c r="P34" s="226">
        <f t="shared" si="5"/>
        <v>700933</v>
      </c>
      <c r="Q34" s="226"/>
      <c r="R34" s="226"/>
      <c r="S34" s="226">
        <f>SUM(S16:S33)</f>
        <v>700933</v>
      </c>
      <c r="T34" s="226">
        <f>SUM(T16:T33)</f>
        <v>1</v>
      </c>
      <c r="U34" s="241">
        <f>SUM(U16:U33)</f>
        <v>1</v>
      </c>
    </row>
    <row r="36" spans="4:15" ht="12.75">
      <c r="D36" s="270"/>
      <c r="K36" s="270"/>
      <c r="O36" s="270"/>
    </row>
  </sheetData>
  <sheetProtection/>
  <mergeCells count="35">
    <mergeCell ref="P12:S12"/>
    <mergeCell ref="I13:I15"/>
    <mergeCell ref="E13:E15"/>
    <mergeCell ref="E12:K12"/>
    <mergeCell ref="O13:O15"/>
    <mergeCell ref="S13:S15"/>
    <mergeCell ref="B5:U5"/>
    <mergeCell ref="C11:C15"/>
    <mergeCell ref="B7:U7"/>
    <mergeCell ref="T14:U15"/>
    <mergeCell ref="R13:R15"/>
    <mergeCell ref="M13:M15"/>
    <mergeCell ref="N13:N15"/>
    <mergeCell ref="L13:L15"/>
    <mergeCell ref="H13:H15"/>
    <mergeCell ref="M3:U3"/>
    <mergeCell ref="T10:U10"/>
    <mergeCell ref="B8:U8"/>
    <mergeCell ref="B4:R4"/>
    <mergeCell ref="T12:U12"/>
    <mergeCell ref="B9:U9"/>
    <mergeCell ref="D11:D15"/>
    <mergeCell ref="K13:K15"/>
    <mergeCell ref="Q13:Q15"/>
    <mergeCell ref="B11:B15"/>
    <mergeCell ref="A11:A15"/>
    <mergeCell ref="E11:S11"/>
    <mergeCell ref="F13:F15"/>
    <mergeCell ref="P13:P15"/>
    <mergeCell ref="J13:J15"/>
    <mergeCell ref="A1:U1"/>
    <mergeCell ref="A6:U6"/>
    <mergeCell ref="G13:G15"/>
    <mergeCell ref="L12:O12"/>
    <mergeCell ref="T11:U11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2" width="9.125" style="139" customWidth="1"/>
    <col min="3" max="3" width="63.125" style="139" customWidth="1"/>
    <col min="4" max="7" width="26.25390625" style="139" customWidth="1"/>
    <col min="8" max="16384" width="9.125" style="139" customWidth="1"/>
  </cols>
  <sheetData>
    <row r="1" spans="1:7" s="15" customFormat="1" ht="15.75">
      <c r="A1" s="300" t="s">
        <v>374</v>
      </c>
      <c r="B1" s="300"/>
      <c r="C1" s="300"/>
      <c r="D1" s="300"/>
      <c r="E1" s="300"/>
      <c r="F1" s="300"/>
      <c r="G1" s="300"/>
    </row>
    <row r="3" spans="1:7" s="130" customFormat="1" ht="15.75">
      <c r="A3" s="87" t="s">
        <v>342</v>
      </c>
      <c r="D3" s="131"/>
      <c r="E3" s="132"/>
      <c r="F3" s="132"/>
      <c r="G3" s="132"/>
    </row>
    <row r="4" spans="3:7" s="38" customFormat="1" ht="15" customHeight="1">
      <c r="C4" s="332"/>
      <c r="D4" s="332"/>
      <c r="E4" s="332"/>
      <c r="F4" s="332"/>
      <c r="G4" s="332"/>
    </row>
    <row r="5" spans="1:7" s="133" customFormat="1" ht="15" customHeight="1">
      <c r="A5" s="378" t="s">
        <v>337</v>
      </c>
      <c r="B5" s="378"/>
      <c r="C5" s="378"/>
      <c r="D5" s="378"/>
      <c r="E5" s="378"/>
      <c r="F5" s="378"/>
      <c r="G5" s="378"/>
    </row>
    <row r="6" spans="3:7" s="85" customFormat="1" ht="15" customHeight="1">
      <c r="C6" s="308" t="s">
        <v>252</v>
      </c>
      <c r="D6" s="308"/>
      <c r="E6" s="308"/>
      <c r="F6" s="308"/>
      <c r="G6" s="308"/>
    </row>
    <row r="7" spans="3:7" s="85" customFormat="1" ht="15.75">
      <c r="C7" s="333" t="s">
        <v>205</v>
      </c>
      <c r="D7" s="333"/>
      <c r="E7" s="333"/>
      <c r="F7" s="333"/>
      <c r="G7" s="333"/>
    </row>
    <row r="8" spans="3:7" s="85" customFormat="1" ht="15" customHeight="1">
      <c r="C8" s="308" t="s">
        <v>290</v>
      </c>
      <c r="D8" s="308"/>
      <c r="E8" s="308"/>
      <c r="F8" s="308"/>
      <c r="G8" s="308"/>
    </row>
    <row r="9" spans="3:7" s="130" customFormat="1" ht="12" customHeight="1" thickBot="1">
      <c r="C9" s="131"/>
      <c r="D9" s="134"/>
      <c r="E9" s="135"/>
      <c r="F9" s="135"/>
      <c r="G9" s="271" t="s">
        <v>358</v>
      </c>
    </row>
    <row r="10" spans="1:7" s="130" customFormat="1" ht="16.5" customHeight="1" thickBot="1">
      <c r="A10" s="309" t="s">
        <v>336</v>
      </c>
      <c r="B10" s="311" t="s">
        <v>105</v>
      </c>
      <c r="C10" s="314" t="s">
        <v>106</v>
      </c>
      <c r="D10" s="317" t="s">
        <v>206</v>
      </c>
      <c r="E10" s="320" t="s">
        <v>193</v>
      </c>
      <c r="F10" s="320"/>
      <c r="G10" s="321"/>
    </row>
    <row r="11" spans="1:7" s="130" customFormat="1" ht="33" customHeight="1" thickBot="1">
      <c r="A11" s="310"/>
      <c r="B11" s="312"/>
      <c r="C11" s="315"/>
      <c r="D11" s="318"/>
      <c r="E11" s="136" t="s">
        <v>194</v>
      </c>
      <c r="F11" s="137" t="s">
        <v>195</v>
      </c>
      <c r="G11" s="138" t="s">
        <v>196</v>
      </c>
    </row>
    <row r="12" spans="1:7" s="130" customFormat="1" ht="22.5" customHeight="1">
      <c r="A12" s="310"/>
      <c r="B12" s="312"/>
      <c r="C12" s="315"/>
      <c r="D12" s="318"/>
      <c r="E12" s="322" t="s">
        <v>197</v>
      </c>
      <c r="F12" s="323"/>
      <c r="G12" s="324"/>
    </row>
    <row r="13" spans="1:7" ht="12.75">
      <c r="A13" s="310"/>
      <c r="B13" s="312"/>
      <c r="C13" s="315"/>
      <c r="D13" s="318"/>
      <c r="E13" s="325"/>
      <c r="F13" s="326"/>
      <c r="G13" s="327"/>
    </row>
    <row r="14" spans="1:7" ht="3" customHeight="1" thickBot="1">
      <c r="A14" s="377"/>
      <c r="B14" s="313"/>
      <c r="C14" s="316"/>
      <c r="D14" s="319"/>
      <c r="E14" s="328"/>
      <c r="F14" s="329"/>
      <c r="G14" s="330"/>
    </row>
    <row r="15" spans="1:7" ht="30">
      <c r="A15" s="252" t="s">
        <v>19</v>
      </c>
      <c r="B15" s="80" t="s">
        <v>122</v>
      </c>
      <c r="C15" s="81" t="s">
        <v>123</v>
      </c>
      <c r="D15" s="140">
        <f>SUM(E15:G15)</f>
        <v>15837417</v>
      </c>
      <c r="E15" s="140">
        <f>6965297+63487+6794577+661875+55360+115570-50000-246530+177772+220625+116664</f>
        <v>14874697</v>
      </c>
      <c r="F15" s="140">
        <v>962720</v>
      </c>
      <c r="G15" s="140"/>
    </row>
    <row r="16" spans="1:7" ht="15">
      <c r="A16" s="253" t="s">
        <v>13</v>
      </c>
      <c r="B16" s="82" t="s">
        <v>124</v>
      </c>
      <c r="C16" s="81" t="s">
        <v>15</v>
      </c>
      <c r="D16" s="142">
        <f aca="true" t="shared" si="0" ref="D16:D32">SUM(E16:G16)</f>
        <v>181534</v>
      </c>
      <c r="E16" s="142">
        <v>181534</v>
      </c>
      <c r="F16" s="142"/>
      <c r="G16" s="142"/>
    </row>
    <row r="17" spans="1:7" ht="15">
      <c r="A17" s="253" t="s">
        <v>20</v>
      </c>
      <c r="B17" s="82" t="s">
        <v>125</v>
      </c>
      <c r="C17" s="81" t="s">
        <v>306</v>
      </c>
      <c r="D17" s="142">
        <f t="shared" si="0"/>
        <v>11480</v>
      </c>
      <c r="E17" s="142">
        <v>11480</v>
      </c>
      <c r="F17" s="142"/>
      <c r="G17" s="142"/>
    </row>
    <row r="18" spans="1:7" ht="15">
      <c r="A18" s="253" t="s">
        <v>58</v>
      </c>
      <c r="B18" s="82" t="s">
        <v>198</v>
      </c>
      <c r="C18" s="81" t="s">
        <v>286</v>
      </c>
      <c r="D18" s="142">
        <f>SUM(E18:G18)</f>
        <v>700933</v>
      </c>
      <c r="E18" s="142">
        <v>700933</v>
      </c>
      <c r="F18" s="142"/>
      <c r="G18" s="142"/>
    </row>
    <row r="19" spans="1:7" ht="15">
      <c r="A19" s="253" t="s">
        <v>59</v>
      </c>
      <c r="B19" s="82" t="s">
        <v>346</v>
      </c>
      <c r="C19" s="81" t="s">
        <v>347</v>
      </c>
      <c r="D19" s="142">
        <f>SUM(E19:G19)</f>
        <v>2222525</v>
      </c>
      <c r="E19" s="142">
        <f>449683+1408133+2718+361991</f>
        <v>2222525</v>
      </c>
      <c r="F19" s="142"/>
      <c r="G19" s="142"/>
    </row>
    <row r="20" spans="1:7" ht="15">
      <c r="A20" s="253" t="s">
        <v>64</v>
      </c>
      <c r="B20" s="82" t="s">
        <v>280</v>
      </c>
      <c r="C20" s="81" t="s">
        <v>287</v>
      </c>
      <c r="D20" s="142">
        <f>SUM(E20:G20)</f>
        <v>6701930</v>
      </c>
      <c r="E20" s="142">
        <f>6627000+59000+15930</f>
        <v>6701930</v>
      </c>
      <c r="F20" s="142"/>
      <c r="G20" s="142"/>
    </row>
    <row r="21" spans="1:7" ht="15">
      <c r="A21" s="253" t="s">
        <v>151</v>
      </c>
      <c r="B21" s="82" t="s">
        <v>305</v>
      </c>
      <c r="C21" s="81" t="s">
        <v>304</v>
      </c>
      <c r="D21" s="142">
        <f>SUM(E21:G21)</f>
        <v>111111468</v>
      </c>
      <c r="E21" s="142">
        <v>111111468</v>
      </c>
      <c r="F21" s="142"/>
      <c r="G21" s="142"/>
    </row>
    <row r="22" spans="1:7" ht="15">
      <c r="A22" s="253" t="s">
        <v>153</v>
      </c>
      <c r="B22" s="82" t="s">
        <v>127</v>
      </c>
      <c r="C22" s="81" t="s">
        <v>128</v>
      </c>
      <c r="D22" s="142">
        <f t="shared" si="0"/>
        <v>1188710</v>
      </c>
      <c r="E22" s="142">
        <f>1119246+69464</f>
        <v>1188710</v>
      </c>
      <c r="F22" s="142"/>
      <c r="G22" s="142"/>
    </row>
    <row r="23" spans="1:7" ht="15">
      <c r="A23" s="253" t="s">
        <v>155</v>
      </c>
      <c r="B23" s="82" t="s">
        <v>129</v>
      </c>
      <c r="C23" s="81" t="s">
        <v>130</v>
      </c>
      <c r="D23" s="142">
        <f t="shared" si="0"/>
        <v>990884</v>
      </c>
      <c r="E23" s="142">
        <v>990884</v>
      </c>
      <c r="F23" s="142"/>
      <c r="G23" s="142"/>
    </row>
    <row r="24" spans="1:7" ht="15">
      <c r="A24" s="253" t="s">
        <v>161</v>
      </c>
      <c r="B24" s="82" t="s">
        <v>131</v>
      </c>
      <c r="C24" s="81" t="s">
        <v>132</v>
      </c>
      <c r="D24" s="142">
        <f t="shared" si="0"/>
        <v>1361095</v>
      </c>
      <c r="E24" s="142">
        <f>361095+1000000</f>
        <v>1361095</v>
      </c>
      <c r="F24" s="142"/>
      <c r="G24" s="142"/>
    </row>
    <row r="25" spans="1:7" ht="15">
      <c r="A25" s="253" t="s">
        <v>163</v>
      </c>
      <c r="B25" s="82" t="s">
        <v>133</v>
      </c>
      <c r="C25" s="81" t="s">
        <v>14</v>
      </c>
      <c r="D25" s="142">
        <f t="shared" si="0"/>
        <v>73100</v>
      </c>
      <c r="E25" s="142">
        <v>73100</v>
      </c>
      <c r="F25" s="142"/>
      <c r="G25" s="142"/>
    </row>
    <row r="26" spans="1:7" ht="15">
      <c r="A26" s="253" t="s">
        <v>165</v>
      </c>
      <c r="B26" s="82" t="s">
        <v>134</v>
      </c>
      <c r="C26" s="81" t="s">
        <v>16</v>
      </c>
      <c r="D26" s="142">
        <f t="shared" si="0"/>
        <v>1625411</v>
      </c>
      <c r="E26" s="142">
        <v>1602411</v>
      </c>
      <c r="F26" s="142">
        <v>23000</v>
      </c>
      <c r="G26" s="142"/>
    </row>
    <row r="27" spans="1:7" ht="15">
      <c r="A27" s="253" t="s">
        <v>170</v>
      </c>
      <c r="B27" s="82" t="s">
        <v>255</v>
      </c>
      <c r="C27" s="81" t="s">
        <v>256</v>
      </c>
      <c r="D27" s="142">
        <f t="shared" si="0"/>
        <v>900247</v>
      </c>
      <c r="E27" s="142">
        <v>476600</v>
      </c>
      <c r="F27" s="142">
        <v>423647</v>
      </c>
      <c r="G27" s="142"/>
    </row>
    <row r="28" spans="1:7" ht="15">
      <c r="A28" s="253" t="s">
        <v>172</v>
      </c>
      <c r="B28" s="82">
        <v>104051</v>
      </c>
      <c r="C28" s="84" t="s">
        <v>246</v>
      </c>
      <c r="D28" s="142">
        <f t="shared" si="0"/>
        <v>46400</v>
      </c>
      <c r="E28" s="142"/>
      <c r="F28" s="142"/>
      <c r="G28" s="142">
        <v>46400</v>
      </c>
    </row>
    <row r="29" spans="1:7" ht="15">
      <c r="A29" s="253" t="s">
        <v>174</v>
      </c>
      <c r="B29" s="82">
        <v>106020</v>
      </c>
      <c r="C29" s="81" t="s">
        <v>135</v>
      </c>
      <c r="D29" s="142">
        <f t="shared" si="0"/>
        <v>0</v>
      </c>
      <c r="E29" s="142">
        <v>0</v>
      </c>
      <c r="F29" s="142"/>
      <c r="G29" s="142"/>
    </row>
    <row r="30" spans="1:7" ht="15">
      <c r="A30" s="253" t="s">
        <v>182</v>
      </c>
      <c r="B30" s="82" t="s">
        <v>136</v>
      </c>
      <c r="C30" s="83" t="s">
        <v>254</v>
      </c>
      <c r="D30" s="142">
        <f t="shared" si="0"/>
        <v>1027895</v>
      </c>
      <c r="E30" s="142">
        <v>1027895</v>
      </c>
      <c r="F30" s="142"/>
      <c r="G30" s="142"/>
    </row>
    <row r="31" spans="1:7" ht="15.75" thickBot="1">
      <c r="A31" s="254" t="s">
        <v>185</v>
      </c>
      <c r="B31" s="82">
        <v>107055</v>
      </c>
      <c r="C31" s="84" t="s">
        <v>258</v>
      </c>
      <c r="D31" s="142">
        <f t="shared" si="0"/>
        <v>4444429</v>
      </c>
      <c r="E31" s="142">
        <f>3959699+12190+45840+80464-2718+56030+50000+32186</f>
        <v>4233691</v>
      </c>
      <c r="F31" s="142">
        <v>210738</v>
      </c>
      <c r="G31" s="142"/>
    </row>
    <row r="32" spans="1:7" ht="15.75" thickBot="1">
      <c r="A32" s="255" t="s">
        <v>186</v>
      </c>
      <c r="B32" s="82">
        <v>107060</v>
      </c>
      <c r="C32" s="83" t="s">
        <v>137</v>
      </c>
      <c r="D32" s="142">
        <f t="shared" si="0"/>
        <v>1375000</v>
      </c>
      <c r="E32" s="142">
        <f>1123000+252000</f>
        <v>1375000</v>
      </c>
      <c r="F32" s="142"/>
      <c r="G32" s="142"/>
    </row>
    <row r="33" spans="1:7" s="266" customFormat="1" ht="33" customHeight="1" thickBot="1">
      <c r="A33" s="266" t="s">
        <v>242</v>
      </c>
      <c r="B33" s="267"/>
      <c r="C33" s="268" t="s">
        <v>1</v>
      </c>
      <c r="D33" s="276">
        <f>SUM(D15:D32)</f>
        <v>149800458</v>
      </c>
      <c r="E33" s="276">
        <f>SUM(E15:E32)</f>
        <v>148133953</v>
      </c>
      <c r="F33" s="276">
        <f>SUM(F15:F32)</f>
        <v>1620105</v>
      </c>
      <c r="G33" s="276">
        <f>SUM(G15:G32)</f>
        <v>46400</v>
      </c>
    </row>
  </sheetData>
  <sheetProtection/>
  <mergeCells count="12">
    <mergeCell ref="A1:G1"/>
    <mergeCell ref="A5:G5"/>
    <mergeCell ref="C4:G4"/>
    <mergeCell ref="C6:G6"/>
    <mergeCell ref="C7:G7"/>
    <mergeCell ref="C8:G8"/>
    <mergeCell ref="A10:A14"/>
    <mergeCell ref="B10:B14"/>
    <mergeCell ref="C10:C14"/>
    <mergeCell ref="D10:D14"/>
    <mergeCell ref="E10:G10"/>
    <mergeCell ref="E12:G1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3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6" ht="15.75">
      <c r="A1" s="300" t="s">
        <v>375</v>
      </c>
      <c r="B1" s="300"/>
      <c r="C1" s="300"/>
      <c r="D1" s="262"/>
      <c r="E1" s="262"/>
      <c r="F1" s="262"/>
    </row>
    <row r="3" spans="1:3" ht="15.75">
      <c r="A3" s="147" t="s">
        <v>344</v>
      </c>
      <c r="B3" s="147"/>
      <c r="C3" s="44"/>
    </row>
    <row r="4" s="86" customFormat="1" ht="15.75">
      <c r="C4" s="92"/>
    </row>
    <row r="6" spans="1:3" s="79" customFormat="1" ht="15.75">
      <c r="A6" s="380" t="s">
        <v>337</v>
      </c>
      <c r="B6" s="380"/>
      <c r="C6" s="380"/>
    </row>
    <row r="7" spans="1:3" ht="15.75">
      <c r="A7" s="381" t="s">
        <v>252</v>
      </c>
      <c r="B7" s="381"/>
      <c r="C7" s="381"/>
    </row>
    <row r="8" spans="1:3" ht="15.75">
      <c r="A8" s="287" t="s">
        <v>260</v>
      </c>
      <c r="B8" s="287"/>
      <c r="C8" s="287"/>
    </row>
    <row r="9" spans="1:3" ht="15.75">
      <c r="A9" s="287" t="s">
        <v>138</v>
      </c>
      <c r="B9" s="287"/>
      <c r="C9" s="287"/>
    </row>
    <row r="10" spans="1:3" ht="15.75">
      <c r="A10" s="287" t="s">
        <v>290</v>
      </c>
      <c r="B10" s="287"/>
      <c r="C10" s="287"/>
    </row>
    <row r="11" ht="16.5" thickBot="1">
      <c r="C11" s="109" t="s">
        <v>299</v>
      </c>
    </row>
    <row r="12" spans="1:3" ht="15.75">
      <c r="A12" s="95" t="s">
        <v>17</v>
      </c>
      <c r="B12" s="88"/>
      <c r="C12" s="96" t="s">
        <v>8</v>
      </c>
    </row>
    <row r="13" spans="1:3" ht="15.75">
      <c r="A13" s="89"/>
      <c r="B13" s="90" t="s">
        <v>0</v>
      </c>
      <c r="C13" s="97"/>
    </row>
    <row r="14" spans="1:3" ht="34.5" customHeight="1" thickBot="1">
      <c r="A14" s="91" t="s">
        <v>18</v>
      </c>
      <c r="B14" s="98"/>
      <c r="C14" s="99" t="s">
        <v>4</v>
      </c>
    </row>
    <row r="15" spans="1:3" ht="20.25" customHeight="1">
      <c r="A15" s="386" t="s">
        <v>139</v>
      </c>
      <c r="B15" s="386"/>
      <c r="C15" s="386"/>
    </row>
    <row r="16" spans="1:3" ht="20.25" customHeight="1">
      <c r="A16" s="100" t="s">
        <v>19</v>
      </c>
      <c r="B16" s="101" t="s">
        <v>140</v>
      </c>
      <c r="C16" s="102"/>
    </row>
    <row r="17" spans="1:3" ht="20.25" customHeight="1">
      <c r="A17" s="100"/>
      <c r="B17" s="15" t="s">
        <v>141</v>
      </c>
      <c r="C17" s="102">
        <f>'2.mell - bevétel'!H76</f>
        <v>22192493</v>
      </c>
    </row>
    <row r="18" spans="1:5" ht="20.25" customHeight="1">
      <c r="A18" s="100"/>
      <c r="B18" s="50" t="s">
        <v>142</v>
      </c>
      <c r="C18" s="102"/>
      <c r="D18" s="47"/>
      <c r="E18" s="47"/>
    </row>
    <row r="19" spans="1:3" ht="20.25" customHeight="1">
      <c r="A19" s="100" t="s">
        <v>13</v>
      </c>
      <c r="B19" s="101" t="s">
        <v>143</v>
      </c>
      <c r="C19" s="102">
        <f>'2.mell - bevétel'!H93</f>
        <v>1495000</v>
      </c>
    </row>
    <row r="20" spans="1:3" ht="20.25" customHeight="1">
      <c r="A20" s="100" t="s">
        <v>20</v>
      </c>
      <c r="B20" s="101" t="s">
        <v>144</v>
      </c>
      <c r="C20" s="102">
        <f>'2.mell - bevétel'!H107</f>
        <v>24495159</v>
      </c>
    </row>
    <row r="21" spans="1:3" ht="20.25" customHeight="1">
      <c r="A21" s="100" t="s">
        <v>58</v>
      </c>
      <c r="B21" s="103" t="s">
        <v>145</v>
      </c>
      <c r="C21" s="102"/>
    </row>
    <row r="22" spans="1:5" ht="36" customHeight="1">
      <c r="A22" s="100"/>
      <c r="B22" s="50" t="s">
        <v>146</v>
      </c>
      <c r="C22" s="102"/>
      <c r="D22" s="50"/>
      <c r="E22" s="50"/>
    </row>
    <row r="23" spans="1:3" ht="20.25" customHeight="1">
      <c r="A23" s="100"/>
      <c r="B23" s="15" t="s">
        <v>147</v>
      </c>
      <c r="C23" s="102"/>
    </row>
    <row r="24" spans="1:3" ht="36" customHeight="1">
      <c r="A24" s="104"/>
      <c r="B24" s="105" t="s">
        <v>148</v>
      </c>
      <c r="C24" s="106">
        <f>SUM(C17:C23)</f>
        <v>48182652</v>
      </c>
    </row>
    <row r="25" spans="1:3" ht="21" customHeight="1">
      <c r="A25" s="94" t="s">
        <v>59</v>
      </c>
      <c r="B25" s="101" t="s">
        <v>149</v>
      </c>
      <c r="C25" s="16">
        <f>'4.mell. - kiadás'!E34</f>
        <v>9647212</v>
      </c>
    </row>
    <row r="26" spans="1:3" ht="21" customHeight="1">
      <c r="A26" s="94" t="s">
        <v>64</v>
      </c>
      <c r="B26" s="101" t="s">
        <v>150</v>
      </c>
      <c r="C26" s="16">
        <f>'4.mell. - kiadás'!F34</f>
        <v>2208872</v>
      </c>
    </row>
    <row r="27" spans="1:3" ht="21" customHeight="1">
      <c r="A27" s="94" t="s">
        <v>151</v>
      </c>
      <c r="B27" s="107" t="s">
        <v>152</v>
      </c>
      <c r="C27" s="16">
        <f>'4.mell. - kiadás'!G34</f>
        <v>33920173</v>
      </c>
    </row>
    <row r="28" spans="1:3" ht="21" customHeight="1">
      <c r="A28" s="94" t="s">
        <v>153</v>
      </c>
      <c r="B28" s="107" t="s">
        <v>154</v>
      </c>
      <c r="C28" s="16">
        <f>'4.mell. - kiadás'!H34</f>
        <v>1421400</v>
      </c>
    </row>
    <row r="29" spans="1:3" ht="21" customHeight="1">
      <c r="A29" s="94" t="s">
        <v>155</v>
      </c>
      <c r="B29" s="107" t="s">
        <v>156</v>
      </c>
      <c r="C29" s="16"/>
    </row>
    <row r="30" spans="1:3" ht="15.75">
      <c r="A30" s="94"/>
      <c r="B30" s="108" t="s">
        <v>157</v>
      </c>
      <c r="C30" s="109">
        <f>'4.mell. - kiadás'!I34</f>
        <v>264190</v>
      </c>
    </row>
    <row r="31" spans="1:5" ht="15.75">
      <c r="A31" s="94"/>
      <c r="B31" s="108" t="s">
        <v>158</v>
      </c>
      <c r="C31" s="93">
        <f>'4.mell. - kiadás'!J34</f>
        <v>7164468</v>
      </c>
      <c r="E31" s="52"/>
    </row>
    <row r="32" spans="1:6" ht="33.75" customHeight="1">
      <c r="A32" s="104"/>
      <c r="B32" s="105" t="s">
        <v>159</v>
      </c>
      <c r="C32" s="106">
        <f>SUM(C25:C31)</f>
        <v>54626315</v>
      </c>
      <c r="E32" s="52"/>
      <c r="F32" s="52"/>
    </row>
    <row r="33" spans="1:6" ht="21.75" customHeight="1">
      <c r="A33" s="100"/>
      <c r="B33" s="101"/>
      <c r="C33" s="102"/>
      <c r="E33" s="52"/>
      <c r="F33" s="52"/>
    </row>
    <row r="34" spans="1:6" ht="22.5" customHeight="1">
      <c r="A34" s="100"/>
      <c r="B34" s="101"/>
      <c r="C34" s="102"/>
      <c r="E34" s="52"/>
      <c r="F34" s="52"/>
    </row>
    <row r="35" spans="1:6" ht="22.5" customHeight="1" thickBot="1">
      <c r="A35" s="100"/>
      <c r="B35" s="101"/>
      <c r="C35" s="102"/>
      <c r="E35" s="52"/>
      <c r="F35" s="52"/>
    </row>
    <row r="36" spans="1:3" ht="15.75">
      <c r="A36" s="95" t="s">
        <v>17</v>
      </c>
      <c r="B36" s="88"/>
      <c r="C36" s="96" t="s">
        <v>8</v>
      </c>
    </row>
    <row r="37" spans="1:3" ht="15.75">
      <c r="A37" s="89"/>
      <c r="B37" s="90" t="s">
        <v>0</v>
      </c>
      <c r="C37" s="97"/>
    </row>
    <row r="38" spans="1:3" ht="15.75" customHeight="1" thickBot="1">
      <c r="A38" s="91" t="s">
        <v>18</v>
      </c>
      <c r="B38" s="98"/>
      <c r="C38" s="99" t="s">
        <v>4</v>
      </c>
    </row>
    <row r="39" spans="1:3" ht="21" customHeight="1">
      <c r="A39" s="379" t="s">
        <v>160</v>
      </c>
      <c r="B39" s="379"/>
      <c r="C39" s="379"/>
    </row>
    <row r="40" spans="1:3" ht="21" customHeight="1">
      <c r="A40" s="94" t="s">
        <v>161</v>
      </c>
      <c r="B40" s="30" t="s">
        <v>162</v>
      </c>
      <c r="C40" s="93">
        <f>'2.mell - bevétel'!H81</f>
        <v>87489345</v>
      </c>
    </row>
    <row r="41" spans="1:2" ht="21" customHeight="1">
      <c r="A41" s="94" t="s">
        <v>163</v>
      </c>
      <c r="B41" s="30" t="s">
        <v>164</v>
      </c>
    </row>
    <row r="42" spans="1:2" ht="21" customHeight="1">
      <c r="A42" s="94" t="s">
        <v>165</v>
      </c>
      <c r="B42" s="103" t="s">
        <v>166</v>
      </c>
    </row>
    <row r="43" spans="1:2" ht="31.5" customHeight="1">
      <c r="A43" s="94"/>
      <c r="B43" s="72" t="s">
        <v>167</v>
      </c>
    </row>
    <row r="44" spans="1:2" ht="21" customHeight="1">
      <c r="A44" s="94"/>
      <c r="B44" s="21" t="s">
        <v>168</v>
      </c>
    </row>
    <row r="45" spans="1:5" ht="32.25" customHeight="1">
      <c r="A45" s="104"/>
      <c r="B45" s="105" t="s">
        <v>169</v>
      </c>
      <c r="C45" s="106">
        <f>SUM(C40:C44)</f>
        <v>87489345</v>
      </c>
      <c r="E45" s="52"/>
    </row>
    <row r="46" spans="1:3" ht="21" customHeight="1">
      <c r="A46" s="94" t="s">
        <v>170</v>
      </c>
      <c r="B46" s="30" t="s">
        <v>171</v>
      </c>
      <c r="C46" s="93">
        <f>'4.mell. - kiadás'!L34</f>
        <v>88631578</v>
      </c>
    </row>
    <row r="47" spans="1:3" ht="21" customHeight="1">
      <c r="A47" s="94" t="s">
        <v>172</v>
      </c>
      <c r="B47" s="30" t="s">
        <v>173</v>
      </c>
      <c r="C47" s="93">
        <f>'4.mell. - kiadás'!M34</f>
        <v>5841632</v>
      </c>
    </row>
    <row r="48" spans="1:2" ht="18.75" customHeight="1">
      <c r="A48" s="94" t="s">
        <v>174</v>
      </c>
      <c r="B48" s="103" t="s">
        <v>175</v>
      </c>
    </row>
    <row r="49" spans="1:2" ht="33" customHeight="1">
      <c r="A49" s="94"/>
      <c r="B49" s="72" t="s">
        <v>176</v>
      </c>
    </row>
    <row r="50" spans="1:2" ht="18" customHeight="1">
      <c r="A50" s="94"/>
      <c r="B50" s="108" t="s">
        <v>177</v>
      </c>
    </row>
    <row r="51" spans="1:2" ht="18" customHeight="1">
      <c r="A51" s="94"/>
      <c r="B51" s="108" t="s">
        <v>158</v>
      </c>
    </row>
    <row r="52" spans="1:6" s="9" customFormat="1" ht="27" customHeight="1" thickBot="1">
      <c r="A52" s="104"/>
      <c r="B52" s="105" t="s">
        <v>178</v>
      </c>
      <c r="C52" s="106">
        <f>SUM(C46:C51)</f>
        <v>94473210</v>
      </c>
      <c r="F52" s="110"/>
    </row>
    <row r="53" spans="1:3" s="9" customFormat="1" ht="27" customHeight="1" thickBot="1">
      <c r="A53" s="111"/>
      <c r="B53" s="112" t="s">
        <v>179</v>
      </c>
      <c r="C53" s="113">
        <f>C24+C45</f>
        <v>135671997</v>
      </c>
    </row>
    <row r="54" spans="1:6" s="9" customFormat="1" ht="27" customHeight="1" thickBot="1">
      <c r="A54" s="111"/>
      <c r="B54" s="112" t="s">
        <v>180</v>
      </c>
      <c r="C54" s="113">
        <f>C32+C52</f>
        <v>149099525</v>
      </c>
      <c r="F54" s="110"/>
    </row>
    <row r="55" spans="1:3" s="9" customFormat="1" ht="15.75">
      <c r="A55" s="114"/>
      <c r="B55" s="115"/>
      <c r="C55" s="116"/>
    </row>
    <row r="56" spans="1:3" s="117" customFormat="1" ht="16.5" thickBot="1">
      <c r="A56" s="115"/>
      <c r="B56" s="126"/>
      <c r="C56" s="127"/>
    </row>
    <row r="57" spans="1:3" s="117" customFormat="1" ht="19.5" customHeight="1">
      <c r="A57" s="95" t="s">
        <v>17</v>
      </c>
      <c r="B57" s="382" t="s">
        <v>0</v>
      </c>
      <c r="C57" s="96" t="s">
        <v>8</v>
      </c>
    </row>
    <row r="58" spans="1:3" s="117" customFormat="1" ht="15.75">
      <c r="A58" s="89"/>
      <c r="B58" s="383"/>
      <c r="C58" s="97"/>
    </row>
    <row r="59" spans="1:3" s="117" customFormat="1" ht="12" customHeight="1" thickBot="1">
      <c r="A59" s="91" t="s">
        <v>18</v>
      </c>
      <c r="B59" s="384"/>
      <c r="C59" s="99" t="s">
        <v>4</v>
      </c>
    </row>
    <row r="60" spans="1:3" s="117" customFormat="1" ht="15.75">
      <c r="A60" s="115"/>
      <c r="B60" s="126"/>
      <c r="C60" s="127"/>
    </row>
    <row r="61" spans="1:3" ht="15" customHeight="1">
      <c r="A61" s="385" t="s">
        <v>181</v>
      </c>
      <c r="B61" s="385"/>
      <c r="C61" s="385"/>
    </row>
    <row r="62" spans="1:3" ht="15" customHeight="1">
      <c r="A62" s="118"/>
      <c r="B62" s="118"/>
      <c r="C62" s="118"/>
    </row>
    <row r="63" spans="1:3" ht="20.25" customHeight="1">
      <c r="A63" s="104" t="s">
        <v>182</v>
      </c>
      <c r="B63" s="119" t="s">
        <v>183</v>
      </c>
      <c r="C63" s="106">
        <v>14128461</v>
      </c>
    </row>
    <row r="64" spans="1:3" ht="21" customHeight="1">
      <c r="A64" s="104"/>
      <c r="B64" s="206" t="s">
        <v>184</v>
      </c>
      <c r="C64" s="120">
        <f>SUM(C63:C63)</f>
        <v>14128461</v>
      </c>
    </row>
    <row r="65" spans="1:3" ht="15.75">
      <c r="A65" s="100" t="s">
        <v>185</v>
      </c>
      <c r="B65" s="119" t="s">
        <v>282</v>
      </c>
      <c r="C65" s="106">
        <f>'4.mell. - kiadás'!P34</f>
        <v>700933</v>
      </c>
    </row>
    <row r="66" spans="1:3" ht="15.75">
      <c r="A66" s="94" t="s">
        <v>186</v>
      </c>
      <c r="B66" s="119" t="s">
        <v>187</v>
      </c>
      <c r="C66" s="106"/>
    </row>
    <row r="67" spans="1:3" s="121" customFormat="1" ht="27" customHeight="1" thickBot="1">
      <c r="A67" s="104"/>
      <c r="B67" s="206" t="s">
        <v>188</v>
      </c>
      <c r="C67" s="120">
        <f>SUM(C65:C66)</f>
        <v>700933</v>
      </c>
    </row>
    <row r="68" spans="1:5" s="121" customFormat="1" ht="27" customHeight="1" thickBot="1">
      <c r="A68" s="122"/>
      <c r="B68" s="123" t="s">
        <v>189</v>
      </c>
      <c r="C68" s="124">
        <f>C53+C64</f>
        <v>149800458</v>
      </c>
      <c r="E68" s="125"/>
    </row>
    <row r="69" spans="1:5" ht="27" customHeight="1" thickBot="1">
      <c r="A69" s="122"/>
      <c r="B69" s="123" t="s">
        <v>190</v>
      </c>
      <c r="C69" s="124">
        <f>C54+C67</f>
        <v>149800458</v>
      </c>
      <c r="E69" s="125"/>
    </row>
  </sheetData>
  <sheetProtection/>
  <mergeCells count="10">
    <mergeCell ref="A39:C39"/>
    <mergeCell ref="A1:C1"/>
    <mergeCell ref="A6:C6"/>
    <mergeCell ref="A7:C7"/>
    <mergeCell ref="B57:B59"/>
    <mergeCell ref="A61:C61"/>
    <mergeCell ref="A8:C8"/>
    <mergeCell ref="A9:C9"/>
    <mergeCell ref="A10:C10"/>
    <mergeCell ref="A15:C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zoomScale="70" zoomScaleNormal="70" zoomScalePageLayoutView="0" workbookViewId="0" topLeftCell="A1">
      <selection activeCell="N34" sqref="N34"/>
    </sheetView>
  </sheetViews>
  <sheetFormatPr defaultColWidth="9.00390625" defaultRowHeight="12.75"/>
  <cols>
    <col min="1" max="1" width="5.125" style="21" customWidth="1"/>
    <col min="2" max="2" width="43.625" style="21" customWidth="1"/>
    <col min="3" max="10" width="15.375" style="16" customWidth="1"/>
    <col min="11" max="11" width="16.25390625" style="16" customWidth="1"/>
    <col min="12" max="12" width="15.375" style="16" customWidth="1"/>
    <col min="13" max="13" width="17.625" style="16" customWidth="1"/>
    <col min="14" max="14" width="16.375" style="16" customWidth="1"/>
    <col min="15" max="15" width="18.875" style="16" customWidth="1"/>
    <col min="16" max="16" width="12.625" style="21" bestFit="1" customWidth="1"/>
    <col min="17" max="16384" width="9.125" style="21" customWidth="1"/>
  </cols>
  <sheetData>
    <row r="1" spans="1:15" ht="15.75">
      <c r="A1" s="300" t="s">
        <v>376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3:15" s="201" customFormat="1" ht="15.75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s="53" customFormat="1" ht="15.75">
      <c r="A3" s="53" t="s">
        <v>343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02"/>
    </row>
    <row r="4" ht="15.75">
      <c r="O4" s="202"/>
    </row>
    <row r="5" spans="2:15" ht="15.75"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5.75">
      <c r="A6" s="380" t="s">
        <v>337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</row>
    <row r="7" spans="2:15" ht="15.75">
      <c r="B7" s="281" t="s">
        <v>252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2:15" ht="15.75">
      <c r="B8" s="281" t="s">
        <v>207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2:15" ht="15.75">
      <c r="B9" s="281" t="s">
        <v>290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</row>
    <row r="10" spans="3:15" ht="16.5" thickBot="1">
      <c r="C10" s="17"/>
      <c r="D10" s="17"/>
      <c r="E10" s="17"/>
      <c r="F10" s="150"/>
      <c r="G10" s="17"/>
      <c r="H10" s="17"/>
      <c r="I10" s="17"/>
      <c r="J10" s="17"/>
      <c r="O10" s="151" t="s">
        <v>358</v>
      </c>
    </row>
    <row r="11" spans="1:15" ht="15.75">
      <c r="A11" s="152" t="s">
        <v>17</v>
      </c>
      <c r="B11" s="153"/>
      <c r="C11" s="154"/>
      <c r="D11" s="155"/>
      <c r="E11" s="156"/>
      <c r="F11" s="157"/>
      <c r="G11" s="157"/>
      <c r="H11" s="157"/>
      <c r="I11" s="157"/>
      <c r="J11" s="157"/>
      <c r="K11" s="158"/>
      <c r="L11" s="158"/>
      <c r="M11" s="158"/>
      <c r="N11" s="159"/>
      <c r="O11" s="160"/>
    </row>
    <row r="12" spans="1:15" ht="15.75">
      <c r="A12" s="161"/>
      <c r="B12" s="162" t="s">
        <v>0</v>
      </c>
      <c r="C12" s="57" t="s">
        <v>208</v>
      </c>
      <c r="D12" s="163" t="s">
        <v>209</v>
      </c>
      <c r="E12" s="164" t="s">
        <v>210</v>
      </c>
      <c r="F12" s="165" t="s">
        <v>211</v>
      </c>
      <c r="G12" s="165" t="s">
        <v>212</v>
      </c>
      <c r="H12" s="165" t="s">
        <v>213</v>
      </c>
      <c r="I12" s="165" t="s">
        <v>214</v>
      </c>
      <c r="J12" s="165" t="s">
        <v>215</v>
      </c>
      <c r="K12" s="165" t="s">
        <v>216</v>
      </c>
      <c r="L12" s="165" t="s">
        <v>217</v>
      </c>
      <c r="M12" s="165" t="s">
        <v>218</v>
      </c>
      <c r="N12" s="164" t="s">
        <v>219</v>
      </c>
      <c r="O12" s="97" t="s">
        <v>204</v>
      </c>
    </row>
    <row r="13" spans="1:15" ht="16.5" thickBot="1">
      <c r="A13" s="166" t="s">
        <v>18</v>
      </c>
      <c r="B13" s="167"/>
      <c r="C13" s="168"/>
      <c r="D13" s="169"/>
      <c r="E13" s="170"/>
      <c r="F13" s="171"/>
      <c r="G13" s="171"/>
      <c r="H13" s="171"/>
      <c r="I13" s="171"/>
      <c r="J13" s="171"/>
      <c r="K13" s="171"/>
      <c r="L13" s="171"/>
      <c r="M13" s="171"/>
      <c r="N13" s="170"/>
      <c r="O13" s="168"/>
    </row>
    <row r="14" spans="1:15" ht="28.5" customHeight="1">
      <c r="A14" s="172"/>
      <c r="B14" s="173" t="s">
        <v>220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</row>
    <row r="15" spans="1:15" ht="28.5" customHeight="1">
      <c r="A15" s="172" t="s">
        <v>19</v>
      </c>
      <c r="B15" s="173" t="s">
        <v>221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</row>
    <row r="16" spans="1:15" ht="28.5" customHeight="1">
      <c r="A16" s="172"/>
      <c r="B16" s="173" t="s">
        <v>222</v>
      </c>
      <c r="C16" s="174">
        <f>918889+8001+13654-44600-1800</f>
        <v>894144</v>
      </c>
      <c r="D16" s="174">
        <f>1513711+4189+16093</f>
        <v>1533993</v>
      </c>
      <c r="E16" s="174">
        <f>1513711+16093</f>
        <v>1529804</v>
      </c>
      <c r="F16" s="174">
        <f>1513711+16093</f>
        <v>1529804</v>
      </c>
      <c r="G16" s="174">
        <f>1513711+16093</f>
        <v>1529804</v>
      </c>
      <c r="H16" s="174">
        <f>1513711+16093</f>
        <v>1529804</v>
      </c>
      <c r="I16" s="174">
        <f>1513711+16093</f>
        <v>1529804</v>
      </c>
      <c r="J16" s="174">
        <f>1513711+1000000+661875+55360+16092</f>
        <v>3247038</v>
      </c>
      <c r="K16" s="174">
        <f>1513711+16093</f>
        <v>1529804</v>
      </c>
      <c r="L16" s="174">
        <f>1513711+220625+16093</f>
        <v>1750429</v>
      </c>
      <c r="M16" s="174">
        <v>1513711</v>
      </c>
      <c r="N16" s="174">
        <v>1513711</v>
      </c>
      <c r="O16" s="175">
        <f>SUM(C16:N16)</f>
        <v>19631850</v>
      </c>
    </row>
    <row r="17" spans="1:15" ht="28.5" customHeight="1">
      <c r="A17" s="172"/>
      <c r="B17" s="173" t="s">
        <v>223</v>
      </c>
      <c r="C17" s="174">
        <f>449683+44600</f>
        <v>494283</v>
      </c>
      <c r="D17" s="174"/>
      <c r="E17" s="174"/>
      <c r="F17" s="174">
        <v>447133</v>
      </c>
      <c r="G17" s="174"/>
      <c r="H17" s="174"/>
      <c r="I17" s="174">
        <v>177772</v>
      </c>
      <c r="J17" s="174">
        <f>962800+116664</f>
        <v>1079464</v>
      </c>
      <c r="K17" s="174">
        <v>361991</v>
      </c>
      <c r="L17" s="174"/>
      <c r="M17" s="174"/>
      <c r="N17" s="174"/>
      <c r="O17" s="175">
        <f>SUM(C17:N17)</f>
        <v>2560643</v>
      </c>
    </row>
    <row r="18" spans="1:15" ht="28.5" customHeight="1">
      <c r="A18" s="172" t="s">
        <v>13</v>
      </c>
      <c r="B18" s="173" t="s">
        <v>224</v>
      </c>
      <c r="C18" s="174"/>
      <c r="D18" s="174"/>
      <c r="E18" s="174"/>
      <c r="F18" s="174"/>
      <c r="G18" s="174"/>
      <c r="H18" s="174"/>
      <c r="I18" s="174"/>
      <c r="J18" s="174"/>
      <c r="K18" s="174">
        <f>34800231*1.27</f>
        <v>44196293.37</v>
      </c>
      <c r="L18" s="174"/>
      <c r="M18" s="174"/>
      <c r="N18" s="174">
        <v>43293052</v>
      </c>
      <c r="O18" s="175">
        <f aca="true" t="shared" si="0" ref="O18:O28">SUM(C18:N18)</f>
        <v>87489345.37</v>
      </c>
    </row>
    <row r="19" spans="1:15" ht="15.75">
      <c r="A19" s="172" t="s">
        <v>20</v>
      </c>
      <c r="B19" s="173" t="s">
        <v>225</v>
      </c>
      <c r="C19" s="174">
        <v>23000</v>
      </c>
      <c r="D19" s="174">
        <v>83000</v>
      </c>
      <c r="E19" s="174">
        <v>415000</v>
      </c>
      <c r="F19" s="174">
        <v>69000</v>
      </c>
      <c r="G19" s="174">
        <v>64000</v>
      </c>
      <c r="H19" s="174">
        <v>24000</v>
      </c>
      <c r="I19" s="174">
        <v>9000</v>
      </c>
      <c r="J19" s="174">
        <v>120000</v>
      </c>
      <c r="K19" s="174">
        <v>410000</v>
      </c>
      <c r="L19" s="174">
        <v>22000</v>
      </c>
      <c r="M19" s="174">
        <v>184000</v>
      </c>
      <c r="N19" s="174">
        <v>72000</v>
      </c>
      <c r="O19" s="175">
        <f t="shared" si="0"/>
        <v>1495000</v>
      </c>
    </row>
    <row r="20" spans="1:17" ht="15.75">
      <c r="A20" s="172" t="s">
        <v>58</v>
      </c>
      <c r="B20" s="173" t="s">
        <v>226</v>
      </c>
      <c r="C20" s="174">
        <v>72753</v>
      </c>
      <c r="D20" s="174">
        <v>72753</v>
      </c>
      <c r="E20" s="174">
        <v>72753</v>
      </c>
      <c r="F20" s="174">
        <v>72753</v>
      </c>
      <c r="G20" s="174">
        <v>72753</v>
      </c>
      <c r="H20" s="174">
        <v>72753</v>
      </c>
      <c r="I20" s="174">
        <v>72753</v>
      </c>
      <c r="J20" s="174">
        <v>72753</v>
      </c>
      <c r="K20" s="174">
        <v>72753</v>
      </c>
      <c r="L20" s="174">
        <v>72753</v>
      </c>
      <c r="M20" s="174">
        <v>72753</v>
      </c>
      <c r="N20" s="174">
        <v>23694876</v>
      </c>
      <c r="O20" s="175">
        <f t="shared" si="0"/>
        <v>24495159</v>
      </c>
      <c r="P20" s="197"/>
      <c r="Q20" s="197"/>
    </row>
    <row r="21" spans="1:15" ht="15.75">
      <c r="A21" s="172" t="s">
        <v>59</v>
      </c>
      <c r="B21" s="176" t="s">
        <v>227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5">
        <f t="shared" si="0"/>
        <v>0</v>
      </c>
    </row>
    <row r="22" spans="1:15" ht="15.75">
      <c r="A22" s="172" t="s">
        <v>64</v>
      </c>
      <c r="B22" s="176" t="s">
        <v>145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9"/>
      <c r="O22" s="175">
        <f t="shared" si="0"/>
        <v>0</v>
      </c>
    </row>
    <row r="23" spans="1:15" ht="31.5">
      <c r="A23" s="172"/>
      <c r="B23" s="173" t="s">
        <v>228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75">
        <f t="shared" si="0"/>
        <v>0</v>
      </c>
    </row>
    <row r="24" spans="1:15" ht="17.25" customHeight="1">
      <c r="A24" s="172"/>
      <c r="B24" s="173" t="s">
        <v>229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1"/>
      <c r="O24" s="175">
        <f t="shared" si="0"/>
        <v>0</v>
      </c>
    </row>
    <row r="25" spans="1:15" ht="15.75">
      <c r="A25" s="172" t="s">
        <v>151</v>
      </c>
      <c r="B25" s="176" t="s">
        <v>230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5">
        <f t="shared" si="0"/>
        <v>0</v>
      </c>
    </row>
    <row r="26" spans="1:15" ht="47.25">
      <c r="A26" s="172"/>
      <c r="B26" s="195" t="s">
        <v>231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  <c r="O26" s="175">
        <f t="shared" si="0"/>
        <v>0</v>
      </c>
    </row>
    <row r="27" spans="1:15" ht="15.75">
      <c r="A27" s="172"/>
      <c r="B27" s="173" t="s">
        <v>232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75">
        <f t="shared" si="0"/>
        <v>0</v>
      </c>
    </row>
    <row r="28" spans="1:15" ht="15.75">
      <c r="A28" s="172" t="s">
        <v>153</v>
      </c>
      <c r="B28" s="176" t="s">
        <v>233</v>
      </c>
      <c r="C28" s="180">
        <v>2700933</v>
      </c>
      <c r="D28" s="180">
        <v>63487</v>
      </c>
      <c r="E28" s="180">
        <v>69464</v>
      </c>
      <c r="F28" s="180">
        <v>4500000</v>
      </c>
      <c r="G28" s="180">
        <v>6794577</v>
      </c>
      <c r="H28" s="180"/>
      <c r="I28" s="180"/>
      <c r="J28" s="180"/>
      <c r="K28" s="180"/>
      <c r="L28" s="180"/>
      <c r="M28" s="180"/>
      <c r="N28" s="181"/>
      <c r="O28" s="175">
        <f t="shared" si="0"/>
        <v>14128461</v>
      </c>
    </row>
    <row r="29" spans="1:15" ht="16.5" thickBot="1">
      <c r="A29" s="182" t="s">
        <v>155</v>
      </c>
      <c r="B29" s="183" t="s">
        <v>234</v>
      </c>
      <c r="C29" s="180"/>
      <c r="D29" s="180">
        <f>C48</f>
        <v>1892926</v>
      </c>
      <c r="E29" s="180">
        <f aca="true" t="shared" si="1" ref="E29:N29">D48</f>
        <v>1801233</v>
      </c>
      <c r="F29" s="180">
        <f t="shared" si="1"/>
        <v>2160753</v>
      </c>
      <c r="G29" s="180">
        <f t="shared" si="1"/>
        <v>995914</v>
      </c>
      <c r="H29" s="180">
        <f t="shared" si="1"/>
        <v>581574</v>
      </c>
      <c r="I29" s="180">
        <f t="shared" si="1"/>
        <v>373227</v>
      </c>
      <c r="J29" s="180">
        <f t="shared" si="1"/>
        <v>76587</v>
      </c>
      <c r="K29" s="180">
        <f t="shared" si="1"/>
        <v>2429675</v>
      </c>
      <c r="L29" s="180">
        <f t="shared" si="1"/>
        <v>2501260.3699999973</v>
      </c>
      <c r="M29" s="180">
        <f t="shared" si="1"/>
        <v>1274962.3699999973</v>
      </c>
      <c r="N29" s="180">
        <f t="shared" si="1"/>
        <v>502134.3699999973</v>
      </c>
      <c r="O29" s="175"/>
    </row>
    <row r="30" spans="1:16" s="13" customFormat="1" ht="27.75" customHeight="1" thickBot="1">
      <c r="A30" s="184"/>
      <c r="B30" s="184" t="s">
        <v>235</v>
      </c>
      <c r="C30" s="185">
        <f aca="true" t="shared" si="2" ref="C30:N30">SUM(C16:C29)</f>
        <v>4185113</v>
      </c>
      <c r="D30" s="185">
        <f t="shared" si="2"/>
        <v>3646159</v>
      </c>
      <c r="E30" s="185">
        <f t="shared" si="2"/>
        <v>3888254</v>
      </c>
      <c r="F30" s="185">
        <f t="shared" si="2"/>
        <v>8779443</v>
      </c>
      <c r="G30" s="185">
        <f t="shared" si="2"/>
        <v>9457048</v>
      </c>
      <c r="H30" s="185">
        <f t="shared" si="2"/>
        <v>2208131</v>
      </c>
      <c r="I30" s="185">
        <f t="shared" si="2"/>
        <v>2162556</v>
      </c>
      <c r="J30" s="185">
        <f t="shared" si="2"/>
        <v>4595842</v>
      </c>
      <c r="K30" s="185">
        <f t="shared" si="2"/>
        <v>49000516.37</v>
      </c>
      <c r="L30" s="185">
        <f t="shared" si="2"/>
        <v>4346442.369999997</v>
      </c>
      <c r="M30" s="185">
        <f t="shared" si="2"/>
        <v>3045426.3699999973</v>
      </c>
      <c r="N30" s="185">
        <f t="shared" si="2"/>
        <v>69075773.37</v>
      </c>
      <c r="O30" s="186">
        <f>SUM(O15:O29)</f>
        <v>149800458.37</v>
      </c>
      <c r="P30" s="64"/>
    </row>
    <row r="31" spans="1:15" ht="15.75">
      <c r="A31" s="187"/>
      <c r="B31" s="188" t="s">
        <v>236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89"/>
    </row>
    <row r="32" spans="1:16" ht="15.75">
      <c r="A32" s="172" t="s">
        <v>161</v>
      </c>
      <c r="B32" s="176" t="s">
        <v>110</v>
      </c>
      <c r="C32" s="174">
        <f>381300+9598+197558</f>
        <v>588456</v>
      </c>
      <c r="D32" s="174">
        <f>633712+197559</f>
        <v>831271</v>
      </c>
      <c r="E32" s="174">
        <f>633712+37133</f>
        <v>670845</v>
      </c>
      <c r="F32" s="174">
        <f>633713+13190+209196</f>
        <v>856099</v>
      </c>
      <c r="G32" s="174">
        <f>633712+13191+209196</f>
        <v>856099</v>
      </c>
      <c r="H32" s="174">
        <f>633713+13191+209196+14886</f>
        <v>870986</v>
      </c>
      <c r="I32" s="174">
        <f>633712+13191+209196+145715</f>
        <v>1001814</v>
      </c>
      <c r="J32" s="174">
        <f>633713+13191+209196</f>
        <v>856100</v>
      </c>
      <c r="K32" s="174">
        <f>633712+209198+13191+95626</f>
        <v>951727</v>
      </c>
      <c r="L32" s="174">
        <f>633713+13191+209146</f>
        <v>856050</v>
      </c>
      <c r="M32" s="174">
        <f>633712+116974-76634</f>
        <v>674052</v>
      </c>
      <c r="N32" s="174">
        <v>633713</v>
      </c>
      <c r="O32" s="175">
        <f aca="true" t="shared" si="3" ref="O32:O46">SUM(C32:N32)</f>
        <v>9647212</v>
      </c>
      <c r="P32" s="197"/>
    </row>
    <row r="33" spans="1:15" ht="31.5">
      <c r="A33" s="172" t="s">
        <v>163</v>
      </c>
      <c r="B33" s="195" t="s">
        <v>237</v>
      </c>
      <c r="C33" s="174">
        <f>114923+2592+27283</f>
        <v>144798</v>
      </c>
      <c r="D33" s="174">
        <f>161885+27283</f>
        <v>189168</v>
      </c>
      <c r="E33" s="174">
        <f>161885+8707</f>
        <v>170592</v>
      </c>
      <c r="F33" s="174">
        <f>161885+2902+23011</f>
        <v>187798</v>
      </c>
      <c r="G33" s="174">
        <f>161885+2902+23011</f>
        <v>187798</v>
      </c>
      <c r="H33" s="174">
        <f>161885+2902+23011</f>
        <v>187798</v>
      </c>
      <c r="I33" s="174">
        <f>161885+2902+23011+32057</f>
        <v>219855</v>
      </c>
      <c r="J33" s="174">
        <f>161885+2902+23014</f>
        <v>187801</v>
      </c>
      <c r="K33" s="174">
        <f>161885+23011+2902+21038</f>
        <v>208836</v>
      </c>
      <c r="L33" s="174">
        <f>161885+2902+23018</f>
        <v>187805</v>
      </c>
      <c r="M33" s="174">
        <f>161885+12853</f>
        <v>174738</v>
      </c>
      <c r="N33" s="174">
        <v>161885</v>
      </c>
      <c r="O33" s="175">
        <f t="shared" si="3"/>
        <v>2208872</v>
      </c>
    </row>
    <row r="34" spans="1:17" ht="15.75">
      <c r="A34" s="172" t="s">
        <v>165</v>
      </c>
      <c r="B34" s="176" t="s">
        <v>112</v>
      </c>
      <c r="C34" s="174">
        <v>796000</v>
      </c>
      <c r="D34" s="174">
        <f>730000+63487</f>
        <v>793487</v>
      </c>
      <c r="E34" s="174">
        <f>752600+69464</f>
        <v>822064</v>
      </c>
      <c r="F34" s="174">
        <v>856000</v>
      </c>
      <c r="G34" s="174">
        <v>720000</v>
      </c>
      <c r="H34" s="174">
        <f>654000+59000+15930</f>
        <v>728930</v>
      </c>
      <c r="I34" s="174">
        <f>671700+91000+24570+56030</f>
        <v>843300</v>
      </c>
      <c r="J34" s="174">
        <v>722000</v>
      </c>
      <c r="K34" s="174">
        <f>732000+50000</f>
        <v>782000</v>
      </c>
      <c r="L34" s="174">
        <v>752000</v>
      </c>
      <c r="M34" s="174">
        <f>820429+271439+76634</f>
        <v>1168502</v>
      </c>
      <c r="N34" s="174">
        <v>24935890</v>
      </c>
      <c r="O34" s="175">
        <f t="shared" si="3"/>
        <v>33920173</v>
      </c>
      <c r="Q34" s="208"/>
    </row>
    <row r="35" spans="1:15" ht="15.75">
      <c r="A35" s="172" t="s">
        <v>170</v>
      </c>
      <c r="B35" s="176" t="s">
        <v>113</v>
      </c>
      <c r="C35" s="174">
        <v>21000</v>
      </c>
      <c r="D35" s="174">
        <v>21000</v>
      </c>
      <c r="E35" s="174">
        <v>21000</v>
      </c>
      <c r="F35" s="174">
        <v>21000</v>
      </c>
      <c r="G35" s="174">
        <v>21000</v>
      </c>
      <c r="H35" s="174">
        <v>21000</v>
      </c>
      <c r="I35" s="174">
        <v>21000</v>
      </c>
      <c r="J35" s="174">
        <v>251000</v>
      </c>
      <c r="K35" s="174">
        <f>67400</f>
        <v>67400</v>
      </c>
      <c r="L35" s="174">
        <v>21000</v>
      </c>
      <c r="M35" s="174">
        <v>395000</v>
      </c>
      <c r="N35" s="174">
        <v>540000</v>
      </c>
      <c r="O35" s="175">
        <f t="shared" si="3"/>
        <v>1421400</v>
      </c>
    </row>
    <row r="36" spans="1:15" ht="15.75">
      <c r="A36" s="172" t="s">
        <v>172</v>
      </c>
      <c r="B36" s="176" t="s">
        <v>238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</row>
    <row r="37" spans="1:16" ht="15.75">
      <c r="A37" s="172"/>
      <c r="B37" s="176" t="s">
        <v>240</v>
      </c>
      <c r="C37" s="174">
        <v>41000</v>
      </c>
      <c r="D37" s="174">
        <f>10000</f>
        <v>10000</v>
      </c>
      <c r="E37" s="174">
        <f>43000</f>
        <v>43000</v>
      </c>
      <c r="F37" s="174">
        <f>21000</f>
        <v>21000</v>
      </c>
      <c r="G37" s="174">
        <v>46000</v>
      </c>
      <c r="H37" s="174">
        <v>26190</v>
      </c>
      <c r="I37" s="174"/>
      <c r="J37" s="174"/>
      <c r="K37" s="174">
        <f>43000</f>
        <v>43000</v>
      </c>
      <c r="L37" s="174">
        <v>34000</v>
      </c>
      <c r="M37" s="174"/>
      <c r="N37" s="174"/>
      <c r="O37" s="175">
        <f t="shared" si="3"/>
        <v>264190</v>
      </c>
      <c r="P37" s="197"/>
    </row>
    <row r="38" spans="1:15" ht="15.75">
      <c r="A38" s="172" t="s">
        <v>174</v>
      </c>
      <c r="B38" s="176" t="s">
        <v>116</v>
      </c>
      <c r="C38" s="174"/>
      <c r="D38" s="174"/>
      <c r="E38" s="174"/>
      <c r="F38" s="174"/>
      <c r="G38" s="174">
        <v>250000</v>
      </c>
      <c r="H38" s="174"/>
      <c r="I38" s="174"/>
      <c r="J38" s="174"/>
      <c r="K38" s="174">
        <f>250000+44196293</f>
        <v>44446293</v>
      </c>
      <c r="L38" s="174">
        <v>1000000</v>
      </c>
      <c r="M38" s="174">
        <v>131000</v>
      </c>
      <c r="N38" s="174">
        <v>42804285</v>
      </c>
      <c r="O38" s="175">
        <f t="shared" si="3"/>
        <v>88631578</v>
      </c>
    </row>
    <row r="39" spans="1:15" ht="15.75">
      <c r="A39" s="172" t="s">
        <v>182</v>
      </c>
      <c r="B39" s="176" t="s">
        <v>37</v>
      </c>
      <c r="C39" s="174"/>
      <c r="D39" s="174"/>
      <c r="E39" s="174"/>
      <c r="F39" s="174">
        <v>5841632</v>
      </c>
      <c r="G39" s="174"/>
      <c r="H39" s="174"/>
      <c r="I39" s="174"/>
      <c r="J39" s="174"/>
      <c r="K39" s="174"/>
      <c r="L39" s="174"/>
      <c r="M39" s="174"/>
      <c r="N39" s="174"/>
      <c r="O39" s="175">
        <f t="shared" si="3"/>
        <v>5841632</v>
      </c>
    </row>
    <row r="40" spans="1:15" ht="20.25" customHeight="1">
      <c r="A40" s="172" t="s">
        <v>185</v>
      </c>
      <c r="B40" s="176" t="s">
        <v>175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5">
        <f t="shared" si="3"/>
        <v>0</v>
      </c>
    </row>
    <row r="41" spans="1:15" ht="20.25" customHeight="1">
      <c r="A41" s="172"/>
      <c r="B41" s="176" t="s">
        <v>239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5">
        <f t="shared" si="3"/>
        <v>0</v>
      </c>
    </row>
    <row r="42" spans="1:15" ht="15.75">
      <c r="A42" s="172"/>
      <c r="B42" s="176" t="s">
        <v>240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5">
        <f t="shared" si="3"/>
        <v>0</v>
      </c>
    </row>
    <row r="43" spans="1:15" ht="15.75">
      <c r="A43" s="172" t="s">
        <v>186</v>
      </c>
      <c r="B43" s="176" t="s">
        <v>109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5">
        <f t="shared" si="3"/>
        <v>0</v>
      </c>
    </row>
    <row r="44" spans="1:15" ht="15.75">
      <c r="A44" s="172"/>
      <c r="B44" s="176" t="s">
        <v>283</v>
      </c>
      <c r="C44" s="174">
        <v>700933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>
        <f t="shared" si="3"/>
        <v>700933</v>
      </c>
    </row>
    <row r="45" spans="1:15" ht="15.75">
      <c r="A45" s="172"/>
      <c r="B45" s="176" t="s">
        <v>241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>
        <f t="shared" si="3"/>
        <v>0</v>
      </c>
    </row>
    <row r="46" spans="1:16" ht="16.5" thickBot="1">
      <c r="A46" s="172" t="s">
        <v>242</v>
      </c>
      <c r="B46" s="176" t="s">
        <v>243</v>
      </c>
      <c r="C46" s="174"/>
      <c r="D46" s="174"/>
      <c r="E46" s="174"/>
      <c r="F46" s="174"/>
      <c r="G46" s="174">
        <f>6794577</f>
        <v>6794577</v>
      </c>
      <c r="H46" s="174"/>
      <c r="I46" s="174"/>
      <c r="J46" s="174">
        <f>55360+661875-246530-50000-271439</f>
        <v>149266</v>
      </c>
      <c r="K46" s="174"/>
      <c r="L46" s="174">
        <v>220625</v>
      </c>
      <c r="M46" s="174"/>
      <c r="N46" s="174"/>
      <c r="O46" s="175">
        <f t="shared" si="3"/>
        <v>7164468</v>
      </c>
      <c r="P46" s="197"/>
    </row>
    <row r="47" spans="1:19" s="13" customFormat="1" ht="24" customHeight="1" thickBot="1">
      <c r="A47" s="184"/>
      <c r="B47" s="184" t="s">
        <v>244</v>
      </c>
      <c r="C47" s="185">
        <f aca="true" t="shared" si="4" ref="C47:O47">SUM(C32:C46)</f>
        <v>2292187</v>
      </c>
      <c r="D47" s="185">
        <f t="shared" si="4"/>
        <v>1844926</v>
      </c>
      <c r="E47" s="185">
        <f t="shared" si="4"/>
        <v>1727501</v>
      </c>
      <c r="F47" s="185">
        <f t="shared" si="4"/>
        <v>7783529</v>
      </c>
      <c r="G47" s="185">
        <f t="shared" si="4"/>
        <v>8875474</v>
      </c>
      <c r="H47" s="185">
        <f t="shared" si="4"/>
        <v>1834904</v>
      </c>
      <c r="I47" s="185">
        <f t="shared" si="4"/>
        <v>2085969</v>
      </c>
      <c r="J47" s="185">
        <f t="shared" si="4"/>
        <v>2166167</v>
      </c>
      <c r="K47" s="185">
        <f t="shared" si="4"/>
        <v>46499256</v>
      </c>
      <c r="L47" s="185">
        <f t="shared" si="4"/>
        <v>3071480</v>
      </c>
      <c r="M47" s="185">
        <f t="shared" si="4"/>
        <v>2543292</v>
      </c>
      <c r="N47" s="185">
        <f t="shared" si="4"/>
        <v>69075773</v>
      </c>
      <c r="O47" s="186">
        <f t="shared" si="4"/>
        <v>149800458</v>
      </c>
      <c r="S47" s="190"/>
    </row>
    <row r="48" spans="1:15" ht="26.25" customHeight="1" thickBot="1">
      <c r="A48" s="191"/>
      <c r="B48" s="192" t="s">
        <v>245</v>
      </c>
      <c r="C48" s="193">
        <f aca="true" t="shared" si="5" ref="C48:N48">C30-C47</f>
        <v>1892926</v>
      </c>
      <c r="D48" s="193">
        <f t="shared" si="5"/>
        <v>1801233</v>
      </c>
      <c r="E48" s="193">
        <f t="shared" si="5"/>
        <v>2160753</v>
      </c>
      <c r="F48" s="193">
        <f t="shared" si="5"/>
        <v>995914</v>
      </c>
      <c r="G48" s="193">
        <f t="shared" si="5"/>
        <v>581574</v>
      </c>
      <c r="H48" s="193">
        <f t="shared" si="5"/>
        <v>373227</v>
      </c>
      <c r="I48" s="193">
        <f t="shared" si="5"/>
        <v>76587</v>
      </c>
      <c r="J48" s="193">
        <f t="shared" si="5"/>
        <v>2429675</v>
      </c>
      <c r="K48" s="193">
        <f t="shared" si="5"/>
        <v>2501260.3699999973</v>
      </c>
      <c r="L48" s="193">
        <f t="shared" si="5"/>
        <v>1274962.3699999973</v>
      </c>
      <c r="M48" s="193">
        <f t="shared" si="5"/>
        <v>502134.3699999973</v>
      </c>
      <c r="N48" s="193">
        <f t="shared" si="5"/>
        <v>0.3700000047683716</v>
      </c>
      <c r="O48" s="194"/>
    </row>
    <row r="50" spans="3:14" ht="15.75"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</row>
  </sheetData>
  <sheetProtection/>
  <mergeCells count="6">
    <mergeCell ref="B9:O9"/>
    <mergeCell ref="B5:O5"/>
    <mergeCell ref="B7:O7"/>
    <mergeCell ref="B8:O8"/>
    <mergeCell ref="A1:O1"/>
    <mergeCell ref="A6:O6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0.125" style="264" bestFit="1" customWidth="1"/>
    <col min="4" max="4" width="13.875" style="263" customWidth="1"/>
  </cols>
  <sheetData>
    <row r="3" ht="12.75">
      <c r="D3" s="263">
        <v>138250147</v>
      </c>
    </row>
    <row r="4" spans="1:4" ht="12.75">
      <c r="A4" s="265" t="s">
        <v>345</v>
      </c>
      <c r="B4">
        <v>12190</v>
      </c>
      <c r="C4">
        <v>12190</v>
      </c>
      <c r="D4" s="263">
        <f aca="true" t="shared" si="0" ref="D4:D24">D3+C4</f>
        <v>138262337</v>
      </c>
    </row>
    <row r="5" spans="2:4" ht="12.75">
      <c r="B5">
        <v>45840</v>
      </c>
      <c r="C5">
        <v>45840</v>
      </c>
      <c r="D5" s="263">
        <f t="shared" si="0"/>
        <v>138308177</v>
      </c>
    </row>
    <row r="6" spans="1:4" ht="12.75">
      <c r="A6" s="264">
        <v>2</v>
      </c>
      <c r="B6">
        <v>63487</v>
      </c>
      <c r="C6">
        <v>63487</v>
      </c>
      <c r="D6" s="263">
        <f t="shared" si="0"/>
        <v>138371664</v>
      </c>
    </row>
    <row r="7" spans="1:4" ht="12.75">
      <c r="A7" s="264">
        <v>3</v>
      </c>
      <c r="B7">
        <v>69464</v>
      </c>
      <c r="C7">
        <v>69464</v>
      </c>
      <c r="D7" s="263">
        <f t="shared" si="0"/>
        <v>138441128</v>
      </c>
    </row>
    <row r="8" spans="1:4" ht="12.75">
      <c r="A8" s="264">
        <v>4</v>
      </c>
      <c r="B8">
        <v>6794577</v>
      </c>
      <c r="C8">
        <v>6794577</v>
      </c>
      <c r="D8" s="263">
        <f t="shared" si="0"/>
        <v>145235705</v>
      </c>
    </row>
    <row r="9" spans="1:4" ht="12.75">
      <c r="A9" s="264">
        <v>5</v>
      </c>
      <c r="B9">
        <v>449683</v>
      </c>
      <c r="C9">
        <v>449683</v>
      </c>
      <c r="D9" s="263">
        <f t="shared" si="0"/>
        <v>145685388</v>
      </c>
    </row>
    <row r="10" spans="1:4" ht="12.75">
      <c r="A10" s="269" t="s">
        <v>345</v>
      </c>
      <c r="B10">
        <v>1000000</v>
      </c>
      <c r="C10">
        <v>1000000</v>
      </c>
      <c r="D10" s="263">
        <f t="shared" si="0"/>
        <v>146685388</v>
      </c>
    </row>
    <row r="11" spans="1:4" ht="12.75">
      <c r="A11" s="269" t="s">
        <v>310</v>
      </c>
      <c r="B11">
        <v>80464</v>
      </c>
      <c r="C11">
        <v>80464</v>
      </c>
      <c r="D11" s="263">
        <f t="shared" si="0"/>
        <v>146765852</v>
      </c>
    </row>
    <row r="12" spans="1:4" ht="12.75">
      <c r="A12" s="269" t="s">
        <v>311</v>
      </c>
      <c r="B12">
        <v>661875</v>
      </c>
      <c r="C12">
        <v>661875</v>
      </c>
      <c r="D12" s="263">
        <f t="shared" si="0"/>
        <v>147427727</v>
      </c>
    </row>
    <row r="13" spans="1:4" ht="12.75">
      <c r="A13" s="269" t="s">
        <v>312</v>
      </c>
      <c r="B13">
        <v>55360</v>
      </c>
      <c r="C13">
        <v>55360</v>
      </c>
      <c r="D13" s="263">
        <f t="shared" si="0"/>
        <v>147483087</v>
      </c>
    </row>
    <row r="14" spans="1:4" ht="12.75">
      <c r="A14" s="269" t="s">
        <v>353</v>
      </c>
      <c r="B14">
        <v>115570</v>
      </c>
      <c r="D14" s="263">
        <f t="shared" si="0"/>
        <v>147483087</v>
      </c>
    </row>
    <row r="15" spans="1:4" ht="12.75">
      <c r="A15" s="269" t="s">
        <v>317</v>
      </c>
      <c r="B15">
        <v>74930</v>
      </c>
      <c r="D15" s="263">
        <f t="shared" si="0"/>
        <v>147483087</v>
      </c>
    </row>
    <row r="16" spans="1:4" ht="12.75">
      <c r="A16" s="269" t="s">
        <v>354</v>
      </c>
      <c r="B16">
        <v>56030</v>
      </c>
      <c r="D16" s="263">
        <f t="shared" si="0"/>
        <v>147483087</v>
      </c>
    </row>
    <row r="17" spans="1:4" ht="12.75">
      <c r="A17" s="269" t="s">
        <v>355</v>
      </c>
      <c r="B17">
        <v>50000</v>
      </c>
      <c r="D17" s="263">
        <f t="shared" si="0"/>
        <v>147483087</v>
      </c>
    </row>
    <row r="18" spans="1:4" ht="12.75">
      <c r="A18" s="269" t="s">
        <v>356</v>
      </c>
      <c r="B18">
        <v>1408133</v>
      </c>
      <c r="C18">
        <v>1408133</v>
      </c>
      <c r="D18" s="263">
        <f t="shared" si="0"/>
        <v>148891220</v>
      </c>
    </row>
    <row r="19" spans="1:4" ht="12.75">
      <c r="A19" s="269" t="s">
        <v>357</v>
      </c>
      <c r="B19">
        <v>177772</v>
      </c>
      <c r="C19">
        <v>177772</v>
      </c>
      <c r="D19" s="263">
        <f t="shared" si="0"/>
        <v>149068992</v>
      </c>
    </row>
    <row r="20" spans="1:4" ht="12.75">
      <c r="A20" s="269" t="s">
        <v>377</v>
      </c>
      <c r="B20">
        <v>32186</v>
      </c>
      <c r="C20">
        <v>32186</v>
      </c>
      <c r="D20" s="263">
        <f t="shared" si="0"/>
        <v>149101178</v>
      </c>
    </row>
    <row r="21" spans="1:4" ht="12.75">
      <c r="A21" s="269" t="s">
        <v>378</v>
      </c>
      <c r="B21">
        <v>220625</v>
      </c>
      <c r="C21">
        <v>220625</v>
      </c>
      <c r="D21" s="263">
        <f t="shared" si="0"/>
        <v>149321803</v>
      </c>
    </row>
    <row r="22" spans="1:4" ht="12.75">
      <c r="A22" s="269" t="s">
        <v>379</v>
      </c>
      <c r="B22">
        <v>271439</v>
      </c>
      <c r="D22" s="263">
        <f t="shared" si="0"/>
        <v>149321803</v>
      </c>
    </row>
    <row r="23" spans="1:4" ht="12.75">
      <c r="A23" s="269" t="s">
        <v>380</v>
      </c>
      <c r="B23">
        <v>361991</v>
      </c>
      <c r="C23">
        <v>361991</v>
      </c>
      <c r="D23" s="263">
        <f t="shared" si="0"/>
        <v>149683794</v>
      </c>
    </row>
    <row r="24" spans="1:4" ht="12.75">
      <c r="A24" s="269" t="s">
        <v>381</v>
      </c>
      <c r="B24">
        <v>116664</v>
      </c>
      <c r="C24">
        <v>116664</v>
      </c>
      <c r="D24" s="263">
        <f t="shared" si="0"/>
        <v>149800458</v>
      </c>
    </row>
    <row r="25" ht="12.75">
      <c r="A25" s="3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Rába Csabáné</cp:lastModifiedBy>
  <cp:lastPrinted>2017-11-20T13:27:24Z</cp:lastPrinted>
  <dcterms:created xsi:type="dcterms:W3CDTF">2002-11-26T17:22:50Z</dcterms:created>
  <dcterms:modified xsi:type="dcterms:W3CDTF">2017-11-20T13:29:26Z</dcterms:modified>
  <cp:category/>
  <cp:version/>
  <cp:contentType/>
  <cp:contentStatus/>
</cp:coreProperties>
</file>