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760" tabRatio="728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6-a.melléklet" sheetId="94" r:id="rId12"/>
    <sheet name="7.sz.mell." sheetId="64" r:id="rId13"/>
    <sheet name="9.mell" sheetId="129" r:id="rId14"/>
    <sheet name="9.1. sz. mell" sheetId="3" r:id="rId15"/>
    <sheet name="9.1-a.mell." sheetId="126" r:id="rId16"/>
    <sheet name="9.1.1. sz. mell " sheetId="113" r:id="rId17"/>
    <sheet name="9.1.2. sz. mell  " sheetId="114" r:id="rId18"/>
    <sheet name="9.1.3. sz. mell   " sheetId="115" r:id="rId19"/>
    <sheet name="9.2. sz. mell" sheetId="79" r:id="rId20"/>
    <sheet name="9.2-a.sz.mell." sheetId="127" r:id="rId21"/>
    <sheet name="9.2.1. sz. mell" sheetId="98" r:id="rId22"/>
    <sheet name="9.3. sz. mell" sheetId="105" r:id="rId23"/>
    <sheet name="9.4. sz. mell " sheetId="119" r:id="rId24"/>
    <sheet name="9.5. sz. mell " sheetId="120" r:id="rId25"/>
    <sheet name="9.6. sz. mell " sheetId="121" r:id="rId26"/>
    <sheet name="9.7. sz. mell " sheetId="122" r:id="rId27"/>
    <sheet name="9.8. sz. mell " sheetId="123" r:id="rId28"/>
    <sheet name="9.8.1. sz. mell " sheetId="124" r:id="rId29"/>
    <sheet name="9.8.2. sz. mell " sheetId="125" r:id="rId30"/>
    <sheet name="10.sz.mell" sheetId="89" r:id="rId31"/>
    <sheet name="1. sz tájékoztató t" sheetId="66" r:id="rId32"/>
    <sheet name="2. sz tájékoztató t." sheetId="88" r:id="rId33"/>
    <sheet name="3.sz tájékoztató t." sheetId="24" r:id="rId34"/>
    <sheet name="4.sz.tájékoztató" sheetId="128" r:id="rId35"/>
    <sheet name="5.sz tájékoztató t." sheetId="2" r:id="rId36"/>
    <sheet name="Munka1" sheetId="130" r:id="rId37"/>
  </sheets>
  <definedNames>
    <definedName name="_xlnm.Print_Titles" localSheetId="14">'9.1. sz. mell'!$1:$6</definedName>
    <definedName name="_xlnm.Print_Titles" localSheetId="16">'9.1.1. sz. mell '!$1:$6</definedName>
    <definedName name="_xlnm.Print_Titles" localSheetId="17">'9.1.2. sz. mell  '!$1:$6</definedName>
    <definedName name="_xlnm.Print_Titles" localSheetId="18">'9.1.3. sz. mell   '!$1:$6</definedName>
    <definedName name="_xlnm.Print_Titles" localSheetId="19">'9.2. sz. mell'!$1:$6</definedName>
    <definedName name="_xlnm.Print_Titles" localSheetId="21">'9.2.1. sz. mell'!$1:$6</definedName>
    <definedName name="_xlnm.Print_Titles" localSheetId="22">'9.3. sz. mell'!$1:$6</definedName>
    <definedName name="_xlnm.Print_Titles" localSheetId="23">'9.4. sz. mell '!$1:$6</definedName>
    <definedName name="_xlnm.Print_Titles" localSheetId="24">'9.5. sz. mell '!$1:$6</definedName>
    <definedName name="_xlnm.Print_Titles" localSheetId="25">'9.6. sz. mell '!$1:$6</definedName>
    <definedName name="_xlnm.Print_Titles" localSheetId="26">'9.7. sz. mell '!$1:$6</definedName>
    <definedName name="_xlnm.Print_Titles" localSheetId="27">'9.8. sz. mell '!$1:$6</definedName>
    <definedName name="_xlnm.Print_Titles" localSheetId="28">'9.8.1. sz. mell '!$1:$6</definedName>
    <definedName name="_xlnm.Print_Titles" localSheetId="29">'9.8.2. sz. mell '!$1:$6</definedName>
    <definedName name="_xlnm.Print_Area" localSheetId="0">'1.1.sz.mell.'!$A$1:$H$144</definedName>
    <definedName name="_xlnm.Print_Area" localSheetId="1">'1.2.sz.mell.'!$A$1:$C$132</definedName>
    <definedName name="_xlnm.Print_Area" localSheetId="2">'1.3.sz.mell.'!$A$1:$C$132</definedName>
    <definedName name="_xlnm.Print_Area" localSheetId="3">'1.4.sz.mell.'!$A$1:$C$131</definedName>
  </definedNames>
  <calcPr calcId="125725"/>
</workbook>
</file>

<file path=xl/calcChain.xml><?xml version="1.0" encoding="utf-8"?>
<calcChain xmlns="http://schemas.openxmlformats.org/spreadsheetml/2006/main">
  <c r="E31" i="94"/>
  <c r="F30"/>
  <c r="F31" s="1"/>
  <c r="E57" i="120" l="1"/>
  <c r="D9" i="64"/>
  <c r="D10"/>
  <c r="C11"/>
  <c r="D23" i="63"/>
  <c r="D33"/>
  <c r="F103" i="1"/>
  <c r="F99"/>
  <c r="F98"/>
  <c r="F97"/>
  <c r="F77"/>
  <c r="E28" i="94"/>
  <c r="F27"/>
  <c r="F28" s="1"/>
  <c r="E25"/>
  <c r="D22"/>
  <c r="F22" s="1"/>
  <c r="D23"/>
  <c r="F23" s="1"/>
  <c r="D24"/>
  <c r="F24" s="1"/>
  <c r="D21"/>
  <c r="C25"/>
  <c r="C32" s="1"/>
  <c r="D32" s="1"/>
  <c r="D12"/>
  <c r="D13" s="1"/>
  <c r="B13"/>
  <c r="F12"/>
  <c r="F13" s="1"/>
  <c r="F18"/>
  <c r="F19" s="1"/>
  <c r="E19"/>
  <c r="E16"/>
  <c r="G77" i="1"/>
  <c r="F15" i="94"/>
  <c r="F16" s="1"/>
  <c r="F101" i="1"/>
  <c r="G81"/>
  <c r="G82"/>
  <c r="G80"/>
  <c r="G78"/>
  <c r="G63"/>
  <c r="G64"/>
  <c r="G62"/>
  <c r="G58"/>
  <c r="G59"/>
  <c r="G57"/>
  <c r="G52"/>
  <c r="G53"/>
  <c r="G54"/>
  <c r="G55"/>
  <c r="G51"/>
  <c r="G41"/>
  <c r="G42"/>
  <c r="G43"/>
  <c r="G44"/>
  <c r="G45"/>
  <c r="G46"/>
  <c r="G47"/>
  <c r="G48"/>
  <c r="G49"/>
  <c r="G40"/>
  <c r="G29"/>
  <c r="G30"/>
  <c r="G31"/>
  <c r="G32"/>
  <c r="G33"/>
  <c r="G34"/>
  <c r="G35"/>
  <c r="G36"/>
  <c r="G37"/>
  <c r="G38"/>
  <c r="G28"/>
  <c r="G22"/>
  <c r="G23"/>
  <c r="G24"/>
  <c r="G25"/>
  <c r="G21"/>
  <c r="G15"/>
  <c r="G16"/>
  <c r="G17"/>
  <c r="G18"/>
  <c r="G19"/>
  <c r="G14"/>
  <c r="G8"/>
  <c r="G9"/>
  <c r="G10"/>
  <c r="G11"/>
  <c r="G12"/>
  <c r="G7"/>
  <c r="G46" i="122"/>
  <c r="G47"/>
  <c r="G48"/>
  <c r="G49"/>
  <c r="G45"/>
  <c r="G38"/>
  <c r="G39"/>
  <c r="G37"/>
  <c r="G21"/>
  <c r="G22"/>
  <c r="G23"/>
  <c r="G20"/>
  <c r="G10"/>
  <c r="G11"/>
  <c r="G12"/>
  <c r="G13"/>
  <c r="G14"/>
  <c r="G15"/>
  <c r="G16"/>
  <c r="G17"/>
  <c r="G18"/>
  <c r="G9"/>
  <c r="G10" i="121"/>
  <c r="G52"/>
  <c r="G46"/>
  <c r="G47"/>
  <c r="G48"/>
  <c r="G49"/>
  <c r="G50"/>
  <c r="G45"/>
  <c r="G38"/>
  <c r="G39"/>
  <c r="G37"/>
  <c r="E51" i="120"/>
  <c r="E46"/>
  <c r="E47"/>
  <c r="E48"/>
  <c r="E49"/>
  <c r="E45"/>
  <c r="E38"/>
  <c r="E39"/>
  <c r="E37"/>
  <c r="E28"/>
  <c r="E33"/>
  <c r="E53"/>
  <c r="E58"/>
  <c r="E54"/>
  <c r="E52"/>
  <c r="E34"/>
  <c r="E32"/>
  <c r="E30"/>
  <c r="E27"/>
  <c r="E24"/>
  <c r="E23"/>
  <c r="E22"/>
  <c r="E21"/>
  <c r="E20"/>
  <c r="E18"/>
  <c r="E17"/>
  <c r="E16"/>
  <c r="E15"/>
  <c r="E14"/>
  <c r="E13"/>
  <c r="E12"/>
  <c r="E11"/>
  <c r="E10"/>
  <c r="E9"/>
  <c r="D50"/>
  <c r="D44"/>
  <c r="D36"/>
  <c r="D29"/>
  <c r="D25"/>
  <c r="D19"/>
  <c r="D8"/>
  <c r="G126" i="3"/>
  <c r="G127"/>
  <c r="G128"/>
  <c r="G125"/>
  <c r="G106"/>
  <c r="G105"/>
  <c r="G100"/>
  <c r="G101"/>
  <c r="G102"/>
  <c r="G103"/>
  <c r="G99"/>
  <c r="G94"/>
  <c r="G95"/>
  <c r="G96"/>
  <c r="G97"/>
  <c r="G93"/>
  <c r="E32" i="94" l="1"/>
  <c r="D25"/>
  <c r="F32"/>
  <c r="F21"/>
  <c r="F25" s="1"/>
  <c r="E36" i="120"/>
  <c r="D35"/>
  <c r="D40" s="1"/>
  <c r="E19"/>
  <c r="E26"/>
  <c r="E25" s="1"/>
  <c r="E31"/>
  <c r="E29" s="1"/>
  <c r="E44"/>
  <c r="E8"/>
  <c r="E50"/>
  <c r="D55"/>
  <c r="E55" l="1"/>
  <c r="E35"/>
  <c r="E40" s="1"/>
  <c r="G79" i="3" l="1"/>
  <c r="G80"/>
  <c r="G78"/>
  <c r="G76"/>
  <c r="G75"/>
  <c r="G71"/>
  <c r="G72"/>
  <c r="G73"/>
  <c r="G70"/>
  <c r="G67"/>
  <c r="G68"/>
  <c r="G66"/>
  <c r="G61"/>
  <c r="G62"/>
  <c r="G63"/>
  <c r="G60"/>
  <c r="G56"/>
  <c r="G57"/>
  <c r="G58"/>
  <c r="G55"/>
  <c r="G50"/>
  <c r="G51"/>
  <c r="G52"/>
  <c r="G53"/>
  <c r="G49"/>
  <c r="G39"/>
  <c r="G40"/>
  <c r="G37" s="1"/>
  <c r="G41"/>
  <c r="G42"/>
  <c r="G43"/>
  <c r="G44"/>
  <c r="G45"/>
  <c r="G46"/>
  <c r="G47"/>
  <c r="G38"/>
  <c r="G32"/>
  <c r="G33"/>
  <c r="G34"/>
  <c r="G35"/>
  <c r="G30" s="1"/>
  <c r="G36"/>
  <c r="G31"/>
  <c r="G25"/>
  <c r="G26"/>
  <c r="G23" s="1"/>
  <c r="G27"/>
  <c r="G28"/>
  <c r="G29"/>
  <c r="G24"/>
  <c r="G18"/>
  <c r="G19"/>
  <c r="G20"/>
  <c r="G21"/>
  <c r="G22"/>
  <c r="G17"/>
  <c r="G10"/>
  <c r="G11"/>
  <c r="G12"/>
  <c r="G13"/>
  <c r="G9"/>
  <c r="F50" i="122"/>
  <c r="G44"/>
  <c r="F44"/>
  <c r="F55" s="1"/>
  <c r="G36"/>
  <c r="F36"/>
  <c r="F29"/>
  <c r="F25"/>
  <c r="G19"/>
  <c r="F19"/>
  <c r="G8"/>
  <c r="F8"/>
  <c r="G8" i="121"/>
  <c r="G51"/>
  <c r="F51"/>
  <c r="G44"/>
  <c r="G56" s="1"/>
  <c r="F44"/>
  <c r="F56" s="1"/>
  <c r="G36"/>
  <c r="F36"/>
  <c r="F40" s="1"/>
  <c r="F29"/>
  <c r="F25"/>
  <c r="F19"/>
  <c r="F8"/>
  <c r="G137" i="3"/>
  <c r="E137"/>
  <c r="F8"/>
  <c r="F129"/>
  <c r="G124"/>
  <c r="F124"/>
  <c r="F119"/>
  <c r="F115"/>
  <c r="F134" s="1"/>
  <c r="G104"/>
  <c r="F104"/>
  <c r="G98"/>
  <c r="F98"/>
  <c r="G92"/>
  <c r="G114" s="1"/>
  <c r="F92"/>
  <c r="F114" s="1"/>
  <c r="F135" s="1"/>
  <c r="F81"/>
  <c r="F77"/>
  <c r="G74"/>
  <c r="F74"/>
  <c r="F69"/>
  <c r="F65"/>
  <c r="F87" s="1"/>
  <c r="G59"/>
  <c r="F59"/>
  <c r="F54"/>
  <c r="G48"/>
  <c r="F48"/>
  <c r="F37"/>
  <c r="F30"/>
  <c r="F23"/>
  <c r="F16"/>
  <c r="F27" i="1"/>
  <c r="D39"/>
  <c r="G39"/>
  <c r="F39"/>
  <c r="D27"/>
  <c r="D20"/>
  <c r="D13"/>
  <c r="D6"/>
  <c r="F6"/>
  <c r="F133"/>
  <c r="F128"/>
  <c r="F123"/>
  <c r="F119"/>
  <c r="F138" s="1"/>
  <c r="F108"/>
  <c r="F102"/>
  <c r="F96"/>
  <c r="F83"/>
  <c r="F79"/>
  <c r="G76"/>
  <c r="F76"/>
  <c r="F71"/>
  <c r="F89" s="1"/>
  <c r="F144" s="1"/>
  <c r="F61"/>
  <c r="G56"/>
  <c r="F56"/>
  <c r="G50"/>
  <c r="F50"/>
  <c r="F20"/>
  <c r="F13"/>
  <c r="F66"/>
  <c r="E58" i="123"/>
  <c r="E57"/>
  <c r="E52"/>
  <c r="E53"/>
  <c r="E54"/>
  <c r="E51"/>
  <c r="D50"/>
  <c r="E50"/>
  <c r="E46"/>
  <c r="E47"/>
  <c r="E48"/>
  <c r="E49"/>
  <c r="E45"/>
  <c r="E44" s="1"/>
  <c r="E55" s="1"/>
  <c r="D44"/>
  <c r="D55"/>
  <c r="E38"/>
  <c r="E39"/>
  <c r="E37"/>
  <c r="D36"/>
  <c r="E33"/>
  <c r="E34"/>
  <c r="E31"/>
  <c r="E32"/>
  <c r="E30"/>
  <c r="E29" s="1"/>
  <c r="D29"/>
  <c r="E27"/>
  <c r="E28"/>
  <c r="E26"/>
  <c r="D25"/>
  <c r="E25"/>
  <c r="E24"/>
  <c r="E21"/>
  <c r="E22"/>
  <c r="E23"/>
  <c r="E20"/>
  <c r="E19" s="1"/>
  <c r="D19"/>
  <c r="E10"/>
  <c r="E11"/>
  <c r="E12"/>
  <c r="E13"/>
  <c r="E14"/>
  <c r="E15"/>
  <c r="E16"/>
  <c r="E17"/>
  <c r="E18"/>
  <c r="E9"/>
  <c r="E8" s="1"/>
  <c r="E35" s="1"/>
  <c r="D8"/>
  <c r="D35"/>
  <c r="E58" i="122"/>
  <c r="G58" s="1"/>
  <c r="E57"/>
  <c r="G57" s="1"/>
  <c r="E52"/>
  <c r="G52" s="1"/>
  <c r="E53"/>
  <c r="G53" s="1"/>
  <c r="E54"/>
  <c r="G54" s="1"/>
  <c r="E51"/>
  <c r="G51" s="1"/>
  <c r="D50"/>
  <c r="E46"/>
  <c r="E47"/>
  <c r="E48"/>
  <c r="E49"/>
  <c r="E45"/>
  <c r="E44" s="1"/>
  <c r="D44"/>
  <c r="D55"/>
  <c r="E38"/>
  <c r="E39"/>
  <c r="E37"/>
  <c r="E36" s="1"/>
  <c r="D36"/>
  <c r="E34"/>
  <c r="G34" s="1"/>
  <c r="E33"/>
  <c r="G33" s="1"/>
  <c r="E31"/>
  <c r="G31" s="1"/>
  <c r="E32"/>
  <c r="E29" s="1"/>
  <c r="E30"/>
  <c r="G30" s="1"/>
  <c r="D29"/>
  <c r="E27"/>
  <c r="G27" s="1"/>
  <c r="E28"/>
  <c r="G28" s="1"/>
  <c r="E26"/>
  <c r="G26" s="1"/>
  <c r="G25" s="1"/>
  <c r="D25"/>
  <c r="E25"/>
  <c r="E24"/>
  <c r="G24" s="1"/>
  <c r="E21"/>
  <c r="E19" s="1"/>
  <c r="E22"/>
  <c r="E23"/>
  <c r="E20"/>
  <c r="D19"/>
  <c r="E10"/>
  <c r="E8" s="1"/>
  <c r="E11"/>
  <c r="E12"/>
  <c r="E13"/>
  <c r="E14"/>
  <c r="E15"/>
  <c r="E16"/>
  <c r="E17"/>
  <c r="E18"/>
  <c r="E9"/>
  <c r="D8"/>
  <c r="D35" s="1"/>
  <c r="D40" s="1"/>
  <c r="E59" i="121"/>
  <c r="G59" s="1"/>
  <c r="E58"/>
  <c r="G58" s="1"/>
  <c r="E53"/>
  <c r="E54"/>
  <c r="E55"/>
  <c r="E52"/>
  <c r="D51"/>
  <c r="E51"/>
  <c r="E46"/>
  <c r="E47"/>
  <c r="E48"/>
  <c r="E49"/>
  <c r="E50"/>
  <c r="E45"/>
  <c r="E44" s="1"/>
  <c r="E56" s="1"/>
  <c r="D44"/>
  <c r="D56"/>
  <c r="E38"/>
  <c r="E39"/>
  <c r="E37"/>
  <c r="E36" s="1"/>
  <c r="D36"/>
  <c r="D40"/>
  <c r="E33"/>
  <c r="G33" s="1"/>
  <c r="E31"/>
  <c r="G31" s="1"/>
  <c r="E32"/>
  <c r="G32" s="1"/>
  <c r="E30"/>
  <c r="G30" s="1"/>
  <c r="G29" s="1"/>
  <c r="D29"/>
  <c r="E29"/>
  <c r="E27"/>
  <c r="G27" s="1"/>
  <c r="E28"/>
  <c r="G28" s="1"/>
  <c r="E26"/>
  <c r="G26" s="1"/>
  <c r="G25" s="1"/>
  <c r="G24" s="1"/>
  <c r="D25"/>
  <c r="E25"/>
  <c r="E24"/>
  <c r="E21"/>
  <c r="G21" s="1"/>
  <c r="E22"/>
  <c r="G22" s="1"/>
  <c r="E23"/>
  <c r="G23" s="1"/>
  <c r="E20"/>
  <c r="G20" s="1"/>
  <c r="G19" s="1"/>
  <c r="D19"/>
  <c r="E19"/>
  <c r="E10"/>
  <c r="E11"/>
  <c r="E12"/>
  <c r="E13"/>
  <c r="E14"/>
  <c r="E15"/>
  <c r="E16"/>
  <c r="E17"/>
  <c r="E18"/>
  <c r="E9"/>
  <c r="D8"/>
  <c r="E8"/>
  <c r="E58" i="119"/>
  <c r="E57"/>
  <c r="E52"/>
  <c r="E53"/>
  <c r="E54"/>
  <c r="E51"/>
  <c r="E50" s="1"/>
  <c r="D50"/>
  <c r="E46"/>
  <c r="E47"/>
  <c r="E48"/>
  <c r="E49"/>
  <c r="E45"/>
  <c r="E44" s="1"/>
  <c r="E55" s="1"/>
  <c r="D44"/>
  <c r="D55" s="1"/>
  <c r="E38"/>
  <c r="E39"/>
  <c r="E37"/>
  <c r="E36" s="1"/>
  <c r="D36"/>
  <c r="E33"/>
  <c r="E34"/>
  <c r="E31"/>
  <c r="E32"/>
  <c r="E29" s="1"/>
  <c r="E30"/>
  <c r="D29"/>
  <c r="E27"/>
  <c r="E28"/>
  <c r="E26"/>
  <c r="D25"/>
  <c r="E25"/>
  <c r="E24"/>
  <c r="E21"/>
  <c r="E19" s="1"/>
  <c r="E22"/>
  <c r="E23"/>
  <c r="E20"/>
  <c r="D19"/>
  <c r="E10"/>
  <c r="E8" s="1"/>
  <c r="E35" s="1"/>
  <c r="E11"/>
  <c r="E12"/>
  <c r="E13"/>
  <c r="E14"/>
  <c r="E15"/>
  <c r="E16"/>
  <c r="E17"/>
  <c r="E18"/>
  <c r="E9"/>
  <c r="D8"/>
  <c r="D35" s="1"/>
  <c r="D40" s="1"/>
  <c r="E58" i="105"/>
  <c r="E57"/>
  <c r="E52"/>
  <c r="E53"/>
  <c r="E54"/>
  <c r="E51"/>
  <c r="D50"/>
  <c r="E46"/>
  <c r="E47"/>
  <c r="E48"/>
  <c r="E49"/>
  <c r="E45"/>
  <c r="D44"/>
  <c r="D55" s="1"/>
  <c r="E38"/>
  <c r="E39"/>
  <c r="E36" s="1"/>
  <c r="E37"/>
  <c r="D36"/>
  <c r="D40" s="1"/>
  <c r="E34"/>
  <c r="E33"/>
  <c r="E31"/>
  <c r="E32"/>
  <c r="E29" s="1"/>
  <c r="E30"/>
  <c r="D29"/>
  <c r="E27"/>
  <c r="E28"/>
  <c r="E26"/>
  <c r="D25"/>
  <c r="E25"/>
  <c r="E21"/>
  <c r="E22"/>
  <c r="E23"/>
  <c r="E20"/>
  <c r="D19"/>
  <c r="E19"/>
  <c r="E10"/>
  <c r="E11"/>
  <c r="E12"/>
  <c r="E13"/>
  <c r="E14"/>
  <c r="E15"/>
  <c r="E16"/>
  <c r="E17"/>
  <c r="E18"/>
  <c r="E9"/>
  <c r="D8"/>
  <c r="E8"/>
  <c r="E138" i="3"/>
  <c r="G138" s="1"/>
  <c r="E58" i="79"/>
  <c r="E57"/>
  <c r="E52"/>
  <c r="E53"/>
  <c r="E54"/>
  <c r="E51"/>
  <c r="D50"/>
  <c r="E50"/>
  <c r="E46"/>
  <c r="E47"/>
  <c r="E48"/>
  <c r="E49"/>
  <c r="E45"/>
  <c r="D44"/>
  <c r="D55" s="1"/>
  <c r="E39"/>
  <c r="E38"/>
  <c r="E37"/>
  <c r="D36"/>
  <c r="E36"/>
  <c r="E34"/>
  <c r="E33"/>
  <c r="E31"/>
  <c r="E32"/>
  <c r="E30"/>
  <c r="D29"/>
  <c r="E29"/>
  <c r="E27"/>
  <c r="E28"/>
  <c r="E26"/>
  <c r="D25"/>
  <c r="E25"/>
  <c r="E21"/>
  <c r="E22"/>
  <c r="E23"/>
  <c r="E20"/>
  <c r="D19"/>
  <c r="E19"/>
  <c r="E10"/>
  <c r="E11"/>
  <c r="E12"/>
  <c r="E13"/>
  <c r="E14"/>
  <c r="E15"/>
  <c r="E16"/>
  <c r="E17"/>
  <c r="E18"/>
  <c r="E9"/>
  <c r="D8"/>
  <c r="D35" s="1"/>
  <c r="D40" s="1"/>
  <c r="E131" i="3"/>
  <c r="G131" s="1"/>
  <c r="E132"/>
  <c r="G132" s="1"/>
  <c r="E133"/>
  <c r="G133" s="1"/>
  <c r="E130"/>
  <c r="G130" s="1"/>
  <c r="G129" s="1"/>
  <c r="D129"/>
  <c r="E129"/>
  <c r="E126"/>
  <c r="E127"/>
  <c r="E128"/>
  <c r="E125"/>
  <c r="D124"/>
  <c r="E124"/>
  <c r="E121"/>
  <c r="G121" s="1"/>
  <c r="E122"/>
  <c r="G122" s="1"/>
  <c r="E123"/>
  <c r="G123" s="1"/>
  <c r="E120"/>
  <c r="G120" s="1"/>
  <c r="G119" s="1"/>
  <c r="D119"/>
  <c r="E117"/>
  <c r="G117" s="1"/>
  <c r="E118"/>
  <c r="G118" s="1"/>
  <c r="E116"/>
  <c r="G116" s="1"/>
  <c r="G115" s="1"/>
  <c r="G134" s="1"/>
  <c r="D115"/>
  <c r="D134"/>
  <c r="E106"/>
  <c r="E107"/>
  <c r="E108"/>
  <c r="E109"/>
  <c r="E110"/>
  <c r="E111"/>
  <c r="E112"/>
  <c r="E113"/>
  <c r="E105"/>
  <c r="D104"/>
  <c r="E104"/>
  <c r="E100"/>
  <c r="E101"/>
  <c r="E98" s="1"/>
  <c r="E102"/>
  <c r="E103"/>
  <c r="E99"/>
  <c r="D98"/>
  <c r="E94"/>
  <c r="E95"/>
  <c r="E96"/>
  <c r="E93"/>
  <c r="D92"/>
  <c r="D114" s="1"/>
  <c r="D135" s="1"/>
  <c r="E83"/>
  <c r="G83" s="1"/>
  <c r="E84"/>
  <c r="G84" s="1"/>
  <c r="E85"/>
  <c r="G85" s="1"/>
  <c r="E82"/>
  <c r="G82" s="1"/>
  <c r="G81" s="1"/>
  <c r="D81"/>
  <c r="E81"/>
  <c r="E79"/>
  <c r="E80"/>
  <c r="E78"/>
  <c r="D77"/>
  <c r="E76"/>
  <c r="E74" s="1"/>
  <c r="E75"/>
  <c r="D74"/>
  <c r="E73"/>
  <c r="E71"/>
  <c r="E72"/>
  <c r="E70"/>
  <c r="D69"/>
  <c r="E67"/>
  <c r="E68"/>
  <c r="E66"/>
  <c r="D65"/>
  <c r="D87"/>
  <c r="E61"/>
  <c r="E62"/>
  <c r="E63"/>
  <c r="E60"/>
  <c r="D59"/>
  <c r="E59"/>
  <c r="E56"/>
  <c r="E57"/>
  <c r="E58"/>
  <c r="E55"/>
  <c r="D54"/>
  <c r="E54"/>
  <c r="E50"/>
  <c r="E51"/>
  <c r="E48" s="1"/>
  <c r="E52"/>
  <c r="E53"/>
  <c r="E49"/>
  <c r="D48"/>
  <c r="E39"/>
  <c r="E40"/>
  <c r="E41"/>
  <c r="E42"/>
  <c r="E43"/>
  <c r="E44"/>
  <c r="E45"/>
  <c r="E46"/>
  <c r="E47"/>
  <c r="E38"/>
  <c r="E36"/>
  <c r="D37"/>
  <c r="E37"/>
  <c r="E32"/>
  <c r="E33"/>
  <c r="E34"/>
  <c r="E35"/>
  <c r="D30"/>
  <c r="E24"/>
  <c r="D23"/>
  <c r="E23"/>
  <c r="E18"/>
  <c r="E19"/>
  <c r="E20"/>
  <c r="E21"/>
  <c r="E22"/>
  <c r="E17"/>
  <c r="D16"/>
  <c r="E16"/>
  <c r="E10"/>
  <c r="E11"/>
  <c r="E8" s="1"/>
  <c r="E12"/>
  <c r="E13"/>
  <c r="E9"/>
  <c r="D8"/>
  <c r="D64" s="1"/>
  <c r="D88" s="1"/>
  <c r="D6" i="64"/>
  <c r="D7"/>
  <c r="D8"/>
  <c r="D5"/>
  <c r="D11" s="1"/>
  <c r="C46" i="63"/>
  <c r="D37"/>
  <c r="D38"/>
  <c r="D39"/>
  <c r="D40"/>
  <c r="D41"/>
  <c r="D42"/>
  <c r="D36"/>
  <c r="D5"/>
  <c r="D6"/>
  <c r="D7"/>
  <c r="D8"/>
  <c r="D9"/>
  <c r="D10"/>
  <c r="D11"/>
  <c r="D12"/>
  <c r="D13"/>
  <c r="D14"/>
  <c r="D15"/>
  <c r="D16"/>
  <c r="D17"/>
  <c r="D18"/>
  <c r="D19"/>
  <c r="D20"/>
  <c r="D21"/>
  <c r="D22"/>
  <c r="D24"/>
  <c r="D25"/>
  <c r="D26"/>
  <c r="D27"/>
  <c r="D28"/>
  <c r="D29"/>
  <c r="D30"/>
  <c r="D31"/>
  <c r="D32"/>
  <c r="D34"/>
  <c r="D4"/>
  <c r="B46"/>
  <c r="C43"/>
  <c r="C45" s="1"/>
  <c r="C47" s="1"/>
  <c r="D43"/>
  <c r="E135" i="1"/>
  <c r="G135" s="1"/>
  <c r="E136"/>
  <c r="G136" s="1"/>
  <c r="E137"/>
  <c r="G137" s="1"/>
  <c r="E134"/>
  <c r="G134" s="1"/>
  <c r="G133" s="1"/>
  <c r="E130"/>
  <c r="G130" s="1"/>
  <c r="E131"/>
  <c r="G131" s="1"/>
  <c r="E132"/>
  <c r="G132" s="1"/>
  <c r="E129"/>
  <c r="G129" s="1"/>
  <c r="G128" s="1"/>
  <c r="E125"/>
  <c r="G125" s="1"/>
  <c r="E126"/>
  <c r="G126" s="1"/>
  <c r="E127"/>
  <c r="G127" s="1"/>
  <c r="E124"/>
  <c r="G124" s="1"/>
  <c r="G123" s="1"/>
  <c r="E121"/>
  <c r="G121" s="1"/>
  <c r="E122"/>
  <c r="G122" s="1"/>
  <c r="E120"/>
  <c r="G120" s="1"/>
  <c r="E110"/>
  <c r="G110" s="1"/>
  <c r="E111"/>
  <c r="G111" s="1"/>
  <c r="E112"/>
  <c r="G112" s="1"/>
  <c r="E113"/>
  <c r="G113" s="1"/>
  <c r="E114"/>
  <c r="G114" s="1"/>
  <c r="E115"/>
  <c r="G115" s="1"/>
  <c r="E116"/>
  <c r="G116" s="1"/>
  <c r="E117"/>
  <c r="G117" s="1"/>
  <c r="E104"/>
  <c r="G104" s="1"/>
  <c r="E105"/>
  <c r="G105" s="1"/>
  <c r="E106"/>
  <c r="G106" s="1"/>
  <c r="E107"/>
  <c r="G107" s="1"/>
  <c r="E103"/>
  <c r="G103" s="1"/>
  <c r="E98"/>
  <c r="G98" s="1"/>
  <c r="E100"/>
  <c r="G100" s="1"/>
  <c r="E97"/>
  <c r="G97" s="1"/>
  <c r="E85"/>
  <c r="G85" s="1"/>
  <c r="E86"/>
  <c r="G86" s="1"/>
  <c r="E87"/>
  <c r="G87" s="1"/>
  <c r="E84"/>
  <c r="G84" s="1"/>
  <c r="E81"/>
  <c r="E82"/>
  <c r="E80"/>
  <c r="G79" s="1"/>
  <c r="E78"/>
  <c r="E77"/>
  <c r="E76" s="1"/>
  <c r="E73"/>
  <c r="G73" s="1"/>
  <c r="E74"/>
  <c r="G74" s="1"/>
  <c r="E75"/>
  <c r="G75" s="1"/>
  <c r="E72"/>
  <c r="G72" s="1"/>
  <c r="G71" s="1"/>
  <c r="E69"/>
  <c r="G69" s="1"/>
  <c r="E70"/>
  <c r="G70" s="1"/>
  <c r="E68"/>
  <c r="G68" s="1"/>
  <c r="E63"/>
  <c r="E64"/>
  <c r="E65"/>
  <c r="G65" s="1"/>
  <c r="E62"/>
  <c r="E58"/>
  <c r="E59"/>
  <c r="E60"/>
  <c r="E57"/>
  <c r="E56" s="1"/>
  <c r="E52"/>
  <c r="E53"/>
  <c r="E54"/>
  <c r="E55"/>
  <c r="E51"/>
  <c r="E50" s="1"/>
  <c r="E41"/>
  <c r="E42"/>
  <c r="E43"/>
  <c r="E44"/>
  <c r="E45"/>
  <c r="E46"/>
  <c r="E47"/>
  <c r="E48"/>
  <c r="E49"/>
  <c r="E40"/>
  <c r="E39" s="1"/>
  <c r="E30"/>
  <c r="E31"/>
  <c r="E33"/>
  <c r="E34"/>
  <c r="E35"/>
  <c r="E37"/>
  <c r="E38"/>
  <c r="G27" s="1"/>
  <c r="E22"/>
  <c r="E23"/>
  <c r="E24"/>
  <c r="E25"/>
  <c r="E26"/>
  <c r="G26" s="1"/>
  <c r="E21"/>
  <c r="E20" s="1"/>
  <c r="E19"/>
  <c r="E15"/>
  <c r="E16"/>
  <c r="E17"/>
  <c r="E18"/>
  <c r="E14"/>
  <c r="E8"/>
  <c r="E9"/>
  <c r="E10"/>
  <c r="E11"/>
  <c r="E12"/>
  <c r="G6" s="1"/>
  <c r="E7"/>
  <c r="E6" s="1"/>
  <c r="E13" i="94"/>
  <c r="D133" i="1"/>
  <c r="E133"/>
  <c r="D128"/>
  <c r="E128"/>
  <c r="D123"/>
  <c r="E123"/>
  <c r="D119"/>
  <c r="D138"/>
  <c r="E119"/>
  <c r="E138"/>
  <c r="D108"/>
  <c r="D102"/>
  <c r="E102"/>
  <c r="D96"/>
  <c r="D83"/>
  <c r="D79"/>
  <c r="E79"/>
  <c r="D76"/>
  <c r="D71"/>
  <c r="D89"/>
  <c r="D144" s="1"/>
  <c r="E71"/>
  <c r="D61"/>
  <c r="E61"/>
  <c r="D56"/>
  <c r="D50"/>
  <c r="C13"/>
  <c r="D66"/>
  <c r="C6"/>
  <c r="G56" i="126"/>
  <c r="G54"/>
  <c r="G107"/>
  <c r="C72" i="96"/>
  <c r="C71" i="95"/>
  <c r="C95"/>
  <c r="C97" i="113"/>
  <c r="J14" i="126"/>
  <c r="C21" i="24"/>
  <c r="O21" s="1"/>
  <c r="C20"/>
  <c r="E10" i="73"/>
  <c r="C101" i="1"/>
  <c r="E101" s="1"/>
  <c r="G101" s="1"/>
  <c r="C97" i="3"/>
  <c r="E97" s="1"/>
  <c r="E92" s="1"/>
  <c r="E114" s="1"/>
  <c r="K16" i="129"/>
  <c r="J54" i="126"/>
  <c r="J105"/>
  <c r="K110"/>
  <c r="L6" i="24"/>
  <c r="I6"/>
  <c r="F6"/>
  <c r="C6"/>
  <c r="C74" i="114"/>
  <c r="C9" i="113"/>
  <c r="D22" i="2"/>
  <c r="C9" i="73"/>
  <c r="D16" i="129"/>
  <c r="C16"/>
  <c r="C15"/>
  <c r="K22"/>
  <c r="C109" i="1"/>
  <c r="E109" s="1"/>
  <c r="D18" i="129"/>
  <c r="D8" i="127"/>
  <c r="C8"/>
  <c r="B11" i="64"/>
  <c r="B43" i="63"/>
  <c r="B45"/>
  <c r="B47" s="1"/>
  <c r="B21" i="64"/>
  <c r="C99" i="1"/>
  <c r="E99"/>
  <c r="G99" s="1"/>
  <c r="D13" i="129"/>
  <c r="I13"/>
  <c r="I14"/>
  <c r="I19" s="1"/>
  <c r="D12"/>
  <c r="C36" i="1"/>
  <c r="E36"/>
  <c r="B15" i="129"/>
  <c r="E54" i="126"/>
  <c r="E8"/>
  <c r="E107"/>
  <c r="H15" i="129"/>
  <c r="I15"/>
  <c r="J15"/>
  <c r="K15"/>
  <c r="K19" s="1"/>
  <c r="G15"/>
  <c r="M19"/>
  <c r="C5" i="2"/>
  <c r="C36" i="124"/>
  <c r="C8"/>
  <c r="C97" i="114"/>
  <c r="C31" i="113"/>
  <c r="C30" s="1"/>
  <c r="E34"/>
  <c r="C8"/>
  <c r="C64" s="1"/>
  <c r="C88" s="1"/>
  <c r="C44" i="121"/>
  <c r="H18" i="126"/>
  <c r="H19"/>
  <c r="K19" s="1"/>
  <c r="H20"/>
  <c r="K20" s="1"/>
  <c r="D107"/>
  <c r="C107"/>
  <c r="B107"/>
  <c r="K40"/>
  <c r="D9" i="88"/>
  <c r="D30" s="1"/>
  <c r="C9"/>
  <c r="C23" i="129"/>
  <c r="D23"/>
  <c r="E23"/>
  <c r="G23"/>
  <c r="H23"/>
  <c r="J23"/>
  <c r="K23"/>
  <c r="B23"/>
  <c r="C24"/>
  <c r="D24"/>
  <c r="E24"/>
  <c r="G24"/>
  <c r="H24"/>
  <c r="I24"/>
  <c r="J24"/>
  <c r="K24"/>
  <c r="B24"/>
  <c r="E22"/>
  <c r="E25" s="1"/>
  <c r="G22"/>
  <c r="H22"/>
  <c r="H25"/>
  <c r="I22"/>
  <c r="J22"/>
  <c r="J25" s="1"/>
  <c r="B22"/>
  <c r="L17"/>
  <c r="L16"/>
  <c r="F17"/>
  <c r="E108" i="126"/>
  <c r="F107"/>
  <c r="C8" i="2"/>
  <c r="B8"/>
  <c r="B22"/>
  <c r="L10" i="129"/>
  <c r="L18"/>
  <c r="L24" s="1"/>
  <c r="F18"/>
  <c r="F24" s="1"/>
  <c r="J14"/>
  <c r="J19" s="1"/>
  <c r="H14"/>
  <c r="H19" s="1"/>
  <c r="G14"/>
  <c r="G19" s="1"/>
  <c r="E14"/>
  <c r="E19" s="1"/>
  <c r="D14"/>
  <c r="C14"/>
  <c r="B14"/>
  <c r="B19" s="1"/>
  <c r="L13"/>
  <c r="L23" s="1"/>
  <c r="F13"/>
  <c r="L12"/>
  <c r="F12"/>
  <c r="F10"/>
  <c r="L9"/>
  <c r="F9"/>
  <c r="L8"/>
  <c r="D8" s="1"/>
  <c r="F8" s="1"/>
  <c r="L7"/>
  <c r="L6"/>
  <c r="L22" s="1"/>
  <c r="B105" i="126"/>
  <c r="H102"/>
  <c r="K102"/>
  <c r="H89"/>
  <c r="K89"/>
  <c r="H100"/>
  <c r="K100"/>
  <c r="H99"/>
  <c r="K99"/>
  <c r="H51"/>
  <c r="K51"/>
  <c r="H52"/>
  <c r="K52"/>
  <c r="C29" i="1"/>
  <c r="E29"/>
  <c r="C32"/>
  <c r="E32"/>
  <c r="D24" i="128"/>
  <c r="D11" i="77"/>
  <c r="E11"/>
  <c r="F11"/>
  <c r="I13" i="127"/>
  <c r="G13"/>
  <c r="F13"/>
  <c r="D13"/>
  <c r="C13"/>
  <c r="B13"/>
  <c r="H12"/>
  <c r="J12"/>
  <c r="J11"/>
  <c r="H10"/>
  <c r="J10" s="1"/>
  <c r="J9"/>
  <c r="H8"/>
  <c r="F108" i="126"/>
  <c r="F109" s="1"/>
  <c r="C108"/>
  <c r="B108"/>
  <c r="B109"/>
  <c r="I105"/>
  <c r="F105"/>
  <c r="H104"/>
  <c r="K104"/>
  <c r="H103"/>
  <c r="K103"/>
  <c r="H101"/>
  <c r="K101"/>
  <c r="H98"/>
  <c r="K98"/>
  <c r="H97"/>
  <c r="K97"/>
  <c r="H96"/>
  <c r="K96"/>
  <c r="H95"/>
  <c r="K95"/>
  <c r="H94"/>
  <c r="K94"/>
  <c r="H93"/>
  <c r="K93"/>
  <c r="H92"/>
  <c r="K92"/>
  <c r="H91"/>
  <c r="K91"/>
  <c r="H90"/>
  <c r="K90"/>
  <c r="H88"/>
  <c r="K88"/>
  <c r="H87"/>
  <c r="K87"/>
  <c r="H86"/>
  <c r="K86"/>
  <c r="H85"/>
  <c r="K85"/>
  <c r="H84"/>
  <c r="K84"/>
  <c r="H83"/>
  <c r="K83"/>
  <c r="H82"/>
  <c r="K82"/>
  <c r="H81"/>
  <c r="K81"/>
  <c r="H80"/>
  <c r="K80"/>
  <c r="H79"/>
  <c r="K79"/>
  <c r="H78"/>
  <c r="K78"/>
  <c r="H77"/>
  <c r="K77"/>
  <c r="H76"/>
  <c r="K76"/>
  <c r="H75"/>
  <c r="K75"/>
  <c r="H74"/>
  <c r="K74"/>
  <c r="H73"/>
  <c r="K73"/>
  <c r="H72"/>
  <c r="K72"/>
  <c r="H71"/>
  <c r="K71"/>
  <c r="H69"/>
  <c r="K69"/>
  <c r="H68"/>
  <c r="K68"/>
  <c r="H67"/>
  <c r="K67"/>
  <c r="H66"/>
  <c r="K66"/>
  <c r="H65"/>
  <c r="K65"/>
  <c r="H64"/>
  <c r="K64"/>
  <c r="H63"/>
  <c r="K63"/>
  <c r="H62"/>
  <c r="K62"/>
  <c r="H61"/>
  <c r="K61"/>
  <c r="C105"/>
  <c r="H59"/>
  <c r="K59" s="1"/>
  <c r="H58"/>
  <c r="K58" s="1"/>
  <c r="H57"/>
  <c r="K57" s="1"/>
  <c r="H56"/>
  <c r="K56" s="1"/>
  <c r="H55"/>
  <c r="K55" s="1"/>
  <c r="H53"/>
  <c r="K53" s="1"/>
  <c r="H50"/>
  <c r="K50" s="1"/>
  <c r="H49"/>
  <c r="K49" s="1"/>
  <c r="H48"/>
  <c r="K48" s="1"/>
  <c r="H47"/>
  <c r="K47" s="1"/>
  <c r="H46"/>
  <c r="K46" s="1"/>
  <c r="H45"/>
  <c r="K45" s="1"/>
  <c r="H44"/>
  <c r="K44" s="1"/>
  <c r="K43"/>
  <c r="H42"/>
  <c r="K42"/>
  <c r="H41"/>
  <c r="K41"/>
  <c r="H39"/>
  <c r="K39"/>
  <c r="H38"/>
  <c r="K38"/>
  <c r="H37"/>
  <c r="K37"/>
  <c r="H36"/>
  <c r="K36"/>
  <c r="H35"/>
  <c r="K35"/>
  <c r="H34"/>
  <c r="K34"/>
  <c r="K33"/>
  <c r="H32"/>
  <c r="K32" s="1"/>
  <c r="H31"/>
  <c r="K31" s="1"/>
  <c r="H30"/>
  <c r="K30" s="1"/>
  <c r="H29"/>
  <c r="K29" s="1"/>
  <c r="H28"/>
  <c r="K28" s="1"/>
  <c r="H27"/>
  <c r="K27" s="1"/>
  <c r="H26"/>
  <c r="K26" s="1"/>
  <c r="G108" s="1"/>
  <c r="G109" s="1"/>
  <c r="H25"/>
  <c r="K25"/>
  <c r="K24"/>
  <c r="H23"/>
  <c r="K23" s="1"/>
  <c r="H22"/>
  <c r="K22" s="1"/>
  <c r="H21"/>
  <c r="K21" s="1"/>
  <c r="K18"/>
  <c r="H17"/>
  <c r="K17"/>
  <c r="H16"/>
  <c r="K16"/>
  <c r="H15"/>
  <c r="K15"/>
  <c r="H13"/>
  <c r="K13"/>
  <c r="H12"/>
  <c r="K12"/>
  <c r="H11"/>
  <c r="K11"/>
  <c r="H10"/>
  <c r="K10"/>
  <c r="C44" i="125"/>
  <c r="C115" i="3"/>
  <c r="C8"/>
  <c r="H14" i="126"/>
  <c r="K14" s="1"/>
  <c r="H60"/>
  <c r="K60" s="1"/>
  <c r="H70"/>
  <c r="K70" s="1"/>
  <c r="D105"/>
  <c r="C36" i="123"/>
  <c r="C50" i="79"/>
  <c r="C44" i="124"/>
  <c r="C50" i="125"/>
  <c r="C55" s="1"/>
  <c r="C36"/>
  <c r="C29"/>
  <c r="C25"/>
  <c r="C19"/>
  <c r="C8"/>
  <c r="C35"/>
  <c r="C40" s="1"/>
  <c r="C50" i="124"/>
  <c r="C29"/>
  <c r="C25"/>
  <c r="C19"/>
  <c r="C35"/>
  <c r="C40" s="1"/>
  <c r="C50" i="123"/>
  <c r="C44"/>
  <c r="C55" s="1"/>
  <c r="C29"/>
  <c r="C25"/>
  <c r="C19"/>
  <c r="C8"/>
  <c r="C35"/>
  <c r="C40" s="1"/>
  <c r="C50" i="122"/>
  <c r="C44"/>
  <c r="C36"/>
  <c r="C29"/>
  <c r="C25"/>
  <c r="C19"/>
  <c r="C8"/>
  <c r="C51" i="121"/>
  <c r="C56" s="1"/>
  <c r="C36"/>
  <c r="C29"/>
  <c r="C25"/>
  <c r="C19"/>
  <c r="C8"/>
  <c r="C35" s="1"/>
  <c r="C50" i="120"/>
  <c r="C44"/>
  <c r="C36"/>
  <c r="C29"/>
  <c r="C25"/>
  <c r="C19"/>
  <c r="C8"/>
  <c r="C35" s="1"/>
  <c r="C40" s="1"/>
  <c r="C50" i="119"/>
  <c r="C44"/>
  <c r="C55"/>
  <c r="C36"/>
  <c r="C29"/>
  <c r="C25"/>
  <c r="C19"/>
  <c r="C8"/>
  <c r="C35"/>
  <c r="C40" s="1"/>
  <c r="C24" i="73"/>
  <c r="C19"/>
  <c r="C139" i="115"/>
  <c r="C134"/>
  <c r="C129"/>
  <c r="C125"/>
  <c r="C144"/>
  <c r="C121"/>
  <c r="C107"/>
  <c r="C91"/>
  <c r="C124"/>
  <c r="C145" s="1"/>
  <c r="C80"/>
  <c r="C76"/>
  <c r="C73"/>
  <c r="C68"/>
  <c r="C64"/>
  <c r="C86" s="1"/>
  <c r="C58"/>
  <c r="C53"/>
  <c r="C47"/>
  <c r="C36"/>
  <c r="C30"/>
  <c r="C29" s="1"/>
  <c r="C63" s="1"/>
  <c r="C87" s="1"/>
  <c r="C22"/>
  <c r="C15"/>
  <c r="C8"/>
  <c r="C121" i="114"/>
  <c r="C116"/>
  <c r="C111"/>
  <c r="C107"/>
  <c r="C126" s="1"/>
  <c r="C103"/>
  <c r="C91"/>
  <c r="C80"/>
  <c r="C76"/>
  <c r="C73"/>
  <c r="C68"/>
  <c r="C64"/>
  <c r="C86" s="1"/>
  <c r="C58"/>
  <c r="C53"/>
  <c r="C47"/>
  <c r="C36"/>
  <c r="C30"/>
  <c r="C29"/>
  <c r="C22"/>
  <c r="C15"/>
  <c r="C63" s="1"/>
  <c r="C87" s="1"/>
  <c r="C122" i="113"/>
  <c r="C117"/>
  <c r="C112"/>
  <c r="C108"/>
  <c r="C127" s="1"/>
  <c r="C104"/>
  <c r="C98"/>
  <c r="C92"/>
  <c r="C81"/>
  <c r="C77"/>
  <c r="C74"/>
  <c r="C69"/>
  <c r="C65"/>
  <c r="C87"/>
  <c r="C59"/>
  <c r="C54"/>
  <c r="C48"/>
  <c r="C37"/>
  <c r="C23"/>
  <c r="C16"/>
  <c r="C50" i="105"/>
  <c r="C44"/>
  <c r="C55" s="1"/>
  <c r="C36"/>
  <c r="C29"/>
  <c r="C25"/>
  <c r="C19"/>
  <c r="C35"/>
  <c r="E35" s="1"/>
  <c r="C8"/>
  <c r="C50" i="98"/>
  <c r="C44"/>
  <c r="C36"/>
  <c r="C29"/>
  <c r="C25"/>
  <c r="C19"/>
  <c r="C8"/>
  <c r="C35" s="1"/>
  <c r="C40" s="1"/>
  <c r="C120" i="97"/>
  <c r="C115"/>
  <c r="C110"/>
  <c r="C106"/>
  <c r="C125" s="1"/>
  <c r="C102"/>
  <c r="C96"/>
  <c r="C90"/>
  <c r="C77"/>
  <c r="C73"/>
  <c r="C70"/>
  <c r="C65"/>
  <c r="C61"/>
  <c r="C83"/>
  <c r="C55"/>
  <c r="C50"/>
  <c r="C44"/>
  <c r="C33"/>
  <c r="C27"/>
  <c r="C26" s="1"/>
  <c r="C19"/>
  <c r="C12"/>
  <c r="C60" s="1"/>
  <c r="C5"/>
  <c r="C121" i="96"/>
  <c r="C116"/>
  <c r="C111"/>
  <c r="C107"/>
  <c r="C126"/>
  <c r="C103"/>
  <c r="C97"/>
  <c r="C91"/>
  <c r="C78"/>
  <c r="C74"/>
  <c r="C71"/>
  <c r="C66"/>
  <c r="C62"/>
  <c r="C84" s="1"/>
  <c r="C132" s="1"/>
  <c r="C56"/>
  <c r="C51"/>
  <c r="C45"/>
  <c r="C34"/>
  <c r="C28"/>
  <c r="C27"/>
  <c r="C20"/>
  <c r="C12"/>
  <c r="C5"/>
  <c r="C61" s="1"/>
  <c r="C121" i="95"/>
  <c r="C116"/>
  <c r="C111"/>
  <c r="C107"/>
  <c r="C126" s="1"/>
  <c r="C103"/>
  <c r="C97"/>
  <c r="C90"/>
  <c r="C77"/>
  <c r="C73"/>
  <c r="C70"/>
  <c r="C65"/>
  <c r="C61"/>
  <c r="C83" s="1"/>
  <c r="C55"/>
  <c r="C50"/>
  <c r="C44"/>
  <c r="C33"/>
  <c r="C27"/>
  <c r="C26"/>
  <c r="C19"/>
  <c r="C12"/>
  <c r="C5"/>
  <c r="H16" i="66"/>
  <c r="G16"/>
  <c r="F16"/>
  <c r="E16"/>
  <c r="D16"/>
  <c r="I16" s="1"/>
  <c r="H14"/>
  <c r="G14"/>
  <c r="F14"/>
  <c r="E14"/>
  <c r="I14" s="1"/>
  <c r="D14"/>
  <c r="H12"/>
  <c r="G12"/>
  <c r="F12"/>
  <c r="E12"/>
  <c r="D12"/>
  <c r="I12" s="1"/>
  <c r="H9"/>
  <c r="G9"/>
  <c r="F9"/>
  <c r="E9"/>
  <c r="D9"/>
  <c r="I9" s="1"/>
  <c r="I18" s="1"/>
  <c r="H6"/>
  <c r="H18"/>
  <c r="G6"/>
  <c r="G18"/>
  <c r="F6"/>
  <c r="F18"/>
  <c r="E6"/>
  <c r="E18"/>
  <c r="D6"/>
  <c r="D18"/>
  <c r="C30" i="88"/>
  <c r="C36" i="79"/>
  <c r="C29"/>
  <c r="C25"/>
  <c r="C19"/>
  <c r="C18" i="73"/>
  <c r="C129" i="3"/>
  <c r="C124"/>
  <c r="C119"/>
  <c r="C134"/>
  <c r="C104"/>
  <c r="C98"/>
  <c r="C92"/>
  <c r="C81"/>
  <c r="C77"/>
  <c r="C74"/>
  <c r="C69"/>
  <c r="C65"/>
  <c r="C87" s="1"/>
  <c r="C88" s="1"/>
  <c r="C59"/>
  <c r="C54"/>
  <c r="C48"/>
  <c r="C37"/>
  <c r="C31"/>
  <c r="E31"/>
  <c r="E30" s="1"/>
  <c r="C30"/>
  <c r="C23"/>
  <c r="C16"/>
  <c r="E17" i="61"/>
  <c r="C17"/>
  <c r="C133" i="1"/>
  <c r="C128"/>
  <c r="C123"/>
  <c r="C119"/>
  <c r="C138" s="1"/>
  <c r="C108"/>
  <c r="C102"/>
  <c r="C96"/>
  <c r="C83"/>
  <c r="C79"/>
  <c r="C76"/>
  <c r="C71"/>
  <c r="C67"/>
  <c r="C89"/>
  <c r="C61"/>
  <c r="C56"/>
  <c r="C50"/>
  <c r="C39"/>
  <c r="C28"/>
  <c r="C27" s="1"/>
  <c r="C66" s="1"/>
  <c r="E28"/>
  <c r="E27" s="1"/>
  <c r="C20"/>
  <c r="E30" i="61"/>
  <c r="E31" s="1"/>
  <c r="C18"/>
  <c r="C30" s="1"/>
  <c r="E27" i="73"/>
  <c r="D14" i="76"/>
  <c r="E18" i="73"/>
  <c r="C24" i="61"/>
  <c r="C44" i="79"/>
  <c r="C55" s="1"/>
  <c r="C8"/>
  <c r="C35" s="1"/>
  <c r="C40" s="1"/>
  <c r="E16" i="89"/>
  <c r="F16"/>
  <c r="D16"/>
  <c r="C16"/>
  <c r="G16" s="1"/>
  <c r="G15"/>
  <c r="G14"/>
  <c r="G13"/>
  <c r="G12"/>
  <c r="G11"/>
  <c r="G10"/>
  <c r="C9" i="78"/>
  <c r="C11" i="77"/>
  <c r="C11" i="62"/>
  <c r="D11"/>
  <c r="E11"/>
  <c r="F8"/>
  <c r="F9"/>
  <c r="F10"/>
  <c r="F7"/>
  <c r="F6"/>
  <c r="F11"/>
  <c r="I17" i="66"/>
  <c r="O9" i="24"/>
  <c r="I6" i="66"/>
  <c r="I7"/>
  <c r="I8"/>
  <c r="I10"/>
  <c r="I11"/>
  <c r="I13"/>
  <c r="I15"/>
  <c r="O5" i="24"/>
  <c r="N14"/>
  <c r="N25"/>
  <c r="M14"/>
  <c r="M25"/>
  <c r="M26" s="1"/>
  <c r="L14"/>
  <c r="L25"/>
  <c r="L26" s="1"/>
  <c r="K14"/>
  <c r="K26" s="1"/>
  <c r="K25"/>
  <c r="J14"/>
  <c r="I14"/>
  <c r="I26" s="1"/>
  <c r="H14"/>
  <c r="H26"/>
  <c r="G14"/>
  <c r="G25"/>
  <c r="G26" s="1"/>
  <c r="F14"/>
  <c r="O14" s="1"/>
  <c r="E14"/>
  <c r="E25"/>
  <c r="D14"/>
  <c r="C14"/>
  <c r="C26"/>
  <c r="C25"/>
  <c r="D25"/>
  <c r="D26" s="1"/>
  <c r="F25"/>
  <c r="H25"/>
  <c r="I25"/>
  <c r="O25" s="1"/>
  <c r="J25"/>
  <c r="O24"/>
  <c r="O23"/>
  <c r="O22"/>
  <c r="O20"/>
  <c r="O19"/>
  <c r="O18"/>
  <c r="O17"/>
  <c r="O16"/>
  <c r="O13"/>
  <c r="O12"/>
  <c r="O11"/>
  <c r="O10"/>
  <c r="O8"/>
  <c r="O7"/>
  <c r="O6"/>
  <c r="C22" i="2"/>
  <c r="C27" i="73"/>
  <c r="C28" s="1"/>
  <c r="H9" i="126"/>
  <c r="K9" s="1"/>
  <c r="C55" i="124"/>
  <c r="D55" s="1"/>
  <c r="B25" i="129"/>
  <c r="G25"/>
  <c r="C55" i="122"/>
  <c r="C35"/>
  <c r="C40" s="1"/>
  <c r="C40" i="105"/>
  <c r="J8" i="127"/>
  <c r="E13"/>
  <c r="L15" i="129"/>
  <c r="D15"/>
  <c r="C109" i="126"/>
  <c r="F16" i="129"/>
  <c r="L14"/>
  <c r="L19"/>
  <c r="I23"/>
  <c r="I25"/>
  <c r="D7"/>
  <c r="F14"/>
  <c r="F23"/>
  <c r="K25"/>
  <c r="H13" i="127"/>
  <c r="J13"/>
  <c r="C114" i="3"/>
  <c r="C135" s="1"/>
  <c r="C64"/>
  <c r="E109" i="126"/>
  <c r="H8"/>
  <c r="K8"/>
  <c r="E105"/>
  <c r="C118" i="1"/>
  <c r="D6" i="76"/>
  <c r="C32" i="61"/>
  <c r="C105" i="97"/>
  <c r="C126" s="1"/>
  <c r="C106" i="96"/>
  <c r="C127" s="1"/>
  <c r="C106" i="95"/>
  <c r="C127" s="1"/>
  <c r="C60"/>
  <c r="C131" s="1"/>
  <c r="C19" i="129"/>
  <c r="C22"/>
  <c r="C25" s="1"/>
  <c r="N26" i="24"/>
  <c r="E26"/>
  <c r="J26"/>
  <c r="C55" i="98"/>
  <c r="C106" i="114"/>
  <c r="C127" s="1"/>
  <c r="C107" i="113"/>
  <c r="D13" i="76"/>
  <c r="E32" i="61"/>
  <c r="E29" i="73"/>
  <c r="C29"/>
  <c r="E28"/>
  <c r="B13" i="76"/>
  <c r="E13" s="1"/>
  <c r="H54" i="126"/>
  <c r="K54"/>
  <c r="G105"/>
  <c r="H105"/>
  <c r="K105" s="1"/>
  <c r="K113" s="1"/>
  <c r="E30" i="73"/>
  <c r="C30"/>
  <c r="H107" i="126"/>
  <c r="D118" i="1"/>
  <c r="D139" s="1"/>
  <c r="F15" i="129"/>
  <c r="B7" i="76"/>
  <c r="D143" i="1"/>
  <c r="D90"/>
  <c r="F7" i="129"/>
  <c r="F26" i="24"/>
  <c r="D46" i="63" l="1"/>
  <c r="D45" s="1"/>
  <c r="D47" s="1"/>
  <c r="E50" i="105"/>
  <c r="E40"/>
  <c r="G102" i="1"/>
  <c r="F118"/>
  <c r="F139" s="1"/>
  <c r="D40" i="123"/>
  <c r="E36"/>
  <c r="E44" i="79"/>
  <c r="E55" s="1"/>
  <c r="E8"/>
  <c r="E35" s="1"/>
  <c r="E40" s="1"/>
  <c r="E44" i="105"/>
  <c r="E55" s="1"/>
  <c r="E40" i="119"/>
  <c r="C55" i="120"/>
  <c r="F64" i="3"/>
  <c r="F88" s="1"/>
  <c r="G16"/>
  <c r="G8"/>
  <c r="C33" i="61"/>
  <c r="E33"/>
  <c r="D15" i="76"/>
  <c r="D7"/>
  <c r="E7" s="1"/>
  <c r="C31" i="61"/>
  <c r="B6" i="76"/>
  <c r="E6" s="1"/>
  <c r="C143" i="1"/>
  <c r="C90"/>
  <c r="B8" i="76" s="1"/>
  <c r="C144" i="1"/>
  <c r="B14" i="76"/>
  <c r="E14" s="1"/>
  <c r="C139" i="1"/>
  <c r="B15" i="76" s="1"/>
  <c r="E15" s="1"/>
  <c r="C132" i="95"/>
  <c r="C84"/>
  <c r="D127" s="1"/>
  <c r="C131" i="96"/>
  <c r="C85"/>
  <c r="E35" i="121"/>
  <c r="C40"/>
  <c r="G109" i="1"/>
  <c r="G108" s="1"/>
  <c r="E108"/>
  <c r="C128" i="113"/>
  <c r="D127" i="96"/>
  <c r="D8" i="76"/>
  <c r="O26" i="24"/>
  <c r="C131" i="97"/>
  <c r="L25" i="129"/>
  <c r="G13" i="1"/>
  <c r="G61"/>
  <c r="G83"/>
  <c r="G96"/>
  <c r="G119"/>
  <c r="G138" s="1"/>
  <c r="G54" i="3"/>
  <c r="G65"/>
  <c r="G69"/>
  <c r="G77"/>
  <c r="E35" i="122"/>
  <c r="E40" s="1"/>
  <c r="G50"/>
  <c r="C130" i="97"/>
  <c r="C84"/>
  <c r="D55" i="125"/>
  <c r="G20" i="1"/>
  <c r="G89"/>
  <c r="E64" i="3"/>
  <c r="D108" i="126"/>
  <c r="D6" i="129"/>
  <c r="E96" i="1"/>
  <c r="E118" s="1"/>
  <c r="E139" s="1"/>
  <c r="E65" i="3"/>
  <c r="E69"/>
  <c r="E77"/>
  <c r="E115"/>
  <c r="E119"/>
  <c r="E40" i="123"/>
  <c r="E13" i="1"/>
  <c r="E66" s="1"/>
  <c r="E83"/>
  <c r="E89" s="1"/>
  <c r="E144" s="1"/>
  <c r="G135" i="3"/>
  <c r="F35" i="122"/>
  <c r="F40" s="1"/>
  <c r="G32"/>
  <c r="G29" s="1"/>
  <c r="G35" s="1"/>
  <c r="G40" s="1"/>
  <c r="G55"/>
  <c r="E50"/>
  <c r="E55" s="1"/>
  <c r="F90" i="1"/>
  <c r="G144" l="1"/>
  <c r="G118"/>
  <c r="G139" s="1"/>
  <c r="F143"/>
  <c r="G66"/>
  <c r="G90" s="1"/>
  <c r="G64" i="3"/>
  <c r="E90" i="1"/>
  <c r="E143"/>
  <c r="D109" i="126"/>
  <c r="H108"/>
  <c r="H109" s="1"/>
  <c r="E134" i="3"/>
  <c r="E135" s="1"/>
  <c r="G87"/>
  <c r="F6" i="129"/>
  <c r="D22"/>
  <c r="D25" s="1"/>
  <c r="D19"/>
  <c r="G35" i="121"/>
  <c r="G40" s="1"/>
  <c r="E40"/>
  <c r="G88" i="3"/>
  <c r="E87"/>
  <c r="E88" s="1"/>
  <c r="E8" i="76"/>
  <c r="G143" i="1" l="1"/>
  <c r="F22" i="129"/>
  <c r="F25" s="1"/>
  <c r="F19"/>
</calcChain>
</file>

<file path=xl/sharedStrings.xml><?xml version="1.0" encoding="utf-8"?>
<sst xmlns="http://schemas.openxmlformats.org/spreadsheetml/2006/main" count="3908" uniqueCount="857">
  <si>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</si>
  <si>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</si>
  <si>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</si>
  <si>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</si>
  <si>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</si>
  <si>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</si>
  <si>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</si>
  <si>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</si>
  <si>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</si>
  <si>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</si>
  <si>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</si>
  <si>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</si>
  <si>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</si>
  <si>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</si>
  <si>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</si>
  <si>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</si>
  <si>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</si>
  <si>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</si>
  <si>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</si>
  <si>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</si>
  <si>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</si>
  <si>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</si>
  <si>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</si>
  <si>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</si>
  <si>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</si>
  <si>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</si>
  <si>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</si>
  <si>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</si>
  <si>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</si>
  <si>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</si>
  <si>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</si>
  <si>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</si>
  <si>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</si>
  <si>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</si>
  <si>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</si>
  <si>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</si>
  <si>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</si>
  <si>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</si>
  <si>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</si>
  <si>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</si>
  <si>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</si>
  <si>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</si>
  <si>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</si>
  <si>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</si>
  <si>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</si>
  <si>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</si>
  <si>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</si>
  <si>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</si>
  <si>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</si>
  <si>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</si>
  <si>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</si>
  <si>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</si>
  <si>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</si>
  <si>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</si>
  <si>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</si>
  <si>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</si>
  <si>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</si>
  <si>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</si>
  <si>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</si>
  <si>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</si>
  <si>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</si>
  <si>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</si>
  <si>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</si>
  <si>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</si>
  <si>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</si>
  <si>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</si>
  <si>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</si>
  <si>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</si>
  <si>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</si>
  <si>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</si>
  <si>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</si>
  <si>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</si>
  <si>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</si>
  <si>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</si>
  <si>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</si>
  <si>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</si>
  <si>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</si>
  <si>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</si>
  <si>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</si>
  <si>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</si>
  <si>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</si>
  <si>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</si>
  <si>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</si>
  <si>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</si>
  <si>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</si>
  <si>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</si>
  <si>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</si>
  <si>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</si>
  <si>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</si>
  <si>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</si>
  <si>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</si>
  <si>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</si>
  <si>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</si>
  <si>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</si>
  <si>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</si>
  <si>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</si>
  <si>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</si>
  <si>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</si>
  <si>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</si>
  <si>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</si>
  <si>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</si>
  <si>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</si>
  <si>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</si>
  <si>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</si>
  <si>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</si>
  <si>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</si>
  <si>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</si>
  <si>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</si>
  <si>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</si>
  <si>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</si>
  <si>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</si>
  <si>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</si>
  <si>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</si>
  <si>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</si>
  <si>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</si>
  <si>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</si>
  <si>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</si>
  <si>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</si>
  <si>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</si>
  <si>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</si>
  <si>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</si>
  <si>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</si>
  <si>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</si>
  <si>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</si>
  <si>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</si>
  <si>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</si>
  <si>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</si>
  <si>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</si>
  <si>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kölcsön elengedése</t>
  </si>
  <si>
    <t>Dologi  kiadások</t>
  </si>
  <si>
    <t>Összesen (1+4+7+9+11)</t>
  </si>
  <si>
    <t>1.5.</t>
  </si>
  <si>
    <t>11.1.</t>
  </si>
  <si>
    <t>11.2.</t>
  </si>
  <si>
    <t>Költségvetési rendelet űrlapjainak összefüggései: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</si>
  <si>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</si>
  <si>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</si>
  <si>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</si>
  <si>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</si>
  <si>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</si>
  <si>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</si>
  <si>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</si>
  <si>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</si>
  <si>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</si>
  <si>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</si>
  <si>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</si>
  <si>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</si>
  <si>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</si>
  <si>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</si>
  <si>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</si>
  <si>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</si>
  <si>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</si>
  <si>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</si>
  <si>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</si>
  <si>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</si>
  <si>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</si>
  <si>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</si>
  <si>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</si>
  <si>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</si>
  <si>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</si>
  <si>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</si>
  <si>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</si>
  <si>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</si>
  <si>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</si>
  <si>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</si>
  <si>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</si>
  <si>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</si>
  <si>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</si>
  <si>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</si>
  <si>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</si>
  <si>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</si>
  <si>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</si>
  <si>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</si>
  <si>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</si>
  <si>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</si>
  <si>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</si>
  <si>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</si>
  <si>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</si>
  <si>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</si>
  <si>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</si>
  <si>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</si>
  <si>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</si>
  <si>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</si>
  <si>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</si>
  <si>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</si>
  <si>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</si>
  <si>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</si>
  <si>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</si>
  <si>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</si>
  <si>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</si>
  <si>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</si>
  <si>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</si>
  <si>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</si>
  <si>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</si>
  <si>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</si>
  <si>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</si>
  <si>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</si>
  <si>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</si>
  <si>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</si>
  <si>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</si>
  <si>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</si>
  <si>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</si>
  <si>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</si>
  <si>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</si>
  <si>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</si>
  <si>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</si>
  <si>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</si>
  <si>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</si>
  <si>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</si>
  <si>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</si>
  <si>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</si>
  <si>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</si>
  <si>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</si>
  <si>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</si>
  <si>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</si>
  <si>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</si>
  <si>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</si>
  <si>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</si>
  <si>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</si>
  <si>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</si>
  <si>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</si>
  <si>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</si>
  <si>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</si>
  <si>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</si>
  <si>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</si>
  <si>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</si>
  <si>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</si>
  <si>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</si>
  <si>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</si>
  <si>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</si>
  <si>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</si>
  <si>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</si>
  <si>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</si>
  <si>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</si>
  <si>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</si>
  <si>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Hiány belső finanszírozás bevételei ( 14+…+18)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</si>
  <si>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</si>
  <si>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</si>
  <si>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</si>
  <si>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</si>
  <si>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</si>
  <si>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</si>
  <si>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</si>
  <si>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</si>
  <si>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</si>
  <si>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</si>
  <si>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</si>
  <si>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</si>
  <si>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</si>
  <si>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</si>
  <si>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</si>
  <si>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</si>
  <si>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</si>
  <si>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</si>
  <si>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</si>
  <si>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</si>
  <si>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</si>
  <si>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</si>
  <si>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</si>
  <si>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</si>
  <si>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</si>
  <si>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</si>
  <si>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</si>
  <si>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</si>
  <si>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</si>
  <si>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</si>
  <si>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</si>
  <si>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</si>
  <si>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</si>
  <si>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</si>
  <si>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</si>
  <si>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</si>
  <si>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</si>
  <si>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</si>
  <si>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</si>
  <si>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</si>
  <si>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</si>
  <si>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</si>
  <si>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</si>
  <si>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</si>
  <si>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</si>
  <si>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</si>
  <si>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</si>
  <si>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</si>
  <si>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</si>
  <si>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</si>
  <si>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</si>
  <si>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</si>
  <si>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</si>
  <si>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</si>
  <si>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</si>
  <si>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</si>
  <si>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</si>
  <si>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</si>
  <si>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</si>
  <si>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</si>
  <si>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</si>
  <si>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</si>
  <si>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</si>
  <si>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</si>
  <si>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</si>
  <si>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</si>
  <si>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</si>
  <si>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</si>
  <si>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</si>
  <si>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</si>
  <si>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</si>
  <si>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</si>
  <si>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</si>
  <si>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</si>
  <si>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</si>
  <si>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</si>
  <si>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</si>
  <si>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</si>
  <si>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</si>
  <si>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</si>
  <si>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</si>
  <si>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</si>
  <si>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</si>
  <si>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</si>
  <si>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</si>
  <si>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</si>
  <si>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</si>
  <si>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</si>
  <si>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</si>
  <si>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</si>
  <si>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</si>
  <si>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</si>
  <si>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</si>
  <si>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</si>
  <si>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</si>
  <si>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</si>
  <si>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</si>
  <si>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</si>
  <si>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</si>
  <si>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</si>
  <si>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</si>
  <si>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</si>
  <si>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</si>
  <si>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</si>
  <si>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</si>
  <si>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</si>
  <si>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</si>
  <si>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</si>
  <si>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</si>
  <si>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</si>
  <si>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</si>
  <si>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</si>
  <si>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</si>
  <si>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</si>
  <si>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</si>
  <si>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</si>
  <si>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</si>
  <si>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</si>
  <si>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</si>
  <si>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</si>
  <si>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</si>
  <si>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</si>
  <si>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</si>
  <si>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</si>
  <si>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</si>
  <si>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</si>
  <si>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</si>
  <si>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</si>
  <si>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</si>
  <si>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</si>
  <si>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</si>
  <si>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</si>
  <si>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</si>
  <si>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</si>
  <si>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</si>
  <si>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</si>
  <si>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</si>
  <si>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</si>
  <si>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</si>
  <si>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</si>
  <si>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</si>
  <si>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</si>
  <si>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</si>
  <si>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</si>
  <si>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</si>
  <si>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</si>
  <si>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</si>
  <si>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</si>
  <si>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</si>
  <si>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</si>
  <si>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</si>
  <si>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</si>
  <si>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</si>
  <si>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</si>
  <si>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</si>
  <si>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</si>
  <si>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</si>
  <si>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</si>
  <si>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</si>
  <si>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</si>
  <si>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</si>
  <si>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</si>
  <si>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</si>
  <si>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</si>
  <si>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</si>
  <si>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</si>
  <si>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</si>
  <si>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</si>
  <si>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</si>
  <si>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</si>
  <si>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</si>
  <si>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</si>
  <si>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</si>
  <si>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</si>
  <si>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</si>
  <si>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</si>
  <si>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</si>
  <si>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</si>
  <si>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</si>
  <si>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</si>
  <si>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</si>
  <si>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</si>
  <si>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</si>
  <si>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</si>
  <si>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</si>
  <si>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</si>
  <si>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</si>
  <si>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</si>
  <si>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</si>
  <si>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</si>
  <si>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</si>
  <si>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</si>
  <si>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</si>
  <si>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</si>
  <si>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</si>
  <si>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</si>
  <si>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</si>
  <si>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</si>
  <si>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</si>
  <si>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</si>
  <si>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</si>
  <si>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</si>
  <si>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</si>
  <si>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Belföldi értékpapírok kiadásai (6.1. + … + 6.4.)</t>
  </si>
  <si>
    <t xml:space="preserve"> 10.</t>
  </si>
  <si>
    <t>......................, 2014. .......................... hó ..... nap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</si>
  <si>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</si>
  <si>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</si>
  <si>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</si>
  <si>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</si>
  <si>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</si>
  <si>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</si>
  <si>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</si>
  <si>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</si>
  <si>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</si>
  <si>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</si>
  <si>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</si>
  <si>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</si>
  <si>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</si>
  <si>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</si>
  <si>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</si>
  <si>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</si>
  <si>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</si>
  <si>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</si>
  <si>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</si>
  <si>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</si>
  <si>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</si>
  <si>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</si>
  <si>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</si>
  <si>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</si>
  <si>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</si>
  <si>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</si>
  <si>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</si>
  <si>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</si>
  <si>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</si>
  <si>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</si>
  <si>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</si>
  <si>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</si>
  <si>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</si>
  <si>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</si>
  <si>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</si>
  <si>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</si>
  <si>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</si>
  <si>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</si>
  <si>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</si>
  <si>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</si>
  <si>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</si>
  <si>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</si>
  <si>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Osztalék, a koncessziós díj és a hozambevétel</t>
  </si>
  <si>
    <t>nemleges</t>
  </si>
  <si>
    <t>Dabas Önkormányzat saját bevételeinek részletezése az adósságot keletkeztető ügyletből származó tárgyévi fizetési kötelezettség megállapításához</t>
  </si>
  <si>
    <t>Összes bevétel, kiadás - kötelező</t>
  </si>
  <si>
    <t>Összes bevétel, kiadás - kötelező feladat</t>
  </si>
  <si>
    <t>05</t>
  </si>
  <si>
    <t>06</t>
  </si>
  <si>
    <t>Összes bevétel, kiadás -  kötelező feladat</t>
  </si>
  <si>
    <t>07</t>
  </si>
  <si>
    <t>Összes bevétel, kiadás - Nem kötelező feladat</t>
  </si>
  <si>
    <t>Költségvetési szerv : Dabasi Intézményfenntartó Központ</t>
  </si>
  <si>
    <t>08</t>
  </si>
  <si>
    <t>Költségvetési szerv: Dabasi Intézményfenntartó Központ</t>
  </si>
  <si>
    <t>Kötelező feladatok bevételei, kiadásai - Konyha</t>
  </si>
  <si>
    <t>Dabas Önkormányzat adósságot keletkeztető ügyletekből és kezességvállalásokból fennálló kötelezettségei</t>
  </si>
  <si>
    <t>Államháztartáson belüli megelőlegezések folyósítása (intézményi finanszírozás)</t>
  </si>
  <si>
    <t>Egyéb kedvezmény ( rezsi elengedés)</t>
  </si>
  <si>
    <t>Önkormányzati Hivatal működésének támogatásaq</t>
  </si>
  <si>
    <t>Település-üzemeltetéshez kapcsólódó feladatellátás támogatása</t>
  </si>
  <si>
    <t>Óvodapedagógusok bértámogatása</t>
  </si>
  <si>
    <t>Óvodapedagógusok nevelő munkáját közvetlenül segítők bértámogatása</t>
  </si>
  <si>
    <t>Óvodaműködtetési támogatás</t>
  </si>
  <si>
    <t>Szociális és gyermekjóléti alapszolgáltatások általános feladatai</t>
  </si>
  <si>
    <t>Fogyatékos és demens személyek nappali ellátása</t>
  </si>
  <si>
    <t>Hozzájárulás a pénzbeli szociális ellátásokhoz</t>
  </si>
  <si>
    <t>Gyermekétkeztetés dolgozók bértámogatsáa</t>
  </si>
  <si>
    <t>Települési önkormányzatok nyilvános könyvtári és közművelődési feladatainak támogatása</t>
  </si>
  <si>
    <t>Óvodapedagógusok bértámogatásának pótlólagos összege</t>
  </si>
  <si>
    <t xml:space="preserve"> </t>
  </si>
  <si>
    <t>Gyermekétkeztetés üzemeltetési támogatása</t>
  </si>
  <si>
    <t>Polgármesteri hivatal</t>
  </si>
  <si>
    <t>Polgármesteri  hivatal</t>
  </si>
  <si>
    <t xml:space="preserve">   -- Építményadó</t>
  </si>
  <si>
    <t xml:space="preserve">   -- Kommunális adó</t>
  </si>
  <si>
    <t xml:space="preserve">   -- Iparűzésiadó</t>
  </si>
  <si>
    <t xml:space="preserve">   -- Idegenforgalmi adó</t>
  </si>
  <si>
    <t xml:space="preserve">   -- Talajterhelési díj</t>
  </si>
  <si>
    <t>2015. évi támogatás összesen</t>
  </si>
  <si>
    <t>Gyermekétkeztetés támogatása</t>
  </si>
  <si>
    <t>Elvonások és befizetések</t>
  </si>
  <si>
    <t>8.3.-ból EU-s támogatás (közvetlen) Ivóvízminőség javítás</t>
  </si>
  <si>
    <t>Államigazgatási feladatok bevételei, kiadásai</t>
  </si>
  <si>
    <t>Dabas Város Önkormányzata intézményeinek beruházásai</t>
  </si>
  <si>
    <t xml:space="preserve">Eredeti előirányzat teljes költség </t>
  </si>
  <si>
    <t>Polgármesteri Hivatal</t>
  </si>
  <si>
    <t xml:space="preserve">Informatikai  beszerzés </t>
  </si>
  <si>
    <t>összesen:</t>
  </si>
  <si>
    <t>Gyermekétkeztetés támogatsa</t>
  </si>
  <si>
    <t>Önkormányzat funkcionális kiadásai pénzforgalmi szemléletben</t>
  </si>
  <si>
    <t>Kormányzati funkció és Szakfeladat megnevezése</t>
  </si>
  <si>
    <t>Munkadót terhelő járulék</t>
  </si>
  <si>
    <t>Dologi kiadás</t>
  </si>
  <si>
    <t>Ellátottak juttatásai</t>
  </si>
  <si>
    <t>Támogatások</t>
  </si>
  <si>
    <t>Kiadások összesen</t>
  </si>
  <si>
    <t>Felújítás</t>
  </si>
  <si>
    <t>Beruházás</t>
  </si>
  <si>
    <t>011130 Önkormányzatok jogalkotó és általános igazgatási tevékenysége</t>
  </si>
  <si>
    <t xml:space="preserve"> -  999000-1 Önkormányzati feladatok</t>
  </si>
  <si>
    <t xml:space="preserve"> - 999000-1 Önkormányzati jogalkotás</t>
  </si>
  <si>
    <t>013320 Köztemető fenntartás és üzemeltetés</t>
  </si>
  <si>
    <t>013350 Önkormányzati vagyonnal való gazdálkodás</t>
  </si>
  <si>
    <t xml:space="preserve"> - 680001-1 Lakóingatlan bérbeadása,üzemeltetése</t>
  </si>
  <si>
    <t xml:space="preserve"> -  680002-1  Nem lakóingatlan bérbeadása, üzemeltetése</t>
  </si>
  <si>
    <t>016080 Kiemel állami és önkormányzati rendezvények</t>
  </si>
  <si>
    <t xml:space="preserve"> - 900400-1 Nemzeti ünnepek programjai</t>
  </si>
  <si>
    <t xml:space="preserve"> - 900400-2 Kiemelt állami és önkormányzati rendezvények</t>
  </si>
  <si>
    <t>018030 Támogatási célú finanszírozási műveletek</t>
  </si>
  <si>
    <t>022010 Polgári védelem</t>
  </si>
  <si>
    <t xml:space="preserve"> - 999000-1 Polgárvédelem ágazati feladatai</t>
  </si>
  <si>
    <t>031010 Közbiztonság, közrend igazgatása</t>
  </si>
  <si>
    <t xml:space="preserve"> - 999000-1 Közbiztonság, közrend központi igazgatása és szabályozása</t>
  </si>
  <si>
    <t>041110 Általános gazdasági ügyek igazgatása</t>
  </si>
  <si>
    <t>041120 Földügy igazgatása</t>
  </si>
  <si>
    <t xml:space="preserve"> - 813000-2 Földügy területi igazgatása -mezőőrök</t>
  </si>
  <si>
    <t>045120 Útépítés</t>
  </si>
  <si>
    <t>041233 Hosszabb időtartamú közfoglalkoztatás</t>
  </si>
  <si>
    <t xml:space="preserve"> - 999000-1 Közcélú foglalkoztatás</t>
  </si>
  <si>
    <t>042130 Növénytermesztés és kapcsolódó szolgáltatások</t>
  </si>
  <si>
    <t xml:space="preserve"> - 813001-2 Mezőgazdasági termelés</t>
  </si>
  <si>
    <t>045150 Egyéb szárazföldi személyszállítás</t>
  </si>
  <si>
    <t xml:space="preserve"> - 493909-2 M.n.s.személyszállítás(kisvonat)</t>
  </si>
  <si>
    <t>045160 Közutak üzemeltetése, fenntartása</t>
  </si>
  <si>
    <t>999000-1 Közutak üzemeltetése</t>
  </si>
  <si>
    <t>054020 Védett természeti területek és természeti értékek bemutatása</t>
  </si>
  <si>
    <t xml:space="preserve">   - 910422-1 Tájházak fenntartása</t>
  </si>
  <si>
    <t>056010 Környezetvédelmi programok</t>
  </si>
  <si>
    <t>064010 Közvilágítás</t>
  </si>
  <si>
    <t xml:space="preserve"> - 999000-1 Közvilágítás</t>
  </si>
  <si>
    <t>066010 Zöldterület-kezelés</t>
  </si>
  <si>
    <t xml:space="preserve"> - 813000-1 Zöldterület-kezelés</t>
  </si>
  <si>
    <t>066020 Városgazdálkodási egyéb szolgáltatások</t>
  </si>
  <si>
    <t xml:space="preserve"> - 680002-2 Vásár</t>
  </si>
  <si>
    <t>081041 Versenysport- és utánpótlás -nevelési tevékenység támogatása</t>
  </si>
  <si>
    <t>081045 Szabadidősport tevékenység és támogatása</t>
  </si>
  <si>
    <t>081061 Szabadidős park, fürdő és strandszolgáltatás</t>
  </si>
  <si>
    <t>082092 Közművelődés- hagyományos közösségi kulturális értékek gondozása</t>
  </si>
  <si>
    <t xml:space="preserve"> - 910502-1 Közművelődési intézmények, közösségi színterek működtetése</t>
  </si>
  <si>
    <t>083010 Műsorszolgáltatási és kiadói ügyek igazgatása</t>
  </si>
  <si>
    <t xml:space="preserve"> - 910501-2 Esküvői műsorszolgáltatás</t>
  </si>
  <si>
    <t>083020 Könyvkiadás</t>
  </si>
  <si>
    <t xml:space="preserve"> - 910501-2 Könyvkiadás</t>
  </si>
  <si>
    <t>083030 Egyéb kiadói tevékenység</t>
  </si>
  <si>
    <r>
      <t xml:space="preserve"> -  </t>
    </r>
    <r>
      <rPr>
        <sz val="12"/>
        <rFont val="Arial CE"/>
        <charset val="238"/>
      </rPr>
      <t>910501-2 Dabasi újság és egyéb</t>
    </r>
  </si>
  <si>
    <t>083040 Rádióműsor szolgáltatása és támogatása</t>
  </si>
  <si>
    <r>
      <t xml:space="preserve"> </t>
    </r>
    <r>
      <rPr>
        <sz val="12"/>
        <rFont val="Arial CE"/>
        <charset val="238"/>
      </rPr>
      <t>- 910501-2 Sportcsarnok Kft rádió támogatása</t>
    </r>
  </si>
  <si>
    <t>083050 Televíziós műsorszolgáltatás és támogatása</t>
  </si>
  <si>
    <t>084020 Nemzetiségi közfeldatok ellátása és támogatása</t>
  </si>
  <si>
    <t xml:space="preserve">  - 999000-1 Kisebbségek támogatása</t>
  </si>
  <si>
    <t>084031 Civil szervezetek működési támogatása</t>
  </si>
  <si>
    <t xml:space="preserve"> - 999000-2 Civil szervezetek támogatás</t>
  </si>
  <si>
    <t>084040 Egyházak támogatása</t>
  </si>
  <si>
    <t>084070 Fiatalok társadalmi integrációját segítő struktúra működtetése</t>
  </si>
  <si>
    <t xml:space="preserve"> - 999000-1 GyIÖK</t>
  </si>
  <si>
    <t xml:space="preserve"> - 999000-2 Bursa Hungarica</t>
  </si>
  <si>
    <t>086030 Nemzetközi kulturális együttműködés</t>
  </si>
  <si>
    <t xml:space="preserve"> - 900400-2  ÖK-ok nemzetközi kapcsolatai</t>
  </si>
  <si>
    <t xml:space="preserve"> - 999000-1 Családi Napközi</t>
  </si>
  <si>
    <t>102021 Időskorúak bentlakásos ellátása</t>
  </si>
  <si>
    <t xml:space="preserve"> - 999000-2 Gyóni intézmény</t>
  </si>
  <si>
    <t>104051 Gyermekvédelmi és pénzbeli természetbeni ellátások</t>
  </si>
  <si>
    <t xml:space="preserve"> - 999000-1 Rendszeres gyermekvédelmi pb.ellátás(méltányos)</t>
  </si>
  <si>
    <t xml:space="preserve"> - 999000-1 Étkezés támogatása</t>
  </si>
  <si>
    <t>106020 Lakásfenntartással, lakhatással összefüggő ellátások</t>
  </si>
  <si>
    <r>
      <t xml:space="preserve"> </t>
    </r>
    <r>
      <rPr>
        <sz val="12"/>
        <rFont val="Arial CE"/>
        <charset val="238"/>
      </rPr>
      <t>- 999000-1 Lakhatási támogatás</t>
    </r>
  </si>
  <si>
    <r>
      <t xml:space="preserve">  </t>
    </r>
    <r>
      <rPr>
        <sz val="12"/>
        <rFont val="Arial CE"/>
        <charset val="238"/>
      </rPr>
      <t>- 999000-1 Első lakáshoz jutók tám.</t>
    </r>
  </si>
  <si>
    <t>107060 Egyéb szociális pénzbeli és természetbeni ellátások, támogatások</t>
  </si>
  <si>
    <t xml:space="preserve"> - 999000-1 Mezőgazdasági támogatás</t>
  </si>
  <si>
    <t xml:space="preserve"> - 999000-1 Egyéb önkormányzati eseti pénzbeli ellátások hulladékszállítás</t>
  </si>
  <si>
    <t xml:space="preserve"> - 999000-1 Köztemetés, szociális temetés</t>
  </si>
  <si>
    <t>Kötelező feladatok</t>
  </si>
  <si>
    <t>Önként vállalt feldatok</t>
  </si>
  <si>
    <t>Tartalék</t>
  </si>
  <si>
    <t>Intézmény finanszírozás</t>
  </si>
  <si>
    <t>A sárgával jelöltek kötelező önkormányzati feladatok</t>
  </si>
  <si>
    <t>9.1-a.melléklet</t>
  </si>
  <si>
    <t>Pénzforgalmi szemléletben, közgazdasági osztályozás szerint</t>
  </si>
  <si>
    <t>Polgármesteri Hivatal funkcionális kiadásai pénzforgalmi szemléletben</t>
  </si>
  <si>
    <t>Szakfeladat megnevezése</t>
  </si>
  <si>
    <t>Ellátottak juttatása</t>
  </si>
  <si>
    <t>Kiadás összesen</t>
  </si>
  <si>
    <t>011130 Önkormányzati hivatalok jogalkotó és általános igazgatási tevékenysége</t>
  </si>
  <si>
    <t xml:space="preserve"> - 999000-1 Önkormányzatok igazgatási tevékenysége</t>
  </si>
  <si>
    <t>031010Közbiztonság, közrend igazgatása</t>
  </si>
  <si>
    <t xml:space="preserve"> - 999000-1 Közterület rendjének fenntartása</t>
  </si>
  <si>
    <t xml:space="preserve"> - 999000-1 Mezőgazdaság terület igazgatása és szabályozása</t>
  </si>
  <si>
    <t>A zölddel jelöltek államigazgatási feladatok</t>
  </si>
  <si>
    <t>9.2-a.melléklet</t>
  </si>
  <si>
    <t>Költségvetési szerv : Dr. Halász Géza Szakorvosi Rendelőintézet</t>
  </si>
  <si>
    <t>2018.</t>
  </si>
  <si>
    <t>Támogatott szervezet neve</t>
  </si>
  <si>
    <t>Támogatás célja</t>
  </si>
  <si>
    <t>Citera zenekar támogatása</t>
  </si>
  <si>
    <t>működés támogatása</t>
  </si>
  <si>
    <t>Rozmaring Népdalkör támogatása</t>
  </si>
  <si>
    <t>Civil szervezetek, egyesületek rezsi költsége</t>
  </si>
  <si>
    <t>FC Dabas SE támogatás</t>
  </si>
  <si>
    <t xml:space="preserve">Dabas Városi Kézilabda Club  </t>
  </si>
  <si>
    <t>Sportcsarnok Kft támogatása</t>
  </si>
  <si>
    <t>Társult ÖK Együtt Segítőszolgálat támogatása</t>
  </si>
  <si>
    <t>Állami támogatás átadása</t>
  </si>
  <si>
    <t>OKÖT-Reménysugár Fogyatékosok támogatása</t>
  </si>
  <si>
    <t>Országközepe Többcélú Társulás</t>
  </si>
  <si>
    <t>tagdíj</t>
  </si>
  <si>
    <t>Dabas Városi Roma Nemzetiségi Önkormányzat támogatása</t>
  </si>
  <si>
    <t>Sári-Szlovákok Önkormányzat támogatása</t>
  </si>
  <si>
    <t>Szent János Katolikus Iskola támogatása</t>
  </si>
  <si>
    <t>ebből: pályázati önrész</t>
  </si>
  <si>
    <t>Egyéb működési célú támogatások bevételei (TB finanszírozás)</t>
  </si>
  <si>
    <t>Egyéb felhalmozási célú támogatások bevételei ( Önerő Alap)</t>
  </si>
  <si>
    <t xml:space="preserve">8.3.-ból EU-s támogatás (közvetlen) </t>
  </si>
  <si>
    <t>Köztemető fenntarása</t>
  </si>
  <si>
    <t xml:space="preserve"> -999000-1 Támogatások (Zarándokút)</t>
  </si>
  <si>
    <t xml:space="preserve"> -680002-2 Piaccsarnok- Sportcsarnok Kft támogatás </t>
  </si>
  <si>
    <t xml:space="preserve"> -999000-2 Révfülöp:1164eFt,Katolikus Iskola:1000eFt</t>
  </si>
  <si>
    <r>
      <t xml:space="preserve"> </t>
    </r>
    <r>
      <rPr>
        <sz val="12"/>
        <rFont val="Arial CE"/>
        <charset val="238"/>
      </rPr>
      <t>999000-2 Sportcsarnok Kft sportcsarnok támogatása</t>
    </r>
  </si>
  <si>
    <t xml:space="preserve"> - 999000-2 Sportcsarnok Kft: strand támogatás</t>
  </si>
  <si>
    <r>
      <t xml:space="preserve">  </t>
    </r>
    <r>
      <rPr>
        <sz val="12"/>
        <rFont val="Arial CE"/>
        <charset val="238"/>
      </rPr>
      <t>999000-1 Sportreferens, Sportegyesületek támogatása</t>
    </r>
  </si>
  <si>
    <t xml:space="preserve">074054 Komplex egészségfejlesztő, prevenciós programok </t>
  </si>
  <si>
    <t>Egészségügyi referens</t>
  </si>
  <si>
    <t xml:space="preserve"> - 999000-1 Települési gondozási támogatás</t>
  </si>
  <si>
    <t xml:space="preserve"> - 999000-1 Települési létfenntartási támogatás</t>
  </si>
  <si>
    <t>Élethelyzet javítását szogáló támogatás</t>
  </si>
  <si>
    <t>Bizottsági támogatás</t>
  </si>
  <si>
    <t>Születési és életkezdési támogatás</t>
  </si>
  <si>
    <t>Beiskolázási támogatás</t>
  </si>
  <si>
    <t>Idősek megörző támogatása (Házassági évforduló:700eFt, )90év felettiek:500eFt, Alma:4500e Ft)</t>
  </si>
  <si>
    <t xml:space="preserve"> - 999000-1 Települési gyógyszertámogatás</t>
  </si>
  <si>
    <t>I</t>
  </si>
  <si>
    <t xml:space="preserve">   Bevétel</t>
  </si>
  <si>
    <t>Kiadás</t>
  </si>
  <si>
    <t>Saját bevétel</t>
  </si>
  <si>
    <t>Normatív támogatás</t>
  </si>
  <si>
    <t>ÖK támogatás</t>
  </si>
  <si>
    <t>Átvett pénzeszköz</t>
  </si>
  <si>
    <t>Személyi kiadás</t>
  </si>
  <si>
    <t>MAT</t>
  </si>
  <si>
    <t>Kossuth Művelődési Központ</t>
  </si>
  <si>
    <t>Halász G. Sz. Rendelőint.</t>
  </si>
  <si>
    <t>Intézményfenntartó</t>
  </si>
  <si>
    <t>Intézményfenntartó Iroda</t>
  </si>
  <si>
    <t>Intézményfenntartó összesen</t>
  </si>
  <si>
    <t>Intézmény összesen</t>
  </si>
  <si>
    <t>9.számú melléklet</t>
  </si>
  <si>
    <t>Városi Konyha</t>
  </si>
  <si>
    <t>2019.év</t>
  </si>
  <si>
    <t>2016. évi támogatás összesen</t>
  </si>
  <si>
    <t>Köznevelési intézmények működési támogatása</t>
  </si>
  <si>
    <t>Költségvetési szerv : Dabas-Gyóni Óvoda</t>
  </si>
  <si>
    <t>Költségvetési szerv:  Dabasi Bóbita Óvoda</t>
  </si>
  <si>
    <t>Költségvetési szerv : Dabas-Sári Óvoda</t>
  </si>
  <si>
    <t>Dabas-Sári Óvoda</t>
  </si>
  <si>
    <t>Dabasi Bóbita Óvoda</t>
  </si>
  <si>
    <t>Dabas-Gyóni Óvoda</t>
  </si>
  <si>
    <t>Költségvetési szerv : Kossuth Művelődési Központ és Halász Boldizsár Városi Könyvtár</t>
  </si>
  <si>
    <t>Beruházások összesen</t>
  </si>
  <si>
    <t>A sárga a kötelező feladat</t>
  </si>
  <si>
    <t>A zöld az államigazgatási feladat</t>
  </si>
  <si>
    <t>ebből: kötelező</t>
  </si>
  <si>
    <t xml:space="preserve">            önként vállalt</t>
  </si>
  <si>
    <t>A sárga a kötelező feladatok</t>
  </si>
  <si>
    <t>A fehér az önként vállalt feladatok</t>
  </si>
  <si>
    <t>A zöld az államigazgatási feladatok</t>
  </si>
  <si>
    <t>013350 Városi Konyha teljes felújítása</t>
  </si>
  <si>
    <t>013350 Bóbita óvoda környezetrendezés</t>
  </si>
  <si>
    <t>013350 Róth-Szalay kúria 2. részlet</t>
  </si>
  <si>
    <t>064010 Tesco  út melletti közvilágítás</t>
  </si>
  <si>
    <t>013320 Dabas-Szőlő ravatalozó</t>
  </si>
  <si>
    <t>104030 Gyermekek napközbeni ellátása</t>
  </si>
  <si>
    <t>6-a.melléklet</t>
  </si>
  <si>
    <t>A fehérrel jelöltek az önként vállalt feladatok</t>
  </si>
  <si>
    <t>081045 Szent János Ált. Isk. légtartós sátor végszámla</t>
  </si>
  <si>
    <t>086030 Pantheon Kft támogatása</t>
  </si>
  <si>
    <t>Magyar Zarándokút  támogatása(tagdíj)</t>
  </si>
  <si>
    <t>Egyéb külső finanszírozási bevételek(ölcsön)</t>
  </si>
  <si>
    <t>Egyéb felhalmozási célú bevételek(Vagyoni adó)</t>
  </si>
  <si>
    <t>Nemleges</t>
  </si>
  <si>
    <t>létszám</t>
  </si>
  <si>
    <r>
      <t xml:space="preserve"> - </t>
    </r>
    <r>
      <rPr>
        <sz val="12"/>
        <rFont val="Arial CE"/>
        <charset val="238"/>
      </rPr>
      <t>999000-1  Egyházak támogatása</t>
    </r>
  </si>
  <si>
    <t>Egyéb működési célú átvett pénzeszköz ÁH-án kívülről (lakossági közműfejlesztés)</t>
  </si>
  <si>
    <t>1. sz. táblázat Kötelező</t>
  </si>
  <si>
    <t>1. sz. táblázat önként vállalt</t>
  </si>
  <si>
    <t xml:space="preserve">Egyéb működési célú átvett pénzeszköz </t>
  </si>
  <si>
    <t>Egyéb felhalmozási célú átvett pénzeszkö ÁH-n kívülről (lakossági közműfejlesztés)</t>
  </si>
  <si>
    <t>Egyéb felhalmozási célú átvett pénzeszköz ÁH-n kívülről (lakossági közműfejlesztés)</t>
  </si>
  <si>
    <t>1. sz. táblázat államigazgatási</t>
  </si>
  <si>
    <t>Felhalmozási célú átvett pénzeszközök ÁH-n kívülről (lakossági közműfejlesztés)</t>
  </si>
  <si>
    <t>Támogatás összege</t>
  </si>
  <si>
    <t xml:space="preserve">1. sz. táblázat </t>
  </si>
  <si>
    <t>6.számú Tájékoztató tábla</t>
  </si>
  <si>
    <t xml:space="preserve"> -999000-1 Támogatások (OKÖT-tagdíj 3 195 420+ Reménysugár:9570e )</t>
  </si>
  <si>
    <t xml:space="preserve"> - 999000-1 Általános gazdasági tevékenység( Ök díjak, földhivatali költségek)kamat</t>
  </si>
  <si>
    <r>
      <t xml:space="preserve">BEVÉTELEK,MŰKÖDÉSI KIADÁSOK ÖNÁLLÓ ÉS RÉSZBEN ÖNÁLLÓ INTÉZMÉNYENKÉNT KIEMELT ELŐIRÁNYZATONKÉNT   2017.év                                              </t>
    </r>
    <r>
      <rPr>
        <b/>
        <sz val="12"/>
        <rFont val="Arial"/>
        <family val="2"/>
        <charset val="238"/>
      </rPr>
      <t>Ft</t>
    </r>
  </si>
  <si>
    <t>Ft-ban</t>
  </si>
  <si>
    <t>2017. évi előirányzat</t>
  </si>
  <si>
    <t>forintban</t>
  </si>
  <si>
    <t>Egyéb működési célú támogatások bevételei (Mezőőrök támogatása)</t>
  </si>
  <si>
    <t>Ellátási díjak (családi napközi és gyermekétkeztetés)</t>
  </si>
  <si>
    <t xml:space="preserve">            Emberi Erőforrás Bizottság - közbiztonság  4 000 000 Ft</t>
  </si>
  <si>
    <t xml:space="preserve">             Emberi Erőforrás Bizottság                          14 000 000 Ft</t>
  </si>
  <si>
    <t>ebből : polgármesteri céltartalék                                5 000 000 Ft</t>
  </si>
  <si>
    <t xml:space="preserve">            Városüzemeltetési céltartalék                         5 000 000 Ft</t>
  </si>
  <si>
    <t xml:space="preserve">            Kapcsolatok Éve céltartalék                           5 000 000 Ft</t>
  </si>
  <si>
    <t>013350 Huszár ingatlan 2. részlet</t>
  </si>
  <si>
    <t>045120 Járdaépítés</t>
  </si>
  <si>
    <t>045120 Külterületi utakhoz eszközvásárlás</t>
  </si>
  <si>
    <t>013320 Szőlő utcai apácatemető kegyeleti parkká alakítása</t>
  </si>
  <si>
    <t>064010 Gyónon és Szőlőben közvilágítás fejlesztés</t>
  </si>
  <si>
    <t xml:space="preserve">066010 Szőlősi központban zöldterület fejlesztés </t>
  </si>
  <si>
    <t>082092 Tudomány és Kultúra Központ tervezése</t>
  </si>
  <si>
    <t>013350 Dunai ingatlan</t>
  </si>
  <si>
    <t>082092 Bragyova és Lelik szobor</t>
  </si>
  <si>
    <t>104030 Családi bőlcsőde eszközvásárlás</t>
  </si>
  <si>
    <t>045160 Út felújítások</t>
  </si>
  <si>
    <t>047410 Belvíz, csapadékvíz elvezetés (árokásás, padka, murva)</t>
  </si>
  <si>
    <t>082092 Kúriától kúriáig program elektromos terv és engedély</t>
  </si>
  <si>
    <t>082092 Büszkeségpont</t>
  </si>
  <si>
    <t>082092 56-os emlékszoba (gyóni nyugdíjas klub)</t>
  </si>
  <si>
    <t>082092 NKA műemlék felújítási pályázat</t>
  </si>
  <si>
    <t>045120 Gyón és Szőlő kerékpárúthoz földterületek kivonása</t>
  </si>
  <si>
    <t>082092 Gyón városrész fejlesztése</t>
  </si>
  <si>
    <t>Felhalmozásra átadott pénzeszköz</t>
  </si>
  <si>
    <t xml:space="preserve">Református Egyház támogatása </t>
  </si>
  <si>
    <t>Ásatások támogatása</t>
  </si>
  <si>
    <t>Egyéb működési célú támogatások bevételei (mezőőrök támogatása)</t>
  </si>
  <si>
    <t>013320 Sári temető -ravatalozó terv</t>
  </si>
  <si>
    <t>013320 Dabasi temető -  kegyeletioszlop</t>
  </si>
  <si>
    <t>013320 Temetőkbe urnafal</t>
  </si>
  <si>
    <t>Top Fitnessz Egyesület fejlesztési támogatása</t>
  </si>
  <si>
    <t>Lakásépítés Otthonteremtő Kft</t>
  </si>
  <si>
    <t xml:space="preserve">           Gyóni Géza Emlékév keret                                4 000 000 Ft</t>
  </si>
  <si>
    <t>Működési célú pénzeszköz államháztartásról kivülről</t>
  </si>
  <si>
    <t>2017.január 30.</t>
  </si>
  <si>
    <t>081045  1 db Műfüves pálya építés (Dabas-Szőlő)</t>
  </si>
  <si>
    <t>013350 Házszám táblák</t>
  </si>
  <si>
    <t>031010 Térfigyelő kamerarendszer</t>
  </si>
  <si>
    <t>082092 Érdekeltségnövelő pályázat önrész</t>
  </si>
  <si>
    <t xml:space="preserve">ebből : állami támogatás     71.315.000 Ft     </t>
  </si>
  <si>
    <t xml:space="preserve">             Dabas támogatás része   16.332.133 Ft</t>
  </si>
  <si>
    <t>Jézus szobor támogatása</t>
  </si>
  <si>
    <t xml:space="preserve">            Pályázati önrész keret                                     20 000 000 Ft</t>
  </si>
  <si>
    <t>2. sz. táblázat kötelező</t>
  </si>
  <si>
    <t>Egyéb működési célú támogatások bevételei mezőőri támogatás</t>
  </si>
  <si>
    <t>2. sz. táblázat Nem kötelező</t>
  </si>
  <si>
    <t>2. sz. táblázat Államigazgatási</t>
  </si>
  <si>
    <t>2017. évi előirányzat BEVÉTELEK</t>
  </si>
  <si>
    <t>2017. évi előirányzat KIADÁSOK</t>
  </si>
  <si>
    <t>2019.</t>
  </si>
  <si>
    <t xml:space="preserve">2018.év </t>
  </si>
  <si>
    <t>2020.év</t>
  </si>
  <si>
    <t xml:space="preserve"> forintban !</t>
  </si>
  <si>
    <t xml:space="preserve"> forintban</t>
  </si>
  <si>
    <t>Dabas Önkormányzat 2017. évi adósságot keletkeztető fejlesztési céljai</t>
  </si>
  <si>
    <t>forintban !</t>
  </si>
  <si>
    <t>2016. előtti kifizetés</t>
  </si>
  <si>
    <t>2019. 
után</t>
  </si>
  <si>
    <t>Előirányzat-felhasználási terv
2017. évre</t>
  </si>
  <si>
    <t>K I M U T A T Á S
a 2017. évben céljelleggel juttatott támogatásokról</t>
  </si>
  <si>
    <t>A 2017. évi általános működés és ágazati feladatok támogatásának alakulása jogcímenként</t>
  </si>
  <si>
    <t>2017. évi támogatás összesen</t>
  </si>
  <si>
    <t xml:space="preserve">            Gyóni Géza Emlékév                                     4 000 000 Ft</t>
  </si>
  <si>
    <t xml:space="preserve">            Pályázati önrész keret                                 20 000 000 Ft</t>
  </si>
  <si>
    <t>Államháztartáson belüli megelőlegezések folyósítása(finanszírozás)</t>
  </si>
  <si>
    <t>Finanszírozási kiadások(tartalék)</t>
  </si>
  <si>
    <t>9.2.1. melléklet a 1./2017. (II.09.) önk. rendelethez</t>
  </si>
  <si>
    <t>047410 Ár és belvízvédelemmel összefüggő tevékenység</t>
  </si>
  <si>
    <t>Óvodapedagógusok minősítésének támogatása</t>
  </si>
  <si>
    <t>Család és Gyermekjólélti Központ támogatása</t>
  </si>
  <si>
    <t>Családi bőlcsőde támogatása</t>
  </si>
  <si>
    <t>A rászoruló gyermekek szünidei étkezésének támogatása</t>
  </si>
  <si>
    <t>081041 Sporttelep fejlesztés: Utánpótlás Központ ( 65.530 eFt +áramfejlesztési díj 2 990 000Ft )</t>
  </si>
  <si>
    <t>081041 FC Dabas SE TAO pályázat önerő támogatása</t>
  </si>
  <si>
    <t xml:space="preserve">2.1. melléklet a 2/2017. (II.14.) önk.rendelethez     </t>
  </si>
  <si>
    <t xml:space="preserve">2.2. melléklet a 2./2017. (II.14.) önk. rendelethez     </t>
  </si>
  <si>
    <t>9.1. melléklet a 2/2017. (II.14.) önk. rendelethez</t>
  </si>
  <si>
    <t>9.1.1. melléklet a 2/2017. (II.14.) önk. rendelethez</t>
  </si>
  <si>
    <t>9.1.2. melléklet a 2/2017. (II.14.) önk. Rendelethez</t>
  </si>
  <si>
    <t>9.1.3. melléklet a 2/2017. (II.14.) önk. rendelethez</t>
  </si>
  <si>
    <t>9.2. melléklet a 2/2017. (II.14.) önk. Rendelethez</t>
  </si>
  <si>
    <t>9.3. melléklet a 2./2017. (II.14.) önk. Rendelethez</t>
  </si>
  <si>
    <t>9.4. melléklet a 2/2017. (II.14.) önk. Rendelethez</t>
  </si>
  <si>
    <t>9.5. melléklet a 2/2017. (II.14.) önk. rendelethez</t>
  </si>
  <si>
    <t>9.6. melléklet a 2/2017. (II.14.) önk. Rendelethez</t>
  </si>
  <si>
    <t>9.7. melléklet a 2/2017. (II.14.) önk. rendelethez</t>
  </si>
  <si>
    <t>9.8. melléklet a 2/2017. (II.14.) önk. Rendelethez</t>
  </si>
  <si>
    <t>9.8.1. melléklet a 2/2017. (II.14.) önk. Rendelethez</t>
  </si>
  <si>
    <t>9.8.2. melléklet a 2/2017. (II.14.) önk. rendelethez</t>
  </si>
  <si>
    <r>
      <t xml:space="preserve"> - </t>
    </r>
    <r>
      <rPr>
        <sz val="12"/>
        <rFont val="Arial CE"/>
        <charset val="238"/>
      </rPr>
      <t>910501- 2 Sportcsarnok Kft televízió támogatása:13.416e Ft, Mag Tv szolgáltatás 1656eFt</t>
    </r>
  </si>
  <si>
    <t xml:space="preserve"> -999000-1 Támogatások (Együttsegítő: 71 315 000.-Ft) Dabas:16.132.133.-Ft</t>
  </si>
  <si>
    <t>2017.04.30 módosítások</t>
  </si>
  <si>
    <t>Módosított előirányzat</t>
  </si>
  <si>
    <t>Triatlon Szakosztály támogatása</t>
  </si>
  <si>
    <t>Vívás Szakosztály támogatása</t>
  </si>
  <si>
    <t>Tenisz Szakosztály támogatása</t>
  </si>
  <si>
    <t>2017.06.30 módosítások</t>
  </si>
  <si>
    <t>Nyomtató vásárlás</t>
  </si>
  <si>
    <t>Kossuth Művelődési Központ és Halász Boldizsár Városi Könyvtár</t>
  </si>
  <si>
    <t>2017. 04. 30 módosítások</t>
  </si>
  <si>
    <t>számítástechnikai eszközök vásárlása assess point</t>
  </si>
  <si>
    <t>számítástechnikai eszközök vásárlása memória, videó kártya</t>
  </si>
  <si>
    <t xml:space="preserve">könyv vásárlások </t>
  </si>
  <si>
    <t>keverőpult, mikrofonszett</t>
  </si>
  <si>
    <t>Dr Halász Géza Szakorvosi Rendelőintézet</t>
  </si>
  <si>
    <t>gépek beszerzése</t>
  </si>
  <si>
    <t>INTÉZMÉNYEK ÖSSZESEN:</t>
  </si>
  <si>
    <t>Dabasi Intézményfenntartó Központ</t>
  </si>
  <si>
    <t>091140 Dabasi Óvodák energetikai korsz. Pályázat</t>
  </si>
  <si>
    <t>081041 Sári zárt edzőpálya kiviteli terv</t>
  </si>
  <si>
    <t>082092 Halász Móricz Kúria kerítés felújítása 2016. évi maradvány</t>
  </si>
  <si>
    <t>091140 Dabasi óvodák energetikai korszerűsítése pályázat</t>
  </si>
  <si>
    <t>robotgép, badella, termosz vásárlás</t>
  </si>
  <si>
    <t>A fehér az nrm kötelező feladatok</t>
  </si>
  <si>
    <t>Forintban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</si>
</sst>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family val="2"/>
      <charset val="238"/>
    </font>
    <font>
      <i/>
      <sz val="8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6" fillId="0" borderId="0"/>
    <xf numFmtId="0" fontId="12" fillId="0" borderId="0"/>
    <xf numFmtId="0" fontId="12" fillId="0" borderId="0"/>
  </cellStyleXfs>
  <cellXfs count="117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vertical="center" wrapText="1"/>
    </xf>
    <xf numFmtId="0" fontId="22" fillId="0" borderId="1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vertical="center" wrapText="1" indent="1"/>
    </xf>
    <xf numFmtId="0" fontId="22" fillId="0" borderId="3" xfId="6" applyFont="1" applyFill="1" applyBorder="1" applyAlignment="1" applyProtection="1">
      <alignment horizontal="left" vertical="center" wrapText="1" indent="1"/>
    </xf>
    <xf numFmtId="0" fontId="22" fillId="0" borderId="4" xfId="6" applyFont="1" applyFill="1" applyBorder="1" applyAlignment="1" applyProtection="1">
      <alignment horizontal="left" vertical="center" wrapText="1" indent="1"/>
    </xf>
    <xf numFmtId="0" fontId="22" fillId="0" borderId="5" xfId="6" applyFont="1" applyFill="1" applyBorder="1" applyAlignment="1" applyProtection="1">
      <alignment horizontal="left" vertical="center" wrapText="1" indent="1"/>
    </xf>
    <xf numFmtId="0" fontId="22" fillId="0" borderId="6" xfId="6" applyFont="1" applyFill="1" applyBorder="1" applyAlignment="1" applyProtection="1">
      <alignment horizontal="left" vertical="center" wrapText="1" indent="1"/>
    </xf>
    <xf numFmtId="49" fontId="22" fillId="0" borderId="7" xfId="6" applyNumberFormat="1" applyFont="1" applyFill="1" applyBorder="1" applyAlignment="1" applyProtection="1">
      <alignment horizontal="left" vertical="center" wrapText="1" indent="1"/>
    </xf>
    <xf numFmtId="49" fontId="22" fillId="0" borderId="8" xfId="6" applyNumberFormat="1" applyFont="1" applyFill="1" applyBorder="1" applyAlignment="1" applyProtection="1">
      <alignment horizontal="left" vertical="center" wrapText="1" indent="1"/>
    </xf>
    <xf numFmtId="49" fontId="22" fillId="0" borderId="9" xfId="6" applyNumberFormat="1" applyFont="1" applyFill="1" applyBorder="1" applyAlignment="1" applyProtection="1">
      <alignment horizontal="left" vertical="center" wrapText="1" indent="1"/>
    </xf>
    <xf numFmtId="49" fontId="22" fillId="0" borderId="10" xfId="6" applyNumberFormat="1" applyFont="1" applyFill="1" applyBorder="1" applyAlignment="1" applyProtection="1">
      <alignment horizontal="left" vertical="center" wrapText="1" indent="1"/>
    </xf>
    <xf numFmtId="49" fontId="22" fillId="0" borderId="11" xfId="6" applyNumberFormat="1" applyFont="1" applyFill="1" applyBorder="1" applyAlignment="1" applyProtection="1">
      <alignment horizontal="left" vertical="center" wrapText="1" indent="1"/>
    </xf>
    <xf numFmtId="49" fontId="22" fillId="0" borderId="12" xfId="6" applyNumberFormat="1" applyFont="1" applyFill="1" applyBorder="1" applyAlignment="1" applyProtection="1">
      <alignment horizontal="left" vertical="center" wrapText="1" indent="1"/>
    </xf>
    <xf numFmtId="0" fontId="22" fillId="0" borderId="0" xfId="6" applyFont="1" applyFill="1" applyBorder="1" applyAlignment="1" applyProtection="1">
      <alignment horizontal="left" vertical="center" wrapText="1" indent="1"/>
    </xf>
    <xf numFmtId="0" fontId="20" fillId="0" borderId="13" xfId="6" applyFont="1" applyFill="1" applyBorder="1" applyAlignment="1" applyProtection="1">
      <alignment horizontal="left" vertical="center" wrapText="1" indent="1"/>
    </xf>
    <xf numFmtId="0" fontId="20" fillId="0" borderId="14" xfId="6" applyFont="1" applyFill="1" applyBorder="1" applyAlignment="1" applyProtection="1">
      <alignment horizontal="left" vertical="center" wrapText="1" indent="1"/>
    </xf>
    <xf numFmtId="0" fontId="20" fillId="0" borderId="15" xfId="6" applyFont="1" applyFill="1" applyBorder="1" applyAlignment="1" applyProtection="1">
      <alignment horizontal="left" vertical="center" wrapText="1" indent="1"/>
    </xf>
    <xf numFmtId="0" fontId="8" fillId="0" borderId="13" xfId="6" applyFont="1" applyFill="1" applyBorder="1" applyAlignment="1" applyProtection="1">
      <alignment horizontal="center" vertical="center" wrapText="1"/>
    </xf>
    <xf numFmtId="0" fontId="8" fillId="0" borderId="14" xfId="6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6" applyFont="1" applyFill="1" applyBorder="1" applyAlignment="1" applyProtection="1">
      <alignment vertical="center" wrapText="1"/>
    </xf>
    <xf numFmtId="0" fontId="20" fillId="0" borderId="19" xfId="6" applyFont="1" applyFill="1" applyBorder="1" applyAlignment="1" applyProtection="1">
      <alignment vertical="center" wrapText="1"/>
    </xf>
    <xf numFmtId="0" fontId="20" fillId="0" borderId="13" xfId="6" applyFont="1" applyFill="1" applyBorder="1" applyAlignment="1" applyProtection="1">
      <alignment horizontal="center" vertical="center" wrapText="1"/>
    </xf>
    <xf numFmtId="0" fontId="20" fillId="0" borderId="14" xfId="6" applyFont="1" applyFill="1" applyBorder="1" applyAlignment="1" applyProtection="1">
      <alignment horizontal="center" vertical="center" wrapText="1"/>
    </xf>
    <xf numFmtId="0" fontId="20" fillId="0" borderId="20" xfId="6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7" applyFont="1" applyFill="1" applyBorder="1" applyAlignment="1" applyProtection="1">
      <alignment horizontal="left" vertical="center" indent="1"/>
    </xf>
    <xf numFmtId="0" fontId="8" fillId="0" borderId="20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7" applyFont="1" applyFill="1" applyBorder="1" applyAlignment="1" applyProtection="1">
      <alignment horizontal="center" vertical="center" wrapText="1"/>
    </xf>
    <xf numFmtId="0" fontId="31" fillId="0" borderId="19" xfId="7" applyFont="1" applyFill="1" applyBorder="1" applyAlignment="1" applyProtection="1">
      <alignment horizontal="center" vertical="center"/>
    </xf>
    <xf numFmtId="0" fontId="31" fillId="0" borderId="29" xfId="7" applyFont="1" applyFill="1" applyBorder="1" applyAlignment="1" applyProtection="1">
      <alignment horizontal="center" vertical="center"/>
    </xf>
    <xf numFmtId="0" fontId="12" fillId="0" borderId="0" xfId="7" applyFill="1" applyProtection="1"/>
    <xf numFmtId="0" fontId="22" fillId="0" borderId="13" xfId="7" applyFont="1" applyFill="1" applyBorder="1" applyAlignment="1" applyProtection="1">
      <alignment horizontal="left" vertical="center" indent="1"/>
    </xf>
    <xf numFmtId="0" fontId="12" fillId="0" borderId="0" xfId="7" applyFill="1" applyAlignment="1" applyProtection="1">
      <alignment vertical="center"/>
    </xf>
    <xf numFmtId="0" fontId="22" fillId="0" borderId="7" xfId="7" applyFont="1" applyFill="1" applyBorder="1" applyAlignment="1" applyProtection="1">
      <alignment horizontal="left" vertical="center" indent="1"/>
    </xf>
    <xf numFmtId="164" fontId="22" fillId="0" borderId="1" xfId="7" applyNumberFormat="1" applyFont="1" applyFill="1" applyBorder="1" applyAlignment="1" applyProtection="1">
      <alignment vertical="center"/>
      <protection locked="0"/>
    </xf>
    <xf numFmtId="164" fontId="22" fillId="0" borderId="17" xfId="7" applyNumberFormat="1" applyFont="1" applyFill="1" applyBorder="1" applyAlignment="1" applyProtection="1">
      <alignment vertical="center"/>
    </xf>
    <xf numFmtId="0" fontId="22" fillId="0" borderId="8" xfId="7" applyFont="1" applyFill="1" applyBorder="1" applyAlignment="1" applyProtection="1">
      <alignment horizontal="left" vertical="center" indent="1"/>
    </xf>
    <xf numFmtId="164" fontId="22" fillId="0" borderId="2" xfId="7" applyNumberFormat="1" applyFont="1" applyFill="1" applyBorder="1" applyAlignment="1" applyProtection="1">
      <alignment vertical="center"/>
      <protection locked="0"/>
    </xf>
    <xf numFmtId="164" fontId="22" fillId="0" borderId="16" xfId="7" applyNumberFormat="1" applyFont="1" applyFill="1" applyBorder="1" applyAlignment="1" applyProtection="1">
      <alignment vertical="center"/>
    </xf>
    <xf numFmtId="0" fontId="12" fillId="0" borderId="0" xfId="7" applyFill="1" applyAlignment="1" applyProtection="1">
      <alignment vertical="center"/>
      <protection locked="0"/>
    </xf>
    <xf numFmtId="164" fontId="22" fillId="0" borderId="3" xfId="7" applyNumberFormat="1" applyFont="1" applyFill="1" applyBorder="1" applyAlignment="1" applyProtection="1">
      <alignment vertical="center"/>
      <protection locked="0"/>
    </xf>
    <xf numFmtId="164" fontId="22" fillId="0" borderId="26" xfId="7" applyNumberFormat="1" applyFont="1" applyFill="1" applyBorder="1" applyAlignment="1" applyProtection="1">
      <alignment vertical="center"/>
    </xf>
    <xf numFmtId="164" fontId="20" fillId="0" borderId="14" xfId="7" applyNumberFormat="1" applyFont="1" applyFill="1" applyBorder="1" applyAlignment="1" applyProtection="1">
      <alignment vertical="center"/>
    </xf>
    <xf numFmtId="164" fontId="20" fillId="0" borderId="20" xfId="7" applyNumberFormat="1" applyFont="1" applyFill="1" applyBorder="1" applyAlignment="1" applyProtection="1">
      <alignment vertical="center"/>
    </xf>
    <xf numFmtId="0" fontId="22" fillId="0" borderId="9" xfId="7" applyFont="1" applyFill="1" applyBorder="1" applyAlignment="1" applyProtection="1">
      <alignment horizontal="left" vertical="center" indent="1"/>
    </xf>
    <xf numFmtId="0" fontId="20" fillId="0" borderId="13" xfId="7" applyFont="1" applyFill="1" applyBorder="1" applyAlignment="1" applyProtection="1">
      <alignment horizontal="left" vertical="center" indent="1"/>
    </xf>
    <xf numFmtId="164" fontId="20" fillId="0" borderId="14" xfId="7" applyNumberFormat="1" applyFont="1" applyFill="1" applyBorder="1" applyProtection="1"/>
    <xf numFmtId="164" fontId="20" fillId="0" borderId="20" xfId="7" applyNumberFormat="1" applyFont="1" applyFill="1" applyBorder="1" applyProtection="1"/>
    <xf numFmtId="0" fontId="12" fillId="0" borderId="0" xfId="7" applyFill="1" applyProtection="1">
      <protection locked="0"/>
    </xf>
    <xf numFmtId="0" fontId="15" fillId="0" borderId="0" xfId="7" applyFont="1" applyFill="1" applyProtection="1"/>
    <xf numFmtId="0" fontId="35" fillId="0" borderId="0" xfId="7" applyFont="1" applyFill="1" applyProtection="1">
      <protection locked="0"/>
    </xf>
    <xf numFmtId="0" fontId="24" fillId="0" borderId="0" xfId="7" applyFont="1" applyFill="1" applyProtection="1">
      <protection locked="0"/>
    </xf>
    <xf numFmtId="0" fontId="27" fillId="0" borderId="30" xfId="0" applyFont="1" applyFill="1" applyBorder="1" applyAlignment="1" applyProtection="1">
      <alignment horizontal="left" vertical="center" wrapText="1"/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164" fontId="15" fillId="2" borderId="32" xfId="0" applyNumberFormat="1" applyFont="1" applyFill="1" applyBorder="1" applyAlignment="1" applyProtection="1">
      <alignment horizontal="left" vertical="center" wrapText="1" indent="2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6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6" applyFont="1" applyFill="1" applyBorder="1" applyAlignment="1" applyProtection="1">
      <alignment horizontal="left" vertical="center" wrapText="1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4" xfId="0" applyFont="1" applyFill="1" applyBorder="1" applyAlignment="1" applyProtection="1">
      <alignment horizontal="right"/>
    </xf>
    <xf numFmtId="0" fontId="30" fillId="0" borderId="35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indent="6"/>
    </xf>
    <xf numFmtId="0" fontId="22" fillId="0" borderId="2" xfId="6" applyFont="1" applyFill="1" applyBorder="1" applyAlignment="1" applyProtection="1">
      <alignment horizontal="left" vertical="center" wrapText="1" indent="6"/>
    </xf>
    <xf numFmtId="0" fontId="22" fillId="0" borderId="6" xfId="6" applyFont="1" applyFill="1" applyBorder="1" applyAlignment="1" applyProtection="1">
      <alignment horizontal="left" vertical="center" wrapText="1" indent="6"/>
    </xf>
    <xf numFmtId="0" fontId="22" fillId="0" borderId="27" xfId="6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2" fillId="0" borderId="0" xfId="6" applyFont="1" applyFill="1"/>
    <xf numFmtId="164" fontId="5" fillId="0" borderId="0" xfId="6" applyNumberFormat="1" applyFont="1" applyFill="1" applyBorder="1" applyAlignment="1" applyProtection="1">
      <alignment horizontal="centerContinuous" vertical="center"/>
    </xf>
    <xf numFmtId="0" fontId="15" fillId="0" borderId="8" xfId="6" applyFont="1" applyFill="1" applyBorder="1" applyAlignment="1">
      <alignment horizontal="center" vertical="center"/>
    </xf>
    <xf numFmtId="0" fontId="32" fillId="0" borderId="6" xfId="6" applyFont="1" applyFill="1" applyBorder="1" applyAlignment="1">
      <alignment horizontal="center" vertical="center" wrapText="1"/>
    </xf>
    <xf numFmtId="0" fontId="15" fillId="0" borderId="9" xfId="6" applyFont="1" applyFill="1" applyBorder="1" applyAlignment="1">
      <alignment horizontal="center" vertical="center"/>
    </xf>
    <xf numFmtId="0" fontId="15" fillId="0" borderId="13" xfId="6" applyFont="1" applyFill="1" applyBorder="1" applyAlignment="1">
      <alignment horizontal="center" vertical="center"/>
    </xf>
    <xf numFmtId="0" fontId="15" fillId="0" borderId="14" xfId="6" applyFont="1" applyFill="1" applyBorder="1" applyAlignment="1">
      <alignment horizontal="center" vertical="center"/>
    </xf>
    <xf numFmtId="0" fontId="15" fillId="0" borderId="20" xfId="6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6" applyFont="1" applyFill="1" applyBorder="1" applyAlignment="1">
      <alignment horizontal="center" vertical="center"/>
    </xf>
    <xf numFmtId="0" fontId="32" fillId="0" borderId="14" xfId="6" applyFont="1" applyFill="1" applyBorder="1"/>
    <xf numFmtId="165" fontId="15" fillId="0" borderId="26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6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6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6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6" applyFont="1" applyFill="1" applyBorder="1" applyAlignment="1" applyProtection="1">
      <alignment horizontal="center" vertical="center" wrapText="1"/>
    </xf>
    <xf numFmtId="0" fontId="29" fillId="0" borderId="4" xfId="6" applyFont="1" applyFill="1" applyBorder="1" applyAlignment="1" applyProtection="1">
      <alignment horizontal="center" vertical="center" wrapText="1"/>
    </xf>
    <xf numFmtId="0" fontId="29" fillId="0" borderId="36" xfId="6" applyFont="1" applyFill="1" applyBorder="1" applyAlignment="1" applyProtection="1">
      <alignment horizontal="center" vertical="center" wrapText="1"/>
    </xf>
    <xf numFmtId="0" fontId="30" fillId="0" borderId="13" xfId="6" applyFont="1" applyFill="1" applyBorder="1" applyAlignment="1" applyProtection="1">
      <alignment horizontal="center" vertical="center"/>
    </xf>
    <xf numFmtId="0" fontId="30" fillId="0" borderId="14" xfId="6" applyFont="1" applyFill="1" applyBorder="1" applyAlignment="1" applyProtection="1">
      <alignment horizontal="center" vertical="center"/>
    </xf>
    <xf numFmtId="0" fontId="30" fillId="0" borderId="20" xfId="6" applyFont="1" applyFill="1" applyBorder="1" applyAlignment="1" applyProtection="1">
      <alignment horizontal="center" vertical="center"/>
    </xf>
    <xf numFmtId="0" fontId="30" fillId="0" borderId="11" xfId="6" applyFont="1" applyFill="1" applyBorder="1" applyAlignment="1" applyProtection="1">
      <alignment horizontal="center" vertical="center"/>
    </xf>
    <xf numFmtId="0" fontId="30" fillId="0" borderId="8" xfId="6" applyFont="1" applyFill="1" applyBorder="1" applyAlignment="1" applyProtection="1">
      <alignment horizontal="center" vertical="center"/>
    </xf>
    <xf numFmtId="0" fontId="30" fillId="0" borderId="10" xfId="6" applyFont="1" applyFill="1" applyBorder="1" applyAlignment="1" applyProtection="1">
      <alignment horizontal="center" vertical="center"/>
    </xf>
    <xf numFmtId="165" fontId="29" fillId="0" borderId="20" xfId="1" applyNumberFormat="1" applyFont="1" applyFill="1" applyBorder="1" applyProtection="1"/>
    <xf numFmtId="165" fontId="30" fillId="0" borderId="36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6" applyFont="1" applyFill="1" applyBorder="1" applyProtection="1">
      <protection locked="0"/>
    </xf>
    <xf numFmtId="0" fontId="30" fillId="0" borderId="2" xfId="6" applyFont="1" applyFill="1" applyBorder="1" applyProtection="1">
      <protection locked="0"/>
    </xf>
    <xf numFmtId="0" fontId="30" fillId="0" borderId="6" xfId="6" applyFont="1" applyFill="1" applyBorder="1" applyProtection="1">
      <protection locked="0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35" xfId="0" applyFont="1" applyFill="1" applyBorder="1" applyAlignment="1" applyProtection="1">
      <alignment vertical="center" wrapText="1"/>
    </xf>
    <xf numFmtId="164" fontId="29" fillId="0" borderId="35" xfId="0" applyNumberFormat="1" applyFont="1" applyFill="1" applyBorder="1" applyAlignment="1" applyProtection="1">
      <alignment vertical="center" wrapText="1"/>
    </xf>
    <xf numFmtId="164" fontId="29" fillId="0" borderId="37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32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0" fontId="22" fillId="0" borderId="2" xfId="7" applyFont="1" applyFill="1" applyBorder="1" applyAlignment="1" applyProtection="1">
      <alignment horizontal="left" vertical="center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indent="1"/>
    </xf>
    <xf numFmtId="0" fontId="8" fillId="0" borderId="14" xfId="7" applyFont="1" applyFill="1" applyBorder="1" applyAlignment="1" applyProtection="1">
      <alignment horizontal="left" indent="1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48" xfId="0" applyFont="1" applyBorder="1" applyAlignment="1" applyProtection="1">
      <alignment horizontal="left" vertical="center" wrapText="1" indent="1"/>
    </xf>
    <xf numFmtId="164" fontId="20" fillId="0" borderId="29" xfId="6" applyNumberFormat="1" applyFont="1" applyFill="1" applyBorder="1" applyAlignment="1" applyProtection="1">
      <alignment horizontal="right" vertical="center" wrapText="1" indent="1"/>
    </xf>
    <xf numFmtId="164" fontId="20" fillId="0" borderId="20" xfId="6" applyNumberFormat="1" applyFont="1" applyFill="1" applyBorder="1" applyAlignment="1" applyProtection="1">
      <alignment horizontal="right" vertical="center" wrapText="1" indent="1"/>
    </xf>
    <xf numFmtId="164" fontId="22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6" applyNumberFormat="1" applyFont="1" applyFill="1" applyBorder="1" applyAlignment="1" applyProtection="1">
      <alignment horizontal="right" vertical="center" wrapText="1" indent="1"/>
    </xf>
    <xf numFmtId="164" fontId="7" fillId="0" borderId="0" xfId="6" applyNumberFormat="1" applyFont="1" applyFill="1" applyBorder="1" applyAlignment="1" applyProtection="1">
      <alignment horizontal="right" vertical="center" wrapText="1" indent="1"/>
    </xf>
    <xf numFmtId="164" fontId="22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4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2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1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2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51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2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6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6" xfId="0" quotePrefix="1" applyFont="1" applyFill="1" applyBorder="1" applyAlignment="1" applyProtection="1">
      <alignment horizontal="right" vertical="center" indent="1"/>
    </xf>
    <xf numFmtId="0" fontId="8" fillId="0" borderId="53" xfId="0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1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51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</xf>
    <xf numFmtId="49" fontId="8" fillId="0" borderId="53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26" fillId="0" borderId="35" xfId="0" applyFont="1" applyBorder="1" applyAlignment="1" applyProtection="1">
      <alignment horizontal="left" vertical="center" wrapText="1" indent="1"/>
    </xf>
    <xf numFmtId="0" fontId="12" fillId="0" borderId="0" xfId="6" applyFont="1" applyFill="1" applyProtection="1"/>
    <xf numFmtId="0" fontId="12" fillId="0" borderId="0" xfId="6" applyFont="1" applyFill="1" applyAlignment="1" applyProtection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27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6" applyFont="1" applyFill="1" applyBorder="1" applyAlignment="1" applyProtection="1">
      <alignment horizontal="center" vertical="center" wrapText="1"/>
    </xf>
    <xf numFmtId="0" fontId="20" fillId="0" borderId="19" xfId="6" applyFont="1" applyFill="1" applyBorder="1" applyAlignment="1" applyProtection="1">
      <alignment horizontal="center" vertical="center" wrapText="1"/>
    </xf>
    <xf numFmtId="0" fontId="20" fillId="0" borderId="29" xfId="6" applyFont="1" applyFill="1" applyBorder="1" applyAlignment="1" applyProtection="1">
      <alignment horizontal="center" vertical="center" wrapText="1"/>
    </xf>
    <xf numFmtId="164" fontId="22" fillId="0" borderId="26" xfId="6" applyNumberFormat="1" applyFont="1" applyFill="1" applyBorder="1" applyAlignment="1" applyProtection="1">
      <alignment horizontal="right" vertical="center" wrapText="1" indent="1"/>
    </xf>
    <xf numFmtId="0" fontId="22" fillId="0" borderId="3" xfId="6" applyFont="1" applyFill="1" applyBorder="1" applyAlignment="1" applyProtection="1">
      <alignment horizontal="left" vertical="center" wrapText="1" indent="6"/>
    </xf>
    <xf numFmtId="0" fontId="12" fillId="0" borderId="0" xfId="6" applyFill="1" applyProtection="1"/>
    <xf numFmtId="0" fontId="22" fillId="0" borderId="0" xfId="6" applyFont="1" applyFill="1" applyProtection="1"/>
    <xf numFmtId="0" fontId="15" fillId="0" borderId="0" xfId="6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48" xfId="0" applyFont="1" applyBorder="1" applyAlignment="1" applyProtection="1">
      <alignment wrapText="1"/>
    </xf>
    <xf numFmtId="0" fontId="28" fillId="0" borderId="35" xfId="0" applyFont="1" applyBorder="1" applyAlignment="1" applyProtection="1">
      <alignment wrapText="1"/>
    </xf>
    <xf numFmtId="0" fontId="12" fillId="0" borderId="0" xfId="6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5" fillId="0" borderId="0" xfId="6" applyFont="1" applyFill="1" applyProtection="1"/>
    <xf numFmtId="0" fontId="24" fillId="0" borderId="0" xfId="6" applyFont="1" applyFill="1" applyProtection="1"/>
    <xf numFmtId="0" fontId="12" fillId="0" borderId="0" xfId="6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6" applyNumberFormat="1" applyFont="1" applyFill="1" applyBorder="1" applyAlignment="1" applyProtection="1">
      <alignment horizontal="center" vertical="center" wrapText="1"/>
    </xf>
    <xf numFmtId="49" fontId="22" fillId="0" borderId="8" xfId="6" applyNumberFormat="1" applyFont="1" applyFill="1" applyBorder="1" applyAlignment="1" applyProtection="1">
      <alignment horizontal="center" vertical="center" wrapText="1"/>
    </xf>
    <xf numFmtId="49" fontId="22" fillId="0" borderId="10" xfId="6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48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6" applyNumberFormat="1" applyFont="1" applyFill="1" applyBorder="1" applyAlignment="1" applyProtection="1">
      <alignment horizontal="center" vertical="center" wrapText="1"/>
    </xf>
    <xf numFmtId="49" fontId="22" fillId="0" borderId="7" xfId="6" applyNumberFormat="1" applyFont="1" applyFill="1" applyBorder="1" applyAlignment="1" applyProtection="1">
      <alignment horizontal="center" vertical="center" wrapText="1"/>
    </xf>
    <xf numFmtId="49" fontId="22" fillId="0" borderId="12" xfId="6" applyNumberFormat="1" applyFont="1" applyFill="1" applyBorder="1" applyAlignment="1" applyProtection="1">
      <alignment horizontal="center" vertical="center" wrapText="1"/>
    </xf>
    <xf numFmtId="0" fontId="28" fillId="0" borderId="48" xfId="0" applyFont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6" applyFont="1" applyFill="1" applyBorder="1" applyAlignment="1" applyProtection="1">
      <alignment horizontal="left" vertical="center" wrapText="1" indent="1"/>
    </xf>
    <xf numFmtId="0" fontId="30" fillId="0" borderId="2" xfId="6" applyFont="1" applyFill="1" applyBorder="1" applyAlignment="1" applyProtection="1">
      <alignment horizontal="left" vertical="center" wrapText="1" indent="1"/>
    </xf>
    <xf numFmtId="0" fontId="30" fillId="0" borderId="35" xfId="6" quotePrefix="1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6" applyNumberFormat="1" applyFont="1" applyFill="1" applyBorder="1" applyAlignment="1" applyProtection="1">
      <alignment horizontal="right" vertical="center" wrapText="1" indent="1"/>
    </xf>
    <xf numFmtId="164" fontId="22" fillId="2" borderId="18" xfId="6" applyNumberFormat="1" applyFont="1" applyFill="1" applyBorder="1" applyAlignment="1" applyProtection="1">
      <alignment horizontal="right" vertical="center" wrapText="1" indent="1"/>
    </xf>
    <xf numFmtId="164" fontId="30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6" applyFont="1" applyFill="1" applyBorder="1" applyAlignment="1">
      <alignment horizontal="center" vertical="center"/>
    </xf>
    <xf numFmtId="165" fontId="32" fillId="0" borderId="14" xfId="6" applyNumberFormat="1" applyFont="1" applyFill="1" applyBorder="1"/>
    <xf numFmtId="165" fontId="32" fillId="0" borderId="20" xfId="6" applyNumberFormat="1" applyFont="1" applyFill="1" applyBorder="1"/>
    <xf numFmtId="0" fontId="35" fillId="0" borderId="0" xfId="6" applyFont="1" applyFill="1"/>
    <xf numFmtId="0" fontId="29" fillId="0" borderId="13" xfId="6" applyFont="1" applyFill="1" applyBorder="1" applyAlignment="1" applyProtection="1">
      <alignment horizontal="center" vertical="center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164" fontId="49" fillId="0" borderId="13" xfId="0" applyNumberFormat="1" applyFont="1" applyFill="1" applyBorder="1" applyAlignment="1" applyProtection="1">
      <alignment horizontal="left" vertical="center" wrapText="1"/>
    </xf>
    <xf numFmtId="3" fontId="47" fillId="4" borderId="16" xfId="0" applyNumberFormat="1" applyFont="1" applyFill="1" applyBorder="1"/>
    <xf numFmtId="0" fontId="47" fillId="0" borderId="0" xfId="0" applyFont="1" applyAlignment="1">
      <alignment wrapText="1"/>
    </xf>
    <xf numFmtId="3" fontId="47" fillId="0" borderId="0" xfId="0" applyNumberFormat="1" applyFont="1" applyAlignment="1">
      <alignment wrapText="1"/>
    </xf>
    <xf numFmtId="3" fontId="47" fillId="0" borderId="2" xfId="5" applyNumberFormat="1" applyFont="1" applyBorder="1" applyAlignment="1">
      <alignment vertical="justify" wrapText="1"/>
    </xf>
    <xf numFmtId="0" fontId="47" fillId="0" borderId="0" xfId="0" applyFont="1"/>
    <xf numFmtId="0" fontId="51" fillId="0" borderId="0" xfId="0" applyFont="1"/>
    <xf numFmtId="0" fontId="51" fillId="0" borderId="2" xfId="0" applyFont="1" applyBorder="1" applyAlignment="1">
      <alignment wrapText="1"/>
    </xf>
    <xf numFmtId="0" fontId="51" fillId="0" borderId="2" xfId="0" applyFont="1" applyBorder="1"/>
    <xf numFmtId="0" fontId="49" fillId="0" borderId="4" xfId="0" applyFont="1" applyFill="1" applyBorder="1" applyAlignment="1">
      <alignment wrapText="1"/>
    </xf>
    <xf numFmtId="0" fontId="49" fillId="0" borderId="36" xfId="0" applyFont="1" applyFill="1" applyBorder="1" applyAlignment="1">
      <alignment wrapText="1"/>
    </xf>
    <xf numFmtId="0" fontId="51" fillId="4" borderId="2" xfId="0" applyFont="1" applyFill="1" applyBorder="1" applyAlignment="1">
      <alignment wrapText="1"/>
    </xf>
    <xf numFmtId="0" fontId="51" fillId="4" borderId="2" xfId="0" applyFont="1" applyFill="1" applyBorder="1"/>
    <xf numFmtId="0" fontId="47" fillId="4" borderId="2" xfId="0" applyFont="1" applyFill="1" applyBorder="1"/>
    <xf numFmtId="0" fontId="47" fillId="4" borderId="16" xfId="0" applyFont="1" applyFill="1" applyBorder="1"/>
    <xf numFmtId="0" fontId="48" fillId="4" borderId="2" xfId="0" applyFont="1" applyFill="1" applyBorder="1"/>
    <xf numFmtId="3" fontId="51" fillId="4" borderId="2" xfId="0" applyNumberFormat="1" applyFont="1" applyFill="1" applyBorder="1"/>
    <xf numFmtId="0" fontId="52" fillId="4" borderId="2" xfId="0" applyFont="1" applyFill="1" applyBorder="1"/>
    <xf numFmtId="3" fontId="52" fillId="4" borderId="2" xfId="0" applyNumberFormat="1" applyFont="1" applyFill="1" applyBorder="1"/>
    <xf numFmtId="0" fontId="53" fillId="4" borderId="2" xfId="0" applyFont="1" applyFill="1" applyBorder="1" applyAlignment="1">
      <alignment wrapText="1"/>
    </xf>
    <xf numFmtId="0" fontId="52" fillId="4" borderId="2" xfId="0" applyFont="1" applyFill="1" applyBorder="1" applyAlignment="1">
      <alignment wrapText="1"/>
    </xf>
    <xf numFmtId="0" fontId="52" fillId="6" borderId="2" xfId="0" applyFont="1" applyFill="1" applyBorder="1" applyAlignment="1">
      <alignment wrapText="1"/>
    </xf>
    <xf numFmtId="0" fontId="52" fillId="6" borderId="2" xfId="0" applyFont="1" applyFill="1" applyBorder="1"/>
    <xf numFmtId="3" fontId="52" fillId="6" borderId="2" xfId="0" applyNumberFormat="1" applyFont="1" applyFill="1" applyBorder="1"/>
    <xf numFmtId="3" fontId="51" fillId="6" borderId="2" xfId="0" applyNumberFormat="1" applyFont="1" applyFill="1" applyBorder="1"/>
    <xf numFmtId="0" fontId="47" fillId="0" borderId="2" xfId="0" applyFont="1" applyFill="1" applyBorder="1"/>
    <xf numFmtId="0" fontId="47" fillId="0" borderId="2" xfId="0" applyFont="1" applyBorder="1"/>
    <xf numFmtId="3" fontId="47" fillId="0" borderId="16" xfId="0" applyNumberFormat="1" applyFont="1" applyBorder="1"/>
    <xf numFmtId="0" fontId="53" fillId="6" borderId="2" xfId="0" applyFont="1" applyFill="1" applyBorder="1" applyAlignment="1">
      <alignment wrapText="1"/>
    </xf>
    <xf numFmtId="3" fontId="48" fillId="4" borderId="2" xfId="0" applyNumberFormat="1" applyFont="1" applyFill="1" applyBorder="1"/>
    <xf numFmtId="3" fontId="48" fillId="6" borderId="2" xfId="0" applyNumberFormat="1" applyFont="1" applyFill="1" applyBorder="1"/>
    <xf numFmtId="0" fontId="53" fillId="4" borderId="2" xfId="0" applyFont="1" applyFill="1" applyBorder="1"/>
    <xf numFmtId="0" fontId="53" fillId="4" borderId="2" xfId="0" applyFont="1" applyFill="1" applyBorder="1" applyAlignment="1">
      <alignment vertical="center" wrapText="1"/>
    </xf>
    <xf numFmtId="0" fontId="48" fillId="4" borderId="2" xfId="0" applyFont="1" applyFill="1" applyBorder="1" applyAlignment="1">
      <alignment vertical="center" wrapText="1"/>
    </xf>
    <xf numFmtId="0" fontId="48" fillId="4" borderId="2" xfId="0" applyFont="1" applyFill="1" applyBorder="1" applyAlignment="1">
      <alignment wrapText="1"/>
    </xf>
    <xf numFmtId="0" fontId="53" fillId="6" borderId="2" xfId="0" applyFont="1" applyFill="1" applyBorder="1"/>
    <xf numFmtId="3" fontId="47" fillId="4" borderId="2" xfId="0" applyNumberFormat="1" applyFont="1" applyFill="1" applyBorder="1"/>
    <xf numFmtId="0" fontId="51" fillId="6" borderId="12" xfId="0" applyFont="1" applyFill="1" applyBorder="1"/>
    <xf numFmtId="3" fontId="51" fillId="6" borderId="27" xfId="0" applyNumberFormat="1" applyFont="1" applyFill="1" applyBorder="1"/>
    <xf numFmtId="3" fontId="49" fillId="0" borderId="27" xfId="0" applyNumberFormat="1" applyFont="1" applyFill="1" applyBorder="1"/>
    <xf numFmtId="3" fontId="47" fillId="0" borderId="28" xfId="0" applyNumberFormat="1" applyFont="1" applyBorder="1"/>
    <xf numFmtId="3" fontId="51" fillId="0" borderId="0" xfId="0" applyNumberFormat="1" applyFont="1"/>
    <xf numFmtId="0" fontId="47" fillId="0" borderId="0" xfId="0" applyFont="1" applyFill="1"/>
    <xf numFmtId="0" fontId="50" fillId="4" borderId="11" xfId="0" applyFont="1" applyFill="1" applyBorder="1"/>
    <xf numFmtId="3" fontId="51" fillId="4" borderId="4" xfId="0" applyNumberFormat="1" applyFont="1" applyFill="1" applyBorder="1"/>
    <xf numFmtId="3" fontId="51" fillId="4" borderId="36" xfId="0" applyNumberFormat="1" applyFont="1" applyFill="1" applyBorder="1"/>
    <xf numFmtId="0" fontId="50" fillId="0" borderId="8" xfId="0" applyFont="1" applyBorder="1"/>
    <xf numFmtId="3" fontId="51" fillId="0" borderId="2" xfId="0" applyNumberFormat="1" applyFont="1" applyBorder="1"/>
    <xf numFmtId="3" fontId="51" fillId="0" borderId="16" xfId="0" applyNumberFormat="1" applyFont="1" applyBorder="1"/>
    <xf numFmtId="0" fontId="50" fillId="0" borderId="12" xfId="0" applyFont="1" applyBorder="1"/>
    <xf numFmtId="3" fontId="51" fillId="0" borderId="27" xfId="0" applyNumberFormat="1" applyFont="1" applyBorder="1"/>
    <xf numFmtId="3" fontId="51" fillId="0" borderId="28" xfId="0" applyNumberFormat="1" applyFont="1" applyBorder="1"/>
    <xf numFmtId="0" fontId="50" fillId="0" borderId="0" xfId="0" applyFont="1"/>
    <xf numFmtId="0" fontId="0" fillId="4" borderId="0" xfId="0" applyFill="1"/>
    <xf numFmtId="3" fontId="0" fillId="0" borderId="0" xfId="0" applyNumberFormat="1"/>
    <xf numFmtId="3" fontId="47" fillId="0" borderId="0" xfId="0" applyNumberFormat="1" applyFont="1"/>
    <xf numFmtId="0" fontId="51" fillId="0" borderId="49" xfId="0" applyFont="1" applyBorder="1" applyAlignment="1">
      <alignment wrapText="1"/>
    </xf>
    <xf numFmtId="0" fontId="51" fillId="0" borderId="4" xfId="0" applyFont="1" applyFill="1" applyBorder="1" applyAlignment="1">
      <alignment wrapText="1"/>
    </xf>
    <xf numFmtId="0" fontId="51" fillId="0" borderId="36" xfId="0" applyFont="1" applyFill="1" applyBorder="1" applyAlignment="1">
      <alignment wrapText="1"/>
    </xf>
    <xf numFmtId="0" fontId="51" fillId="5" borderId="2" xfId="0" applyFont="1" applyFill="1" applyBorder="1" applyAlignment="1">
      <alignment wrapText="1"/>
    </xf>
    <xf numFmtId="0" fontId="51" fillId="5" borderId="2" xfId="0" applyFont="1" applyFill="1" applyBorder="1"/>
    <xf numFmtId="0" fontId="51" fillId="5" borderId="49" xfId="0" applyFont="1" applyFill="1" applyBorder="1" applyAlignment="1">
      <alignment wrapText="1"/>
    </xf>
    <xf numFmtId="0" fontId="0" fillId="5" borderId="2" xfId="0" applyFill="1" applyBorder="1"/>
    <xf numFmtId="0" fontId="0" fillId="5" borderId="16" xfId="0" applyFill="1" applyBorder="1"/>
    <xf numFmtId="0" fontId="52" fillId="5" borderId="2" xfId="0" applyFont="1" applyFill="1" applyBorder="1" applyAlignment="1">
      <alignment wrapText="1"/>
    </xf>
    <xf numFmtId="3" fontId="52" fillId="5" borderId="2" xfId="0" applyNumberFormat="1" applyFont="1" applyFill="1" applyBorder="1"/>
    <xf numFmtId="3" fontId="51" fillId="5" borderId="49" xfId="0" applyNumberFormat="1" applyFont="1" applyFill="1" applyBorder="1"/>
    <xf numFmtId="0" fontId="47" fillId="5" borderId="2" xfId="0" applyFont="1" applyFill="1" applyBorder="1"/>
    <xf numFmtId="3" fontId="49" fillId="5" borderId="16" xfId="0" applyNumberFormat="1" applyFont="1" applyFill="1" applyBorder="1"/>
    <xf numFmtId="0" fontId="53" fillId="5" borderId="2" xfId="0" applyFont="1" applyFill="1" applyBorder="1" applyAlignment="1">
      <alignment wrapText="1"/>
    </xf>
    <xf numFmtId="0" fontId="53" fillId="5" borderId="2" xfId="0" applyFont="1" applyFill="1" applyBorder="1"/>
    <xf numFmtId="0" fontId="53" fillId="0" borderId="21" xfId="0" applyFont="1" applyBorder="1"/>
    <xf numFmtId="3" fontId="53" fillId="0" borderId="21" xfId="0" applyNumberFormat="1" applyFont="1" applyBorder="1"/>
    <xf numFmtId="3" fontId="53" fillId="0" borderId="43" xfId="0" applyNumberFormat="1" applyFont="1" applyBorder="1"/>
    <xf numFmtId="3" fontId="49" fillId="0" borderId="16" xfId="0" applyNumberFormat="1" applyFont="1" applyBorder="1"/>
    <xf numFmtId="0" fontId="47" fillId="5" borderId="0" xfId="0" applyFont="1" applyFill="1"/>
    <xf numFmtId="0" fontId="0" fillId="5" borderId="0" xfId="0" applyFill="1"/>
    <xf numFmtId="164" fontId="27" fillId="6" borderId="56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5" xfId="6" applyFont="1" applyFill="1" applyBorder="1"/>
    <xf numFmtId="0" fontId="29" fillId="0" borderId="57" xfId="6" applyFont="1" applyFill="1" applyBorder="1"/>
    <xf numFmtId="0" fontId="29" fillId="0" borderId="29" xfId="6" applyFont="1" applyFill="1" applyBorder="1"/>
    <xf numFmtId="0" fontId="22" fillId="0" borderId="13" xfId="6" applyFont="1" applyFill="1" applyBorder="1" applyAlignment="1">
      <alignment horizontal="center"/>
    </xf>
    <xf numFmtId="0" fontId="22" fillId="0" borderId="44" xfId="6" applyFont="1" applyFill="1" applyBorder="1" applyAlignment="1">
      <alignment horizontal="center"/>
    </xf>
    <xf numFmtId="0" fontId="22" fillId="0" borderId="20" xfId="6" applyFont="1" applyFill="1" applyBorder="1" applyAlignment="1">
      <alignment horizontal="center"/>
    </xf>
    <xf numFmtId="3" fontId="22" fillId="0" borderId="9" xfId="6" applyNumberFormat="1" applyFont="1" applyFill="1" applyBorder="1"/>
    <xf numFmtId="3" fontId="22" fillId="0" borderId="58" xfId="6" applyNumberFormat="1" applyFont="1" applyFill="1" applyBorder="1"/>
    <xf numFmtId="3" fontId="22" fillId="0" borderId="26" xfId="6" applyNumberFormat="1" applyFont="1" applyFill="1" applyBorder="1"/>
    <xf numFmtId="3" fontId="22" fillId="0" borderId="8" xfId="6" applyNumberFormat="1" applyFont="1" applyFill="1" applyBorder="1"/>
    <xf numFmtId="3" fontId="22" fillId="0" borderId="59" xfId="6" applyNumberFormat="1" applyFont="1" applyFill="1" applyBorder="1"/>
    <xf numFmtId="3" fontId="22" fillId="0" borderId="16" xfId="6" applyNumberFormat="1" applyFont="1" applyFill="1" applyBorder="1"/>
    <xf numFmtId="3" fontId="22" fillId="0" borderId="10" xfId="6" applyNumberFormat="1" applyFont="1" applyFill="1" applyBorder="1"/>
    <xf numFmtId="3" fontId="22" fillId="0" borderId="40" xfId="6" applyNumberFormat="1" applyFont="1" applyFill="1" applyBorder="1"/>
    <xf numFmtId="3" fontId="22" fillId="0" borderId="18" xfId="6" applyNumberFormat="1" applyFont="1" applyFill="1" applyBorder="1"/>
    <xf numFmtId="0" fontId="24" fillId="0" borderId="0" xfId="0" applyFont="1" applyAlignment="1">
      <alignment horizontal="center" wrapText="1"/>
    </xf>
    <xf numFmtId="0" fontId="0" fillId="0" borderId="0" xfId="0" applyProtection="1"/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30" fillId="0" borderId="55" xfId="0" applyFont="1" applyBorder="1" applyAlignment="1" applyProtection="1">
      <alignment horizontal="right" vertical="center" indent="1"/>
    </xf>
    <xf numFmtId="0" fontId="40" fillId="0" borderId="2" xfId="0" applyFont="1" applyBorder="1" applyProtection="1">
      <protection locked="0"/>
    </xf>
    <xf numFmtId="0" fontId="40" fillId="0" borderId="2" xfId="0" applyFont="1" applyBorder="1" applyAlignment="1" applyProtection="1">
      <alignment horizontal="left" vertical="center" indent="1"/>
      <protection locked="0"/>
    </xf>
    <xf numFmtId="0" fontId="30" fillId="0" borderId="60" xfId="0" applyFont="1" applyBorder="1" applyAlignment="1" applyProtection="1">
      <alignment horizontal="right" vertical="center" indent="1"/>
    </xf>
    <xf numFmtId="0" fontId="40" fillId="6" borderId="2" xfId="0" applyFont="1" applyFill="1" applyBorder="1" applyProtection="1">
      <protection locked="0"/>
    </xf>
    <xf numFmtId="0" fontId="40" fillId="6" borderId="2" xfId="0" applyFont="1" applyFill="1" applyBorder="1" applyAlignment="1" applyProtection="1">
      <alignment horizontal="left" vertical="center" indent="1"/>
      <protection locked="0"/>
    </xf>
    <xf numFmtId="3" fontId="40" fillId="6" borderId="2" xfId="0" applyNumberFormat="1" applyFont="1" applyFill="1" applyBorder="1" applyProtection="1">
      <protection locked="0"/>
    </xf>
    <xf numFmtId="164" fontId="15" fillId="3" borderId="21" xfId="0" applyNumberFormat="1" applyFont="1" applyFill="1" applyBorder="1" applyAlignment="1" applyProtection="1">
      <alignment horizontal="left" vertical="center" wrapText="1" indent="2"/>
    </xf>
    <xf numFmtId="3" fontId="32" fillId="0" borderId="20" xfId="0" applyNumberFormat="1" applyFont="1" applyFill="1" applyBorder="1" applyAlignment="1" applyProtection="1">
      <alignment horizontal="right" vertical="center" indent="1"/>
    </xf>
    <xf numFmtId="164" fontId="12" fillId="0" borderId="0" xfId="0" applyNumberFormat="1" applyFont="1" applyFill="1" applyAlignment="1" applyProtection="1">
      <alignment horizontal="center" vertical="center" wrapText="1"/>
    </xf>
    <xf numFmtId="0" fontId="46" fillId="0" borderId="0" xfId="4"/>
    <xf numFmtId="0" fontId="54" fillId="0" borderId="0" xfId="4" applyFont="1"/>
    <xf numFmtId="0" fontId="49" fillId="0" borderId="61" xfId="4" applyFont="1" applyBorder="1" applyAlignment="1">
      <alignment horizontal="right" vertical="top" wrapText="1"/>
    </xf>
    <xf numFmtId="0" fontId="49" fillId="0" borderId="62" xfId="4" applyFont="1" applyBorder="1" applyAlignment="1">
      <alignment horizontal="center" vertical="center" wrapText="1"/>
    </xf>
    <xf numFmtId="0" fontId="49" fillId="0" borderId="12" xfId="4" applyFont="1" applyBorder="1" applyAlignment="1">
      <alignment horizontal="center" vertical="center" wrapText="1"/>
    </xf>
    <xf numFmtId="0" fontId="49" fillId="0" borderId="27" xfId="4" applyFont="1" applyBorder="1" applyAlignment="1">
      <alignment horizontal="center" vertical="center" wrapText="1"/>
    </xf>
    <xf numFmtId="0" fontId="49" fillId="0" borderId="47" xfId="4" applyFont="1" applyBorder="1" applyAlignment="1">
      <alignment horizontal="center" vertical="center" wrapText="1"/>
    </xf>
    <xf numFmtId="0" fontId="49" fillId="0" borderId="28" xfId="4" applyFont="1" applyBorder="1" applyAlignment="1">
      <alignment horizontal="center" vertical="center" wrapText="1"/>
    </xf>
    <xf numFmtId="0" fontId="46" fillId="0" borderId="0" xfId="4" applyAlignment="1">
      <alignment horizontal="center" vertical="center"/>
    </xf>
    <xf numFmtId="0" fontId="49" fillId="0" borderId="24" xfId="4" applyFont="1" applyBorder="1" applyAlignment="1">
      <alignment horizontal="left" vertical="top" wrapText="1"/>
    </xf>
    <xf numFmtId="3" fontId="49" fillId="0" borderId="26" xfId="4" applyNumberFormat="1" applyFont="1" applyBorder="1" applyAlignment="1">
      <alignment horizontal="right" vertical="top" wrapText="1"/>
    </xf>
    <xf numFmtId="0" fontId="49" fillId="0" borderId="22" xfId="4" applyFont="1" applyBorder="1" applyAlignment="1">
      <alignment horizontal="left" vertical="top" wrapText="1"/>
    </xf>
    <xf numFmtId="3" fontId="49" fillId="0" borderId="8" xfId="4" applyNumberFormat="1" applyFont="1" applyBorder="1" applyAlignment="1">
      <alignment horizontal="right" vertical="top" wrapText="1"/>
    </xf>
    <xf numFmtId="3" fontId="49" fillId="0" borderId="2" xfId="4" applyNumberFormat="1" applyFont="1" applyBorder="1" applyAlignment="1">
      <alignment horizontal="right" vertical="top" wrapText="1"/>
    </xf>
    <xf numFmtId="3" fontId="49" fillId="0" borderId="49" xfId="4" applyNumberFormat="1" applyFont="1" applyBorder="1" applyAlignment="1">
      <alignment horizontal="right" vertical="top" wrapText="1"/>
    </xf>
    <xf numFmtId="3" fontId="49" fillId="0" borderId="16" xfId="4" applyNumberFormat="1" applyFont="1" applyBorder="1" applyAlignment="1">
      <alignment horizontal="right" vertical="top" wrapText="1"/>
    </xf>
    <xf numFmtId="3" fontId="47" fillId="0" borderId="9" xfId="4" applyNumberFormat="1" applyFont="1" applyBorder="1" applyAlignment="1">
      <alignment horizontal="right" vertical="top" wrapText="1"/>
    </xf>
    <xf numFmtId="3" fontId="47" fillId="0" borderId="3" xfId="4" applyNumberFormat="1" applyFont="1" applyBorder="1" applyAlignment="1">
      <alignment horizontal="right" vertical="top" wrapText="1"/>
    </xf>
    <xf numFmtId="3" fontId="47" fillId="0" borderId="63" xfId="4" applyNumberFormat="1" applyFont="1" applyBorder="1" applyAlignment="1">
      <alignment horizontal="right" vertical="top" wrapText="1"/>
    </xf>
    <xf numFmtId="0" fontId="47" fillId="0" borderId="60" xfId="4" applyFont="1" applyBorder="1" applyAlignment="1">
      <alignment horizontal="left" vertical="top" wrapText="1"/>
    </xf>
    <xf numFmtId="3" fontId="47" fillId="0" borderId="8" xfId="4" applyNumberFormat="1" applyFont="1" applyBorder="1" applyAlignment="1">
      <alignment horizontal="right" vertical="top" wrapText="1"/>
    </xf>
    <xf numFmtId="3" fontId="47" fillId="0" borderId="2" xfId="4" applyNumberFormat="1" applyFont="1" applyBorder="1" applyAlignment="1">
      <alignment horizontal="right" vertical="top" wrapText="1"/>
    </xf>
    <xf numFmtId="3" fontId="47" fillId="0" borderId="5" xfId="4" applyNumberFormat="1" applyFont="1" applyBorder="1" applyAlignment="1">
      <alignment horizontal="right" vertical="top" wrapText="1"/>
    </xf>
    <xf numFmtId="3" fontId="49" fillId="0" borderId="64" xfId="4" applyNumberFormat="1" applyFont="1" applyBorder="1" applyAlignment="1">
      <alignment horizontal="right" vertical="top" wrapText="1"/>
    </xf>
    <xf numFmtId="0" fontId="49" fillId="0" borderId="65" xfId="4" applyFont="1" applyBorder="1" applyAlignment="1">
      <alignment horizontal="left" vertical="top" wrapText="1"/>
    </xf>
    <xf numFmtId="3" fontId="49" fillId="0" borderId="5" xfId="4" applyNumberFormat="1" applyFont="1" applyBorder="1" applyAlignment="1">
      <alignment horizontal="right" vertical="top" wrapText="1"/>
    </xf>
    <xf numFmtId="0" fontId="49" fillId="0" borderId="21" xfId="4" applyFont="1" applyBorder="1" applyAlignment="1">
      <alignment horizontal="right" vertical="top" wrapText="1"/>
    </xf>
    <xf numFmtId="3" fontId="49" fillId="0" borderId="13" xfId="4" applyNumberFormat="1" applyFont="1" applyBorder="1" applyAlignment="1">
      <alignment horizontal="right" vertical="top" wrapText="1"/>
    </xf>
    <xf numFmtId="0" fontId="46" fillId="0" borderId="0" xfId="4" applyFont="1"/>
    <xf numFmtId="3" fontId="46" fillId="0" borderId="0" xfId="4" applyNumberFormat="1"/>
    <xf numFmtId="3" fontId="54" fillId="0" borderId="0" xfId="4" applyNumberFormat="1" applyFont="1"/>
    <xf numFmtId="0" fontId="49" fillId="0" borderId="60" xfId="4" applyFont="1" applyBorder="1" applyAlignment="1">
      <alignment horizontal="left" vertical="top" wrapText="1"/>
    </xf>
    <xf numFmtId="3" fontId="47" fillId="0" borderId="49" xfId="4" applyNumberFormat="1" applyFont="1" applyBorder="1" applyAlignment="1">
      <alignment horizontal="right" vertical="top" wrapText="1"/>
    </xf>
    <xf numFmtId="0" fontId="34" fillId="0" borderId="44" xfId="0" applyFont="1" applyFill="1" applyBorder="1" applyAlignment="1" applyProtection="1">
      <alignment horizontal="center" vertical="center" wrapText="1"/>
    </xf>
    <xf numFmtId="164" fontId="7" fillId="0" borderId="0" xfId="6" applyNumberFormat="1" applyFont="1" applyFill="1" applyBorder="1" applyAlignment="1" applyProtection="1">
      <alignment horizontal="center" vertical="center"/>
    </xf>
    <xf numFmtId="0" fontId="24" fillId="0" borderId="0" xfId="6" applyFont="1" applyFill="1" applyAlignment="1" applyProtection="1">
      <alignment horizontal="center"/>
    </xf>
    <xf numFmtId="3" fontId="56" fillId="0" borderId="2" xfId="0" applyNumberFormat="1" applyFont="1" applyBorder="1" applyAlignment="1">
      <alignment horizontal="right" wrapText="1"/>
    </xf>
    <xf numFmtId="0" fontId="56" fillId="6" borderId="49" xfId="0" applyFont="1" applyFill="1" applyBorder="1" applyAlignment="1">
      <alignment horizontal="left" wrapText="1"/>
    </xf>
    <xf numFmtId="0" fontId="47" fillId="6" borderId="66" xfId="0" applyFont="1" applyFill="1" applyBorder="1" applyAlignment="1">
      <alignment horizontal="left" wrapText="1"/>
    </xf>
    <xf numFmtId="0" fontId="47" fillId="0" borderId="8" xfId="5" applyFont="1" applyFill="1" applyBorder="1" applyAlignment="1">
      <alignment horizontal="left" vertical="justify" wrapText="1"/>
    </xf>
    <xf numFmtId="0" fontId="56" fillId="4" borderId="49" xfId="0" applyFont="1" applyFill="1" applyBorder="1" applyAlignment="1">
      <alignment horizontal="left" wrapText="1"/>
    </xf>
    <xf numFmtId="3" fontId="56" fillId="4" borderId="2" xfId="0" applyNumberFormat="1" applyFont="1" applyFill="1" applyBorder="1" applyAlignment="1">
      <alignment horizontal="right" wrapText="1"/>
    </xf>
    <xf numFmtId="3" fontId="47" fillId="4" borderId="2" xfId="5" applyNumberFormat="1" applyFont="1" applyFill="1" applyBorder="1" applyAlignment="1">
      <alignment vertical="justify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/>
    </xf>
    <xf numFmtId="0" fontId="47" fillId="4" borderId="60" xfId="0" applyFont="1" applyFill="1" applyBorder="1" applyAlignment="1">
      <alignment horizontal="left" wrapText="1"/>
    </xf>
    <xf numFmtId="3" fontId="47" fillId="4" borderId="2" xfId="0" applyNumberFormat="1" applyFont="1" applyFill="1" applyBorder="1" applyAlignment="1">
      <alignment wrapText="1"/>
    </xf>
    <xf numFmtId="0" fontId="56" fillId="4" borderId="59" xfId="0" applyFont="1" applyFill="1" applyBorder="1" applyAlignment="1">
      <alignment horizontal="left" wrapText="1"/>
    </xf>
    <xf numFmtId="0" fontId="47" fillId="4" borderId="60" xfId="0" applyFont="1" applyFill="1" applyBorder="1" applyAlignment="1">
      <alignment wrapText="1"/>
    </xf>
    <xf numFmtId="0" fontId="47" fillId="4" borderId="8" xfId="5" applyFont="1" applyFill="1" applyBorder="1" applyAlignment="1">
      <alignment horizontal="left" wrapText="1"/>
    </xf>
    <xf numFmtId="3" fontId="47" fillId="4" borderId="2" xfId="5" applyNumberFormat="1" applyFont="1" applyFill="1" applyBorder="1" applyAlignment="1">
      <alignment horizontal="right" wrapText="1"/>
    </xf>
    <xf numFmtId="0" fontId="47" fillId="4" borderId="8" xfId="5" applyFont="1" applyFill="1" applyBorder="1" applyAlignment="1">
      <alignment horizontal="left" vertical="justify" wrapText="1"/>
    </xf>
    <xf numFmtId="164" fontId="49" fillId="0" borderId="2" xfId="0" applyNumberFormat="1" applyFont="1" applyFill="1" applyBorder="1" applyAlignment="1">
      <alignment horizontal="left" vertical="center" wrapText="1"/>
    </xf>
    <xf numFmtId="164" fontId="49" fillId="0" borderId="2" xfId="0" applyNumberFormat="1" applyFont="1" applyFill="1" applyBorder="1" applyAlignment="1">
      <alignment vertical="center" wrapText="1"/>
    </xf>
    <xf numFmtId="0" fontId="49" fillId="4" borderId="67" xfId="4" applyFont="1" applyFill="1" applyBorder="1" applyAlignment="1">
      <alignment horizontal="left" vertical="top" wrapText="1"/>
    </xf>
    <xf numFmtId="3" fontId="49" fillId="4" borderId="11" xfId="4" applyNumberFormat="1" applyFont="1" applyFill="1" applyBorder="1" applyAlignment="1">
      <alignment horizontal="right" vertical="top" wrapText="1"/>
    </xf>
    <xf numFmtId="3" fontId="49" fillId="4" borderId="4" xfId="4" applyNumberFormat="1" applyFont="1" applyFill="1" applyBorder="1" applyAlignment="1">
      <alignment horizontal="right" vertical="top" wrapText="1"/>
    </xf>
    <xf numFmtId="3" fontId="49" fillId="4" borderId="68" xfId="4" applyNumberFormat="1" applyFont="1" applyFill="1" applyBorder="1" applyAlignment="1">
      <alignment horizontal="right" vertical="top" wrapText="1"/>
    </xf>
    <xf numFmtId="3" fontId="49" fillId="4" borderId="36" xfId="4" applyNumberFormat="1" applyFont="1" applyFill="1" applyBorder="1" applyAlignment="1">
      <alignment horizontal="right" vertical="top" wrapText="1"/>
    </xf>
    <xf numFmtId="0" fontId="49" fillId="4" borderId="24" xfId="4" applyFont="1" applyFill="1" applyBorder="1" applyAlignment="1">
      <alignment horizontal="left" vertical="top" wrapText="1"/>
    </xf>
    <xf numFmtId="3" fontId="49" fillId="4" borderId="9" xfId="4" applyNumberFormat="1" applyFont="1" applyFill="1" applyBorder="1" applyAlignment="1">
      <alignment horizontal="right" vertical="top" wrapText="1"/>
    </xf>
    <xf numFmtId="3" fontId="49" fillId="4" borderId="3" xfId="4" applyNumberFormat="1" applyFont="1" applyFill="1" applyBorder="1" applyAlignment="1">
      <alignment horizontal="right" vertical="top" wrapText="1"/>
    </xf>
    <xf numFmtId="3" fontId="49" fillId="4" borderId="63" xfId="4" applyNumberFormat="1" applyFont="1" applyFill="1" applyBorder="1" applyAlignment="1">
      <alignment horizontal="right" vertical="top" wrapText="1"/>
    </xf>
    <xf numFmtId="3" fontId="49" fillId="4" borderId="26" xfId="4" applyNumberFormat="1" applyFont="1" applyFill="1" applyBorder="1" applyAlignment="1">
      <alignment horizontal="right" vertical="top" wrapText="1"/>
    </xf>
    <xf numFmtId="0" fontId="49" fillId="4" borderId="25" xfId="4" applyFont="1" applyFill="1" applyBorder="1" applyAlignment="1">
      <alignment horizontal="left" vertical="top" wrapText="1"/>
    </xf>
    <xf numFmtId="3" fontId="49" fillId="4" borderId="7" xfId="4" applyNumberFormat="1" applyFont="1" applyFill="1" applyBorder="1" applyAlignment="1">
      <alignment horizontal="right" vertical="top" wrapText="1"/>
    </xf>
    <xf numFmtId="3" fontId="49" fillId="4" borderId="1" xfId="4" applyNumberFormat="1" applyFont="1" applyFill="1" applyBorder="1" applyAlignment="1">
      <alignment horizontal="right" vertical="top" wrapText="1"/>
    </xf>
    <xf numFmtId="3" fontId="49" fillId="4" borderId="54" xfId="4" applyNumberFormat="1" applyFont="1" applyFill="1" applyBorder="1" applyAlignment="1">
      <alignment horizontal="right" vertical="top" wrapText="1"/>
    </xf>
    <xf numFmtId="3" fontId="49" fillId="4" borderId="17" xfId="4" applyNumberFormat="1" applyFont="1" applyFill="1" applyBorder="1" applyAlignment="1">
      <alignment horizontal="right" vertical="top" wrapText="1"/>
    </xf>
    <xf numFmtId="0" fontId="47" fillId="4" borderId="60" xfId="4" applyFont="1" applyFill="1" applyBorder="1" applyAlignment="1">
      <alignment horizontal="left" vertical="top" wrapText="1"/>
    </xf>
    <xf numFmtId="3" fontId="47" fillId="4" borderId="8" xfId="4" applyNumberFormat="1" applyFont="1" applyFill="1" applyBorder="1" applyAlignment="1">
      <alignment horizontal="right" vertical="top" wrapText="1"/>
    </xf>
    <xf numFmtId="3" fontId="47" fillId="4" borderId="2" xfId="4" applyNumberFormat="1" applyFont="1" applyFill="1" applyBorder="1" applyAlignment="1">
      <alignment horizontal="right" vertical="top" wrapText="1"/>
    </xf>
    <xf numFmtId="3" fontId="49" fillId="4" borderId="16" xfId="4" applyNumberFormat="1" applyFont="1" applyFill="1" applyBorder="1" applyAlignment="1">
      <alignment horizontal="right" vertical="top" wrapText="1"/>
    </xf>
    <xf numFmtId="3" fontId="47" fillId="4" borderId="5" xfId="4" applyNumberFormat="1" applyFont="1" applyFill="1" applyBorder="1" applyAlignment="1">
      <alignment horizontal="right" vertical="top" wrapText="1"/>
    </xf>
    <xf numFmtId="3" fontId="47" fillId="4" borderId="49" xfId="4" applyNumberFormat="1" applyFont="1" applyFill="1" applyBorder="1" applyAlignment="1">
      <alignment horizontal="right" vertical="top" wrapText="1"/>
    </xf>
    <xf numFmtId="0" fontId="49" fillId="4" borderId="65" xfId="4" applyFont="1" applyFill="1" applyBorder="1" applyAlignment="1">
      <alignment horizontal="left" vertical="top" wrapText="1"/>
    </xf>
    <xf numFmtId="3" fontId="49" fillId="4" borderId="8" xfId="4" applyNumberFormat="1" applyFont="1" applyFill="1" applyBorder="1" applyAlignment="1">
      <alignment horizontal="right" vertical="top" wrapText="1"/>
    </xf>
    <xf numFmtId="3" fontId="49" fillId="4" borderId="2" xfId="4" applyNumberFormat="1" applyFont="1" applyFill="1" applyBorder="1" applyAlignment="1">
      <alignment horizontal="right" vertical="top" wrapText="1"/>
    </xf>
    <xf numFmtId="3" fontId="49" fillId="4" borderId="5" xfId="4" applyNumberFormat="1" applyFont="1" applyFill="1" applyBorder="1" applyAlignment="1">
      <alignment horizontal="right" vertical="top" wrapText="1"/>
    </xf>
    <xf numFmtId="3" fontId="49" fillId="4" borderId="49" xfId="4" applyNumberFormat="1" applyFont="1" applyFill="1" applyBorder="1" applyAlignment="1">
      <alignment horizontal="right" vertical="top" wrapText="1"/>
    </xf>
    <xf numFmtId="3" fontId="49" fillId="4" borderId="64" xfId="4" applyNumberFormat="1" applyFont="1" applyFill="1" applyBorder="1" applyAlignment="1">
      <alignment horizontal="right" vertical="top" wrapText="1"/>
    </xf>
    <xf numFmtId="0" fontId="49" fillId="5" borderId="65" xfId="4" applyFont="1" applyFill="1" applyBorder="1" applyAlignment="1">
      <alignment horizontal="left" vertical="top" wrapText="1"/>
    </xf>
    <xf numFmtId="3" fontId="49" fillId="5" borderId="8" xfId="4" applyNumberFormat="1" applyFont="1" applyFill="1" applyBorder="1" applyAlignment="1">
      <alignment horizontal="right" vertical="top" wrapText="1"/>
    </xf>
    <xf numFmtId="3" fontId="49" fillId="5" borderId="2" xfId="4" applyNumberFormat="1" applyFont="1" applyFill="1" applyBorder="1" applyAlignment="1">
      <alignment horizontal="right" vertical="top" wrapText="1"/>
    </xf>
    <xf numFmtId="3" fontId="49" fillId="5" borderId="16" xfId="4" applyNumberFormat="1" applyFont="1" applyFill="1" applyBorder="1" applyAlignment="1">
      <alignment horizontal="right" vertical="top" wrapText="1"/>
    </xf>
    <xf numFmtId="3" fontId="49" fillId="5" borderId="5" xfId="4" applyNumberFormat="1" applyFont="1" applyFill="1" applyBorder="1" applyAlignment="1">
      <alignment horizontal="right" vertical="top" wrapText="1"/>
    </xf>
    <xf numFmtId="3" fontId="49" fillId="5" borderId="49" xfId="4" applyNumberFormat="1" applyFont="1" applyFill="1" applyBorder="1" applyAlignment="1">
      <alignment horizontal="right" vertical="top" wrapText="1"/>
    </xf>
    <xf numFmtId="3" fontId="49" fillId="5" borderId="64" xfId="4" applyNumberFormat="1" applyFont="1" applyFill="1" applyBorder="1" applyAlignment="1">
      <alignment horizontal="right" vertical="top" wrapText="1"/>
    </xf>
    <xf numFmtId="164" fontId="5" fillId="0" borderId="0" xfId="6" applyNumberFormat="1" applyFont="1" applyFill="1" applyBorder="1" applyAlignment="1" applyProtection="1">
      <alignment horizontal="center" vertical="center" wrapText="1"/>
    </xf>
    <xf numFmtId="164" fontId="22" fillId="6" borderId="26" xfId="6" applyNumberFormat="1" applyFont="1" applyFill="1" applyBorder="1" applyAlignment="1" applyProtection="1">
      <alignment horizontal="right" vertical="center" wrapText="1" indent="1"/>
    </xf>
    <xf numFmtId="164" fontId="22" fillId="6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6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0" fillId="6" borderId="0" xfId="0" applyFill="1"/>
    <xf numFmtId="0" fontId="57" fillId="6" borderId="0" xfId="0" applyFont="1" applyFill="1" applyBorder="1"/>
    <xf numFmtId="0" fontId="6" fillId="0" borderId="0" xfId="0" applyFont="1" applyFill="1" applyBorder="1" applyAlignment="1" applyProtection="1">
      <alignment horizontal="right" vertical="center"/>
    </xf>
    <xf numFmtId="164" fontId="22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Border="1" applyAlignment="1" applyProtection="1">
      <alignment horizontal="right"/>
    </xf>
    <xf numFmtId="164" fontId="15" fillId="0" borderId="0" xfId="6" applyNumberFormat="1" applyFont="1" applyFill="1" applyProtection="1"/>
    <xf numFmtId="164" fontId="2" fillId="0" borderId="0" xfId="0" applyNumberFormat="1" applyFont="1" applyFill="1" applyAlignment="1">
      <alignment vertical="center" wrapText="1"/>
    </xf>
    <xf numFmtId="0" fontId="22" fillId="0" borderId="16" xfId="0" applyFont="1" applyFill="1" applyBorder="1" applyAlignment="1">
      <alignment horizontal="right" vertical="center" wrapText="1"/>
    </xf>
    <xf numFmtId="0" fontId="10" fillId="0" borderId="3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6" fillId="0" borderId="69" xfId="0" applyFont="1" applyFill="1" applyBorder="1" applyAlignment="1" applyProtection="1">
      <alignment horizontal="right"/>
    </xf>
    <xf numFmtId="164" fontId="20" fillId="0" borderId="69" xfId="0" applyNumberFormat="1" applyFont="1" applyFill="1" applyBorder="1" applyAlignment="1" applyProtection="1">
      <alignment horizontal="right" vertical="center" wrapText="1" indent="1"/>
    </xf>
    <xf numFmtId="0" fontId="22" fillId="0" borderId="69" xfId="0" applyFont="1" applyFill="1" applyBorder="1" applyAlignment="1" applyProtection="1">
      <alignment horizontal="right" vertical="center" wrapText="1" indent="1"/>
    </xf>
    <xf numFmtId="0" fontId="0" fillId="0" borderId="69" xfId="0" applyFill="1" applyBorder="1" applyAlignment="1" applyProtection="1">
      <alignment horizontal="right" vertical="center" wrapText="1" indent="1"/>
    </xf>
    <xf numFmtId="165" fontId="22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3" fontId="51" fillId="0" borderId="2" xfId="0" applyNumberFormat="1" applyFont="1" applyBorder="1" applyAlignment="1">
      <alignment wrapText="1"/>
    </xf>
    <xf numFmtId="3" fontId="0" fillId="6" borderId="0" xfId="0" applyNumberFormat="1" applyFill="1"/>
    <xf numFmtId="164" fontId="22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47" fillId="4" borderId="60" xfId="5" applyFont="1" applyFill="1" applyBorder="1" applyAlignment="1">
      <alignment horizontal="left" wrapText="1"/>
    </xf>
    <xf numFmtId="0" fontId="47" fillId="4" borderId="59" xfId="5" applyFont="1" applyFill="1" applyBorder="1" applyAlignment="1">
      <alignment horizontal="left" wrapText="1"/>
    </xf>
    <xf numFmtId="0" fontId="47" fillId="4" borderId="11" xfId="0" applyFont="1" applyFill="1" applyBorder="1" applyAlignment="1">
      <alignment horizontal="left" vertical="center" wrapText="1"/>
    </xf>
    <xf numFmtId="0" fontId="47" fillId="4" borderId="8" xfId="0" applyFont="1" applyFill="1" applyBorder="1" applyAlignment="1">
      <alignment horizontal="left" vertical="center" wrapText="1"/>
    </xf>
    <xf numFmtId="164" fontId="49" fillId="0" borderId="20" xfId="0" applyNumberFormat="1" applyFont="1" applyFill="1" applyBorder="1" applyAlignment="1" applyProtection="1">
      <alignment vertical="center" wrapText="1"/>
    </xf>
    <xf numFmtId="0" fontId="56" fillId="4" borderId="10" xfId="0" applyFont="1" applyFill="1" applyBorder="1" applyAlignment="1">
      <alignment horizontal="left" wrapText="1"/>
    </xf>
    <xf numFmtId="164" fontId="0" fillId="6" borderId="0" xfId="0" applyNumberFormat="1" applyFill="1" applyAlignment="1">
      <alignment vertical="center" wrapText="1"/>
    </xf>
    <xf numFmtId="3" fontId="47" fillId="6" borderId="2" xfId="5" applyNumberFormat="1" applyFont="1" applyFill="1" applyBorder="1" applyAlignment="1">
      <alignment vertical="justify" wrapText="1"/>
    </xf>
    <xf numFmtId="0" fontId="49" fillId="6" borderId="8" xfId="5" applyFont="1" applyFill="1" applyBorder="1" applyAlignment="1">
      <alignment horizontal="left" vertical="justify" wrapText="1"/>
    </xf>
    <xf numFmtId="164" fontId="47" fillId="0" borderId="8" xfId="0" applyNumberFormat="1" applyFont="1" applyFill="1" applyBorder="1" applyAlignment="1">
      <alignment vertical="center" wrapText="1"/>
    </xf>
    <xf numFmtId="0" fontId="29" fillId="0" borderId="35" xfId="6" applyFont="1" applyFill="1" applyBorder="1" applyAlignment="1" applyProtection="1">
      <alignment horizontal="left" vertical="center" wrapText="1" indent="1"/>
    </xf>
    <xf numFmtId="164" fontId="47" fillId="0" borderId="2" xfId="0" applyNumberFormat="1" applyFont="1" applyFill="1" applyBorder="1" applyAlignment="1">
      <alignment vertical="center" wrapText="1"/>
    </xf>
    <xf numFmtId="3" fontId="20" fillId="0" borderId="14" xfId="6" applyNumberFormat="1" applyFont="1" applyFill="1" applyBorder="1" applyAlignment="1" applyProtection="1">
      <alignment horizontal="left" vertical="center" wrapText="1" indent="1"/>
    </xf>
    <xf numFmtId="0" fontId="46" fillId="0" borderId="0" xfId="4" applyAlignment="1">
      <alignment horizontal="left"/>
    </xf>
    <xf numFmtId="0" fontId="47" fillId="4" borderId="66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3" fontId="47" fillId="0" borderId="0" xfId="0" applyNumberFormat="1" applyFont="1" applyAlignment="1">
      <alignment horizontal="right" wrapText="1"/>
    </xf>
    <xf numFmtId="164" fontId="0" fillId="0" borderId="0" xfId="0" applyNumberFormat="1" applyFill="1" applyAlignment="1" applyProtection="1">
      <alignment horizontal="right" vertical="center" wrapText="1"/>
    </xf>
    <xf numFmtId="0" fontId="22" fillId="0" borderId="35" xfId="6" applyFont="1" applyFill="1" applyBorder="1" applyAlignment="1" applyProtection="1">
      <alignment horizontal="left" vertical="center" wrapText="1" indent="1"/>
    </xf>
    <xf numFmtId="164" fontId="0" fillId="6" borderId="0" xfId="0" applyNumberFormat="1" applyFill="1" applyAlignment="1">
      <alignment horizontal="center" vertical="center" wrapText="1"/>
    </xf>
    <xf numFmtId="0" fontId="0" fillId="0" borderId="16" xfId="0" applyFill="1" applyBorder="1" applyAlignment="1" applyProtection="1">
      <alignment vertical="center" wrapText="1"/>
      <protection locked="0"/>
    </xf>
    <xf numFmtId="0" fontId="31" fillId="0" borderId="20" xfId="6" applyFont="1" applyFill="1" applyBorder="1" applyAlignment="1" applyProtection="1">
      <alignment horizontal="center" vertical="center" wrapText="1"/>
    </xf>
    <xf numFmtId="0" fontId="8" fillId="0" borderId="15" xfId="6" applyFont="1" applyFill="1" applyBorder="1" applyAlignment="1" applyProtection="1">
      <alignment horizontal="center" vertical="center" wrapText="1"/>
    </xf>
    <xf numFmtId="0" fontId="31" fillId="0" borderId="29" xfId="6" applyFont="1" applyFill="1" applyBorder="1" applyAlignment="1" applyProtection="1">
      <alignment horizontal="center" vertical="center" wrapText="1"/>
    </xf>
    <xf numFmtId="0" fontId="49" fillId="0" borderId="13" xfId="5" applyFont="1" applyBorder="1" applyAlignment="1">
      <alignment horizontal="center" vertical="center" wrapText="1"/>
    </xf>
    <xf numFmtId="0" fontId="49" fillId="0" borderId="14" xfId="5" applyFont="1" applyBorder="1" applyAlignment="1">
      <alignment horizontal="center" vertical="center" wrapText="1"/>
    </xf>
    <xf numFmtId="0" fontId="49" fillId="0" borderId="15" xfId="6" applyFont="1" applyFill="1" applyBorder="1" applyAlignment="1" applyProtection="1">
      <alignment horizontal="center" vertical="center" wrapText="1"/>
    </xf>
    <xf numFmtId="0" fontId="49" fillId="0" borderId="29" xfId="6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right" vertical="center"/>
    </xf>
    <xf numFmtId="0" fontId="29" fillId="0" borderId="20" xfId="6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right"/>
    </xf>
    <xf numFmtId="164" fontId="28" fillId="0" borderId="20" xfId="0" quotePrefix="1" applyNumberFormat="1" applyFont="1" applyBorder="1" applyAlignment="1" applyProtection="1">
      <alignment horizontal="right" vertical="center" wrapText="1" indent="1"/>
    </xf>
    <xf numFmtId="0" fontId="8" fillId="0" borderId="71" xfId="6" applyFont="1" applyFill="1" applyBorder="1" applyAlignment="1" applyProtection="1">
      <alignment horizontal="center" vertical="center" wrapText="1"/>
    </xf>
    <xf numFmtId="0" fontId="20" fillId="0" borderId="72" xfId="6" applyFont="1" applyFill="1" applyBorder="1" applyAlignment="1" applyProtection="1">
      <alignment horizontal="center" vertical="center" wrapText="1"/>
    </xf>
    <xf numFmtId="164" fontId="20" fillId="0" borderId="44" xfId="6" applyNumberFormat="1" applyFont="1" applyFill="1" applyBorder="1" applyAlignment="1" applyProtection="1">
      <alignment horizontal="right" vertical="center" wrapText="1" indent="1"/>
    </xf>
    <xf numFmtId="164" fontId="22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4" xfId="6" applyNumberFormat="1" applyFont="1" applyFill="1" applyBorder="1" applyAlignment="1" applyProtection="1">
      <alignment horizontal="right" vertical="center" wrapText="1" indent="1"/>
    </xf>
    <xf numFmtId="164" fontId="28" fillId="0" borderId="44" xfId="0" applyNumberFormat="1" applyFont="1" applyBorder="1" applyAlignment="1" applyProtection="1">
      <alignment horizontal="right" vertical="center" wrapText="1" indent="1"/>
    </xf>
    <xf numFmtId="164" fontId="26" fillId="0" borderId="44" xfId="0" quotePrefix="1" applyNumberFormat="1" applyFont="1" applyBorder="1" applyAlignment="1" applyProtection="1">
      <alignment horizontal="right" vertical="center" wrapText="1" indent="1"/>
    </xf>
    <xf numFmtId="0" fontId="8" fillId="0" borderId="42" xfId="6" applyFont="1" applyFill="1" applyBorder="1" applyAlignment="1" applyProtection="1">
      <alignment horizontal="center" vertical="center" wrapText="1"/>
    </xf>
    <xf numFmtId="0" fontId="20" fillId="0" borderId="42" xfId="6" applyFont="1" applyFill="1" applyBorder="1" applyAlignment="1" applyProtection="1">
      <alignment horizontal="center" vertical="center" wrapText="1"/>
    </xf>
    <xf numFmtId="164" fontId="22" fillId="6" borderId="33" xfId="6" applyNumberFormat="1" applyFont="1" applyFill="1" applyBorder="1" applyAlignment="1" applyProtection="1">
      <alignment horizontal="right" vertical="center" wrapText="1" indent="1"/>
    </xf>
    <xf numFmtId="164" fontId="22" fillId="6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6" borderId="73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2" xfId="6" applyNumberFormat="1" applyFont="1" applyFill="1" applyBorder="1" applyAlignment="1" applyProtection="1">
      <alignment horizontal="right" vertical="center" wrapText="1" indent="1"/>
    </xf>
    <xf numFmtId="164" fontId="20" fillId="0" borderId="42" xfId="6" applyNumberFormat="1" applyFont="1" applyFill="1" applyBorder="1" applyAlignment="1" applyProtection="1">
      <alignment horizontal="right" vertical="center" wrapText="1" indent="1"/>
      <protection locked="0"/>
    </xf>
    <xf numFmtId="164" fontId="49" fillId="4" borderId="3" xfId="0" applyNumberFormat="1" applyFont="1" applyFill="1" applyBorder="1" applyAlignment="1">
      <alignment horizontal="center" vertical="center" wrapText="1"/>
    </xf>
    <xf numFmtId="164" fontId="49" fillId="4" borderId="2" xfId="0" applyNumberFormat="1" applyFont="1" applyFill="1" applyBorder="1" applyAlignment="1">
      <alignment horizontal="center" vertical="center" wrapText="1"/>
    </xf>
    <xf numFmtId="164" fontId="49" fillId="6" borderId="2" xfId="0" applyNumberFormat="1" applyFont="1" applyFill="1" applyBorder="1" applyAlignment="1">
      <alignment horizontal="center" vertical="center" wrapText="1"/>
    </xf>
    <xf numFmtId="164" fontId="47" fillId="4" borderId="2" xfId="0" applyNumberFormat="1" applyFont="1" applyFill="1" applyBorder="1" applyAlignment="1">
      <alignment vertical="center" wrapText="1"/>
    </xf>
    <xf numFmtId="164" fontId="47" fillId="6" borderId="2" xfId="0" applyNumberFormat="1" applyFont="1" applyFill="1" applyBorder="1" applyAlignment="1">
      <alignment vertical="center" wrapText="1"/>
    </xf>
    <xf numFmtId="164" fontId="20" fillId="0" borderId="54" xfId="0" applyNumberFormat="1" applyFont="1" applyFill="1" applyBorder="1" applyAlignment="1" applyProtection="1">
      <alignment horizontal="center" vertical="center" wrapText="1"/>
    </xf>
    <xf numFmtId="3" fontId="56" fillId="4" borderId="66" xfId="0" applyNumberFormat="1" applyFont="1" applyFill="1" applyBorder="1" applyAlignment="1">
      <alignment horizontal="right" wrapText="1"/>
    </xf>
    <xf numFmtId="164" fontId="49" fillId="0" borderId="32" xfId="0" applyNumberFormat="1" applyFont="1" applyFill="1" applyBorder="1" applyAlignment="1" applyProtection="1">
      <alignment vertical="center" wrapText="1"/>
    </xf>
    <xf numFmtId="164" fontId="0" fillId="0" borderId="13" xfId="0" applyNumberFormat="1" applyFill="1" applyBorder="1" applyAlignment="1" applyProtection="1">
      <alignment vertical="center" wrapText="1"/>
    </xf>
    <xf numFmtId="164" fontId="0" fillId="0" borderId="20" xfId="0" applyNumberFormat="1" applyFill="1" applyBorder="1" applyAlignment="1" applyProtection="1">
      <alignment vertical="center" wrapText="1"/>
    </xf>
    <xf numFmtId="3" fontId="47" fillId="4" borderId="68" xfId="0" applyNumberFormat="1" applyFont="1" applyFill="1" applyBorder="1" applyAlignment="1">
      <alignment wrapText="1"/>
    </xf>
    <xf numFmtId="3" fontId="47" fillId="4" borderId="49" xfId="0" applyNumberFormat="1" applyFont="1" applyFill="1" applyBorder="1" applyAlignment="1">
      <alignment wrapText="1"/>
    </xf>
    <xf numFmtId="164" fontId="47" fillId="4" borderId="3" xfId="0" applyNumberFormat="1" applyFont="1" applyFill="1" applyBorder="1" applyAlignment="1">
      <alignment vertical="center" wrapText="1"/>
    </xf>
    <xf numFmtId="164" fontId="47" fillId="4" borderId="26" xfId="0" applyNumberFormat="1" applyFont="1" applyFill="1" applyBorder="1" applyAlignment="1">
      <alignment vertical="center" wrapText="1"/>
    </xf>
    <xf numFmtId="164" fontId="47" fillId="4" borderId="16" xfId="0" applyNumberFormat="1" applyFont="1" applyFill="1" applyBorder="1" applyAlignment="1">
      <alignment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164" fontId="29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2" borderId="16" xfId="6" applyNumberFormat="1" applyFont="1" applyFill="1" applyBorder="1" applyAlignment="1" applyProtection="1">
      <alignment horizontal="right" vertical="center" wrapText="1" indent="1"/>
    </xf>
    <xf numFmtId="164" fontId="29" fillId="2" borderId="18" xfId="6" applyNumberFormat="1" applyFont="1" applyFill="1" applyBorder="1" applyAlignment="1" applyProtection="1">
      <alignment horizontal="right" vertical="center" wrapText="1" indent="1"/>
    </xf>
    <xf numFmtId="164" fontId="29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6" xfId="6" applyNumberFormat="1" applyFont="1" applyFill="1" applyBorder="1" applyAlignment="1" applyProtection="1">
      <alignment horizontal="right" vertical="center" wrapText="1" indent="1"/>
    </xf>
    <xf numFmtId="164" fontId="29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3" xfId="6" applyNumberFormat="1" applyFont="1" applyFill="1" applyBorder="1" applyAlignment="1" applyProtection="1">
      <alignment horizontal="right" vertical="center" wrapText="1" indent="1"/>
    </xf>
    <xf numFmtId="0" fontId="29" fillId="0" borderId="8" xfId="0" applyFont="1" applyFill="1" applyBorder="1" applyAlignment="1">
      <alignment vertical="center" wrapText="1"/>
    </xf>
    <xf numFmtId="164" fontId="29" fillId="2" borderId="60" xfId="6" applyNumberFormat="1" applyFont="1" applyFill="1" applyBorder="1" applyAlignment="1" applyProtection="1">
      <alignment horizontal="right" vertical="center" wrapText="1" indent="1"/>
    </xf>
    <xf numFmtId="164" fontId="29" fillId="2" borderId="39" xfId="6" applyNumberFormat="1" applyFont="1" applyFill="1" applyBorder="1" applyAlignment="1" applyProtection="1">
      <alignment horizontal="right" vertical="center" wrapText="1" indent="1"/>
    </xf>
    <xf numFmtId="164" fontId="20" fillId="0" borderId="44" xfId="0" applyNumberFormat="1" applyFont="1" applyFill="1" applyBorder="1" applyAlignment="1" applyProtection="1">
      <alignment horizontal="right" vertical="center" wrapText="1" indent="1"/>
    </xf>
    <xf numFmtId="3" fontId="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45" fillId="0" borderId="0" xfId="0" applyFont="1" applyFill="1" applyBorder="1" applyAlignment="1" applyProtection="1">
      <alignment horizontal="right" vertical="center" wrapText="1" indent="1"/>
    </xf>
    <xf numFmtId="0" fontId="4" fillId="0" borderId="48" xfId="0" applyFont="1" applyFill="1" applyBorder="1" applyAlignment="1" applyProtection="1">
      <alignment horizontal="left" vertical="center"/>
    </xf>
    <xf numFmtId="0" fontId="4" fillId="0" borderId="70" xfId="0" applyFont="1" applyFill="1" applyBorder="1" applyAlignment="1" applyProtection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0" borderId="74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vertical="center" wrapText="1"/>
    </xf>
    <xf numFmtId="164" fontId="28" fillId="0" borderId="43" xfId="0" applyNumberFormat="1" applyFont="1" applyBorder="1" applyAlignment="1" applyProtection="1">
      <alignment horizontal="right" vertical="center" wrapText="1" indent="1"/>
    </xf>
    <xf numFmtId="164" fontId="27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6" applyNumberFormat="1" applyFont="1" applyFill="1" applyBorder="1" applyAlignment="1" applyProtection="1">
      <alignment horizontal="right" vertical="center" wrapText="1" indent="1"/>
    </xf>
    <xf numFmtId="164" fontId="28" fillId="0" borderId="43" xfId="6" applyNumberFormat="1" applyFont="1" applyFill="1" applyBorder="1" applyAlignment="1" applyProtection="1">
      <alignment horizontal="right" vertical="center" wrapText="1" indent="1"/>
    </xf>
    <xf numFmtId="164" fontId="27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8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39" xfId="0" applyFont="1" applyFill="1" applyBorder="1" applyAlignment="1">
      <alignment vertical="center" wrapText="1"/>
    </xf>
    <xf numFmtId="0" fontId="27" fillId="0" borderId="50" xfId="0" applyFont="1" applyFill="1" applyBorder="1" applyAlignment="1">
      <alignment vertical="center" wrapText="1"/>
    </xf>
    <xf numFmtId="0" fontId="27" fillId="0" borderId="75" xfId="0" applyFont="1" applyFill="1" applyBorder="1" applyAlignment="1">
      <alignment vertical="center" wrapText="1"/>
    </xf>
    <xf numFmtId="0" fontId="58" fillId="0" borderId="8" xfId="0" applyFont="1" applyFill="1" applyBorder="1" applyAlignment="1">
      <alignment vertical="center" wrapText="1"/>
    </xf>
    <xf numFmtId="164" fontId="28" fillId="0" borderId="43" xfId="0" quotePrefix="1" applyNumberFormat="1" applyFont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/>
    </xf>
    <xf numFmtId="164" fontId="29" fillId="0" borderId="20" xfId="6" applyNumberFormat="1" applyFont="1" applyFill="1" applyBorder="1" applyAlignment="1" applyProtection="1">
      <alignment horizontal="right" vertical="center" wrapText="1"/>
    </xf>
    <xf numFmtId="164" fontId="29" fillId="0" borderId="16" xfId="0" applyNumberFormat="1" applyFont="1" applyFill="1" applyBorder="1" applyAlignment="1">
      <alignment horizontal="right" vertical="center" wrapText="1"/>
    </xf>
    <xf numFmtId="164" fontId="29" fillId="2" borderId="16" xfId="6" applyNumberFormat="1" applyFont="1" applyFill="1" applyBorder="1" applyAlignment="1" applyProtection="1">
      <alignment horizontal="right" vertical="center" wrapText="1"/>
    </xf>
    <xf numFmtId="164" fontId="29" fillId="2" borderId="18" xfId="6" applyNumberFormat="1" applyFont="1" applyFill="1" applyBorder="1" applyAlignment="1" applyProtection="1">
      <alignment horizontal="right" vertical="center" wrapText="1"/>
    </xf>
    <xf numFmtId="0" fontId="29" fillId="0" borderId="16" xfId="0" applyFont="1" applyFill="1" applyBorder="1" applyAlignment="1">
      <alignment horizontal="right" vertical="center" wrapText="1"/>
    </xf>
    <xf numFmtId="164" fontId="29" fillId="0" borderId="20" xfId="6" applyNumberFormat="1" applyFont="1" applyFill="1" applyBorder="1" applyAlignment="1" applyProtection="1">
      <alignment horizontal="right" wrapText="1"/>
    </xf>
    <xf numFmtId="0" fontId="2" fillId="0" borderId="0" xfId="0" applyFont="1" applyFill="1" applyAlignment="1">
      <alignment horizontal="right" vertical="center" wrapText="1"/>
    </xf>
    <xf numFmtId="164" fontId="27" fillId="0" borderId="16" xfId="0" applyNumberFormat="1" applyFont="1" applyFill="1" applyBorder="1" applyAlignment="1">
      <alignment horizontal="right" vertical="center" wrapText="1"/>
    </xf>
    <xf numFmtId="164" fontId="28" fillId="0" borderId="20" xfId="6" applyNumberFormat="1" applyFont="1" applyFill="1" applyBorder="1" applyAlignment="1" applyProtection="1">
      <alignment horizontal="right" vertical="center" wrapText="1"/>
    </xf>
    <xf numFmtId="164" fontId="27" fillId="0" borderId="18" xfId="0" applyNumberFormat="1" applyFont="1" applyFill="1" applyBorder="1" applyAlignment="1">
      <alignment horizontal="right" vertical="center" wrapText="1"/>
    </xf>
    <xf numFmtId="164" fontId="27" fillId="0" borderId="17" xfId="0" applyNumberFormat="1" applyFont="1" applyFill="1" applyBorder="1" applyAlignment="1">
      <alignment horizontal="right" vertical="center" wrapText="1"/>
    </xf>
    <xf numFmtId="164" fontId="27" fillId="0" borderId="26" xfId="0" applyNumberFormat="1" applyFont="1" applyFill="1" applyBorder="1" applyAlignment="1">
      <alignment horizontal="right" vertical="center" wrapText="1"/>
    </xf>
    <xf numFmtId="164" fontId="58" fillId="0" borderId="16" xfId="0" applyNumberFormat="1" applyFont="1" applyFill="1" applyBorder="1" applyAlignment="1">
      <alignment horizontal="right" vertical="center" wrapText="1"/>
    </xf>
    <xf numFmtId="164" fontId="28" fillId="0" borderId="20" xfId="0" applyNumberFormat="1" applyFont="1" applyBorder="1" applyAlignment="1" applyProtection="1">
      <alignment horizontal="right" vertical="center" wrapText="1"/>
    </xf>
    <xf numFmtId="164" fontId="28" fillId="0" borderId="20" xfId="0" quotePrefix="1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30" fillId="0" borderId="0" xfId="6" applyFont="1" applyFill="1" applyAlignment="1" applyProtection="1"/>
    <xf numFmtId="0" fontId="22" fillId="0" borderId="20" xfId="6" applyFont="1" applyFill="1" applyBorder="1" applyAlignment="1" applyProtection="1"/>
    <xf numFmtId="164" fontId="20" fillId="0" borderId="20" xfId="6" applyNumberFormat="1" applyFont="1" applyFill="1" applyBorder="1" applyAlignment="1" applyProtection="1">
      <alignment vertical="center" wrapText="1"/>
    </xf>
    <xf numFmtId="164" fontId="22" fillId="0" borderId="26" xfId="6" applyNumberFormat="1" applyFont="1" applyFill="1" applyBorder="1" applyAlignment="1" applyProtection="1"/>
    <xf numFmtId="164" fontId="29" fillId="0" borderId="20" xfId="6" applyNumberFormat="1" applyFont="1" applyFill="1" applyBorder="1" applyAlignment="1" applyProtection="1">
      <alignment vertical="center" wrapText="1"/>
    </xf>
    <xf numFmtId="0" fontId="22" fillId="0" borderId="0" xfId="6" applyFont="1" applyFill="1" applyAlignment="1" applyProtection="1"/>
    <xf numFmtId="0" fontId="29" fillId="0" borderId="29" xfId="6" applyFont="1" applyFill="1" applyBorder="1" applyAlignment="1" applyProtection="1">
      <alignment vertical="center" wrapText="1"/>
    </xf>
    <xf numFmtId="0" fontId="22" fillId="0" borderId="36" xfId="6" applyFont="1" applyFill="1" applyBorder="1" applyAlignment="1" applyProtection="1"/>
    <xf numFmtId="164" fontId="30" fillId="0" borderId="26" xfId="6" applyNumberFormat="1" applyFont="1" applyFill="1" applyBorder="1" applyAlignment="1" applyProtection="1"/>
    <xf numFmtId="164" fontId="30" fillId="0" borderId="16" xfId="6" applyNumberFormat="1" applyFont="1" applyFill="1" applyBorder="1" applyAlignment="1" applyProtection="1"/>
    <xf numFmtId="164" fontId="30" fillId="0" borderId="17" xfId="6" applyNumberFormat="1" applyFont="1" applyFill="1" applyBorder="1" applyAlignment="1" applyProtection="1"/>
    <xf numFmtId="164" fontId="30" fillId="0" borderId="6" xfId="6" applyNumberFormat="1" applyFont="1" applyFill="1" applyBorder="1" applyAlignment="1" applyProtection="1"/>
    <xf numFmtId="164" fontId="30" fillId="0" borderId="1" xfId="6" applyNumberFormat="1" applyFont="1" applyFill="1" applyBorder="1" applyAlignment="1" applyProtection="1"/>
    <xf numFmtId="164" fontId="20" fillId="0" borderId="21" xfId="6" applyNumberFormat="1" applyFont="1" applyFill="1" applyBorder="1" applyAlignment="1" applyProtection="1">
      <alignment vertical="center" wrapText="1"/>
    </xf>
    <xf numFmtId="164" fontId="28" fillId="0" borderId="20" xfId="0" applyNumberFormat="1" applyFont="1" applyBorder="1" applyAlignment="1" applyProtection="1">
      <alignment vertical="center" wrapText="1"/>
    </xf>
    <xf numFmtId="164" fontId="28" fillId="0" borderId="20" xfId="0" quotePrefix="1" applyNumberFormat="1" applyFont="1" applyBorder="1" applyAlignment="1" applyProtection="1">
      <alignment vertical="center" wrapText="1"/>
    </xf>
    <xf numFmtId="0" fontId="23" fillId="0" borderId="34" xfId="0" applyFont="1" applyFill="1" applyBorder="1" applyAlignment="1" applyProtection="1">
      <alignment vertical="center"/>
    </xf>
    <xf numFmtId="164" fontId="0" fillId="0" borderId="0" xfId="0" applyNumberFormat="1" applyFill="1" applyAlignment="1">
      <alignment horizontal="right" vertical="center" wrapText="1"/>
    </xf>
    <xf numFmtId="164" fontId="47" fillId="4" borderId="3" xfId="0" applyNumberFormat="1" applyFont="1" applyFill="1" applyBorder="1" applyAlignment="1">
      <alignment horizontal="right" vertical="center" wrapText="1"/>
    </xf>
    <xf numFmtId="164" fontId="47" fillId="6" borderId="3" xfId="0" applyNumberFormat="1" applyFont="1" applyFill="1" applyBorder="1" applyAlignment="1">
      <alignment horizontal="right" vertical="center" wrapText="1"/>
    </xf>
    <xf numFmtId="164" fontId="47" fillId="0" borderId="2" xfId="0" applyNumberFormat="1" applyFont="1" applyFill="1" applyBorder="1" applyAlignment="1">
      <alignment horizontal="right" vertical="center" wrapText="1"/>
    </xf>
    <xf numFmtId="164" fontId="47" fillId="4" borderId="2" xfId="0" applyNumberFormat="1" applyFont="1" applyFill="1" applyBorder="1" applyAlignment="1">
      <alignment horizontal="right" vertical="center" wrapText="1"/>
    </xf>
    <xf numFmtId="164" fontId="47" fillId="6" borderId="2" xfId="0" applyNumberFormat="1" applyFont="1" applyFill="1" applyBorder="1" applyAlignment="1">
      <alignment horizontal="right" vertical="center" wrapText="1"/>
    </xf>
    <xf numFmtId="164" fontId="49" fillId="0" borderId="2" xfId="0" applyNumberFormat="1" applyFont="1" applyFill="1" applyBorder="1" applyAlignment="1">
      <alignment horizontal="right" vertical="center" wrapText="1"/>
    </xf>
    <xf numFmtId="0" fontId="29" fillId="0" borderId="20" xfId="0" applyFont="1" applyFill="1" applyBorder="1" applyAlignment="1">
      <alignment horizontal="center" vertical="center" wrapText="1"/>
    </xf>
    <xf numFmtId="164" fontId="29" fillId="0" borderId="32" xfId="0" applyNumberFormat="1" applyFont="1" applyFill="1" applyBorder="1" applyAlignment="1" applyProtection="1">
      <alignment horizontal="right" vertical="center" wrapText="1" indent="1"/>
    </xf>
    <xf numFmtId="164" fontId="22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4" xfId="0" applyNumberFormat="1" applyFont="1" applyFill="1" applyBorder="1" applyAlignment="1" applyProtection="1">
      <alignment horizontal="right" vertical="center" wrapText="1" indent="1"/>
    </xf>
    <xf numFmtId="164" fontId="3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0" applyNumberFormat="1" applyFont="1" applyFill="1" applyBorder="1" applyAlignment="1" applyProtection="1">
      <alignment horizontal="right" vertical="center" wrapText="1" indent="1"/>
    </xf>
    <xf numFmtId="164" fontId="27" fillId="0" borderId="0" xfId="0" applyNumberFormat="1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vertical="center"/>
    </xf>
    <xf numFmtId="0" fontId="28" fillId="0" borderId="15" xfId="6" applyFont="1" applyFill="1" applyBorder="1" applyAlignment="1" applyProtection="1">
      <alignment horizontal="center" vertical="center" wrapText="1"/>
    </xf>
    <xf numFmtId="0" fontId="28" fillId="0" borderId="29" xfId="6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28" fillId="0" borderId="20" xfId="0" applyFont="1" applyFill="1" applyBorder="1" applyAlignment="1" applyProtection="1">
      <alignment horizontal="center" vertical="center" wrapText="1"/>
    </xf>
    <xf numFmtId="164" fontId="29" fillId="0" borderId="76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horizontal="right"/>
    </xf>
    <xf numFmtId="164" fontId="27" fillId="0" borderId="26" xfId="0" applyNumberFormat="1" applyFont="1" applyFill="1" applyBorder="1" applyAlignment="1" applyProtection="1">
      <alignment vertical="center" wrapText="1"/>
    </xf>
    <xf numFmtId="164" fontId="27" fillId="0" borderId="16" xfId="0" applyNumberFormat="1" applyFont="1" applyFill="1" applyBorder="1" applyAlignment="1" applyProtection="1">
      <alignment vertical="center" wrapText="1"/>
    </xf>
    <xf numFmtId="0" fontId="27" fillId="0" borderId="13" xfId="0" applyFont="1" applyFill="1" applyBorder="1" applyAlignment="1" applyProtection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77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0" fillId="0" borderId="7" xfId="6" applyFont="1" applyFill="1" applyBorder="1" applyAlignment="1" applyProtection="1">
      <alignment horizontal="center" vertical="center" wrapText="1"/>
    </xf>
    <xf numFmtId="0" fontId="20" fillId="0" borderId="1" xfId="6" applyFont="1" applyFill="1" applyBorder="1" applyAlignment="1" applyProtection="1">
      <alignment vertical="center" wrapText="1"/>
    </xf>
    <xf numFmtId="164" fontId="28" fillId="0" borderId="17" xfId="6" applyNumberFormat="1" applyFont="1" applyFill="1" applyBorder="1" applyAlignment="1" applyProtection="1">
      <alignment horizontal="right" vertical="center" wrapText="1" inden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right" vertical="center" wrapText="1"/>
    </xf>
    <xf numFmtId="0" fontId="27" fillId="0" borderId="9" xfId="0" applyFont="1" applyFill="1" applyBorder="1" applyAlignment="1">
      <alignment vertical="center" wrapText="1"/>
    </xf>
    <xf numFmtId="3" fontId="32" fillId="0" borderId="20" xfId="0" applyNumberFormat="1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vertical="center" wrapText="1"/>
    </xf>
    <xf numFmtId="164" fontId="29" fillId="0" borderId="18" xfId="0" applyNumberFormat="1" applyFont="1" applyFill="1" applyBorder="1" applyAlignment="1">
      <alignment horizontal="right" vertical="center" wrapText="1"/>
    </xf>
    <xf numFmtId="0" fontId="29" fillId="0" borderId="13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horizontal="right" vertical="center" wrapText="1"/>
    </xf>
    <xf numFmtId="0" fontId="27" fillId="0" borderId="8" xfId="0" applyFont="1" applyFill="1" applyBorder="1" applyAlignment="1" applyProtection="1">
      <alignment vertical="center" wrapText="1"/>
    </xf>
    <xf numFmtId="164" fontId="22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2" xfId="6" applyFont="1" applyFill="1" applyBorder="1" applyAlignment="1" applyProtection="1">
      <alignment horizontal="lef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0" fontId="29" fillId="0" borderId="48" xfId="0" applyFont="1" applyFill="1" applyBorder="1" applyAlignment="1" applyProtection="1">
      <alignment horizontal="center" vertical="center" wrapText="1"/>
    </xf>
    <xf numFmtId="0" fontId="28" fillId="0" borderId="44" xfId="0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right" vertical="center" wrapText="1"/>
    </xf>
    <xf numFmtId="0" fontId="28" fillId="0" borderId="0" xfId="0" applyFont="1" applyFill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right" vertical="center" wrapText="1"/>
    </xf>
    <xf numFmtId="164" fontId="27" fillId="0" borderId="26" xfId="0" applyNumberFormat="1" applyFont="1" applyFill="1" applyBorder="1" applyAlignment="1" applyProtection="1">
      <alignment horizontal="right" vertical="center" wrapText="1"/>
    </xf>
    <xf numFmtId="164" fontId="27" fillId="0" borderId="16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Alignment="1" applyProtection="1">
      <alignment horizontal="right" vertical="center" wrapText="1"/>
    </xf>
    <xf numFmtId="0" fontId="28" fillId="0" borderId="51" xfId="0" applyFont="1" applyFill="1" applyBorder="1" applyAlignment="1" applyProtection="1">
      <alignment horizontal="right" vertical="center" wrapText="1"/>
    </xf>
    <xf numFmtId="164" fontId="29" fillId="0" borderId="20" xfId="0" applyNumberFormat="1" applyFont="1" applyFill="1" applyBorder="1" applyAlignment="1" applyProtection="1">
      <alignment horizontal="right" vertical="center" wrapText="1"/>
    </xf>
    <xf numFmtId="164" fontId="29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5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3" fontId="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0" xfId="0" applyNumberFormat="1" applyFont="1" applyFill="1" applyBorder="1" applyAlignment="1" applyProtection="1">
      <alignment horizontal="right" vertical="center" wrapText="1"/>
    </xf>
    <xf numFmtId="0" fontId="58" fillId="0" borderId="33" xfId="0" applyFont="1" applyFill="1" applyBorder="1" applyAlignment="1" applyProtection="1">
      <alignment vertical="center" wrapText="1"/>
    </xf>
    <xf numFmtId="0" fontId="58" fillId="0" borderId="5" xfId="0" applyFont="1" applyFill="1" applyBorder="1" applyAlignment="1" applyProtection="1">
      <alignment vertical="center" wrapText="1"/>
    </xf>
    <xf numFmtId="0" fontId="27" fillId="0" borderId="5" xfId="0" applyFont="1" applyFill="1" applyBorder="1" applyAlignment="1" applyProtection="1">
      <alignment vertical="center" wrapText="1"/>
    </xf>
    <xf numFmtId="0" fontId="58" fillId="0" borderId="42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0" fontId="27" fillId="0" borderId="42" xfId="0" applyFont="1" applyFill="1" applyBorder="1" applyAlignment="1" applyProtection="1">
      <alignment vertical="center" wrapText="1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0" fontId="0" fillId="0" borderId="43" xfId="0" applyFill="1" applyBorder="1" applyAlignment="1" applyProtection="1">
      <alignment horizontal="left" vertical="center" wrapText="1"/>
    </xf>
    <xf numFmtId="0" fontId="0" fillId="0" borderId="44" xfId="0" applyFill="1" applyBorder="1" applyAlignment="1" applyProtection="1">
      <alignment vertical="center" wrapText="1"/>
    </xf>
    <xf numFmtId="0" fontId="27" fillId="0" borderId="44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left" vertical="center" wrapText="1" indent="1"/>
    </xf>
    <xf numFmtId="164" fontId="20" fillId="0" borderId="29" xfId="0" applyNumberFormat="1" applyFont="1" applyFill="1" applyBorder="1" applyAlignment="1" applyProtection="1">
      <alignment horizontal="right" vertical="center" wrapText="1" indent="1"/>
    </xf>
    <xf numFmtId="164" fontId="20" fillId="0" borderId="57" xfId="0" applyNumberFormat="1" applyFont="1" applyFill="1" applyBorder="1" applyAlignment="1" applyProtection="1">
      <alignment horizontal="right" vertical="center" wrapText="1" indent="1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78" xfId="0" applyFont="1" applyFill="1" applyBorder="1" applyAlignment="1" applyProtection="1">
      <alignment vertical="center" wrapText="1"/>
    </xf>
    <xf numFmtId="0" fontId="0" fillId="0" borderId="44" xfId="0" applyFill="1" applyBorder="1" applyAlignment="1" applyProtection="1">
      <alignment horizontal="right" vertical="center" wrapText="1" indent="1"/>
    </xf>
    <xf numFmtId="164" fontId="27" fillId="0" borderId="18" xfId="0" applyNumberFormat="1" applyFont="1" applyFill="1" applyBorder="1" applyAlignment="1" applyProtection="1">
      <alignment vertical="center" wrapText="1"/>
    </xf>
    <xf numFmtId="0" fontId="58" fillId="0" borderId="59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horizontal="right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20" fillId="0" borderId="51" xfId="0" applyFont="1" applyFill="1" applyBorder="1" applyAlignment="1" applyProtection="1">
      <alignment horizontal="center" vertical="center" wrapText="1"/>
    </xf>
    <xf numFmtId="0" fontId="20" fillId="0" borderId="5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vertical="center"/>
    </xf>
    <xf numFmtId="0" fontId="3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right" vertical="center" wrapText="1"/>
    </xf>
    <xf numFmtId="0" fontId="20" fillId="0" borderId="0" xfId="0" applyFont="1" applyFill="1" applyAlignment="1" applyProtection="1">
      <alignment horizontal="righ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0" fontId="39" fillId="0" borderId="44" xfId="0" applyFont="1" applyBorder="1" applyAlignment="1" applyProtection="1">
      <alignment horizontal="left" wrapText="1" indent="1"/>
    </xf>
    <xf numFmtId="164" fontId="20" fillId="0" borderId="13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9" fillId="0" borderId="51" xfId="0" applyNumberFormat="1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73" xfId="0" applyFont="1" applyFill="1" applyBorder="1" applyAlignment="1" applyProtection="1">
      <alignment vertical="center" wrapText="1"/>
    </xf>
    <xf numFmtId="0" fontId="2" fillId="0" borderId="42" xfId="0" applyFont="1" applyFill="1" applyBorder="1" applyAlignment="1" applyProtection="1">
      <alignment vertical="center" wrapText="1"/>
    </xf>
    <xf numFmtId="0" fontId="10" fillId="0" borderId="42" xfId="0" applyFont="1" applyFill="1" applyBorder="1" applyAlignment="1" applyProtection="1">
      <alignment vertical="center" wrapText="1"/>
    </xf>
    <xf numFmtId="0" fontId="10" fillId="0" borderId="33" xfId="0" applyFont="1" applyFill="1" applyBorder="1" applyAlignment="1" applyProtection="1">
      <alignment vertical="center" wrapText="1"/>
    </xf>
    <xf numFmtId="164" fontId="20" fillId="0" borderId="42" xfId="0" applyNumberFormat="1" applyFont="1" applyFill="1" applyBorder="1" applyAlignment="1" applyProtection="1">
      <alignment horizontal="right" vertical="center" wrapText="1" indent="1"/>
    </xf>
    <xf numFmtId="164" fontId="3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7" fillId="0" borderId="57" xfId="0" applyFont="1" applyFill="1" applyBorder="1" applyAlignment="1" applyProtection="1">
      <alignment horizontal="center" vertical="center" wrapText="1"/>
    </xf>
    <xf numFmtId="0" fontId="20" fillId="0" borderId="79" xfId="0" applyFont="1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 wrapText="1"/>
    </xf>
    <xf numFmtId="164" fontId="30" fillId="0" borderId="16" xfId="0" applyNumberFormat="1" applyFont="1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center" wrapText="1"/>
    </xf>
    <xf numFmtId="164" fontId="30" fillId="0" borderId="18" xfId="0" applyNumberFormat="1" applyFont="1" applyFill="1" applyBorder="1" applyAlignment="1" applyProtection="1">
      <alignment vertical="center" wrapText="1"/>
    </xf>
    <xf numFmtId="0" fontId="9" fillId="0" borderId="9" xfId="0" applyFont="1" applyFill="1" applyBorder="1" applyAlignment="1" applyProtection="1">
      <alignment vertical="center" wrapText="1"/>
    </xf>
    <xf numFmtId="164" fontId="29" fillId="0" borderId="13" xfId="0" applyNumberFormat="1" applyFont="1" applyFill="1" applyBorder="1" applyAlignment="1" applyProtection="1">
      <alignment horizontal="right" vertical="center" wrapText="1" indent="1"/>
    </xf>
    <xf numFmtId="0" fontId="0" fillId="0" borderId="9" xfId="0" applyFill="1" applyBorder="1" applyAlignment="1" applyProtection="1">
      <alignment vertical="center" wrapText="1"/>
    </xf>
    <xf numFmtId="164" fontId="30" fillId="0" borderId="26" xfId="0" applyNumberFormat="1" applyFont="1" applyFill="1" applyBorder="1" applyAlignment="1" applyProtection="1">
      <alignment vertical="center" wrapText="1"/>
    </xf>
    <xf numFmtId="3" fontId="30" fillId="0" borderId="51" xfId="0" applyNumberFormat="1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vertical="center" wrapText="1"/>
    </xf>
    <xf numFmtId="164" fontId="30" fillId="0" borderId="32" xfId="0" applyNumberFormat="1" applyFont="1" applyFill="1" applyBorder="1" applyAlignment="1" applyProtection="1">
      <alignment horizontal="right" vertical="center" wrapText="1" indent="1"/>
    </xf>
    <xf numFmtId="0" fontId="20" fillId="0" borderId="8" xfId="0" applyFont="1" applyFill="1" applyBorder="1" applyAlignment="1" applyProtection="1">
      <alignment vertical="center" wrapText="1"/>
    </xf>
    <xf numFmtId="0" fontId="20" fillId="0" borderId="9" xfId="0" applyFont="1" applyFill="1" applyBorder="1" applyAlignment="1" applyProtection="1">
      <alignment vertical="center" wrapText="1"/>
    </xf>
    <xf numFmtId="164" fontId="30" fillId="0" borderId="13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 applyProtection="1">
      <alignment vertical="center" wrapText="1"/>
    </xf>
    <xf numFmtId="0" fontId="29" fillId="0" borderId="8" xfId="0" applyFont="1" applyFill="1" applyBorder="1" applyAlignment="1" applyProtection="1">
      <alignment vertical="center" wrapText="1"/>
    </xf>
    <xf numFmtId="0" fontId="29" fillId="0" borderId="10" xfId="0" applyFont="1" applyFill="1" applyBorder="1" applyAlignment="1" applyProtection="1">
      <alignment vertical="center" wrapText="1"/>
    </xf>
    <xf numFmtId="164" fontId="20" fillId="0" borderId="0" xfId="0" applyNumberFormat="1" applyFont="1" applyFill="1" applyAlignment="1" applyProtection="1">
      <alignment horizontal="right" vertical="center" wrapText="1"/>
    </xf>
    <xf numFmtId="164" fontId="20" fillId="0" borderId="26" xfId="0" applyNumberFormat="1" applyFont="1" applyFill="1" applyBorder="1" applyAlignment="1" applyProtection="1">
      <alignment horizontal="right" vertical="center" wrapText="1"/>
    </xf>
    <xf numFmtId="164" fontId="20" fillId="0" borderId="16" xfId="0" applyNumberFormat="1" applyFont="1" applyFill="1" applyBorder="1" applyAlignment="1" applyProtection="1">
      <alignment horizontal="right" vertical="center" wrapText="1"/>
    </xf>
    <xf numFmtId="164" fontId="20" fillId="0" borderId="18" xfId="0" applyNumberFormat="1" applyFont="1" applyFill="1" applyBorder="1" applyAlignment="1" applyProtection="1">
      <alignment horizontal="right"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Alignment="1" applyProtection="1">
      <alignment horizontal="right" vertical="center" wrapText="1"/>
    </xf>
    <xf numFmtId="0" fontId="20" fillId="0" borderId="79" xfId="0" applyFont="1" applyFill="1" applyBorder="1" applyAlignment="1" applyProtection="1">
      <alignment horizontal="right" vertical="center" wrapText="1"/>
    </xf>
    <xf numFmtId="164" fontId="30" fillId="0" borderId="20" xfId="0" applyNumberFormat="1" applyFont="1" applyFill="1" applyBorder="1" applyAlignment="1" applyProtection="1">
      <alignment horizontal="right" vertical="center" wrapText="1"/>
    </xf>
    <xf numFmtId="0" fontId="29" fillId="0" borderId="48" xfId="0" applyFont="1" applyFill="1" applyBorder="1" applyAlignment="1" applyProtection="1">
      <alignment vertical="center" wrapText="1"/>
    </xf>
    <xf numFmtId="3" fontId="29" fillId="0" borderId="37" xfId="0" applyNumberFormat="1" applyFont="1" applyFill="1" applyBorder="1" applyAlignment="1" applyProtection="1">
      <alignment horizontal="right" vertical="center" wrapText="1"/>
    </xf>
    <xf numFmtId="0" fontId="29" fillId="0" borderId="13" xfId="0" applyFont="1" applyFill="1" applyBorder="1" applyAlignment="1" applyProtection="1">
      <alignment vertical="center" wrapText="1"/>
    </xf>
    <xf numFmtId="3" fontId="29" fillId="0" borderId="20" xfId="0" applyNumberFormat="1" applyFont="1" applyFill="1" applyBorder="1" applyAlignment="1" applyProtection="1">
      <alignment horizontal="right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/>
    </xf>
    <xf numFmtId="164" fontId="27" fillId="0" borderId="18" xfId="0" applyNumberFormat="1" applyFont="1" applyFill="1" applyBorder="1" applyAlignment="1" applyProtection="1">
      <alignment horizontal="right" vertical="center" wrapText="1"/>
    </xf>
    <xf numFmtId="164" fontId="27" fillId="0" borderId="21" xfId="0" applyNumberFormat="1" applyFont="1" applyFill="1" applyBorder="1" applyAlignment="1" applyProtection="1">
      <alignment horizontal="right" vertical="center" wrapText="1"/>
    </xf>
    <xf numFmtId="164" fontId="27" fillId="0" borderId="61" xfId="0" applyNumberFormat="1" applyFont="1" applyFill="1" applyBorder="1" applyAlignment="1" applyProtection="1">
      <alignment horizontal="right" vertical="center" wrapText="1"/>
    </xf>
    <xf numFmtId="164" fontId="29" fillId="0" borderId="62" xfId="0" applyNumberFormat="1" applyFont="1" applyFill="1" applyBorder="1" applyAlignment="1" applyProtection="1">
      <alignment horizontal="right" vertical="center" wrapText="1"/>
    </xf>
    <xf numFmtId="164" fontId="29" fillId="0" borderId="37" xfId="0" applyNumberFormat="1" applyFont="1" applyFill="1" applyBorder="1" applyAlignment="1" applyProtection="1">
      <alignment horizontal="right" vertical="center" wrapText="1"/>
    </xf>
    <xf numFmtId="164" fontId="20" fillId="0" borderId="29" xfId="0" applyNumberFormat="1" applyFont="1" applyFill="1" applyBorder="1" applyAlignment="1" applyProtection="1">
      <alignment horizontal="right" vertical="center" wrapText="1"/>
    </xf>
    <xf numFmtId="0" fontId="27" fillId="0" borderId="51" xfId="0" applyFont="1" applyFill="1" applyBorder="1" applyAlignment="1" applyProtection="1">
      <alignment horizontal="right" vertical="center" wrapText="1"/>
    </xf>
    <xf numFmtId="3" fontId="28" fillId="0" borderId="17" xfId="0" applyNumberFormat="1" applyFont="1" applyFill="1" applyBorder="1" applyAlignment="1" applyProtection="1">
      <alignment horizontal="right" vertical="center" wrapText="1"/>
    </xf>
    <xf numFmtId="3" fontId="28" fillId="0" borderId="20" xfId="0" applyNumberFormat="1" applyFont="1" applyFill="1" applyBorder="1" applyAlignment="1" applyProtection="1">
      <alignment horizontal="right" vertical="center" wrapText="1"/>
    </xf>
    <xf numFmtId="164" fontId="28" fillId="0" borderId="20" xfId="0" applyNumberFormat="1" applyFont="1" applyFill="1" applyBorder="1" applyAlignment="1" applyProtection="1">
      <alignment vertical="center" wrapText="1"/>
    </xf>
    <xf numFmtId="164" fontId="28" fillId="0" borderId="51" xfId="0" applyNumberFormat="1" applyFont="1" applyFill="1" applyBorder="1" applyAlignment="1" applyProtection="1">
      <alignment vertical="center" wrapText="1"/>
    </xf>
    <xf numFmtId="164" fontId="27" fillId="0" borderId="20" xfId="0" applyNumberFormat="1" applyFont="1" applyFill="1" applyBorder="1" applyAlignment="1" applyProtection="1">
      <alignment horizontal="right" vertical="center" wrapText="1"/>
    </xf>
    <xf numFmtId="0" fontId="27" fillId="0" borderId="20" xfId="0" applyFont="1" applyFill="1" applyBorder="1" applyAlignment="1" applyProtection="1">
      <alignment horizontal="right" vertical="center" wrapText="1"/>
    </xf>
    <xf numFmtId="164" fontId="29" fillId="0" borderId="42" xfId="0" applyNumberFormat="1" applyFont="1" applyFill="1" applyBorder="1" applyAlignment="1" applyProtection="1">
      <alignment horizontal="right" vertical="center" wrapText="1" indent="1"/>
    </xf>
    <xf numFmtId="0" fontId="2" fillId="0" borderId="33" xfId="0" applyFont="1" applyFill="1" applyBorder="1" applyAlignment="1" applyProtection="1">
      <alignment vertical="center" wrapText="1"/>
    </xf>
    <xf numFmtId="0" fontId="11" fillId="0" borderId="42" xfId="0" applyFont="1" applyFill="1" applyBorder="1" applyAlignment="1" applyProtection="1">
      <alignment vertical="center" wrapText="1"/>
    </xf>
    <xf numFmtId="0" fontId="7" fillId="0" borderId="79" xfId="0" applyFont="1" applyFill="1" applyBorder="1" applyAlignment="1" applyProtection="1">
      <alignment horizontal="center" vertical="center" wrapText="1"/>
    </xf>
    <xf numFmtId="164" fontId="0" fillId="0" borderId="16" xfId="0" applyNumberFormat="1" applyFill="1" applyBorder="1" applyAlignment="1" applyProtection="1">
      <alignment vertical="center" wrapText="1"/>
    </xf>
    <xf numFmtId="164" fontId="9" fillId="0" borderId="16" xfId="0" applyNumberFormat="1" applyFont="1" applyFill="1" applyBorder="1" applyAlignment="1" applyProtection="1">
      <alignment vertical="center" wrapText="1"/>
    </xf>
    <xf numFmtId="164" fontId="0" fillId="0" borderId="26" xfId="0" applyNumberFormat="1" applyFill="1" applyBorder="1" applyAlignment="1" applyProtection="1">
      <alignment vertical="center" wrapText="1"/>
    </xf>
    <xf numFmtId="164" fontId="0" fillId="0" borderId="18" xfId="0" applyNumberFormat="1" applyFill="1" applyBorder="1" applyAlignment="1" applyProtection="1">
      <alignment vertical="center" wrapText="1"/>
    </xf>
    <xf numFmtId="164" fontId="9" fillId="0" borderId="26" xfId="0" applyNumberFormat="1" applyFont="1" applyFill="1" applyBorder="1" applyAlignment="1" applyProtection="1">
      <alignment vertical="center" wrapText="1"/>
    </xf>
    <xf numFmtId="164" fontId="9" fillId="0" borderId="18" xfId="0" applyNumberFormat="1" applyFont="1" applyFill="1" applyBorder="1" applyAlignment="1" applyProtection="1">
      <alignment vertical="center" wrapText="1"/>
    </xf>
    <xf numFmtId="164" fontId="27" fillId="0" borderId="20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7" fillId="0" borderId="79" xfId="0" applyFont="1" applyFill="1" applyBorder="1" applyAlignment="1" applyProtection="1">
      <alignment horizontal="right" vertical="center" wrapText="1"/>
    </xf>
    <xf numFmtId="164" fontId="0" fillId="0" borderId="26" xfId="0" applyNumberFormat="1" applyFill="1" applyBorder="1" applyAlignment="1" applyProtection="1">
      <alignment horizontal="right" vertical="center" wrapText="1"/>
    </xf>
    <xf numFmtId="164" fontId="0" fillId="0" borderId="16" xfId="0" applyNumberFormat="1" applyFill="1" applyBorder="1" applyAlignment="1" applyProtection="1">
      <alignment horizontal="right" vertical="center" wrapText="1"/>
    </xf>
    <xf numFmtId="164" fontId="0" fillId="0" borderId="18" xfId="0" applyNumberFormat="1" applyFill="1" applyBorder="1" applyAlignment="1" applyProtection="1">
      <alignment horizontal="right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/>
    </xf>
    <xf numFmtId="164" fontId="9" fillId="0" borderId="18" xfId="0" applyNumberFormat="1" applyFont="1" applyFill="1" applyBorder="1" applyAlignment="1" applyProtection="1">
      <alignment horizontal="right" vertical="center" wrapText="1"/>
    </xf>
    <xf numFmtId="0" fontId="0" fillId="0" borderId="48" xfId="0" applyFill="1" applyBorder="1" applyAlignment="1" applyProtection="1">
      <alignment vertical="center" wrapText="1"/>
    </xf>
    <xf numFmtId="3" fontId="0" fillId="0" borderId="37" xfId="0" applyNumberFormat="1" applyFill="1" applyBorder="1" applyAlignment="1" applyProtection="1">
      <alignment vertical="center" wrapText="1"/>
    </xf>
    <xf numFmtId="3" fontId="0" fillId="0" borderId="20" xfId="0" applyNumberFormat="1" applyFill="1" applyBorder="1" applyAlignment="1" applyProtection="1">
      <alignment vertical="center" wrapText="1"/>
    </xf>
    <xf numFmtId="164" fontId="28" fillId="0" borderId="43" xfId="0" applyNumberFormat="1" applyFont="1" applyFill="1" applyBorder="1" applyAlignment="1" applyProtection="1">
      <alignment vertical="center" wrapText="1"/>
    </xf>
    <xf numFmtId="0" fontId="27" fillId="0" borderId="10" xfId="0" applyFont="1" applyFill="1" applyBorder="1" applyAlignment="1" applyProtection="1">
      <alignment vertical="center" wrapText="1"/>
    </xf>
    <xf numFmtId="0" fontId="27" fillId="0" borderId="9" xfId="0" applyFont="1" applyFill="1" applyBorder="1" applyAlignment="1" applyProtection="1">
      <alignment vertical="center" wrapText="1"/>
    </xf>
    <xf numFmtId="164" fontId="28" fillId="0" borderId="13" xfId="0" applyNumberFormat="1" applyFont="1" applyFill="1" applyBorder="1" applyAlignment="1" applyProtection="1">
      <alignment vertical="center" wrapText="1"/>
    </xf>
    <xf numFmtId="0" fontId="27" fillId="0" borderId="8" xfId="0" applyFont="1" applyFill="1" applyBorder="1" applyAlignment="1" applyProtection="1">
      <alignment horizontal="right" vertical="center" wrapText="1"/>
    </xf>
    <xf numFmtId="0" fontId="27" fillId="0" borderId="9" xfId="0" applyFont="1" applyFill="1" applyBorder="1" applyAlignment="1" applyProtection="1">
      <alignment horizontal="right" vertical="center" wrapText="1"/>
    </xf>
    <xf numFmtId="164" fontId="28" fillId="0" borderId="13" xfId="0" applyNumberFormat="1" applyFont="1" applyFill="1" applyBorder="1" applyAlignment="1" applyProtection="1">
      <alignment horizontal="right" vertical="center" wrapText="1"/>
    </xf>
    <xf numFmtId="0" fontId="27" fillId="0" borderId="10" xfId="0" applyFont="1" applyFill="1" applyBorder="1" applyAlignment="1" applyProtection="1">
      <alignment horizontal="right" vertical="center" wrapText="1"/>
    </xf>
    <xf numFmtId="0" fontId="27" fillId="0" borderId="13" xfId="0" applyFont="1" applyFill="1" applyBorder="1" applyAlignment="1" applyProtection="1">
      <alignment horizontal="right" vertical="center" wrapText="1"/>
    </xf>
    <xf numFmtId="0" fontId="27" fillId="0" borderId="11" xfId="0" applyFont="1" applyFill="1" applyBorder="1" applyAlignment="1" applyProtection="1">
      <alignment horizontal="right" vertical="center" wrapText="1"/>
    </xf>
    <xf numFmtId="164" fontId="27" fillId="0" borderId="36" xfId="0" applyNumberFormat="1" applyFont="1" applyFill="1" applyBorder="1" applyAlignment="1" applyProtection="1">
      <alignment horizontal="right" vertical="center" wrapText="1"/>
    </xf>
    <xf numFmtId="0" fontId="30" fillId="0" borderId="4" xfId="6" applyFont="1" applyFill="1" applyBorder="1" applyAlignment="1" applyProtection="1">
      <alignment horizontal="left" vertical="center" wrapText="1" inden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6" xfId="0" applyNumberFormat="1" applyFont="1" applyFill="1" applyBorder="1" applyAlignment="1">
      <alignment horizontal="right" vertical="center" wrapText="1"/>
    </xf>
    <xf numFmtId="0" fontId="30" fillId="0" borderId="9" xfId="0" applyFont="1" applyFill="1" applyBorder="1" applyAlignment="1" applyProtection="1">
      <alignment vertical="center" wrapText="1"/>
    </xf>
    <xf numFmtId="0" fontId="30" fillId="0" borderId="10" xfId="0" applyFont="1" applyFill="1" applyBorder="1" applyAlignment="1" applyProtection="1">
      <alignment vertical="center" wrapText="1"/>
    </xf>
    <xf numFmtId="0" fontId="30" fillId="0" borderId="8" xfId="0" applyFont="1" applyFill="1" applyBorder="1" applyAlignment="1" applyProtection="1">
      <alignment vertical="center" wrapText="1"/>
    </xf>
    <xf numFmtId="0" fontId="30" fillId="0" borderId="5" xfId="0" applyFont="1" applyFill="1" applyBorder="1" applyAlignment="1" applyProtection="1">
      <alignment vertical="center" wrapText="1"/>
    </xf>
    <xf numFmtId="0" fontId="22" fillId="0" borderId="73" xfId="0" applyFont="1" applyFill="1" applyBorder="1" applyAlignment="1" applyProtection="1">
      <alignment vertical="center" wrapText="1"/>
    </xf>
    <xf numFmtId="0" fontId="42" fillId="0" borderId="33" xfId="0" applyFont="1" applyFill="1" applyBorder="1" applyAlignment="1" applyProtection="1">
      <alignment vertical="center" wrapText="1"/>
    </xf>
    <xf numFmtId="0" fontId="30" fillId="0" borderId="33" xfId="0" applyFont="1" applyFill="1" applyBorder="1" applyAlignment="1" applyProtection="1">
      <alignment vertical="center" wrapText="1"/>
    </xf>
    <xf numFmtId="164" fontId="0" fillId="0" borderId="26" xfId="0" applyNumberFormat="1" applyFont="1" applyFill="1" applyBorder="1" applyAlignment="1" applyProtection="1">
      <alignment horizontal="right" vertical="center" wrapText="1"/>
    </xf>
    <xf numFmtId="0" fontId="0" fillId="0" borderId="9" xfId="0" applyFont="1" applyFill="1" applyBorder="1" applyAlignment="1" applyProtection="1">
      <alignment vertical="center" wrapText="1"/>
    </xf>
    <xf numFmtId="164" fontId="0" fillId="0" borderId="26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right"/>
    </xf>
    <xf numFmtId="0" fontId="24" fillId="0" borderId="0" xfId="0" applyFont="1"/>
    <xf numFmtId="0" fontId="49" fillId="0" borderId="71" xfId="5" applyFont="1" applyBorder="1" applyAlignment="1">
      <alignment horizontal="center" vertical="center" wrapText="1"/>
    </xf>
    <xf numFmtId="0" fontId="24" fillId="0" borderId="13" xfId="0" applyFont="1" applyBorder="1"/>
    <xf numFmtId="3" fontId="24" fillId="0" borderId="14" xfId="0" applyNumberFormat="1" applyFont="1" applyBorder="1"/>
    <xf numFmtId="3" fontId="24" fillId="0" borderId="20" xfId="0" applyNumberFormat="1" applyFont="1" applyBorder="1"/>
    <xf numFmtId="164" fontId="47" fillId="6" borderId="2" xfId="0" applyNumberFormat="1" applyFont="1" applyFill="1" applyBorder="1" applyAlignment="1">
      <alignment horizontal="center" vertical="center" wrapText="1"/>
    </xf>
    <xf numFmtId="49" fontId="56" fillId="4" borderId="49" xfId="0" applyNumberFormat="1" applyFont="1" applyFill="1" applyBorder="1" applyAlignment="1">
      <alignment horizontal="left" wrapText="1"/>
    </xf>
    <xf numFmtId="0" fontId="56" fillId="4" borderId="8" xfId="0" applyFont="1" applyFill="1" applyBorder="1" applyAlignment="1">
      <alignment horizontal="left" wrapText="1"/>
    </xf>
    <xf numFmtId="49" fontId="56" fillId="4" borderId="8" xfId="0" applyNumberFormat="1" applyFont="1" applyFill="1" applyBorder="1" applyAlignment="1">
      <alignment horizontal="left" wrapText="1"/>
    </xf>
    <xf numFmtId="49" fontId="56" fillId="4" borderId="12" xfId="0" applyNumberFormat="1" applyFont="1" applyFill="1" applyBorder="1" applyAlignment="1">
      <alignment horizontal="left" wrapText="1"/>
    </xf>
    <xf numFmtId="3" fontId="56" fillId="4" borderId="27" xfId="0" applyNumberFormat="1" applyFont="1" applyFill="1" applyBorder="1" applyAlignment="1">
      <alignment horizontal="right" wrapText="1"/>
    </xf>
    <xf numFmtId="164" fontId="47" fillId="4" borderId="27" xfId="0" applyNumberFormat="1" applyFont="1" applyFill="1" applyBorder="1" applyAlignment="1">
      <alignment vertical="center" wrapText="1"/>
    </xf>
    <xf numFmtId="164" fontId="47" fillId="4" borderId="28" xfId="0" applyNumberFormat="1" applyFont="1" applyFill="1" applyBorder="1" applyAlignment="1">
      <alignment vertical="center" wrapText="1"/>
    </xf>
    <xf numFmtId="0" fontId="60" fillId="5" borderId="8" xfId="0" applyFont="1" applyFill="1" applyBorder="1"/>
    <xf numFmtId="3" fontId="61" fillId="5" borderId="2" xfId="0" applyNumberFormat="1" applyFont="1" applyFill="1" applyBorder="1"/>
    <xf numFmtId="0" fontId="12" fillId="4" borderId="8" xfId="0" applyFont="1" applyFill="1" applyBorder="1" applyAlignment="1">
      <alignment horizontal="left"/>
    </xf>
    <xf numFmtId="0" fontId="12" fillId="4" borderId="2" xfId="0" applyFont="1" applyFill="1" applyBorder="1"/>
    <xf numFmtId="3" fontId="12" fillId="4" borderId="2" xfId="0" applyNumberFormat="1" applyFont="1" applyFill="1" applyBorder="1"/>
    <xf numFmtId="3" fontId="12" fillId="4" borderId="16" xfId="0" applyNumberFormat="1" applyFont="1" applyFill="1" applyBorder="1"/>
    <xf numFmtId="0" fontId="24" fillId="0" borderId="12" xfId="0" applyFont="1" applyBorder="1"/>
    <xf numFmtId="0" fontId="12" fillId="4" borderId="8" xfId="0" applyFont="1" applyFill="1" applyBorder="1"/>
    <xf numFmtId="0" fontId="12" fillId="0" borderId="8" xfId="0" applyFont="1" applyFill="1" applyBorder="1"/>
    <xf numFmtId="3" fontId="12" fillId="0" borderId="2" xfId="0" applyNumberFormat="1" applyFont="1" applyBorder="1"/>
    <xf numFmtId="3" fontId="12" fillId="0" borderId="16" xfId="0" applyNumberFormat="1" applyFont="1" applyBorder="1"/>
    <xf numFmtId="0" fontId="12" fillId="0" borderId="14" xfId="0" applyFont="1" applyBorder="1"/>
    <xf numFmtId="3" fontId="12" fillId="0" borderId="14" xfId="0" applyNumberFormat="1" applyFont="1" applyBorder="1"/>
    <xf numFmtId="3" fontId="16" fillId="0" borderId="4" xfId="5" applyNumberFormat="1" applyFont="1" applyBorder="1" applyAlignment="1">
      <alignment horizontal="right" wrapText="1"/>
    </xf>
    <xf numFmtId="3" fontId="16" fillId="0" borderId="36" xfId="5" applyNumberFormat="1" applyFont="1" applyBorder="1" applyAlignment="1">
      <alignment horizontal="right" wrapText="1"/>
    </xf>
    <xf numFmtId="0" fontId="61" fillId="5" borderId="2" xfId="0" applyFont="1" applyFill="1" applyBorder="1"/>
    <xf numFmtId="3" fontId="61" fillId="5" borderId="16" xfId="0" applyNumberFormat="1" applyFont="1" applyFill="1" applyBorder="1"/>
    <xf numFmtId="3" fontId="16" fillId="0" borderId="2" xfId="5" applyNumberFormat="1" applyFont="1" applyBorder="1" applyAlignment="1">
      <alignment vertical="justify" wrapText="1"/>
    </xf>
    <xf numFmtId="3" fontId="16" fillId="0" borderId="16" xfId="5" applyNumberFormat="1" applyFont="1" applyBorder="1" applyAlignment="1">
      <alignment vertical="justify" wrapText="1"/>
    </xf>
    <xf numFmtId="0" fontId="12" fillId="0" borderId="2" xfId="0" applyFont="1" applyBorder="1"/>
    <xf numFmtId="0" fontId="12" fillId="0" borderId="16" xfId="0" applyFont="1" applyBorder="1"/>
    <xf numFmtId="3" fontId="24" fillId="0" borderId="2" xfId="0" applyNumberFormat="1" applyFont="1" applyBorder="1"/>
    <xf numFmtId="3" fontId="24" fillId="0" borderId="16" xfId="0" applyNumberFormat="1" applyFont="1" applyBorder="1"/>
    <xf numFmtId="3" fontId="12" fillId="4" borderId="27" xfId="0" applyNumberFormat="1" applyFont="1" applyFill="1" applyBorder="1"/>
    <xf numFmtId="3" fontId="24" fillId="4" borderId="27" xfId="0" applyNumberFormat="1" applyFont="1" applyFill="1" applyBorder="1"/>
    <xf numFmtId="3" fontId="24" fillId="4" borderId="28" xfId="0" applyNumberFormat="1" applyFont="1" applyFill="1" applyBorder="1"/>
    <xf numFmtId="3" fontId="16" fillId="0" borderId="72" xfId="5" applyNumberFormat="1" applyFont="1" applyBorder="1" applyAlignment="1">
      <alignment horizontal="right" wrapText="1"/>
    </xf>
    <xf numFmtId="3" fontId="61" fillId="5" borderId="5" xfId="0" applyNumberFormat="1" applyFont="1" applyFill="1" applyBorder="1"/>
    <xf numFmtId="3" fontId="16" fillId="0" borderId="5" xfId="5" applyNumberFormat="1" applyFont="1" applyBorder="1" applyAlignment="1">
      <alignment vertical="justify" wrapText="1"/>
    </xf>
    <xf numFmtId="0" fontId="12" fillId="0" borderId="5" xfId="0" applyFont="1" applyBorder="1"/>
    <xf numFmtId="0" fontId="12" fillId="4" borderId="5" xfId="0" applyFont="1" applyFill="1" applyBorder="1"/>
    <xf numFmtId="3" fontId="12" fillId="0" borderId="5" xfId="0" applyNumberFormat="1" applyFont="1" applyBorder="1"/>
    <xf numFmtId="3" fontId="12" fillId="4" borderId="82" xfId="0" applyNumberFormat="1" applyFont="1" applyFill="1" applyBorder="1"/>
    <xf numFmtId="0" fontId="12" fillId="0" borderId="42" xfId="0" applyFont="1" applyBorder="1"/>
    <xf numFmtId="0" fontId="16" fillId="0" borderId="11" xfId="5" applyFont="1" applyBorder="1" applyAlignment="1">
      <alignment horizontal="left" wrapText="1"/>
    </xf>
    <xf numFmtId="0" fontId="16" fillId="0" borderId="8" xfId="5" applyFont="1" applyBorder="1" applyAlignment="1">
      <alignment wrapText="1"/>
    </xf>
    <xf numFmtId="0" fontId="24" fillId="0" borderId="8" xfId="0" applyFont="1" applyBorder="1"/>
    <xf numFmtId="0" fontId="24" fillId="0" borderId="8" xfId="0" applyFont="1" applyFill="1" applyBorder="1"/>
    <xf numFmtId="0" fontId="12" fillId="4" borderId="8" xfId="0" applyFont="1" applyFill="1" applyBorder="1" applyAlignment="1">
      <alignment wrapText="1"/>
    </xf>
    <xf numFmtId="3" fontId="7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8" fillId="0" borderId="15" xfId="6" applyNumberFormat="1" applyFont="1" applyFill="1" applyBorder="1" applyAlignment="1" applyProtection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29" fillId="0" borderId="43" xfId="6" applyNumberFormat="1" applyFont="1" applyFill="1" applyBorder="1" applyAlignment="1" applyProtection="1">
      <alignment horizontal="right" vertical="center" wrapText="1" indent="1"/>
    </xf>
    <xf numFmtId="3" fontId="29" fillId="0" borderId="8" xfId="0" applyNumberFormat="1" applyFont="1" applyFill="1" applyBorder="1" applyAlignment="1">
      <alignment vertical="center" wrapText="1"/>
    </xf>
    <xf numFmtId="3" fontId="30" fillId="0" borderId="8" xfId="0" applyNumberFormat="1" applyFont="1" applyFill="1" applyBorder="1" applyAlignment="1">
      <alignment vertical="center" wrapText="1"/>
    </xf>
    <xf numFmtId="3" fontId="29" fillId="2" borderId="60" xfId="6" applyNumberFormat="1" applyFont="1" applyFill="1" applyBorder="1" applyAlignment="1" applyProtection="1">
      <alignment horizontal="right" vertical="center" wrapText="1" indent="1"/>
    </xf>
    <xf numFmtId="3" fontId="29" fillId="2" borderId="39" xfId="6" applyNumberFormat="1" applyFont="1" applyFill="1" applyBorder="1" applyAlignment="1" applyProtection="1">
      <alignment horizontal="right" vertical="center" wrapText="1" indent="1"/>
    </xf>
    <xf numFmtId="3" fontId="29" fillId="0" borderId="10" xfId="0" applyNumberFormat="1" applyFont="1" applyFill="1" applyBorder="1" applyAlignment="1">
      <alignment vertical="center" wrapText="1"/>
    </xf>
    <xf numFmtId="3" fontId="29" fillId="0" borderId="13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3" fontId="7" fillId="0" borderId="44" xfId="0" applyNumberFormat="1" applyFont="1" applyFill="1" applyBorder="1" applyAlignment="1">
      <alignment horizontal="center" vertical="center" wrapText="1"/>
    </xf>
    <xf numFmtId="3" fontId="28" fillId="0" borderId="43" xfId="6" applyNumberFormat="1" applyFont="1" applyFill="1" applyBorder="1" applyAlignment="1" applyProtection="1">
      <alignment horizontal="right" vertical="center" wrapText="1" indent="1"/>
    </xf>
    <xf numFmtId="3" fontId="27" fillId="0" borderId="9" xfId="0" applyNumberFormat="1" applyFont="1" applyFill="1" applyBorder="1" applyAlignment="1">
      <alignment vertical="center" wrapText="1"/>
    </xf>
    <xf numFmtId="3" fontId="27" fillId="0" borderId="8" xfId="0" applyNumberFormat="1" applyFont="1" applyFill="1" applyBorder="1" applyAlignment="1">
      <alignment vertical="center" wrapText="1"/>
    </xf>
    <xf numFmtId="3" fontId="27" fillId="0" borderId="10" xfId="0" applyNumberFormat="1" applyFont="1" applyFill="1" applyBorder="1" applyAlignment="1">
      <alignment vertical="center" wrapText="1"/>
    </xf>
    <xf numFmtId="3" fontId="27" fillId="0" borderId="39" xfId="0" applyNumberFormat="1" applyFont="1" applyFill="1" applyBorder="1" applyAlignment="1">
      <alignment vertical="center" wrapText="1"/>
    </xf>
    <xf numFmtId="3" fontId="27" fillId="0" borderId="50" xfId="0" applyNumberFormat="1" applyFont="1" applyFill="1" applyBorder="1" applyAlignment="1">
      <alignment vertical="center" wrapText="1"/>
    </xf>
    <xf numFmtId="3" fontId="27" fillId="0" borderId="75" xfId="0" applyNumberFormat="1" applyFont="1" applyFill="1" applyBorder="1" applyAlignment="1">
      <alignment vertical="center" wrapText="1"/>
    </xf>
    <xf numFmtId="3" fontId="58" fillId="0" borderId="8" xfId="0" applyNumberFormat="1" applyFont="1" applyFill="1" applyBorder="1" applyAlignment="1">
      <alignment vertical="center" wrapText="1"/>
    </xf>
    <xf numFmtId="3" fontId="28" fillId="0" borderId="43" xfId="0" applyNumberFormat="1" applyFont="1" applyBorder="1" applyAlignment="1" applyProtection="1">
      <alignment horizontal="right" vertical="center" wrapText="1" indent="1"/>
    </xf>
    <xf numFmtId="3" fontId="28" fillId="0" borderId="43" xfId="0" quotePrefix="1" applyNumberFormat="1" applyFont="1" applyBorder="1" applyAlignment="1" applyProtection="1">
      <alignment horizontal="right" vertical="center" wrapText="1" indent="1"/>
    </xf>
    <xf numFmtId="3" fontId="0" fillId="0" borderId="0" xfId="0" applyNumberFormat="1" applyFill="1" applyBorder="1" applyAlignment="1">
      <alignment vertical="center" wrapText="1"/>
    </xf>
    <xf numFmtId="3" fontId="0" fillId="0" borderId="14" xfId="0" applyNumberFormat="1" applyFill="1" applyBorder="1" applyAlignment="1">
      <alignment vertical="center" wrapText="1"/>
    </xf>
    <xf numFmtId="164" fontId="7" fillId="0" borderId="0" xfId="6" applyNumberFormat="1" applyFont="1" applyFill="1" applyBorder="1" applyAlignment="1" applyProtection="1">
      <alignment horizontal="center" vertical="center"/>
    </xf>
    <xf numFmtId="164" fontId="36" fillId="0" borderId="34" xfId="6" applyNumberFormat="1" applyFont="1" applyFill="1" applyBorder="1" applyAlignment="1" applyProtection="1">
      <alignment horizontal="left" vertical="center"/>
    </xf>
    <xf numFmtId="164" fontId="36" fillId="0" borderId="34" xfId="6" applyNumberFormat="1" applyFont="1" applyFill="1" applyBorder="1" applyAlignment="1" applyProtection="1">
      <alignment horizontal="left"/>
    </xf>
    <xf numFmtId="0" fontId="24" fillId="0" borderId="0" xfId="6" applyFont="1" applyFill="1" applyAlignment="1" applyProtection="1">
      <alignment horizontal="center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9" fillId="0" borderId="57" xfId="0" applyNumberFormat="1" applyFont="1" applyFill="1" applyBorder="1" applyAlignment="1" applyProtection="1">
      <alignment horizontal="center" vertical="center" wrapText="1"/>
    </xf>
    <xf numFmtId="164" fontId="31" fillId="0" borderId="67" xfId="0" applyNumberFormat="1" applyFont="1" applyFill="1" applyBorder="1" applyAlignment="1" applyProtection="1">
      <alignment horizontal="center" vertical="center" wrapText="1"/>
    </xf>
    <xf numFmtId="164" fontId="31" fillId="0" borderId="80" xfId="0" applyNumberFormat="1" applyFont="1" applyFill="1" applyBorder="1" applyAlignment="1" applyProtection="1">
      <alignment horizontal="center" vertical="center" wrapText="1"/>
    </xf>
    <xf numFmtId="164" fontId="5" fillId="0" borderId="0" xfId="6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6" xfId="6" applyFont="1" applyFill="1" applyBorder="1" applyAlignment="1">
      <alignment horizontal="center" vertical="center" wrapText="1"/>
    </xf>
    <xf numFmtId="0" fontId="32" fillId="0" borderId="18" xfId="6" applyFont="1" applyFill="1" applyBorder="1" applyAlignment="1">
      <alignment horizontal="center" vertical="center" wrapText="1"/>
    </xf>
    <xf numFmtId="0" fontId="32" fillId="0" borderId="11" xfId="6" applyFont="1" applyFill="1" applyBorder="1" applyAlignment="1">
      <alignment horizontal="center" vertical="center" wrapText="1"/>
    </xf>
    <xf numFmtId="0" fontId="32" fillId="0" borderId="10" xfId="6" applyFont="1" applyFill="1" applyBorder="1" applyAlignment="1">
      <alignment horizontal="center" vertical="center" wrapText="1"/>
    </xf>
    <xf numFmtId="0" fontId="32" fillId="0" borderId="4" xfId="6" applyFont="1" applyFill="1" applyBorder="1" applyAlignment="1">
      <alignment horizontal="center" vertical="center" wrapText="1"/>
    </xf>
    <xf numFmtId="0" fontId="32" fillId="0" borderId="6" xfId="6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6" applyFont="1" applyFill="1" applyBorder="1" applyAlignment="1" applyProtection="1">
      <alignment horizontal="left"/>
    </xf>
    <xf numFmtId="0" fontId="31" fillId="0" borderId="14" xfId="6" applyFont="1" applyFill="1" applyBorder="1" applyAlignment="1" applyProtection="1">
      <alignment horizontal="left"/>
    </xf>
    <xf numFmtId="0" fontId="22" fillId="0" borderId="57" xfId="6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164" fontId="0" fillId="0" borderId="34" xfId="0" applyNumberFormat="1" applyFill="1" applyBorder="1" applyAlignment="1" applyProtection="1">
      <alignment horizontal="center" vertical="center" wrapText="1"/>
    </xf>
    <xf numFmtId="0" fontId="46" fillId="0" borderId="0" xfId="4" applyFont="1" applyAlignment="1">
      <alignment horizontal="right"/>
    </xf>
    <xf numFmtId="0" fontId="55" fillId="0" borderId="0" xfId="4" applyFont="1" applyAlignment="1">
      <alignment horizontal="right" vertical="center" wrapText="1"/>
    </xf>
    <xf numFmtId="0" fontId="49" fillId="0" borderId="77" xfId="4" applyFont="1" applyBorder="1" applyAlignment="1">
      <alignment horizontal="center" vertical="top" wrapText="1"/>
    </xf>
    <xf numFmtId="0" fontId="49" fillId="0" borderId="57" xfId="4" applyFont="1" applyBorder="1" applyAlignment="1">
      <alignment horizontal="center" vertical="top" wrapText="1"/>
    </xf>
    <xf numFmtId="0" fontId="49" fillId="0" borderId="79" xfId="4" applyFont="1" applyBorder="1" applyAlignment="1">
      <alignment horizontal="center" vertical="top" wrapText="1"/>
    </xf>
    <xf numFmtId="0" fontId="40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51" fillId="0" borderId="0" xfId="0" applyFont="1" applyAlignment="1">
      <alignment horizontal="right"/>
    </xf>
    <xf numFmtId="0" fontId="50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0" fillId="0" borderId="34" xfId="0" applyFont="1" applyBorder="1" applyAlignment="1" applyProtection="1">
      <alignment horizontal="right" vertical="top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51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81" xfId="0" applyNumberFormat="1" applyFont="1" applyFill="1" applyBorder="1" applyAlignment="1" applyProtection="1">
      <alignment horizontal="center" vertical="center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0" fontId="30" fillId="0" borderId="57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2" xfId="7" applyFont="1" applyFill="1" applyBorder="1" applyAlignment="1" applyProtection="1">
      <alignment horizontal="left" vertical="center" indent="1"/>
    </xf>
    <xf numFmtId="0" fontId="21" fillId="0" borderId="44" xfId="7" applyFont="1" applyFill="1" applyBorder="1" applyAlignment="1" applyProtection="1">
      <alignment horizontal="left" vertical="center" indent="1"/>
    </xf>
    <xf numFmtId="0" fontId="21" fillId="0" borderId="51" xfId="7" applyFont="1" applyFill="1" applyBorder="1" applyAlignment="1" applyProtection="1">
      <alignment horizontal="left" vertical="center" indent="1"/>
    </xf>
    <xf numFmtId="0" fontId="24" fillId="0" borderId="0" xfId="7" applyFont="1" applyFill="1" applyAlignment="1" applyProtection="1">
      <alignment horizontal="center" wrapText="1"/>
    </xf>
    <xf numFmtId="0" fontId="24" fillId="0" borderId="0" xfId="7" applyFont="1" applyFill="1" applyAlignment="1" applyProtection="1">
      <alignment horizontal="center"/>
    </xf>
    <xf numFmtId="0" fontId="24" fillId="0" borderId="0" xfId="0" applyFont="1" applyAlignment="1">
      <alignment horizontal="center" wrapText="1"/>
    </xf>
    <xf numFmtId="0" fontId="36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16" fillId="0" borderId="0" xfId="0" applyFont="1" applyFill="1" applyBorder="1" applyAlignment="1" applyProtection="1">
      <alignment horizontal="center" vertical="center"/>
    </xf>
    <xf numFmtId="0" fontId="44" fillId="0" borderId="34" xfId="0" applyFont="1" applyFill="1" applyBorder="1" applyAlignment="1" applyProtection="1">
      <alignment horizontal="right"/>
    </xf>
  </cellXfs>
  <cellStyles count="8">
    <cellStyle name="Ezres" xfId="1" builtinId="3"/>
    <cellStyle name="Hiperhivatkozás" xfId="2"/>
    <cellStyle name="Már látott hiperhivatkozás" xfId="3"/>
    <cellStyle name="Normál" xfId="0" builtinId="0"/>
    <cellStyle name="Normál_2006-2" xfId="4"/>
    <cellStyle name="Normál_7.sz.melléklet 2" xfId="5"/>
    <cellStyle name="Normál_KVRENMUNKA" xfId="6"/>
    <cellStyle name="Normál_SEGEDLETEK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1478281</xdr:colOff>
      <xdr:row>6</xdr:row>
      <xdr:rowOff>182881</xdr:rowOff>
    </xdr:from>
    <xdr:to>
      <xdr:col>0</xdr:col>
      <xdr:colOff>1524000</xdr:colOff>
      <xdr:row>7</xdr:row>
      <xdr:rowOff>28575</xdr:rowOff>
    </xdr:to>
    <xdr:sp macro="" textlink="">
      <xdr:nvSpPr>
        <xdr:cNvPr id="2" name="Szövegdoboz 1"/>
        <xdr:cNvSpPr txBox="1"/>
      </xdr:nvSpPr>
      <xdr:spPr>
        <a:xfrm>
          <a:off x="1478281" y="11925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hu-H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3695700</xdr:colOff>
      <xdr:row>0</xdr:row>
      <xdr:rowOff>114300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810125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  <pageSetUpPr fitToPage="1"/>
  </sheetPr>
  <dimension ref="A2:H144"/>
  <sheetViews>
    <sheetView tabSelected="1" view="pageBreakPreview" zoomScaleNormal="100" zoomScaleSheetLayoutView="100" workbookViewId="0">
      <selection activeCell="A2" sqref="A2:C2"/>
    </sheetView>
  </sheetViews>
  <sheetFormatPr defaultRowHeight="15.75"/>
  <cols>
    <col min="1" max="1" width="5.83203125" style="364" customWidth="1"/>
    <col min="2" max="2" width="64.6640625" style="364" customWidth="1"/>
    <col min="3" max="3" width="18.6640625" style="365" customWidth="1"/>
    <col min="4" max="4" width="13.83203125" style="365" customWidth="1"/>
    <col min="5" max="5" width="14.1640625" style="793" bestFit="1" customWidth="1"/>
    <col min="6" max="6" width="15.1640625" style="365" customWidth="1"/>
    <col min="7" max="7" width="14.1640625" style="793" bestFit="1" customWidth="1"/>
    <col min="8" max="16384" width="9.33203125" style="386"/>
  </cols>
  <sheetData>
    <row r="2" spans="1:7" ht="15.95" customHeight="1">
      <c r="A2" s="1108" t="s">
        <v>16</v>
      </c>
      <c r="B2" s="1108"/>
      <c r="C2" s="1108"/>
      <c r="D2" s="595"/>
      <c r="F2" s="595"/>
    </row>
    <row r="3" spans="1:7" ht="15.95" customHeight="1" thickBot="1">
      <c r="A3" s="1109" t="s">
        <v>732</v>
      </c>
      <c r="B3" s="1109"/>
      <c r="D3" s="655"/>
      <c r="E3" s="699"/>
      <c r="F3" s="655"/>
      <c r="G3" s="699" t="s">
        <v>739</v>
      </c>
    </row>
    <row r="4" spans="1:7" ht="38.1" customHeight="1" thickBot="1">
      <c r="A4" s="22" t="s">
        <v>73</v>
      </c>
      <c r="B4" s="23" t="s">
        <v>18</v>
      </c>
      <c r="C4" s="38" t="s">
        <v>738</v>
      </c>
      <c r="D4" s="713" t="s">
        <v>833</v>
      </c>
      <c r="E4" s="700" t="s">
        <v>834</v>
      </c>
      <c r="F4" s="713" t="s">
        <v>838</v>
      </c>
      <c r="G4" s="700" t="s">
        <v>834</v>
      </c>
    </row>
    <row r="5" spans="1:7" s="387" customFormat="1" ht="12" customHeight="1" thickBot="1">
      <c r="A5" s="381">
        <v>1</v>
      </c>
      <c r="B5" s="382">
        <v>2</v>
      </c>
      <c r="C5" s="383">
        <v>3</v>
      </c>
      <c r="D5" s="714"/>
      <c r="E5" s="794"/>
      <c r="F5" s="714"/>
      <c r="G5" s="794"/>
    </row>
    <row r="6" spans="1:7" s="388" customFormat="1" ht="12" customHeight="1" thickBot="1">
      <c r="A6" s="19" t="s">
        <v>19</v>
      </c>
      <c r="B6" s="20" t="s">
        <v>242</v>
      </c>
      <c r="C6" s="281">
        <f>+C7+C8+C9+C10+C11+C12</f>
        <v>826980588</v>
      </c>
      <c r="D6" s="705">
        <f>+D7+D8+D9+D10+D11+D12</f>
        <v>968248</v>
      </c>
      <c r="E6" s="795">
        <f>+E7+E8+E9+E10+E11+E12</f>
        <v>827948836</v>
      </c>
      <c r="F6" s="705">
        <f>+F7+F8+F9+F10+F11+F12</f>
        <v>9923327</v>
      </c>
      <c r="G6" s="795">
        <f>+G7+G8+G9+G10+G11+G12</f>
        <v>837872163</v>
      </c>
    </row>
    <row r="7" spans="1:7" s="388" customFormat="1" ht="12" customHeight="1">
      <c r="A7" s="14" t="s">
        <v>103</v>
      </c>
      <c r="B7" s="389" t="s">
        <v>243</v>
      </c>
      <c r="C7" s="284">
        <v>185877626</v>
      </c>
      <c r="D7" s="706">
        <v>968248</v>
      </c>
      <c r="E7" s="796">
        <f t="shared" ref="E7:E12" si="0">SUM(C7:D7)</f>
        <v>186845874</v>
      </c>
      <c r="F7" s="706"/>
      <c r="G7" s="796">
        <f>SUM(E7+F7)</f>
        <v>186845874</v>
      </c>
    </row>
    <row r="8" spans="1:7" s="388" customFormat="1" ht="12" customHeight="1">
      <c r="A8" s="13" t="s">
        <v>104</v>
      </c>
      <c r="B8" s="390" t="s">
        <v>244</v>
      </c>
      <c r="C8" s="283">
        <v>387599564</v>
      </c>
      <c r="D8" s="707"/>
      <c r="E8" s="796">
        <f t="shared" si="0"/>
        <v>387599564</v>
      </c>
      <c r="F8" s="707">
        <v>9923327</v>
      </c>
      <c r="G8" s="796">
        <f t="shared" ref="G8:G12" si="1">SUM(E8+F8)</f>
        <v>397522891</v>
      </c>
    </row>
    <row r="9" spans="1:7" s="388" customFormat="1" ht="12" customHeight="1">
      <c r="A9" s="13" t="s">
        <v>105</v>
      </c>
      <c r="B9" s="390" t="s">
        <v>245</v>
      </c>
      <c r="C9" s="283">
        <v>116517000</v>
      </c>
      <c r="D9" s="707"/>
      <c r="E9" s="796">
        <f t="shared" si="0"/>
        <v>116517000</v>
      </c>
      <c r="F9" s="707"/>
      <c r="G9" s="796">
        <f t="shared" si="1"/>
        <v>116517000</v>
      </c>
    </row>
    <row r="10" spans="1:7" s="388" customFormat="1" ht="12" customHeight="1">
      <c r="A10" s="13" t="s">
        <v>106</v>
      </c>
      <c r="B10" s="390" t="s">
        <v>246</v>
      </c>
      <c r="C10" s="283">
        <v>19172520</v>
      </c>
      <c r="D10" s="707"/>
      <c r="E10" s="796">
        <f t="shared" si="0"/>
        <v>19172520</v>
      </c>
      <c r="F10" s="707"/>
      <c r="G10" s="796">
        <f t="shared" si="1"/>
        <v>19172520</v>
      </c>
    </row>
    <row r="11" spans="1:7" s="388" customFormat="1" ht="12" customHeight="1">
      <c r="A11" s="13" t="s">
        <v>131</v>
      </c>
      <c r="B11" s="390" t="s">
        <v>522</v>
      </c>
      <c r="C11" s="283">
        <v>117813878</v>
      </c>
      <c r="D11" s="707"/>
      <c r="E11" s="796">
        <f t="shared" si="0"/>
        <v>117813878</v>
      </c>
      <c r="F11" s="707"/>
      <c r="G11" s="796">
        <f t="shared" si="1"/>
        <v>117813878</v>
      </c>
    </row>
    <row r="12" spans="1:7" s="388" customFormat="1" ht="12" customHeight="1" thickBot="1">
      <c r="A12" s="15" t="s">
        <v>107</v>
      </c>
      <c r="B12" s="391" t="s">
        <v>248</v>
      </c>
      <c r="C12" s="283"/>
      <c r="D12" s="708"/>
      <c r="E12" s="796">
        <f t="shared" si="0"/>
        <v>0</v>
      </c>
      <c r="F12" s="708"/>
      <c r="G12" s="796">
        <f t="shared" si="1"/>
        <v>0</v>
      </c>
    </row>
    <row r="13" spans="1:7" s="388" customFormat="1" ht="12" customHeight="1" thickBot="1">
      <c r="A13" s="19" t="s">
        <v>20</v>
      </c>
      <c r="B13" s="276" t="s">
        <v>249</v>
      </c>
      <c r="C13" s="281">
        <f>+C14+C15+C16+C17+C18+C19</f>
        <v>872822000</v>
      </c>
      <c r="D13" s="705">
        <f>+D14+D15+D16+D17+D18+D19</f>
        <v>0</v>
      </c>
      <c r="E13" s="795">
        <f>+E14+E15+E16+E17+E18+E19</f>
        <v>872822000</v>
      </c>
      <c r="F13" s="705">
        <f>+F14+F15+F16+F17+F18+F19</f>
        <v>24271811</v>
      </c>
      <c r="G13" s="795">
        <f>+G14+G15+G16+G17+G18+G19</f>
        <v>897093811</v>
      </c>
    </row>
    <row r="14" spans="1:7" s="388" customFormat="1" ht="12" customHeight="1">
      <c r="A14" s="14" t="s">
        <v>109</v>
      </c>
      <c r="B14" s="389" t="s">
        <v>523</v>
      </c>
      <c r="C14" s="284"/>
      <c r="D14" s="706"/>
      <c r="E14" s="796">
        <f t="shared" ref="E14:E19" si="2">SUM(C14:D14)</f>
        <v>0</v>
      </c>
      <c r="F14" s="706">
        <v>24271811</v>
      </c>
      <c r="G14" s="796">
        <f>SUM(E14+F14)</f>
        <v>24271811</v>
      </c>
    </row>
    <row r="15" spans="1:7" s="388" customFormat="1" ht="12" customHeight="1">
      <c r="A15" s="13" t="s">
        <v>110</v>
      </c>
      <c r="B15" s="390" t="s">
        <v>251</v>
      </c>
      <c r="C15" s="283"/>
      <c r="D15" s="707"/>
      <c r="E15" s="796">
        <f t="shared" si="2"/>
        <v>0</v>
      </c>
      <c r="F15" s="707"/>
      <c r="G15" s="796">
        <f t="shared" ref="G15:G19" si="3">SUM(E15+F15)</f>
        <v>0</v>
      </c>
    </row>
    <row r="16" spans="1:7" s="388" customFormat="1" ht="12" customHeight="1">
      <c r="A16" s="13" t="s">
        <v>111</v>
      </c>
      <c r="B16" s="390" t="s">
        <v>473</v>
      </c>
      <c r="C16" s="283"/>
      <c r="D16" s="707"/>
      <c r="E16" s="796">
        <f t="shared" si="2"/>
        <v>0</v>
      </c>
      <c r="F16" s="707"/>
      <c r="G16" s="796">
        <f t="shared" si="3"/>
        <v>0</v>
      </c>
    </row>
    <row r="17" spans="1:7" s="388" customFormat="1" ht="12" customHeight="1">
      <c r="A17" s="13" t="s">
        <v>112</v>
      </c>
      <c r="B17" s="390" t="s">
        <v>474</v>
      </c>
      <c r="C17" s="283"/>
      <c r="D17" s="707"/>
      <c r="E17" s="796">
        <f t="shared" si="2"/>
        <v>0</v>
      </c>
      <c r="F17" s="707"/>
      <c r="G17" s="796">
        <f t="shared" si="3"/>
        <v>0</v>
      </c>
    </row>
    <row r="18" spans="1:7" s="388" customFormat="1" ht="12" customHeight="1">
      <c r="A18" s="13" t="s">
        <v>113</v>
      </c>
      <c r="B18" s="390" t="s">
        <v>652</v>
      </c>
      <c r="C18" s="283">
        <v>868522000</v>
      </c>
      <c r="D18" s="707"/>
      <c r="E18" s="796">
        <f t="shared" si="2"/>
        <v>868522000</v>
      </c>
      <c r="F18" s="707"/>
      <c r="G18" s="796">
        <f t="shared" si="3"/>
        <v>868522000</v>
      </c>
    </row>
    <row r="19" spans="1:7" s="388" customFormat="1" ht="12" customHeight="1" thickBot="1">
      <c r="A19" s="15" t="s">
        <v>122</v>
      </c>
      <c r="B19" s="390" t="s">
        <v>740</v>
      </c>
      <c r="C19" s="285">
        <v>4300000</v>
      </c>
      <c r="D19" s="708"/>
      <c r="E19" s="796">
        <f t="shared" si="2"/>
        <v>4300000</v>
      </c>
      <c r="F19" s="708"/>
      <c r="G19" s="796">
        <f t="shared" si="3"/>
        <v>4300000</v>
      </c>
    </row>
    <row r="20" spans="1:7" s="388" customFormat="1" ht="12" customHeight="1" thickBot="1">
      <c r="A20" s="19" t="s">
        <v>21</v>
      </c>
      <c r="B20" s="20" t="s">
        <v>254</v>
      </c>
      <c r="C20" s="281">
        <f>+C21+C22+C23+C24+C25</f>
        <v>300000000</v>
      </c>
      <c r="D20" s="705">
        <f>+D21+D22+D23+D24+D25</f>
        <v>0</v>
      </c>
      <c r="E20" s="795">
        <f>+E21+E22+E23+E24+E25</f>
        <v>300000000</v>
      </c>
      <c r="F20" s="705">
        <f>+F21+F22+F23+F24+F25</f>
        <v>61966000</v>
      </c>
      <c r="G20" s="795">
        <f>+G21+G22+G23+G24+G25</f>
        <v>361966000</v>
      </c>
    </row>
    <row r="21" spans="1:7" s="388" customFormat="1" ht="12" customHeight="1">
      <c r="A21" s="14" t="s">
        <v>92</v>
      </c>
      <c r="B21" s="389" t="s">
        <v>255</v>
      </c>
      <c r="C21" s="284">
        <v>300000000</v>
      </c>
      <c r="D21" s="706"/>
      <c r="E21" s="796">
        <f t="shared" ref="E21:E26" si="4">SUM(C21:D21)</f>
        <v>300000000</v>
      </c>
      <c r="F21" s="706"/>
      <c r="G21" s="796">
        <f>SUM(E21+F21)</f>
        <v>300000000</v>
      </c>
    </row>
    <row r="22" spans="1:7" s="388" customFormat="1" ht="12" customHeight="1">
      <c r="A22" s="13" t="s">
        <v>93</v>
      </c>
      <c r="B22" s="390" t="s">
        <v>256</v>
      </c>
      <c r="C22" s="283"/>
      <c r="D22" s="707"/>
      <c r="E22" s="796">
        <f t="shared" si="4"/>
        <v>0</v>
      </c>
      <c r="F22" s="707"/>
      <c r="G22" s="796">
        <f t="shared" ref="G22:G25" si="5">SUM(E22+F22)</f>
        <v>0</v>
      </c>
    </row>
    <row r="23" spans="1:7" s="388" customFormat="1" ht="12" customHeight="1">
      <c r="A23" s="13" t="s">
        <v>94</v>
      </c>
      <c r="B23" s="390" t="s">
        <v>475</v>
      </c>
      <c r="C23" s="283"/>
      <c r="D23" s="707"/>
      <c r="E23" s="796">
        <f t="shared" si="4"/>
        <v>0</v>
      </c>
      <c r="F23" s="707"/>
      <c r="G23" s="796">
        <f t="shared" si="5"/>
        <v>0</v>
      </c>
    </row>
    <row r="24" spans="1:7" s="388" customFormat="1" ht="12" customHeight="1">
      <c r="A24" s="13" t="s">
        <v>95</v>
      </c>
      <c r="B24" s="390" t="s">
        <v>476</v>
      </c>
      <c r="C24" s="283"/>
      <c r="D24" s="707"/>
      <c r="E24" s="796">
        <f t="shared" si="4"/>
        <v>0</v>
      </c>
      <c r="F24" s="707"/>
      <c r="G24" s="796">
        <f t="shared" si="5"/>
        <v>0</v>
      </c>
    </row>
    <row r="25" spans="1:7" s="388" customFormat="1" ht="12" customHeight="1">
      <c r="A25" s="13" t="s">
        <v>153</v>
      </c>
      <c r="B25" s="390" t="s">
        <v>653</v>
      </c>
      <c r="C25" s="283"/>
      <c r="D25" s="707"/>
      <c r="E25" s="796">
        <f t="shared" si="4"/>
        <v>0</v>
      </c>
      <c r="F25" s="707">
        <v>61966000</v>
      </c>
      <c r="G25" s="796">
        <f t="shared" si="5"/>
        <v>61966000</v>
      </c>
    </row>
    <row r="26" spans="1:7" s="388" customFormat="1" ht="12" customHeight="1" thickBot="1">
      <c r="A26" s="15" t="s">
        <v>154</v>
      </c>
      <c r="B26" s="391" t="s">
        <v>258</v>
      </c>
      <c r="C26" s="285"/>
      <c r="D26" s="708"/>
      <c r="E26" s="796">
        <f t="shared" si="4"/>
        <v>0</v>
      </c>
      <c r="F26" s="708"/>
      <c r="G26" s="796">
        <f t="shared" ref="G26" si="6">SUM(E26:F26)</f>
        <v>0</v>
      </c>
    </row>
    <row r="27" spans="1:7" s="388" customFormat="1" ht="12" customHeight="1" thickBot="1">
      <c r="A27" s="19" t="s">
        <v>155</v>
      </c>
      <c r="B27" s="20" t="s">
        <v>259</v>
      </c>
      <c r="C27" s="287">
        <f>+C28+C35+C36+C38</f>
        <v>858800000</v>
      </c>
      <c r="D27" s="710">
        <f>+D28+D35+D36+D38</f>
        <v>0</v>
      </c>
      <c r="E27" s="797">
        <f>+E28+E35+E36+E38</f>
        <v>858800000</v>
      </c>
      <c r="F27" s="710">
        <f>+F28+F35+F36+F38</f>
        <v>0</v>
      </c>
      <c r="G27" s="797">
        <f>+G28+G35+G36+G38</f>
        <v>858800000</v>
      </c>
    </row>
    <row r="28" spans="1:7" s="388" customFormat="1" ht="12" customHeight="1">
      <c r="A28" s="14" t="s">
        <v>260</v>
      </c>
      <c r="B28" s="389" t="s">
        <v>266</v>
      </c>
      <c r="C28" s="650">
        <f>+C29+C32</f>
        <v>766800000</v>
      </c>
      <c r="D28" s="715"/>
      <c r="E28" s="796">
        <f>SUM(C28:D28)</f>
        <v>766800000</v>
      </c>
      <c r="F28" s="715"/>
      <c r="G28" s="796">
        <f>SUM(E28+F28)</f>
        <v>766800000</v>
      </c>
    </row>
    <row r="29" spans="1:7" s="388" customFormat="1" ht="12" customHeight="1">
      <c r="A29" s="13" t="s">
        <v>261</v>
      </c>
      <c r="B29" s="390" t="s">
        <v>267</v>
      </c>
      <c r="C29" s="651">
        <f>C30+C31</f>
        <v>125000000</v>
      </c>
      <c r="D29" s="716"/>
      <c r="E29" s="796">
        <f t="shared" ref="E29:E38" si="7">SUM(C29:D29)</f>
        <v>125000000</v>
      </c>
      <c r="F29" s="716"/>
      <c r="G29" s="796">
        <f t="shared" ref="G29:G38" si="8">SUM(E29+F29)</f>
        <v>125000000</v>
      </c>
    </row>
    <row r="30" spans="1:7" s="388" customFormat="1" ht="12" customHeight="1">
      <c r="A30" s="13"/>
      <c r="B30" s="390" t="s">
        <v>516</v>
      </c>
      <c r="C30" s="651">
        <v>75000000</v>
      </c>
      <c r="D30" s="716"/>
      <c r="E30" s="796">
        <f t="shared" si="7"/>
        <v>75000000</v>
      </c>
      <c r="F30" s="716"/>
      <c r="G30" s="796">
        <f t="shared" si="8"/>
        <v>75000000</v>
      </c>
    </row>
    <row r="31" spans="1:7" s="388" customFormat="1" ht="12" customHeight="1">
      <c r="A31" s="13"/>
      <c r="B31" s="390" t="s">
        <v>517</v>
      </c>
      <c r="C31" s="651">
        <v>50000000</v>
      </c>
      <c r="D31" s="716"/>
      <c r="E31" s="796">
        <f t="shared" si="7"/>
        <v>50000000</v>
      </c>
      <c r="F31" s="716"/>
      <c r="G31" s="796">
        <f t="shared" si="8"/>
        <v>50000000</v>
      </c>
    </row>
    <row r="32" spans="1:7" s="388" customFormat="1" ht="12" customHeight="1">
      <c r="A32" s="13" t="s">
        <v>262</v>
      </c>
      <c r="B32" s="390" t="s">
        <v>268</v>
      </c>
      <c r="C32" s="651">
        <f>C33+C34</f>
        <v>641800000</v>
      </c>
      <c r="D32" s="716"/>
      <c r="E32" s="796">
        <f t="shared" si="7"/>
        <v>641800000</v>
      </c>
      <c r="F32" s="716"/>
      <c r="G32" s="796">
        <f t="shared" si="8"/>
        <v>641800000</v>
      </c>
    </row>
    <row r="33" spans="1:7" s="388" customFormat="1" ht="12" customHeight="1">
      <c r="A33" s="13"/>
      <c r="B33" s="390" t="s">
        <v>518</v>
      </c>
      <c r="C33" s="651">
        <v>640000000</v>
      </c>
      <c r="D33" s="716"/>
      <c r="E33" s="796">
        <f t="shared" si="7"/>
        <v>640000000</v>
      </c>
      <c r="F33" s="716"/>
      <c r="G33" s="796">
        <f t="shared" si="8"/>
        <v>640000000</v>
      </c>
    </row>
    <row r="34" spans="1:7" s="388" customFormat="1" ht="12" customHeight="1">
      <c r="A34" s="13"/>
      <c r="B34" s="390" t="s">
        <v>519</v>
      </c>
      <c r="C34" s="651">
        <v>1800000</v>
      </c>
      <c r="D34" s="716"/>
      <c r="E34" s="796">
        <f t="shared" si="7"/>
        <v>1800000</v>
      </c>
      <c r="F34" s="716"/>
      <c r="G34" s="796">
        <f t="shared" si="8"/>
        <v>1800000</v>
      </c>
    </row>
    <row r="35" spans="1:7" s="388" customFormat="1" ht="12" customHeight="1">
      <c r="A35" s="13" t="s">
        <v>263</v>
      </c>
      <c r="B35" s="390" t="s">
        <v>269</v>
      </c>
      <c r="C35" s="651">
        <v>90000000</v>
      </c>
      <c r="D35" s="716"/>
      <c r="E35" s="796">
        <f t="shared" si="7"/>
        <v>90000000</v>
      </c>
      <c r="F35" s="716"/>
      <c r="G35" s="796">
        <f t="shared" si="8"/>
        <v>90000000</v>
      </c>
    </row>
    <row r="36" spans="1:7" s="388" customFormat="1" ht="12" customHeight="1">
      <c r="A36" s="13" t="s">
        <v>264</v>
      </c>
      <c r="B36" s="390" t="s">
        <v>270</v>
      </c>
      <c r="C36" s="651">
        <f>C37</f>
        <v>2000000</v>
      </c>
      <c r="D36" s="716"/>
      <c r="E36" s="796">
        <f t="shared" si="7"/>
        <v>2000000</v>
      </c>
      <c r="F36" s="716"/>
      <c r="G36" s="796">
        <f t="shared" si="8"/>
        <v>2000000</v>
      </c>
    </row>
    <row r="37" spans="1:7" s="388" customFormat="1" ht="12" customHeight="1">
      <c r="A37" s="15"/>
      <c r="B37" s="391" t="s">
        <v>520</v>
      </c>
      <c r="C37" s="652">
        <v>2000000</v>
      </c>
      <c r="D37" s="716"/>
      <c r="E37" s="796">
        <f t="shared" si="7"/>
        <v>2000000</v>
      </c>
      <c r="F37" s="716"/>
      <c r="G37" s="796">
        <f t="shared" si="8"/>
        <v>2000000</v>
      </c>
    </row>
    <row r="38" spans="1:7" s="388" customFormat="1" ht="12" customHeight="1" thickBot="1">
      <c r="A38" s="15" t="s">
        <v>265</v>
      </c>
      <c r="B38" s="391" t="s">
        <v>271</v>
      </c>
      <c r="C38" s="652"/>
      <c r="D38" s="717"/>
      <c r="E38" s="796">
        <f t="shared" si="7"/>
        <v>0</v>
      </c>
      <c r="F38" s="717"/>
      <c r="G38" s="796">
        <f t="shared" si="8"/>
        <v>0</v>
      </c>
    </row>
    <row r="39" spans="1:7" s="388" customFormat="1" ht="12" customHeight="1" thickBot="1">
      <c r="A39" s="19" t="s">
        <v>23</v>
      </c>
      <c r="B39" s="20" t="s">
        <v>272</v>
      </c>
      <c r="C39" s="281">
        <f>SUM(C40:C49)</f>
        <v>233265000</v>
      </c>
      <c r="D39" s="705">
        <f>SUM(D40:D49)</f>
        <v>120118000</v>
      </c>
      <c r="E39" s="795">
        <f>SUM(E40:E49)</f>
        <v>353383000</v>
      </c>
      <c r="F39" s="705">
        <f>SUM(F40:F49)</f>
        <v>16409000</v>
      </c>
      <c r="G39" s="795">
        <f>SUM(G40:G49)</f>
        <v>369792000</v>
      </c>
    </row>
    <row r="40" spans="1:7" s="388" customFormat="1" ht="12" customHeight="1">
      <c r="A40" s="14" t="s">
        <v>96</v>
      </c>
      <c r="B40" s="389" t="s">
        <v>275</v>
      </c>
      <c r="C40" s="284"/>
      <c r="D40" s="706"/>
      <c r="E40" s="796">
        <f>SUM(C40:D40)</f>
        <v>0</v>
      </c>
      <c r="F40" s="706"/>
      <c r="G40" s="796">
        <f>SUM(E40+F40)</f>
        <v>0</v>
      </c>
    </row>
    <row r="41" spans="1:7" s="388" customFormat="1" ht="12" customHeight="1">
      <c r="A41" s="13" t="s">
        <v>97</v>
      </c>
      <c r="B41" s="390" t="s">
        <v>276</v>
      </c>
      <c r="C41" s="283">
        <v>140308000</v>
      </c>
      <c r="D41" s="707"/>
      <c r="E41" s="796">
        <f t="shared" ref="E41:E49" si="9">SUM(C41:D41)</f>
        <v>140308000</v>
      </c>
      <c r="F41" s="707">
        <v>1430000</v>
      </c>
      <c r="G41" s="796">
        <f t="shared" ref="G41:G49" si="10">SUM(E41+F41)</f>
        <v>141738000</v>
      </c>
    </row>
    <row r="42" spans="1:7" s="388" customFormat="1" ht="12" customHeight="1">
      <c r="A42" s="13" t="s">
        <v>98</v>
      </c>
      <c r="B42" s="390" t="s">
        <v>277</v>
      </c>
      <c r="C42" s="283"/>
      <c r="D42" s="707">
        <v>17118000</v>
      </c>
      <c r="E42" s="796">
        <f t="shared" si="9"/>
        <v>17118000</v>
      </c>
      <c r="F42" s="707">
        <v>10000000</v>
      </c>
      <c r="G42" s="796">
        <f t="shared" si="10"/>
        <v>27118000</v>
      </c>
    </row>
    <row r="43" spans="1:7" s="388" customFormat="1" ht="12" customHeight="1">
      <c r="A43" s="13" t="s">
        <v>157</v>
      </c>
      <c r="B43" s="390" t="s">
        <v>278</v>
      </c>
      <c r="C43" s="283"/>
      <c r="D43" s="707"/>
      <c r="E43" s="796">
        <f t="shared" si="9"/>
        <v>0</v>
      </c>
      <c r="F43" s="707"/>
      <c r="G43" s="796">
        <f t="shared" si="10"/>
        <v>0</v>
      </c>
    </row>
    <row r="44" spans="1:7" s="388" customFormat="1" ht="12" customHeight="1">
      <c r="A44" s="13" t="s">
        <v>158</v>
      </c>
      <c r="B44" s="390" t="s">
        <v>741</v>
      </c>
      <c r="C44" s="283">
        <v>56802800</v>
      </c>
      <c r="D44" s="707"/>
      <c r="E44" s="796">
        <f t="shared" si="9"/>
        <v>56802800</v>
      </c>
      <c r="F44" s="707"/>
      <c r="G44" s="796">
        <f t="shared" si="10"/>
        <v>56802800</v>
      </c>
    </row>
    <row r="45" spans="1:7" s="388" customFormat="1" ht="12" customHeight="1">
      <c r="A45" s="13" t="s">
        <v>159</v>
      </c>
      <c r="B45" s="390" t="s">
        <v>280</v>
      </c>
      <c r="C45" s="283">
        <v>35154200</v>
      </c>
      <c r="D45" s="707"/>
      <c r="E45" s="796">
        <f t="shared" si="9"/>
        <v>35154200</v>
      </c>
      <c r="F45" s="707">
        <v>3500000</v>
      </c>
      <c r="G45" s="796">
        <f t="shared" si="10"/>
        <v>38654200</v>
      </c>
    </row>
    <row r="46" spans="1:7" s="388" customFormat="1" ht="12" customHeight="1">
      <c r="A46" s="13" t="s">
        <v>160</v>
      </c>
      <c r="B46" s="390" t="s">
        <v>281</v>
      </c>
      <c r="C46" s="283"/>
      <c r="D46" s="707"/>
      <c r="E46" s="796">
        <f t="shared" si="9"/>
        <v>0</v>
      </c>
      <c r="F46" s="707">
        <v>1479000</v>
      </c>
      <c r="G46" s="796">
        <f t="shared" si="10"/>
        <v>1479000</v>
      </c>
    </row>
    <row r="47" spans="1:7" s="388" customFormat="1" ht="12" customHeight="1">
      <c r="A47" s="13" t="s">
        <v>161</v>
      </c>
      <c r="B47" s="390" t="s">
        <v>282</v>
      </c>
      <c r="C47" s="283">
        <v>1000000</v>
      </c>
      <c r="D47" s="707"/>
      <c r="E47" s="796">
        <f t="shared" si="9"/>
        <v>1000000</v>
      </c>
      <c r="F47" s="707"/>
      <c r="G47" s="796">
        <f t="shared" si="10"/>
        <v>1000000</v>
      </c>
    </row>
    <row r="48" spans="1:7" s="388" customFormat="1" ht="12" customHeight="1">
      <c r="A48" s="13" t="s">
        <v>273</v>
      </c>
      <c r="B48" s="390" t="s">
        <v>283</v>
      </c>
      <c r="C48" s="286"/>
      <c r="D48" s="718"/>
      <c r="E48" s="796">
        <f t="shared" si="9"/>
        <v>0</v>
      </c>
      <c r="F48" s="718"/>
      <c r="G48" s="796">
        <f t="shared" si="10"/>
        <v>0</v>
      </c>
    </row>
    <row r="49" spans="1:7" s="388" customFormat="1" ht="12" customHeight="1" thickBot="1">
      <c r="A49" s="15" t="s">
        <v>274</v>
      </c>
      <c r="B49" s="391" t="s">
        <v>284</v>
      </c>
      <c r="C49" s="378"/>
      <c r="D49" s="719">
        <v>103000000</v>
      </c>
      <c r="E49" s="796">
        <f t="shared" si="9"/>
        <v>103000000</v>
      </c>
      <c r="F49" s="719"/>
      <c r="G49" s="796">
        <f t="shared" si="10"/>
        <v>103000000</v>
      </c>
    </row>
    <row r="50" spans="1:7" s="388" customFormat="1" ht="12" customHeight="1" thickBot="1">
      <c r="A50" s="19" t="s">
        <v>24</v>
      </c>
      <c r="B50" s="20" t="s">
        <v>285</v>
      </c>
      <c r="C50" s="281">
        <f>SUM(C51:C55)</f>
        <v>40000000</v>
      </c>
      <c r="D50" s="705">
        <f>SUM(D51:D55)</f>
        <v>0</v>
      </c>
      <c r="E50" s="795">
        <f>SUM(E51:E55)</f>
        <v>40000000</v>
      </c>
      <c r="F50" s="705">
        <f>SUM(F51:F55)</f>
        <v>0</v>
      </c>
      <c r="G50" s="795">
        <f>SUM(G51:G55)</f>
        <v>40000000</v>
      </c>
    </row>
    <row r="51" spans="1:7" s="388" customFormat="1" ht="12" customHeight="1">
      <c r="A51" s="14" t="s">
        <v>99</v>
      </c>
      <c r="B51" s="389" t="s">
        <v>289</v>
      </c>
      <c r="C51" s="435"/>
      <c r="D51" s="720"/>
      <c r="E51" s="796">
        <f>SUM(C51:D51)</f>
        <v>0</v>
      </c>
      <c r="F51" s="720"/>
      <c r="G51" s="796">
        <f>SUM(E51+F51)</f>
        <v>0</v>
      </c>
    </row>
    <row r="52" spans="1:7" s="388" customFormat="1" ht="12" customHeight="1">
      <c r="A52" s="13" t="s">
        <v>100</v>
      </c>
      <c r="B52" s="390" t="s">
        <v>290</v>
      </c>
      <c r="C52" s="286">
        <v>40000000</v>
      </c>
      <c r="D52" s="718"/>
      <c r="E52" s="796">
        <f>SUM(C52:D52)</f>
        <v>40000000</v>
      </c>
      <c r="F52" s="718"/>
      <c r="G52" s="796">
        <f t="shared" ref="G52:G55" si="11">SUM(E52+F52)</f>
        <v>40000000</v>
      </c>
    </row>
    <row r="53" spans="1:7" s="388" customFormat="1" ht="12" customHeight="1">
      <c r="A53" s="13" t="s">
        <v>286</v>
      </c>
      <c r="B53" s="390" t="s">
        <v>291</v>
      </c>
      <c r="C53" s="286"/>
      <c r="D53" s="718"/>
      <c r="E53" s="796">
        <f>SUM(C53:D53)</f>
        <v>0</v>
      </c>
      <c r="F53" s="718"/>
      <c r="G53" s="796">
        <f t="shared" si="11"/>
        <v>0</v>
      </c>
    </row>
    <row r="54" spans="1:7" s="388" customFormat="1" ht="12" customHeight="1">
      <c r="A54" s="13" t="s">
        <v>287</v>
      </c>
      <c r="B54" s="390" t="s">
        <v>292</v>
      </c>
      <c r="C54" s="286"/>
      <c r="D54" s="718"/>
      <c r="E54" s="796">
        <f>SUM(C54:D54)</f>
        <v>0</v>
      </c>
      <c r="F54" s="718"/>
      <c r="G54" s="796">
        <f t="shared" si="11"/>
        <v>0</v>
      </c>
    </row>
    <row r="55" spans="1:7" s="388" customFormat="1" ht="12" customHeight="1" thickBot="1">
      <c r="A55" s="15" t="s">
        <v>288</v>
      </c>
      <c r="B55" s="391" t="s">
        <v>293</v>
      </c>
      <c r="C55" s="378"/>
      <c r="D55" s="719"/>
      <c r="E55" s="796">
        <f>SUM(C55:D55)</f>
        <v>0</v>
      </c>
      <c r="F55" s="719"/>
      <c r="G55" s="796">
        <f t="shared" si="11"/>
        <v>0</v>
      </c>
    </row>
    <row r="56" spans="1:7" s="388" customFormat="1" ht="12" customHeight="1" thickBot="1">
      <c r="A56" s="19" t="s">
        <v>162</v>
      </c>
      <c r="B56" s="683" t="s">
        <v>775</v>
      </c>
      <c r="C56" s="281">
        <f>SUM(C57:C59)</f>
        <v>8000000</v>
      </c>
      <c r="D56" s="705">
        <f>SUM(D57:D59)</f>
        <v>0</v>
      </c>
      <c r="E56" s="795">
        <f>SUM(E57:E59)</f>
        <v>8000000</v>
      </c>
      <c r="F56" s="705">
        <f>SUM(F57:F59)</f>
        <v>0</v>
      </c>
      <c r="G56" s="795">
        <f>SUM(G57:G59)</f>
        <v>8000000</v>
      </c>
    </row>
    <row r="57" spans="1:7" s="388" customFormat="1" ht="12" customHeight="1">
      <c r="A57" s="14" t="s">
        <v>101</v>
      </c>
      <c r="B57" s="389" t="s">
        <v>295</v>
      </c>
      <c r="C57" s="284"/>
      <c r="D57" s="706"/>
      <c r="E57" s="796">
        <f>SUM(C57:D57)</f>
        <v>0</v>
      </c>
      <c r="F57" s="706"/>
      <c r="G57" s="796">
        <f>SUM(E57+F57)</f>
        <v>0</v>
      </c>
    </row>
    <row r="58" spans="1:7" s="388" customFormat="1" ht="12" customHeight="1">
      <c r="A58" s="13" t="s">
        <v>102</v>
      </c>
      <c r="B58" s="390" t="s">
        <v>477</v>
      </c>
      <c r="C58" s="283"/>
      <c r="D58" s="707"/>
      <c r="E58" s="796">
        <f>SUM(C58:D58)</f>
        <v>0</v>
      </c>
      <c r="F58" s="707"/>
      <c r="G58" s="796">
        <f t="shared" ref="G58:G59" si="12">SUM(E58+F58)</f>
        <v>0</v>
      </c>
    </row>
    <row r="59" spans="1:7" s="388" customFormat="1" ht="12" customHeight="1">
      <c r="A59" s="13" t="s">
        <v>299</v>
      </c>
      <c r="B59" s="390" t="s">
        <v>723</v>
      </c>
      <c r="C59" s="283">
        <v>8000000</v>
      </c>
      <c r="D59" s="707"/>
      <c r="E59" s="796">
        <f>SUM(C59:D59)</f>
        <v>8000000</v>
      </c>
      <c r="F59" s="707"/>
      <c r="G59" s="796">
        <f t="shared" si="12"/>
        <v>8000000</v>
      </c>
    </row>
    <row r="60" spans="1:7" s="388" customFormat="1" ht="12" customHeight="1" thickBot="1">
      <c r="A60" s="15" t="s">
        <v>300</v>
      </c>
      <c r="B60" s="391" t="s">
        <v>298</v>
      </c>
      <c r="C60" s="285"/>
      <c r="D60" s="708"/>
      <c r="E60" s="796">
        <f>SUM(C60:D60)</f>
        <v>0</v>
      </c>
      <c r="F60" s="708"/>
      <c r="G60" s="796"/>
    </row>
    <row r="61" spans="1:7" s="388" customFormat="1" ht="12" customHeight="1" thickBot="1">
      <c r="A61" s="19" t="s">
        <v>26</v>
      </c>
      <c r="B61" s="276" t="s">
        <v>301</v>
      </c>
      <c r="C61" s="281">
        <f>SUM(C62:C64)</f>
        <v>0</v>
      </c>
      <c r="D61" s="705">
        <f>SUM(D62:D64)</f>
        <v>0</v>
      </c>
      <c r="E61" s="795">
        <f>SUM(E62:E64)</f>
        <v>0</v>
      </c>
      <c r="F61" s="705">
        <f>SUM(F62:F64)</f>
        <v>0</v>
      </c>
      <c r="G61" s="795">
        <f>SUM(G62:G64)</f>
        <v>0</v>
      </c>
    </row>
    <row r="62" spans="1:7" s="388" customFormat="1" ht="12" customHeight="1">
      <c r="A62" s="14" t="s">
        <v>163</v>
      </c>
      <c r="B62" s="389" t="s">
        <v>303</v>
      </c>
      <c r="C62" s="286"/>
      <c r="D62" s="720"/>
      <c r="E62" s="796">
        <f>SUM(C62:D62)</f>
        <v>0</v>
      </c>
      <c r="F62" s="720"/>
      <c r="G62" s="796">
        <f>SUM(E62+F62)</f>
        <v>0</v>
      </c>
    </row>
    <row r="63" spans="1:7" s="388" customFormat="1" ht="12" customHeight="1">
      <c r="A63" s="13" t="s">
        <v>164</v>
      </c>
      <c r="B63" s="390" t="s">
        <v>478</v>
      </c>
      <c r="C63" s="286"/>
      <c r="D63" s="718"/>
      <c r="E63" s="796">
        <f>SUM(C63:D63)</f>
        <v>0</v>
      </c>
      <c r="F63" s="718"/>
      <c r="G63" s="796">
        <f t="shared" ref="G63:G64" si="13">SUM(E63+F63)</f>
        <v>0</v>
      </c>
    </row>
    <row r="64" spans="1:7" s="388" customFormat="1" ht="12" customHeight="1">
      <c r="A64" s="13" t="s">
        <v>217</v>
      </c>
      <c r="B64" s="390" t="s">
        <v>304</v>
      </c>
      <c r="C64" s="286"/>
      <c r="D64" s="718"/>
      <c r="E64" s="796">
        <f>SUM(C64:D64)</f>
        <v>0</v>
      </c>
      <c r="F64" s="718"/>
      <c r="G64" s="796">
        <f t="shared" si="13"/>
        <v>0</v>
      </c>
    </row>
    <row r="65" spans="1:7" s="388" customFormat="1" ht="12" customHeight="1" thickBot="1">
      <c r="A65" s="15" t="s">
        <v>302</v>
      </c>
      <c r="B65" s="391" t="s">
        <v>654</v>
      </c>
      <c r="C65" s="286"/>
      <c r="D65" s="719"/>
      <c r="E65" s="796">
        <f>SUM(C65:D65)</f>
        <v>0</v>
      </c>
      <c r="F65" s="719"/>
      <c r="G65" s="796">
        <f>SUM(E65:F65)</f>
        <v>0</v>
      </c>
    </row>
    <row r="66" spans="1:7" s="388" customFormat="1" ht="12" customHeight="1" thickBot="1">
      <c r="A66" s="19" t="s">
        <v>27</v>
      </c>
      <c r="B66" s="20" t="s">
        <v>306</v>
      </c>
      <c r="C66" s="287">
        <f>+C6+C13+C20+C27+C39+C50+C56+C61</f>
        <v>3139867588</v>
      </c>
      <c r="D66" s="710">
        <f>+D6+D13+D20+D27+D39+D50+D56+D61</f>
        <v>121086248</v>
      </c>
      <c r="E66" s="797">
        <f>+E6+E13+E20+E27+E39+E50+E56+E61</f>
        <v>3260953836</v>
      </c>
      <c r="F66" s="710">
        <f>+F6+F13+F20+F27+F39+F50+F56+F61</f>
        <v>112570138</v>
      </c>
      <c r="G66" s="797">
        <f>+G6+G13+G20+G27+G39+G50+G56+G61</f>
        <v>3373523974</v>
      </c>
    </row>
    <row r="67" spans="1:7" s="388" customFormat="1" ht="12" customHeight="1" thickBot="1">
      <c r="A67" s="392" t="s">
        <v>307</v>
      </c>
      <c r="B67" s="276" t="s">
        <v>308</v>
      </c>
      <c r="C67" s="281">
        <f>SUM(C68:C70)</f>
        <v>0</v>
      </c>
      <c r="D67" s="721"/>
      <c r="E67" s="794"/>
      <c r="F67" s="721"/>
      <c r="G67" s="794"/>
    </row>
    <row r="68" spans="1:7" s="388" customFormat="1" ht="12" customHeight="1">
      <c r="A68" s="14" t="s">
        <v>341</v>
      </c>
      <c r="B68" s="389" t="s">
        <v>309</v>
      </c>
      <c r="C68" s="286"/>
      <c r="D68" s="720"/>
      <c r="E68" s="796">
        <f>SUM(C68:D68)</f>
        <v>0</v>
      </c>
      <c r="F68" s="720"/>
      <c r="G68" s="796">
        <f>SUM(E68:F68)</f>
        <v>0</v>
      </c>
    </row>
    <row r="69" spans="1:7" s="388" customFormat="1" ht="12" customHeight="1">
      <c r="A69" s="13" t="s">
        <v>350</v>
      </c>
      <c r="B69" s="390" t="s">
        <v>310</v>
      </c>
      <c r="C69" s="286"/>
      <c r="D69" s="718"/>
      <c r="E69" s="796">
        <f>SUM(C69:D69)</f>
        <v>0</v>
      </c>
      <c r="F69" s="718"/>
      <c r="G69" s="796">
        <f>SUM(E69:F69)</f>
        <v>0</v>
      </c>
    </row>
    <row r="70" spans="1:7" s="388" customFormat="1" ht="12" customHeight="1" thickBot="1">
      <c r="A70" s="15" t="s">
        <v>351</v>
      </c>
      <c r="B70" s="393" t="s">
        <v>311</v>
      </c>
      <c r="C70" s="286"/>
      <c r="D70" s="719"/>
      <c r="E70" s="796">
        <f>SUM(C70:D70)</f>
        <v>0</v>
      </c>
      <c r="F70" s="719"/>
      <c r="G70" s="796">
        <f>SUM(E70:F70)</f>
        <v>0</v>
      </c>
    </row>
    <row r="71" spans="1:7" s="388" customFormat="1" ht="12" customHeight="1" thickBot="1">
      <c r="A71" s="392" t="s">
        <v>312</v>
      </c>
      <c r="B71" s="276" t="s">
        <v>313</v>
      </c>
      <c r="C71" s="281">
        <f>SUM(C72:C75)</f>
        <v>0</v>
      </c>
      <c r="D71" s="705">
        <f>SUM(D72:D75)</f>
        <v>0</v>
      </c>
      <c r="E71" s="795">
        <f>SUM(E72:E75)</f>
        <v>0</v>
      </c>
      <c r="F71" s="705">
        <f>SUM(F72:F75)</f>
        <v>0</v>
      </c>
      <c r="G71" s="795">
        <f>SUM(G72:G75)</f>
        <v>0</v>
      </c>
    </row>
    <row r="72" spans="1:7" s="388" customFormat="1" ht="12" customHeight="1">
      <c r="A72" s="14" t="s">
        <v>132</v>
      </c>
      <c r="B72" s="389" t="s">
        <v>314</v>
      </c>
      <c r="C72" s="286"/>
      <c r="D72" s="720"/>
      <c r="E72" s="796">
        <f>SUM(C72:D72)</f>
        <v>0</v>
      </c>
      <c r="F72" s="720"/>
      <c r="G72" s="796">
        <f>SUM(E72:F72)</f>
        <v>0</v>
      </c>
    </row>
    <row r="73" spans="1:7" s="388" customFormat="1" ht="12" customHeight="1">
      <c r="A73" s="13" t="s">
        <v>133</v>
      </c>
      <c r="B73" s="390" t="s">
        <v>315</v>
      </c>
      <c r="C73" s="286"/>
      <c r="D73" s="718"/>
      <c r="E73" s="796">
        <f>SUM(C73:D73)</f>
        <v>0</v>
      </c>
      <c r="F73" s="718"/>
      <c r="G73" s="796">
        <f>SUM(E73:F73)</f>
        <v>0</v>
      </c>
    </row>
    <row r="74" spans="1:7" s="388" customFormat="1" ht="12" customHeight="1">
      <c r="A74" s="13" t="s">
        <v>342</v>
      </c>
      <c r="B74" s="390" t="s">
        <v>316</v>
      </c>
      <c r="C74" s="286"/>
      <c r="D74" s="718"/>
      <c r="E74" s="796">
        <f>SUM(C74:D74)</f>
        <v>0</v>
      </c>
      <c r="F74" s="718"/>
      <c r="G74" s="796">
        <f>SUM(E74:F74)</f>
        <v>0</v>
      </c>
    </row>
    <row r="75" spans="1:7" s="388" customFormat="1" ht="12" customHeight="1" thickBot="1">
      <c r="A75" s="15" t="s">
        <v>343</v>
      </c>
      <c r="B75" s="391" t="s">
        <v>317</v>
      </c>
      <c r="C75" s="286"/>
      <c r="D75" s="719"/>
      <c r="E75" s="796">
        <f>SUM(C75:D75)</f>
        <v>0</v>
      </c>
      <c r="F75" s="719"/>
      <c r="G75" s="796">
        <f>SUM(E75:F75)</f>
        <v>0</v>
      </c>
    </row>
    <row r="76" spans="1:7" s="388" customFormat="1" ht="12" customHeight="1" thickBot="1">
      <c r="A76" s="392" t="s">
        <v>318</v>
      </c>
      <c r="B76" s="276" t="s">
        <v>319</v>
      </c>
      <c r="C76" s="281">
        <f>SUM(C77:C78)</f>
        <v>200000000</v>
      </c>
      <c r="D76" s="705">
        <f>SUM(D77:D78)</f>
        <v>0</v>
      </c>
      <c r="E76" s="795">
        <f>SUM(E77:E78)</f>
        <v>200000000</v>
      </c>
      <c r="F76" s="705">
        <f>SUM(F77:F78)</f>
        <v>342952214</v>
      </c>
      <c r="G76" s="795">
        <f>SUM(G77:G78)</f>
        <v>542952214</v>
      </c>
    </row>
    <row r="77" spans="1:7" s="388" customFormat="1" ht="12" customHeight="1">
      <c r="A77" s="14" t="s">
        <v>344</v>
      </c>
      <c r="B77" s="389" t="s">
        <v>320</v>
      </c>
      <c r="C77" s="286">
        <v>200000000</v>
      </c>
      <c r="D77" s="720"/>
      <c r="E77" s="796">
        <f>SUM(C77:D77)</f>
        <v>200000000</v>
      </c>
      <c r="F77" s="720">
        <f>292578549+27955433+75461+1360782+213393+795177+13457112+6516307</f>
        <v>342952214</v>
      </c>
      <c r="G77" s="796">
        <f>SUM(E77+F77)</f>
        <v>542952214</v>
      </c>
    </row>
    <row r="78" spans="1:7" s="388" customFormat="1" ht="12" customHeight="1" thickBot="1">
      <c r="A78" s="15" t="s">
        <v>345</v>
      </c>
      <c r="B78" s="391" t="s">
        <v>321</v>
      </c>
      <c r="C78" s="286"/>
      <c r="D78" s="719"/>
      <c r="E78" s="796">
        <f>SUM(C78:D78)</f>
        <v>0</v>
      </c>
      <c r="F78" s="719"/>
      <c r="G78" s="796">
        <f>SUM(E78+F78)</f>
        <v>0</v>
      </c>
    </row>
    <row r="79" spans="1:7" s="388" customFormat="1" ht="12" customHeight="1" thickBot="1">
      <c r="A79" s="392" t="s">
        <v>322</v>
      </c>
      <c r="B79" s="276" t="s">
        <v>323</v>
      </c>
      <c r="C79" s="281">
        <f>SUM(C80:C82)</f>
        <v>0</v>
      </c>
      <c r="D79" s="705">
        <f>SUM(D80:D82)</f>
        <v>0</v>
      </c>
      <c r="E79" s="795">
        <f>SUM(E80:E82)</f>
        <v>0</v>
      </c>
      <c r="F79" s="705">
        <f>SUM(F80:F82)</f>
        <v>0</v>
      </c>
      <c r="G79" s="795">
        <f>SUM(G80:G82)</f>
        <v>0</v>
      </c>
    </row>
    <row r="80" spans="1:7" s="388" customFormat="1" ht="12" customHeight="1">
      <c r="A80" s="14" t="s">
        <v>346</v>
      </c>
      <c r="B80" s="389" t="s">
        <v>324</v>
      </c>
      <c r="C80" s="286"/>
      <c r="D80" s="720"/>
      <c r="E80" s="796">
        <f>SUM(C80:D80)</f>
        <v>0</v>
      </c>
      <c r="F80" s="720"/>
      <c r="G80" s="796">
        <f>SUM(E80+F80)</f>
        <v>0</v>
      </c>
    </row>
    <row r="81" spans="1:7" s="388" customFormat="1" ht="12" customHeight="1">
      <c r="A81" s="13" t="s">
        <v>347</v>
      </c>
      <c r="B81" s="390" t="s">
        <v>325</v>
      </c>
      <c r="C81" s="286"/>
      <c r="D81" s="718"/>
      <c r="E81" s="796">
        <f>SUM(C81:D81)</f>
        <v>0</v>
      </c>
      <c r="F81" s="718"/>
      <c r="G81" s="796">
        <f t="shared" ref="G81:G82" si="14">SUM(E81+F81)</f>
        <v>0</v>
      </c>
    </row>
    <row r="82" spans="1:7" s="388" customFormat="1" ht="12" customHeight="1" thickBot="1">
      <c r="A82" s="15" t="s">
        <v>348</v>
      </c>
      <c r="B82" s="391" t="s">
        <v>326</v>
      </c>
      <c r="C82" s="286"/>
      <c r="D82" s="719"/>
      <c r="E82" s="796">
        <f>SUM(C82:D82)</f>
        <v>0</v>
      </c>
      <c r="F82" s="719"/>
      <c r="G82" s="796">
        <f t="shared" si="14"/>
        <v>0</v>
      </c>
    </row>
    <row r="83" spans="1:7" s="388" customFormat="1" ht="12" customHeight="1" thickBot="1">
      <c r="A83" s="392" t="s">
        <v>327</v>
      </c>
      <c r="B83" s="276" t="s">
        <v>349</v>
      </c>
      <c r="C83" s="281">
        <f>SUM(C84:C87)</f>
        <v>0</v>
      </c>
      <c r="D83" s="705">
        <f>SUM(D84:D87)</f>
        <v>0</v>
      </c>
      <c r="E83" s="795">
        <f>SUM(E84:E87)</f>
        <v>0</v>
      </c>
      <c r="F83" s="705">
        <f>SUM(F84:F87)</f>
        <v>0</v>
      </c>
      <c r="G83" s="795">
        <f>SUM(G84:G87)</f>
        <v>0</v>
      </c>
    </row>
    <row r="84" spans="1:7" s="388" customFormat="1" ht="12" customHeight="1">
      <c r="A84" s="394" t="s">
        <v>328</v>
      </c>
      <c r="B84" s="389" t="s">
        <v>329</v>
      </c>
      <c r="C84" s="286"/>
      <c r="D84" s="720"/>
      <c r="E84" s="796">
        <f>SUM(C84:D84)</f>
        <v>0</v>
      </c>
      <c r="F84" s="720"/>
      <c r="G84" s="796">
        <f>SUM(E84:F84)</f>
        <v>0</v>
      </c>
    </row>
    <row r="85" spans="1:7" s="388" customFormat="1" ht="12" customHeight="1">
      <c r="A85" s="395" t="s">
        <v>330</v>
      </c>
      <c r="B85" s="390" t="s">
        <v>331</v>
      </c>
      <c r="C85" s="286"/>
      <c r="D85" s="718"/>
      <c r="E85" s="796">
        <f>SUM(C85:D85)</f>
        <v>0</v>
      </c>
      <c r="F85" s="718"/>
      <c r="G85" s="796">
        <f>SUM(E85:F85)</f>
        <v>0</v>
      </c>
    </row>
    <row r="86" spans="1:7" s="388" customFormat="1" ht="12" customHeight="1">
      <c r="A86" s="395" t="s">
        <v>332</v>
      </c>
      <c r="B86" s="390" t="s">
        <v>333</v>
      </c>
      <c r="C86" s="286"/>
      <c r="D86" s="718"/>
      <c r="E86" s="796">
        <f>SUM(C86:D86)</f>
        <v>0</v>
      </c>
      <c r="F86" s="718"/>
      <c r="G86" s="796">
        <f>SUM(E86:F86)</f>
        <v>0</v>
      </c>
    </row>
    <row r="87" spans="1:7" s="388" customFormat="1" ht="12" customHeight="1" thickBot="1">
      <c r="A87" s="396" t="s">
        <v>334</v>
      </c>
      <c r="B87" s="391" t="s">
        <v>335</v>
      </c>
      <c r="C87" s="286"/>
      <c r="D87" s="719"/>
      <c r="E87" s="796">
        <f>SUM(C87:D87)</f>
        <v>0</v>
      </c>
      <c r="F87" s="719"/>
      <c r="G87" s="796">
        <f>SUM(E87:F87)</f>
        <v>0</v>
      </c>
    </row>
    <row r="88" spans="1:7" s="388" customFormat="1" ht="13.5" customHeight="1" thickBot="1">
      <c r="A88" s="392" t="s">
        <v>336</v>
      </c>
      <c r="B88" s="276" t="s">
        <v>337</v>
      </c>
      <c r="C88" s="436"/>
      <c r="D88" s="722"/>
      <c r="E88" s="794"/>
      <c r="F88" s="722"/>
      <c r="G88" s="794"/>
    </row>
    <row r="89" spans="1:7" s="388" customFormat="1" ht="15.75" customHeight="1" thickBot="1">
      <c r="A89" s="392" t="s">
        <v>338</v>
      </c>
      <c r="B89" s="397" t="s">
        <v>339</v>
      </c>
      <c r="C89" s="287">
        <f>+C67+C71+C76+C79+C83+C88</f>
        <v>200000000</v>
      </c>
      <c r="D89" s="710">
        <f>+D67+D71+D76+D79+D83+D88</f>
        <v>0</v>
      </c>
      <c r="E89" s="797">
        <f>+E67+E71+E76+E79+E83+E88</f>
        <v>200000000</v>
      </c>
      <c r="F89" s="710">
        <f>+F67+F71+F76+F79+F83+F88</f>
        <v>342952214</v>
      </c>
      <c r="G89" s="797">
        <f>+G67+G71+G76+G79+G83+G88</f>
        <v>542952214</v>
      </c>
    </row>
    <row r="90" spans="1:7" s="388" customFormat="1" ht="16.5" customHeight="1" thickBot="1">
      <c r="A90" s="398" t="s">
        <v>352</v>
      </c>
      <c r="B90" s="399" t="s">
        <v>340</v>
      </c>
      <c r="C90" s="287">
        <f>+C66+C89</f>
        <v>3339867588</v>
      </c>
      <c r="D90" s="710">
        <f>+D66+D89</f>
        <v>121086248</v>
      </c>
      <c r="E90" s="797">
        <f>+E66+E89</f>
        <v>3460953836</v>
      </c>
      <c r="F90" s="710">
        <f>+F66+F89</f>
        <v>455522352</v>
      </c>
      <c r="G90" s="797">
        <f>+G66+G89</f>
        <v>3916476188</v>
      </c>
    </row>
    <row r="91" spans="1:7" s="388" customFormat="1" ht="83.25" customHeight="1">
      <c r="A91" s="4"/>
      <c r="B91" s="5"/>
      <c r="C91" s="288"/>
      <c r="D91" s="288"/>
      <c r="E91" s="798"/>
      <c r="F91" s="288"/>
      <c r="G91" s="798"/>
    </row>
    <row r="92" spans="1:7" ht="16.5" customHeight="1">
      <c r="A92" s="1108" t="s">
        <v>47</v>
      </c>
      <c r="B92" s="1108"/>
      <c r="C92" s="1108"/>
      <c r="D92" s="595"/>
      <c r="F92" s="595"/>
    </row>
    <row r="93" spans="1:7" s="400" customFormat="1" ht="16.5" customHeight="1" thickBot="1">
      <c r="A93" s="1110" t="s">
        <v>135</v>
      </c>
      <c r="B93" s="1110"/>
      <c r="D93" s="657"/>
      <c r="E93" s="701" t="s">
        <v>795</v>
      </c>
      <c r="F93" s="657"/>
      <c r="G93" s="701" t="s">
        <v>795</v>
      </c>
    </row>
    <row r="94" spans="1:7" ht="38.1" customHeight="1" thickBot="1">
      <c r="A94" s="22" t="s">
        <v>73</v>
      </c>
      <c r="B94" s="23" t="s">
        <v>48</v>
      </c>
      <c r="C94" s="38" t="s">
        <v>738</v>
      </c>
      <c r="D94" s="703" t="s">
        <v>833</v>
      </c>
      <c r="E94" s="799" t="s">
        <v>834</v>
      </c>
      <c r="F94" s="703" t="s">
        <v>838</v>
      </c>
      <c r="G94" s="799" t="s">
        <v>834</v>
      </c>
    </row>
    <row r="95" spans="1:7" s="387" customFormat="1" ht="12" customHeight="1" thickBot="1">
      <c r="A95" s="31">
        <v>1</v>
      </c>
      <c r="B95" s="32">
        <v>2</v>
      </c>
      <c r="C95" s="33">
        <v>3</v>
      </c>
      <c r="D95" s="704"/>
      <c r="E95" s="800"/>
      <c r="F95" s="704"/>
      <c r="G95" s="800"/>
    </row>
    <row r="96" spans="1:7" ht="12" customHeight="1" thickBot="1">
      <c r="A96" s="21" t="s">
        <v>19</v>
      </c>
      <c r="B96" s="30" t="s">
        <v>355</v>
      </c>
      <c r="C96" s="280">
        <f>SUM(C97:C101)</f>
        <v>2534269884</v>
      </c>
      <c r="D96" s="705">
        <f>SUM(D97:D101)</f>
        <v>120423841</v>
      </c>
      <c r="E96" s="795">
        <f>SUM(E97:E101)</f>
        <v>2654693725</v>
      </c>
      <c r="F96" s="705">
        <f>SUM(F97:F101)</f>
        <v>74840843</v>
      </c>
      <c r="G96" s="795">
        <f>SUM(G97:G101)</f>
        <v>2729534568</v>
      </c>
    </row>
    <row r="97" spans="1:7" ht="12" customHeight="1">
      <c r="A97" s="16" t="s">
        <v>103</v>
      </c>
      <c r="B97" s="9" t="s">
        <v>49</v>
      </c>
      <c r="C97" s="282">
        <v>947472385</v>
      </c>
      <c r="D97" s="706">
        <v>83400810</v>
      </c>
      <c r="E97" s="801">
        <f>SUM(C97:D97)</f>
        <v>1030873195</v>
      </c>
      <c r="F97" s="706">
        <f>3551388+10470000+400+13800+1219500+584799+1264900+254500</f>
        <v>17359287</v>
      </c>
      <c r="G97" s="801">
        <f>SUM(E97:F97)</f>
        <v>1048232482</v>
      </c>
    </row>
    <row r="98" spans="1:7" ht="12" customHeight="1">
      <c r="A98" s="13" t="s">
        <v>104</v>
      </c>
      <c r="B98" s="7" t="s">
        <v>165</v>
      </c>
      <c r="C98" s="283">
        <v>214182060</v>
      </c>
      <c r="D98" s="707">
        <v>19599190</v>
      </c>
      <c r="E98" s="801">
        <f>SUM(C98:D98)</f>
        <v>233781250</v>
      </c>
      <c r="F98" s="707">
        <f>850575+2309470+108+3511+327365+130926+293438+60760</f>
        <v>3976153</v>
      </c>
      <c r="G98" s="801">
        <f>SUM(E98:F98)</f>
        <v>237757403</v>
      </c>
    </row>
    <row r="99" spans="1:7" ht="12" customHeight="1">
      <c r="A99" s="13" t="s">
        <v>105</v>
      </c>
      <c r="B99" s="7" t="s">
        <v>129</v>
      </c>
      <c r="C99" s="285">
        <f>1080939526+8000000</f>
        <v>1088939526</v>
      </c>
      <c r="D99" s="707">
        <v>17423841</v>
      </c>
      <c r="E99" s="801">
        <f>SUM(C99:D99)</f>
        <v>1106363367</v>
      </c>
      <c r="F99" s="707">
        <f>7330097+29225383-7089+1360782+699848-1293714+457112+4507656</f>
        <v>42280075</v>
      </c>
      <c r="G99" s="801">
        <f>SUM(E99:F99)</f>
        <v>1148643442</v>
      </c>
    </row>
    <row r="100" spans="1:7" ht="12" customHeight="1">
      <c r="A100" s="13" t="s">
        <v>106</v>
      </c>
      <c r="B100" s="10" t="s">
        <v>166</v>
      </c>
      <c r="C100" s="285">
        <v>61500000</v>
      </c>
      <c r="D100" s="707"/>
      <c r="E100" s="801">
        <f>SUM(C100:D100)</f>
        <v>61500000</v>
      </c>
      <c r="F100" s="707">
        <v>549486</v>
      </c>
      <c r="G100" s="801">
        <f>SUM(E100:F100)</f>
        <v>62049486</v>
      </c>
    </row>
    <row r="101" spans="1:7" ht="12" customHeight="1" thickBot="1">
      <c r="A101" s="13" t="s">
        <v>117</v>
      </c>
      <c r="B101" s="18" t="s">
        <v>167</v>
      </c>
      <c r="C101" s="285">
        <f>206175913+16000000</f>
        <v>222175913</v>
      </c>
      <c r="D101" s="707"/>
      <c r="E101" s="801">
        <f>SUM(C101:D101)</f>
        <v>222175913</v>
      </c>
      <c r="F101" s="707">
        <f>10645792+30050</f>
        <v>10675842</v>
      </c>
      <c r="G101" s="801">
        <f>SUM(E101:F101)</f>
        <v>232851755</v>
      </c>
    </row>
    <row r="102" spans="1:7" ht="12" customHeight="1" thickBot="1">
      <c r="A102" s="19" t="s">
        <v>20</v>
      </c>
      <c r="B102" s="29" t="s">
        <v>366</v>
      </c>
      <c r="C102" s="281">
        <f>+C103+C105+C107</f>
        <v>704431000</v>
      </c>
      <c r="D102" s="705">
        <f>+D103+D105+D107</f>
        <v>330159</v>
      </c>
      <c r="E102" s="795">
        <f>+E103+E105+E107</f>
        <v>704761159</v>
      </c>
      <c r="F102" s="705">
        <f>+F103+F105+F107</f>
        <v>163524263</v>
      </c>
      <c r="G102" s="795">
        <f>+G103+G105+G107</f>
        <v>868285422</v>
      </c>
    </row>
    <row r="103" spans="1:7" ht="12" customHeight="1">
      <c r="A103" s="14" t="s">
        <v>109</v>
      </c>
      <c r="B103" s="7" t="s">
        <v>215</v>
      </c>
      <c r="C103" s="284">
        <v>367951000</v>
      </c>
      <c r="D103" s="707">
        <v>330159</v>
      </c>
      <c r="E103" s="802">
        <f>SUM(C103:D103)</f>
        <v>368281159</v>
      </c>
      <c r="F103" s="707">
        <f>83897697+82550+17800+1588891+13000000+487651</f>
        <v>99074589</v>
      </c>
      <c r="G103" s="802">
        <f>SUM(E103:F103)</f>
        <v>467355748</v>
      </c>
    </row>
    <row r="104" spans="1:7" ht="12" customHeight="1">
      <c r="A104" s="14" t="s">
        <v>110</v>
      </c>
      <c r="B104" s="11" t="s">
        <v>370</v>
      </c>
      <c r="C104" s="284"/>
      <c r="D104" s="707"/>
      <c r="E104" s="802">
        <f>SUM(C104:D104)</f>
        <v>0</v>
      </c>
      <c r="F104" s="707"/>
      <c r="G104" s="802">
        <f>SUM(E104:F104)</f>
        <v>0</v>
      </c>
    </row>
    <row r="105" spans="1:7" ht="12" customHeight="1">
      <c r="A105" s="14" t="s">
        <v>111</v>
      </c>
      <c r="B105" s="11" t="s">
        <v>169</v>
      </c>
      <c r="C105" s="283">
        <v>336480000</v>
      </c>
      <c r="D105" s="707"/>
      <c r="E105" s="802">
        <f>SUM(C105:D105)</f>
        <v>336480000</v>
      </c>
      <c r="F105" s="707">
        <v>64449674</v>
      </c>
      <c r="G105" s="802">
        <f>SUM(E105:F105)</f>
        <v>400929674</v>
      </c>
    </row>
    <row r="106" spans="1:7" ht="12" customHeight="1">
      <c r="A106" s="14" t="s">
        <v>112</v>
      </c>
      <c r="B106" s="11" t="s">
        <v>371</v>
      </c>
      <c r="C106" s="252"/>
      <c r="D106" s="707"/>
      <c r="E106" s="802">
        <f>SUM(C106:D106)</f>
        <v>0</v>
      </c>
      <c r="F106" s="707"/>
      <c r="G106" s="802">
        <f>SUM(E106:F106)</f>
        <v>0</v>
      </c>
    </row>
    <row r="107" spans="1:7" ht="12" customHeight="1" thickBot="1">
      <c r="A107" s="14" t="s">
        <v>113</v>
      </c>
      <c r="B107" s="278" t="s">
        <v>218</v>
      </c>
      <c r="C107" s="252"/>
      <c r="D107" s="708"/>
      <c r="E107" s="802">
        <f>SUM(C107:D107)</f>
        <v>0</v>
      </c>
      <c r="F107" s="708"/>
      <c r="G107" s="802">
        <f>SUM(E107:F107)</f>
        <v>0</v>
      </c>
    </row>
    <row r="108" spans="1:7" ht="12" customHeight="1" thickBot="1">
      <c r="A108" s="19" t="s">
        <v>21</v>
      </c>
      <c r="B108" s="119" t="s">
        <v>377</v>
      </c>
      <c r="C108" s="281">
        <f>+C109+C110</f>
        <v>101166704</v>
      </c>
      <c r="D108" s="705">
        <f>+D109+D110</f>
        <v>332248</v>
      </c>
      <c r="E108" s="795">
        <f>+E109+E110</f>
        <v>101498952</v>
      </c>
      <c r="F108" s="705">
        <f>+F109+F110</f>
        <v>189394203</v>
      </c>
      <c r="G108" s="795">
        <f>+G109+G110</f>
        <v>290893155</v>
      </c>
    </row>
    <row r="109" spans="1:7" ht="12" customHeight="1">
      <c r="A109" s="14" t="s">
        <v>92</v>
      </c>
      <c r="B109" s="8" t="s">
        <v>62</v>
      </c>
      <c r="C109" s="284">
        <f>44532000-365296</f>
        <v>44166704</v>
      </c>
      <c r="D109" s="706">
        <v>332248</v>
      </c>
      <c r="E109" s="803">
        <f>SUM(C109:D109)</f>
        <v>44498952</v>
      </c>
      <c r="F109" s="706">
        <v>-8314271</v>
      </c>
      <c r="G109" s="803">
        <f>SUM(E109:F109)</f>
        <v>36184681</v>
      </c>
    </row>
    <row r="110" spans="1:7" ht="12" customHeight="1">
      <c r="A110" s="15" t="s">
        <v>93</v>
      </c>
      <c r="B110" s="11" t="s">
        <v>63</v>
      </c>
      <c r="C110" s="285">
        <v>57000000</v>
      </c>
      <c r="D110" s="709"/>
      <c r="E110" s="804">
        <f t="shared" ref="E110:E117" si="15">SUM(C110:D110)</f>
        <v>57000000</v>
      </c>
      <c r="F110" s="709">
        <v>197708474</v>
      </c>
      <c r="G110" s="804">
        <f t="shared" ref="G110:G117" si="16">SUM(E110:F110)</f>
        <v>254708474</v>
      </c>
    </row>
    <row r="111" spans="1:7" ht="12" customHeight="1">
      <c r="A111" s="12"/>
      <c r="B111" s="6" t="s">
        <v>744</v>
      </c>
      <c r="C111" s="670"/>
      <c r="D111" s="656"/>
      <c r="E111" s="805">
        <f t="shared" si="15"/>
        <v>0</v>
      </c>
      <c r="F111" s="656"/>
      <c r="G111" s="805">
        <f t="shared" si="16"/>
        <v>0</v>
      </c>
    </row>
    <row r="112" spans="1:7" ht="12" customHeight="1">
      <c r="A112" s="12"/>
      <c r="B112" s="6" t="s">
        <v>743</v>
      </c>
      <c r="C112" s="670"/>
      <c r="D112" s="656"/>
      <c r="E112" s="805">
        <f t="shared" si="15"/>
        <v>0</v>
      </c>
      <c r="F112" s="656"/>
      <c r="G112" s="805">
        <f t="shared" si="16"/>
        <v>0</v>
      </c>
    </row>
    <row r="113" spans="1:7" ht="12" customHeight="1">
      <c r="A113" s="12"/>
      <c r="B113" s="6" t="s">
        <v>742</v>
      </c>
      <c r="C113" s="670"/>
      <c r="D113" s="656"/>
      <c r="E113" s="805">
        <f t="shared" si="15"/>
        <v>0</v>
      </c>
      <c r="F113" s="656"/>
      <c r="G113" s="805">
        <f t="shared" si="16"/>
        <v>0</v>
      </c>
    </row>
    <row r="114" spans="1:7" ht="12" customHeight="1">
      <c r="A114" s="12"/>
      <c r="B114" s="6" t="s">
        <v>745</v>
      </c>
      <c r="C114" s="670"/>
      <c r="D114" s="656"/>
      <c r="E114" s="805">
        <f t="shared" si="15"/>
        <v>0</v>
      </c>
      <c r="F114" s="656"/>
      <c r="G114" s="805">
        <f t="shared" si="16"/>
        <v>0</v>
      </c>
    </row>
    <row r="115" spans="1:7" ht="12" customHeight="1">
      <c r="A115" s="12"/>
      <c r="B115" s="6" t="s">
        <v>774</v>
      </c>
      <c r="C115" s="670"/>
      <c r="D115" s="656"/>
      <c r="E115" s="805">
        <f t="shared" si="15"/>
        <v>0</v>
      </c>
      <c r="F115" s="656"/>
      <c r="G115" s="805">
        <f t="shared" si="16"/>
        <v>0</v>
      </c>
    </row>
    <row r="116" spans="1:7" ht="12" customHeight="1">
      <c r="A116" s="12"/>
      <c r="B116" s="6" t="s">
        <v>784</v>
      </c>
      <c r="C116" s="670"/>
      <c r="D116" s="656"/>
      <c r="E116" s="805">
        <f t="shared" si="15"/>
        <v>0</v>
      </c>
      <c r="F116" s="656"/>
      <c r="G116" s="805">
        <f t="shared" si="16"/>
        <v>0</v>
      </c>
    </row>
    <row r="117" spans="1:7" ht="12" customHeight="1" thickBot="1">
      <c r="A117" s="12"/>
      <c r="B117" s="6" t="s">
        <v>746</v>
      </c>
      <c r="C117" s="670"/>
      <c r="D117" s="656"/>
      <c r="E117" s="805">
        <f t="shared" si="15"/>
        <v>0</v>
      </c>
      <c r="F117" s="656"/>
      <c r="G117" s="805">
        <f t="shared" si="16"/>
        <v>0</v>
      </c>
    </row>
    <row r="118" spans="1:7" ht="12" customHeight="1" thickBot="1">
      <c r="A118" s="19" t="s">
        <v>22</v>
      </c>
      <c r="B118" s="119" t="s">
        <v>378</v>
      </c>
      <c r="C118" s="281">
        <f>+C96+C102+C108</f>
        <v>3339867588</v>
      </c>
      <c r="D118" s="705">
        <f>+D96+D102+D108</f>
        <v>121086248</v>
      </c>
      <c r="E118" s="806">
        <f>+E96+E102+E108</f>
        <v>3460953836</v>
      </c>
      <c r="F118" s="705">
        <f>+F96+F102+F108</f>
        <v>427759309</v>
      </c>
      <c r="G118" s="806">
        <f>+G96+G102+G108</f>
        <v>3888713145</v>
      </c>
    </row>
    <row r="119" spans="1:7" ht="12" customHeight="1" thickBot="1">
      <c r="A119" s="19" t="s">
        <v>23</v>
      </c>
      <c r="B119" s="119" t="s">
        <v>379</v>
      </c>
      <c r="C119" s="281">
        <f>+C120+C121+C122</f>
        <v>0</v>
      </c>
      <c r="D119" s="705">
        <f>+D120+D121+D122</f>
        <v>0</v>
      </c>
      <c r="E119" s="795">
        <f>+E120+E121+E122</f>
        <v>0</v>
      </c>
      <c r="F119" s="705">
        <f>+F120+F121+F122</f>
        <v>0</v>
      </c>
      <c r="G119" s="795">
        <f>+G120+G121+G122</f>
        <v>0</v>
      </c>
    </row>
    <row r="120" spans="1:7" ht="12" customHeight="1">
      <c r="A120" s="14" t="s">
        <v>96</v>
      </c>
      <c r="B120" s="8" t="s">
        <v>380</v>
      </c>
      <c r="C120" s="252"/>
      <c r="D120" s="706"/>
      <c r="E120" s="801">
        <f>SUM(C120:D120)</f>
        <v>0</v>
      </c>
      <c r="F120" s="706"/>
      <c r="G120" s="801">
        <f>SUM(E120:F120)</f>
        <v>0</v>
      </c>
    </row>
    <row r="121" spans="1:7" ht="12" customHeight="1">
      <c r="A121" s="14" t="s">
        <v>97</v>
      </c>
      <c r="B121" s="8" t="s">
        <v>381</v>
      </c>
      <c r="C121" s="252"/>
      <c r="D121" s="707"/>
      <c r="E121" s="801">
        <f>SUM(C121:D121)</f>
        <v>0</v>
      </c>
      <c r="F121" s="707"/>
      <c r="G121" s="801">
        <f>SUM(E121:F121)</f>
        <v>0</v>
      </c>
    </row>
    <row r="122" spans="1:7" ht="12" customHeight="1" thickBot="1">
      <c r="A122" s="12" t="s">
        <v>98</v>
      </c>
      <c r="B122" s="6" t="s">
        <v>382</v>
      </c>
      <c r="C122" s="252"/>
      <c r="D122" s="708"/>
      <c r="E122" s="801">
        <f>SUM(C122:D122)</f>
        <v>0</v>
      </c>
      <c r="F122" s="708"/>
      <c r="G122" s="801">
        <f>SUM(E122:F122)</f>
        <v>0</v>
      </c>
    </row>
    <row r="123" spans="1:7" ht="12" customHeight="1" thickBot="1">
      <c r="A123" s="19" t="s">
        <v>24</v>
      </c>
      <c r="B123" s="119" t="s">
        <v>439</v>
      </c>
      <c r="C123" s="281">
        <f>+C124+C125+C126+C127</f>
        <v>0</v>
      </c>
      <c r="D123" s="705">
        <f>+D124+D125+D126+D127</f>
        <v>0</v>
      </c>
      <c r="E123" s="795">
        <f>+E124+E125+E126+E127</f>
        <v>0</v>
      </c>
      <c r="F123" s="705">
        <f>+F124+F125+F126+F127</f>
        <v>0</v>
      </c>
      <c r="G123" s="795">
        <f>+G124+G125+G126+G127</f>
        <v>0</v>
      </c>
    </row>
    <row r="124" spans="1:7" ht="12" customHeight="1">
      <c r="A124" s="14" t="s">
        <v>99</v>
      </c>
      <c r="B124" s="8" t="s">
        <v>383</v>
      </c>
      <c r="C124" s="252"/>
      <c r="D124" s="706"/>
      <c r="E124" s="801">
        <f>SUM(C124:D124)</f>
        <v>0</v>
      </c>
      <c r="F124" s="706"/>
      <c r="G124" s="801">
        <f>SUM(E124:F124)</f>
        <v>0</v>
      </c>
    </row>
    <row r="125" spans="1:7" ht="12" customHeight="1">
      <c r="A125" s="14" t="s">
        <v>100</v>
      </c>
      <c r="B125" s="8" t="s">
        <v>384</v>
      </c>
      <c r="C125" s="252"/>
      <c r="D125" s="707"/>
      <c r="E125" s="801">
        <f>SUM(C125:D125)</f>
        <v>0</v>
      </c>
      <c r="F125" s="707"/>
      <c r="G125" s="801">
        <f>SUM(E125:F125)</f>
        <v>0</v>
      </c>
    </row>
    <row r="126" spans="1:7" ht="12" customHeight="1">
      <c r="A126" s="14" t="s">
        <v>286</v>
      </c>
      <c r="B126" s="8" t="s">
        <v>385</v>
      </c>
      <c r="C126" s="252"/>
      <c r="D126" s="707"/>
      <c r="E126" s="801">
        <f>SUM(C126:D126)</f>
        <v>0</v>
      </c>
      <c r="F126" s="707"/>
      <c r="G126" s="801">
        <f>SUM(E126:F126)</f>
        <v>0</v>
      </c>
    </row>
    <row r="127" spans="1:7" ht="12" customHeight="1" thickBot="1">
      <c r="A127" s="12" t="s">
        <v>287</v>
      </c>
      <c r="B127" s="6" t="s">
        <v>386</v>
      </c>
      <c r="C127" s="252"/>
      <c r="D127" s="708"/>
      <c r="E127" s="801">
        <f>SUM(C127:D127)</f>
        <v>0</v>
      </c>
      <c r="F127" s="708"/>
      <c r="G127" s="801">
        <f>SUM(E127:F127)</f>
        <v>0</v>
      </c>
    </row>
    <row r="128" spans="1:7" ht="12" customHeight="1" thickBot="1">
      <c r="A128" s="19" t="s">
        <v>25</v>
      </c>
      <c r="B128" s="119" t="s">
        <v>387</v>
      </c>
      <c r="C128" s="287">
        <f>+C129+C130+C131+C132</f>
        <v>0</v>
      </c>
      <c r="D128" s="710">
        <f>+D129+D130+D131+D132</f>
        <v>0</v>
      </c>
      <c r="E128" s="797">
        <f>+E129+E130+E131+E132</f>
        <v>0</v>
      </c>
      <c r="F128" s="710">
        <f>+F129+F130+F131+F132</f>
        <v>27763043</v>
      </c>
      <c r="G128" s="797">
        <f>+G129+G130+G131+G132</f>
        <v>27763043</v>
      </c>
    </row>
    <row r="129" spans="1:8" ht="12" customHeight="1">
      <c r="A129" s="14" t="s">
        <v>101</v>
      </c>
      <c r="B129" s="8" t="s">
        <v>388</v>
      </c>
      <c r="C129" s="252"/>
      <c r="D129" s="706"/>
      <c r="E129" s="801">
        <f>SUM(C129:D129)</f>
        <v>0</v>
      </c>
      <c r="F129" s="706">
        <v>27763043</v>
      </c>
      <c r="G129" s="801">
        <f>SUM(E129:F129)</f>
        <v>27763043</v>
      </c>
    </row>
    <row r="130" spans="1:8" ht="12" customHeight="1">
      <c r="A130" s="14" t="s">
        <v>102</v>
      </c>
      <c r="B130" s="8" t="s">
        <v>398</v>
      </c>
      <c r="C130" s="252"/>
      <c r="D130" s="707"/>
      <c r="E130" s="801">
        <f>SUM(C130:D130)</f>
        <v>0</v>
      </c>
      <c r="F130" s="707"/>
      <c r="G130" s="801">
        <f>SUM(E130:F130)</f>
        <v>0</v>
      </c>
    </row>
    <row r="131" spans="1:8" ht="12" customHeight="1">
      <c r="A131" s="14" t="s">
        <v>299</v>
      </c>
      <c r="B131" s="8" t="s">
        <v>389</v>
      </c>
      <c r="C131" s="252"/>
      <c r="D131" s="707"/>
      <c r="E131" s="801">
        <f>SUM(C131:D131)</f>
        <v>0</v>
      </c>
      <c r="F131" s="707"/>
      <c r="G131" s="801">
        <f>SUM(E131:F131)</f>
        <v>0</v>
      </c>
    </row>
    <row r="132" spans="1:8" ht="12" customHeight="1" thickBot="1">
      <c r="A132" s="12" t="s">
        <v>300</v>
      </c>
      <c r="B132" s="6" t="s">
        <v>390</v>
      </c>
      <c r="C132" s="252"/>
      <c r="D132" s="708"/>
      <c r="E132" s="801">
        <f>SUM(C132:D132)</f>
        <v>0</v>
      </c>
      <c r="F132" s="708"/>
      <c r="G132" s="801">
        <f>SUM(E132:F132)</f>
        <v>0</v>
      </c>
    </row>
    <row r="133" spans="1:8" ht="12" customHeight="1" thickBot="1">
      <c r="A133" s="19" t="s">
        <v>26</v>
      </c>
      <c r="B133" s="119" t="s">
        <v>391</v>
      </c>
      <c r="C133" s="290">
        <f>+C134+C135+C136+C137</f>
        <v>0</v>
      </c>
      <c r="D133" s="711">
        <f>+D134+D135+D136+D137</f>
        <v>0</v>
      </c>
      <c r="E133" s="807">
        <f>+E134+E135+E136+E137</f>
        <v>0</v>
      </c>
      <c r="F133" s="711">
        <f>+F134+F135+F136+F137</f>
        <v>0</v>
      </c>
      <c r="G133" s="807">
        <f>+G134+G135+G136+G137</f>
        <v>0</v>
      </c>
    </row>
    <row r="134" spans="1:8" ht="12" customHeight="1">
      <c r="A134" s="14" t="s">
        <v>163</v>
      </c>
      <c r="B134" s="8" t="s">
        <v>392</v>
      </c>
      <c r="C134" s="252"/>
      <c r="D134" s="706"/>
      <c r="E134" s="801">
        <f>SUM(C134:D134)</f>
        <v>0</v>
      </c>
      <c r="F134" s="706"/>
      <c r="G134" s="801">
        <f>SUM(E134:F134)</f>
        <v>0</v>
      </c>
    </row>
    <row r="135" spans="1:8" ht="12" customHeight="1">
      <c r="A135" s="14" t="s">
        <v>164</v>
      </c>
      <c r="B135" s="8" t="s">
        <v>393</v>
      </c>
      <c r="C135" s="252"/>
      <c r="D135" s="707"/>
      <c r="E135" s="801">
        <f>SUM(C135:D135)</f>
        <v>0</v>
      </c>
      <c r="F135" s="707"/>
      <c r="G135" s="801">
        <f>SUM(E135:F135)</f>
        <v>0</v>
      </c>
    </row>
    <row r="136" spans="1:8" ht="12" customHeight="1">
      <c r="A136" s="14" t="s">
        <v>217</v>
      </c>
      <c r="B136" s="8" t="s">
        <v>394</v>
      </c>
      <c r="C136" s="252"/>
      <c r="D136" s="707"/>
      <c r="E136" s="801">
        <f>SUM(C136:D136)</f>
        <v>0</v>
      </c>
      <c r="F136" s="707"/>
      <c r="G136" s="801">
        <f>SUM(E136:F136)</f>
        <v>0</v>
      </c>
    </row>
    <row r="137" spans="1:8" ht="12" customHeight="1" thickBot="1">
      <c r="A137" s="14" t="s">
        <v>302</v>
      </c>
      <c r="B137" s="8" t="s">
        <v>395</v>
      </c>
      <c r="C137" s="252"/>
      <c r="D137" s="708"/>
      <c r="E137" s="801">
        <f>SUM(C137:D137)</f>
        <v>0</v>
      </c>
      <c r="F137" s="708"/>
      <c r="G137" s="801">
        <f>SUM(E137:F137)</f>
        <v>0</v>
      </c>
    </row>
    <row r="138" spans="1:8" ht="15" customHeight="1" thickBot="1">
      <c r="A138" s="19" t="s">
        <v>27</v>
      </c>
      <c r="B138" s="119" t="s">
        <v>396</v>
      </c>
      <c r="C138" s="401">
        <f>+C119+C123+C128+C133</f>
        <v>0</v>
      </c>
      <c r="D138" s="712">
        <f>+D119+D123+D128+D133</f>
        <v>0</v>
      </c>
      <c r="E138" s="808">
        <f>+E119+E123+E128+E133</f>
        <v>0</v>
      </c>
      <c r="F138" s="712">
        <f>+F119+F123+F128+F133</f>
        <v>27763043</v>
      </c>
      <c r="G138" s="808">
        <f>+G119+G123+G128+G133</f>
        <v>27763043</v>
      </c>
      <c r="H138" s="403"/>
    </row>
    <row r="139" spans="1:8" s="388" customFormat="1" ht="12.95" customHeight="1" thickBot="1">
      <c r="A139" s="279" t="s">
        <v>28</v>
      </c>
      <c r="B139" s="363" t="s">
        <v>397</v>
      </c>
      <c r="C139" s="401">
        <f>+C118+C138</f>
        <v>3339867588</v>
      </c>
      <c r="D139" s="712">
        <f>+D118+D138</f>
        <v>121086248</v>
      </c>
      <c r="E139" s="808">
        <f>+E118+E138</f>
        <v>3460953836</v>
      </c>
      <c r="F139" s="712">
        <f>+F118+F138</f>
        <v>455522352</v>
      </c>
      <c r="G139" s="808">
        <f>+G118+G138</f>
        <v>3916476188</v>
      </c>
    </row>
    <row r="140" spans="1:8" ht="7.5" customHeight="1"/>
    <row r="141" spans="1:8">
      <c r="A141" s="1111" t="s">
        <v>399</v>
      </c>
      <c r="B141" s="1111"/>
      <c r="C141" s="1111"/>
      <c r="D141" s="596"/>
      <c r="F141" s="596"/>
    </row>
    <row r="142" spans="1:8" ht="15" customHeight="1" thickBot="1">
      <c r="A142" s="1109" t="s">
        <v>136</v>
      </c>
      <c r="B142" s="1109"/>
      <c r="D142" s="655"/>
      <c r="E142" s="809" t="s">
        <v>216</v>
      </c>
      <c r="F142" s="655"/>
      <c r="G142" s="809" t="s">
        <v>216</v>
      </c>
    </row>
    <row r="143" spans="1:8" ht="13.5" customHeight="1" thickBot="1">
      <c r="A143" s="19">
        <v>1</v>
      </c>
      <c r="B143" s="29" t="s">
        <v>400</v>
      </c>
      <c r="C143" s="281">
        <f>+C66-C118</f>
        <v>-200000000</v>
      </c>
      <c r="D143" s="281">
        <f>+D66-D118</f>
        <v>0</v>
      </c>
      <c r="E143" s="795">
        <f>+E66-E118</f>
        <v>-200000000</v>
      </c>
      <c r="F143" s="281">
        <f>+F66-F118</f>
        <v>-315189171</v>
      </c>
      <c r="G143" s="795">
        <f>+G66-G118</f>
        <v>-515189171</v>
      </c>
    </row>
    <row r="144" spans="1:8" ht="27.75" customHeight="1" thickBot="1">
      <c r="A144" s="19" t="s">
        <v>20</v>
      </c>
      <c r="B144" s="29" t="s">
        <v>401</v>
      </c>
      <c r="C144" s="281">
        <f>+C89-C138</f>
        <v>200000000</v>
      </c>
      <c r="D144" s="281">
        <f>+D89-D138</f>
        <v>0</v>
      </c>
      <c r="E144" s="795">
        <f>+E89-E138</f>
        <v>200000000</v>
      </c>
      <c r="F144" s="281">
        <f>+F89-F138</f>
        <v>315189171</v>
      </c>
      <c r="G144" s="795">
        <f>+G89-G138</f>
        <v>515189171</v>
      </c>
    </row>
  </sheetData>
  <mergeCells count="6">
    <mergeCell ref="A2:C2"/>
    <mergeCell ref="A3:B3"/>
    <mergeCell ref="A93:B93"/>
    <mergeCell ref="A141:C141"/>
    <mergeCell ref="A142:B142"/>
    <mergeCell ref="A92:C92"/>
  </mergeCells>
  <phoneticPr fontId="0" type="noConversion"/>
  <pageMargins left="0.15748031496062992" right="0.23622047244094491" top="1.2598425196850394" bottom="1.2598425196850394" header="0.78740157480314965" footer="0.59055118110236227"/>
  <pageSetup paperSize="8" fitToHeight="2" orientation="portrait" r:id="rId1"/>
  <headerFooter alignWithMargins="0">
    <oddHeader>&amp;L
&amp;C&amp;"Times New Roman CE,Félkövér"&amp;12Dabas Önkormányzat
2017.ÉVI KÖLTSÉGVETÉSÉNEK ÖSSZEVONT MÉRLEG
pénzforgalmi szemléletben, közgazdasági osztályozás szerint&amp;R&amp;"Times New Roman CE,Félkövér dőlt"&amp;11 1.1. melléklet a 2/2017. (II.14.) önk.rendelethez</oddHeader>
  </headerFooter>
  <rowBreaks count="1" manualBreakCount="1">
    <brk id="91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9"/>
  <sheetViews>
    <sheetView zoomScale="120" zoomScaleNormal="120" workbookViewId="0">
      <selection sqref="A1:C1"/>
    </sheetView>
  </sheetViews>
  <sheetFormatPr defaultRowHeight="15"/>
  <cols>
    <col min="1" max="1" width="5.6640625" style="141" customWidth="1"/>
    <col min="2" max="2" width="66.83203125" style="141" customWidth="1"/>
    <col min="3" max="3" width="27" style="141" customWidth="1"/>
    <col min="4" max="16384" width="9.33203125" style="141"/>
  </cols>
  <sheetData>
    <row r="1" spans="1:4" ht="33" customHeight="1">
      <c r="A1" s="1118" t="s">
        <v>796</v>
      </c>
      <c r="B1" s="1118"/>
      <c r="C1" s="1118"/>
    </row>
    <row r="2" spans="1:4" ht="33" customHeight="1">
      <c r="A2" s="649"/>
      <c r="B2" s="649" t="s">
        <v>720</v>
      </c>
      <c r="C2" s="649"/>
    </row>
    <row r="3" spans="1:4" ht="15.95" customHeight="1" thickBot="1">
      <c r="A3" s="142"/>
      <c r="B3" s="142"/>
      <c r="C3" s="154" t="s">
        <v>794</v>
      </c>
      <c r="D3" s="149"/>
    </row>
    <row r="4" spans="1:4" ht="26.25" customHeight="1" thickBot="1">
      <c r="A4" s="172" t="s">
        <v>17</v>
      </c>
      <c r="B4" s="173" t="s">
        <v>183</v>
      </c>
      <c r="C4" s="174" t="s">
        <v>210</v>
      </c>
    </row>
    <row r="5" spans="1:4" ht="15.75" thickBot="1">
      <c r="A5" s="175">
        <v>1</v>
      </c>
      <c r="B5" s="176">
        <v>2</v>
      </c>
      <c r="C5" s="177">
        <v>3</v>
      </c>
    </row>
    <row r="6" spans="1:4">
      <c r="A6" s="178" t="s">
        <v>19</v>
      </c>
      <c r="B6" s="185"/>
      <c r="C6" s="182"/>
    </row>
    <row r="7" spans="1:4">
      <c r="A7" s="179" t="s">
        <v>20</v>
      </c>
      <c r="B7" s="186"/>
      <c r="C7" s="183"/>
    </row>
    <row r="8" spans="1:4" ht="15.75" thickBot="1">
      <c r="A8" s="180" t="s">
        <v>21</v>
      </c>
      <c r="B8" s="187"/>
      <c r="C8" s="184"/>
    </row>
    <row r="9" spans="1:4" s="440" customFormat="1" ht="17.25" customHeight="1" thickBot="1">
      <c r="A9" s="441" t="s">
        <v>22</v>
      </c>
      <c r="B9" s="125" t="s">
        <v>184</v>
      </c>
      <c r="C9" s="181">
        <f>SUM(C6:C8)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2/2017. (II.14.)önk.rendelethez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51"/>
  <sheetViews>
    <sheetView topLeftCell="A34" workbookViewId="0">
      <selection activeCell="E23" sqref="E23"/>
    </sheetView>
  </sheetViews>
  <sheetFormatPr defaultRowHeight="12.75"/>
  <cols>
    <col min="1" max="1" width="67.1640625" style="40" customWidth="1"/>
    <col min="2" max="2" width="24" style="39" customWidth="1"/>
    <col min="3" max="3" width="15.33203125" style="677" customWidth="1"/>
    <col min="4" max="4" width="16.5" style="810" bestFit="1" customWidth="1"/>
    <col min="5" max="5" width="13.83203125" style="39" customWidth="1"/>
    <col min="6" max="16384" width="9.33203125" style="39"/>
  </cols>
  <sheetData>
    <row r="1" spans="1:4" ht="25.5" customHeight="1">
      <c r="A1" s="1130" t="s">
        <v>0</v>
      </c>
      <c r="B1" s="1130"/>
    </row>
    <row r="2" spans="1:4" ht="22.5" customHeight="1" thickBot="1">
      <c r="A2" s="560" t="s">
        <v>438</v>
      </c>
      <c r="D2" s="688" t="s">
        <v>739</v>
      </c>
    </row>
    <row r="3" spans="1:4" s="42" customFormat="1" ht="44.25" customHeight="1" thickBot="1">
      <c r="A3" s="191" t="s">
        <v>69</v>
      </c>
      <c r="B3" s="192" t="s">
        <v>70</v>
      </c>
      <c r="C3" s="22" t="s">
        <v>838</v>
      </c>
      <c r="D3" s="692" t="s">
        <v>834</v>
      </c>
    </row>
    <row r="4" spans="1:4" s="42" customFormat="1" ht="21" customHeight="1">
      <c r="A4" s="610" t="s">
        <v>711</v>
      </c>
      <c r="B4" s="611">
        <v>4000000</v>
      </c>
      <c r="C4" s="723"/>
      <c r="D4" s="811">
        <f>SUM(B4:C4)</f>
        <v>4000000</v>
      </c>
    </row>
    <row r="5" spans="1:4" s="42" customFormat="1" ht="34.5" customHeight="1">
      <c r="A5" s="671" t="s">
        <v>750</v>
      </c>
      <c r="B5" s="611">
        <v>1500000</v>
      </c>
      <c r="C5" s="724"/>
      <c r="D5" s="811">
        <f t="shared" ref="D5:D34" si="0">SUM(B5:C5)</f>
        <v>1500000</v>
      </c>
    </row>
    <row r="6" spans="1:4" s="42" customFormat="1" ht="18" customHeight="1">
      <c r="A6" s="671" t="s">
        <v>769</v>
      </c>
      <c r="B6" s="611">
        <v>2000000</v>
      </c>
      <c r="C6" s="724"/>
      <c r="D6" s="811">
        <f t="shared" si="0"/>
        <v>2000000</v>
      </c>
    </row>
    <row r="7" spans="1:4" s="42" customFormat="1" ht="19.5" customHeight="1">
      <c r="A7" s="671" t="s">
        <v>770</v>
      </c>
      <c r="B7" s="611">
        <v>2000000</v>
      </c>
      <c r="C7" s="724"/>
      <c r="D7" s="811">
        <f t="shared" si="0"/>
        <v>2000000</v>
      </c>
    </row>
    <row r="8" spans="1:4" s="42" customFormat="1" ht="19.5" customHeight="1">
      <c r="A8" s="671" t="s">
        <v>771</v>
      </c>
      <c r="B8" s="611">
        <v>2000000</v>
      </c>
      <c r="C8" s="724"/>
      <c r="D8" s="811">
        <f t="shared" si="0"/>
        <v>2000000</v>
      </c>
    </row>
    <row r="9" spans="1:4" s="42" customFormat="1" ht="19.5" customHeight="1">
      <c r="A9" s="671" t="s">
        <v>778</v>
      </c>
      <c r="B9" s="611">
        <v>2000000</v>
      </c>
      <c r="C9" s="724"/>
      <c r="D9" s="811">
        <f t="shared" si="0"/>
        <v>2000000</v>
      </c>
    </row>
    <row r="10" spans="1:4" s="42" customFormat="1" ht="21.75" customHeight="1">
      <c r="A10" s="606" t="s">
        <v>708</v>
      </c>
      <c r="B10" s="607">
        <v>1800000</v>
      </c>
      <c r="C10" s="724"/>
      <c r="D10" s="811">
        <f t="shared" si="0"/>
        <v>1800000</v>
      </c>
    </row>
    <row r="11" spans="1:4" s="42" customFormat="1" ht="24.75" customHeight="1">
      <c r="A11" s="598" t="s">
        <v>709</v>
      </c>
      <c r="B11" s="597">
        <v>12000000</v>
      </c>
      <c r="C11" s="725"/>
      <c r="D11" s="812">
        <f t="shared" si="0"/>
        <v>12000000</v>
      </c>
    </row>
    <row r="12" spans="1:4" s="42" customFormat="1" ht="27" customHeight="1">
      <c r="A12" s="599" t="s">
        <v>747</v>
      </c>
      <c r="B12" s="597">
        <v>8893000</v>
      </c>
      <c r="C12" s="725"/>
      <c r="D12" s="812">
        <f t="shared" si="0"/>
        <v>8893000</v>
      </c>
    </row>
    <row r="13" spans="1:4" s="42" customFormat="1" ht="27" customHeight="1">
      <c r="A13" s="599" t="s">
        <v>754</v>
      </c>
      <c r="B13" s="597">
        <v>18000000</v>
      </c>
      <c r="C13" s="1034">
        <v>-18000000</v>
      </c>
      <c r="D13" s="812">
        <f t="shared" si="0"/>
        <v>0</v>
      </c>
    </row>
    <row r="14" spans="1:4" s="42" customFormat="1" ht="27" customHeight="1">
      <c r="A14" s="685" t="s">
        <v>779</v>
      </c>
      <c r="B14" s="602">
        <v>4000000</v>
      </c>
      <c r="C14" s="724"/>
      <c r="D14" s="811">
        <f t="shared" si="0"/>
        <v>4000000</v>
      </c>
    </row>
    <row r="15" spans="1:4" ht="15">
      <c r="A15" s="601" t="s">
        <v>748</v>
      </c>
      <c r="B15" s="602">
        <v>0</v>
      </c>
      <c r="C15" s="726"/>
      <c r="D15" s="811">
        <f t="shared" si="0"/>
        <v>0</v>
      </c>
    </row>
    <row r="16" spans="1:4" ht="15">
      <c r="A16" s="601" t="s">
        <v>559</v>
      </c>
      <c r="B16" s="602">
        <v>0</v>
      </c>
      <c r="C16" s="726"/>
      <c r="D16" s="811">
        <f t="shared" si="0"/>
        <v>0</v>
      </c>
    </row>
    <row r="17" spans="1:4" ht="30">
      <c r="A17" s="601" t="s">
        <v>763</v>
      </c>
      <c r="B17" s="602">
        <v>1500000</v>
      </c>
      <c r="C17" s="726"/>
      <c r="D17" s="811">
        <f t="shared" si="0"/>
        <v>1500000</v>
      </c>
    </row>
    <row r="18" spans="1:4" ht="15">
      <c r="A18" s="601" t="s">
        <v>749</v>
      </c>
      <c r="B18" s="602">
        <v>5000000</v>
      </c>
      <c r="C18" s="726"/>
      <c r="D18" s="811">
        <f t="shared" si="0"/>
        <v>5000000</v>
      </c>
    </row>
    <row r="19" spans="1:4" ht="15">
      <c r="A19" s="610" t="s">
        <v>710</v>
      </c>
      <c r="B19" s="611">
        <v>12268000</v>
      </c>
      <c r="C19" s="726"/>
      <c r="D19" s="811">
        <f t="shared" si="0"/>
        <v>12268000</v>
      </c>
    </row>
    <row r="20" spans="1:4" ht="15">
      <c r="A20" s="672" t="s">
        <v>751</v>
      </c>
      <c r="B20" s="611">
        <v>1500000</v>
      </c>
      <c r="C20" s="726"/>
      <c r="D20" s="811">
        <f t="shared" si="0"/>
        <v>1500000</v>
      </c>
    </row>
    <row r="21" spans="1:4" ht="15">
      <c r="A21" s="601" t="s">
        <v>752</v>
      </c>
      <c r="B21" s="602">
        <v>1500000</v>
      </c>
      <c r="C21" s="726"/>
      <c r="D21" s="811">
        <f t="shared" si="0"/>
        <v>1500000</v>
      </c>
    </row>
    <row r="22" spans="1:4" ht="30">
      <c r="A22" s="601" t="s">
        <v>814</v>
      </c>
      <c r="B22" s="602">
        <v>68520000</v>
      </c>
      <c r="C22" s="726">
        <v>22480000</v>
      </c>
      <c r="D22" s="811">
        <f t="shared" si="0"/>
        <v>91000000</v>
      </c>
    </row>
    <row r="23" spans="1:4" ht="15">
      <c r="A23" s="1035" t="s">
        <v>851</v>
      </c>
      <c r="B23" s="602"/>
      <c r="C23" s="726">
        <v>2451100</v>
      </c>
      <c r="D23" s="811">
        <f t="shared" si="0"/>
        <v>2451100</v>
      </c>
    </row>
    <row r="24" spans="1:4" ht="15">
      <c r="A24" s="601" t="s">
        <v>715</v>
      </c>
      <c r="B24" s="602">
        <v>2920000</v>
      </c>
      <c r="C24" s="726"/>
      <c r="D24" s="811">
        <f t="shared" si="0"/>
        <v>2920000</v>
      </c>
    </row>
    <row r="25" spans="1:4" ht="15">
      <c r="A25" s="608" t="s">
        <v>777</v>
      </c>
      <c r="B25" s="602">
        <v>7500000</v>
      </c>
      <c r="C25" s="726"/>
      <c r="D25" s="811">
        <f t="shared" si="0"/>
        <v>7500000</v>
      </c>
    </row>
    <row r="26" spans="1:4" ht="15">
      <c r="A26" s="609" t="s">
        <v>753</v>
      </c>
      <c r="B26" s="489">
        <v>10000000</v>
      </c>
      <c r="C26" s="726"/>
      <c r="D26" s="811">
        <f t="shared" si="0"/>
        <v>10000000</v>
      </c>
    </row>
    <row r="27" spans="1:4" ht="15">
      <c r="A27" s="609" t="s">
        <v>755</v>
      </c>
      <c r="B27" s="489">
        <v>5000000</v>
      </c>
      <c r="C27" s="726"/>
      <c r="D27" s="811">
        <f t="shared" si="0"/>
        <v>5000000</v>
      </c>
    </row>
    <row r="28" spans="1:4" ht="30">
      <c r="A28" s="609" t="s">
        <v>759</v>
      </c>
      <c r="B28" s="489">
        <v>3175000</v>
      </c>
      <c r="C28" s="726"/>
      <c r="D28" s="811">
        <f t="shared" si="0"/>
        <v>3175000</v>
      </c>
    </row>
    <row r="29" spans="1:4" ht="15">
      <c r="A29" s="609" t="s">
        <v>764</v>
      </c>
      <c r="B29" s="489">
        <v>90825000</v>
      </c>
      <c r="C29" s="726">
        <v>-20336000</v>
      </c>
      <c r="D29" s="811">
        <f t="shared" si="0"/>
        <v>70489000</v>
      </c>
    </row>
    <row r="30" spans="1:4" ht="15">
      <c r="A30" s="609" t="s">
        <v>760</v>
      </c>
      <c r="B30" s="489">
        <v>3000000</v>
      </c>
      <c r="C30" s="726"/>
      <c r="D30" s="811">
        <f t="shared" si="0"/>
        <v>3000000</v>
      </c>
    </row>
    <row r="31" spans="1:4" ht="15">
      <c r="A31" s="609" t="s">
        <v>761</v>
      </c>
      <c r="B31" s="489">
        <v>6000000</v>
      </c>
      <c r="C31" s="726"/>
      <c r="D31" s="811">
        <f t="shared" si="0"/>
        <v>6000000</v>
      </c>
    </row>
    <row r="32" spans="1:4" ht="15">
      <c r="A32" s="609" t="s">
        <v>780</v>
      </c>
      <c r="B32" s="489">
        <v>1000000</v>
      </c>
      <c r="C32" s="726"/>
      <c r="D32" s="811">
        <f t="shared" si="0"/>
        <v>1000000</v>
      </c>
    </row>
    <row r="33" spans="1:4" ht="15">
      <c r="A33" s="609" t="s">
        <v>850</v>
      </c>
      <c r="B33" s="489"/>
      <c r="C33" s="726">
        <v>97302597</v>
      </c>
      <c r="D33" s="811">
        <f t="shared" si="0"/>
        <v>97302597</v>
      </c>
    </row>
    <row r="34" spans="1:4" ht="15">
      <c r="A34" s="612" t="s">
        <v>756</v>
      </c>
      <c r="B34" s="603">
        <v>1600000</v>
      </c>
      <c r="C34" s="726"/>
      <c r="D34" s="811">
        <f t="shared" si="0"/>
        <v>1600000</v>
      </c>
    </row>
    <row r="35" spans="1:4" ht="15.75">
      <c r="A35" s="679" t="s">
        <v>765</v>
      </c>
      <c r="B35" s="678"/>
      <c r="C35" s="727"/>
      <c r="D35" s="813"/>
    </row>
    <row r="36" spans="1:4" ht="30">
      <c r="A36" s="601" t="s">
        <v>815</v>
      </c>
      <c r="B36" s="602">
        <v>66750000</v>
      </c>
      <c r="C36" s="726"/>
      <c r="D36" s="814">
        <f>SUM(B36:C36)</f>
        <v>66750000</v>
      </c>
    </row>
    <row r="37" spans="1:4" ht="15">
      <c r="A37" s="600" t="s">
        <v>716</v>
      </c>
      <c r="B37" s="457">
        <v>3000000</v>
      </c>
      <c r="C37" s="727"/>
      <c r="D37" s="815">
        <f t="shared" ref="D37:D42" si="1">SUM(B37:C37)</f>
        <v>3000000</v>
      </c>
    </row>
    <row r="38" spans="1:4" ht="15">
      <c r="A38" s="600" t="s">
        <v>773</v>
      </c>
      <c r="B38" s="457">
        <v>5000000</v>
      </c>
      <c r="C38" s="727"/>
      <c r="D38" s="815">
        <f t="shared" si="1"/>
        <v>5000000</v>
      </c>
    </row>
    <row r="39" spans="1:4" ht="15">
      <c r="A39" s="600" t="s">
        <v>772</v>
      </c>
      <c r="B39" s="457">
        <v>4000000</v>
      </c>
      <c r="C39" s="727"/>
      <c r="D39" s="815">
        <f t="shared" si="1"/>
        <v>4000000</v>
      </c>
    </row>
    <row r="40" spans="1:4" ht="15">
      <c r="A40" s="600" t="s">
        <v>766</v>
      </c>
      <c r="B40" s="457">
        <v>700000</v>
      </c>
      <c r="C40" s="727"/>
      <c r="D40" s="815">
        <f t="shared" si="1"/>
        <v>700000</v>
      </c>
    </row>
    <row r="41" spans="1:4" ht="15">
      <c r="A41" s="600" t="s">
        <v>783</v>
      </c>
      <c r="B41" s="457">
        <v>2500000</v>
      </c>
      <c r="C41" s="727"/>
      <c r="D41" s="815">
        <f t="shared" si="1"/>
        <v>2500000</v>
      </c>
    </row>
    <row r="42" spans="1:4" ht="15">
      <c r="A42" s="680" t="s">
        <v>767</v>
      </c>
      <c r="B42" s="682">
        <v>500000</v>
      </c>
      <c r="C42" s="727"/>
      <c r="D42" s="815">
        <f t="shared" si="1"/>
        <v>500000</v>
      </c>
    </row>
    <row r="43" spans="1:4" ht="15.75">
      <c r="A43" s="613" t="s">
        <v>699</v>
      </c>
      <c r="B43" s="614">
        <f>SUM(B4:B42)</f>
        <v>361951000</v>
      </c>
      <c r="C43" s="614">
        <f>SUM(C4:C42)</f>
        <v>83897697</v>
      </c>
      <c r="D43" s="816">
        <f>SUM(D4:D42)</f>
        <v>445848697</v>
      </c>
    </row>
    <row r="45" spans="1:4">
      <c r="A45" s="604" t="s">
        <v>700</v>
      </c>
      <c r="B45" s="39">
        <f>B43-B46</f>
        <v>318858000</v>
      </c>
      <c r="C45" s="39">
        <f>C43-C46</f>
        <v>101897697</v>
      </c>
      <c r="D45" s="810">
        <f>D43-D46</f>
        <v>420755697</v>
      </c>
    </row>
    <row r="46" spans="1:4">
      <c r="A46" s="604" t="s">
        <v>705</v>
      </c>
      <c r="B46" s="39">
        <f>B11+B12+B13+B37+B40+B42</f>
        <v>43093000</v>
      </c>
      <c r="C46" s="39">
        <f>C11+C12+C13+C37+C40+C42</f>
        <v>-18000000</v>
      </c>
      <c r="D46" s="810">
        <f>D11+D12+D13+D37+D40+D42</f>
        <v>25093000</v>
      </c>
    </row>
    <row r="47" spans="1:4">
      <c r="B47" s="39">
        <f>SUM(B45:B46)</f>
        <v>361951000</v>
      </c>
      <c r="C47" s="39">
        <f>SUM(C45:C46)</f>
        <v>83897697</v>
      </c>
      <c r="D47" s="810">
        <f>SUM(D45:D46)</f>
        <v>445848697</v>
      </c>
    </row>
    <row r="49" spans="1:2">
      <c r="A49" s="690"/>
      <c r="B49" s="677"/>
    </row>
    <row r="50" spans="1:2">
      <c r="A50" s="690"/>
      <c r="B50" s="677"/>
    </row>
    <row r="51" spans="1:2">
      <c r="A51" s="604"/>
    </row>
  </sheetData>
  <mergeCells count="1">
    <mergeCell ref="A1:B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8" scale="74" orientation="portrait" horizontalDpi="300" verticalDpi="300" r:id="rId1"/>
  <headerFooter alignWithMargins="0">
    <oddHeader>&amp;R&amp;"Times New Roman CE,Félkövér dőlt"&amp;11 6. melléklet a 2/2017. (II.14.)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7"/>
  <sheetViews>
    <sheetView showWhiteSpace="0" topLeftCell="A22" workbookViewId="0">
      <selection activeCell="F2" sqref="F2"/>
    </sheetView>
  </sheetViews>
  <sheetFormatPr defaultRowHeight="12.75"/>
  <cols>
    <col min="1" max="1" width="45.33203125" customWidth="1"/>
    <col min="2" max="2" width="14.1640625" customWidth="1"/>
    <col min="3" max="3" width="10.83203125" customWidth="1"/>
    <col min="4" max="4" width="14" customWidth="1"/>
    <col min="5" max="5" width="13.83203125" customWidth="1"/>
    <col min="6" max="6" width="13.1640625" customWidth="1"/>
  </cols>
  <sheetData>
    <row r="2" spans="1:6">
      <c r="C2" s="1028"/>
      <c r="D2" s="1028"/>
      <c r="F2" s="686" t="s">
        <v>713</v>
      </c>
    </row>
    <row r="6" spans="1:6" ht="15.75" customHeight="1">
      <c r="A6" s="1131" t="s">
        <v>526</v>
      </c>
      <c r="B6" s="1131"/>
      <c r="C6" s="1131"/>
      <c r="D6" s="1131"/>
      <c r="E6" s="1131"/>
      <c r="F6" s="1131"/>
    </row>
    <row r="7" spans="1:6" ht="15.75">
      <c r="A7" s="1131" t="s">
        <v>438</v>
      </c>
      <c r="B7" s="1131"/>
      <c r="C7" s="1131"/>
      <c r="D7" s="1131"/>
      <c r="E7" s="1131"/>
      <c r="F7" s="1131"/>
    </row>
    <row r="8" spans="1:6" ht="15">
      <c r="A8" s="455"/>
      <c r="B8" s="456"/>
      <c r="C8" s="456"/>
      <c r="D8" s="456"/>
    </row>
    <row r="9" spans="1:6" ht="15.75" thickBot="1">
      <c r="A9" s="455"/>
      <c r="F9" s="687" t="s">
        <v>739</v>
      </c>
    </row>
    <row r="10" spans="1:6" ht="49.5" customHeight="1" thickBot="1">
      <c r="A10" s="695" t="s">
        <v>66</v>
      </c>
      <c r="B10" s="696" t="s">
        <v>527</v>
      </c>
      <c r="C10" s="1030" t="s">
        <v>841</v>
      </c>
      <c r="D10" s="1030" t="s">
        <v>834</v>
      </c>
      <c r="E10" s="697" t="s">
        <v>838</v>
      </c>
      <c r="F10" s="698" t="s">
        <v>834</v>
      </c>
    </row>
    <row r="11" spans="1:6" ht="15.75">
      <c r="A11" s="1076" t="s">
        <v>528</v>
      </c>
      <c r="B11" s="1068"/>
      <c r="C11" s="1055"/>
      <c r="D11" s="1055"/>
      <c r="E11" s="1055"/>
      <c r="F11" s="1056"/>
    </row>
    <row r="12" spans="1:6" ht="15.75">
      <c r="A12" s="1042" t="s">
        <v>529</v>
      </c>
      <c r="B12" s="1069">
        <v>6000000</v>
      </c>
      <c r="C12" s="1043"/>
      <c r="D12" s="1043">
        <f>SUM(B12+C12)</f>
        <v>6000000</v>
      </c>
      <c r="E12" s="1057"/>
      <c r="F12" s="1058">
        <f>SUM(B12+E12)</f>
        <v>6000000</v>
      </c>
    </row>
    <row r="13" spans="1:6" ht="15.75">
      <c r="A13" s="1077" t="s">
        <v>530</v>
      </c>
      <c r="B13" s="1070">
        <f>SUM(B12:B12)</f>
        <v>6000000</v>
      </c>
      <c r="C13" s="1059"/>
      <c r="D13" s="1059">
        <f>SUM(D12:D12)</f>
        <v>6000000</v>
      </c>
      <c r="E13" s="1059">
        <f>E11</f>
        <v>0</v>
      </c>
      <c r="F13" s="1060">
        <f>SUM(F12:F12)</f>
        <v>6000000</v>
      </c>
    </row>
    <row r="14" spans="1:6" ht="15.75">
      <c r="A14" s="1078" t="s">
        <v>695</v>
      </c>
      <c r="B14" s="1071"/>
      <c r="C14" s="1061"/>
      <c r="D14" s="1061"/>
      <c r="E14" s="1061"/>
      <c r="F14" s="1062"/>
    </row>
    <row r="15" spans="1:6" ht="15.75">
      <c r="A15" s="1044" t="s">
        <v>839</v>
      </c>
      <c r="B15" s="1072"/>
      <c r="C15" s="1045"/>
      <c r="D15" s="1045"/>
      <c r="E15" s="1046">
        <v>82550</v>
      </c>
      <c r="F15" s="1047">
        <f>SUM(B15+E15)</f>
        <v>82550</v>
      </c>
    </row>
    <row r="16" spans="1:6" ht="15.75">
      <c r="A16" s="1078" t="s">
        <v>51</v>
      </c>
      <c r="B16" s="1071"/>
      <c r="C16" s="1061"/>
      <c r="D16" s="1061"/>
      <c r="E16" s="1063">
        <f>SUM(E15:E15)</f>
        <v>82550</v>
      </c>
      <c r="F16" s="1064">
        <f>SUM(F15:F15)</f>
        <v>82550</v>
      </c>
    </row>
    <row r="17" spans="1:6" ht="15.75">
      <c r="A17" s="1078" t="s">
        <v>697</v>
      </c>
      <c r="B17" s="1071"/>
      <c r="C17" s="1061"/>
      <c r="D17" s="1061"/>
      <c r="E17" s="1061"/>
      <c r="F17" s="1062"/>
    </row>
    <row r="18" spans="1:6" ht="15.75">
      <c r="A18" s="1049" t="s">
        <v>839</v>
      </c>
      <c r="B18" s="1072"/>
      <c r="C18" s="1045"/>
      <c r="D18" s="1045"/>
      <c r="E18" s="1046">
        <v>17800</v>
      </c>
      <c r="F18" s="1047">
        <f>SUM(B18+E18)</f>
        <v>17800</v>
      </c>
    </row>
    <row r="19" spans="1:6" ht="15.75">
      <c r="A19" s="1079" t="s">
        <v>53</v>
      </c>
      <c r="B19" s="1071"/>
      <c r="C19" s="1061"/>
      <c r="D19" s="1061"/>
      <c r="E19" s="1063">
        <f>SUM(E18:E18)</f>
        <v>17800</v>
      </c>
      <c r="F19" s="1064">
        <f>SUM(F18:F18)</f>
        <v>17800</v>
      </c>
    </row>
    <row r="20" spans="1:6" ht="15.75">
      <c r="A20" s="1079" t="s">
        <v>840</v>
      </c>
      <c r="B20" s="1071"/>
      <c r="C20" s="1061"/>
      <c r="D20" s="1061"/>
      <c r="E20" s="1061"/>
      <c r="F20" s="1062"/>
    </row>
    <row r="21" spans="1:6" ht="31.5">
      <c r="A21" s="1080" t="s">
        <v>842</v>
      </c>
      <c r="B21" s="1072"/>
      <c r="C21" s="1046">
        <v>19050</v>
      </c>
      <c r="D21" s="1046">
        <f>SUM(B21+C21)</f>
        <v>19050</v>
      </c>
      <c r="E21" s="1046"/>
      <c r="F21" s="1047">
        <f>SUM(D21+E21)</f>
        <v>19050</v>
      </c>
    </row>
    <row r="22" spans="1:6" ht="31.5">
      <c r="A22" s="1080" t="s">
        <v>843</v>
      </c>
      <c r="B22" s="1072"/>
      <c r="C22" s="1046">
        <v>44450</v>
      </c>
      <c r="D22" s="1046">
        <f t="shared" ref="D22:D24" si="0">SUM(B22+C22)</f>
        <v>44450</v>
      </c>
      <c r="E22" s="1046"/>
      <c r="F22" s="1047">
        <f t="shared" ref="F22:F24" si="1">SUM(D22+E22)</f>
        <v>44450</v>
      </c>
    </row>
    <row r="23" spans="1:6" ht="15.75">
      <c r="A23" s="1049" t="s">
        <v>844</v>
      </c>
      <c r="B23" s="1072"/>
      <c r="C23" s="1046">
        <v>266659</v>
      </c>
      <c r="D23" s="1046">
        <f t="shared" si="0"/>
        <v>266659</v>
      </c>
      <c r="E23" s="1046">
        <v>1336491</v>
      </c>
      <c r="F23" s="1047">
        <f t="shared" si="1"/>
        <v>1603150</v>
      </c>
    </row>
    <row r="24" spans="1:6" ht="15.75">
      <c r="A24" s="1049" t="s">
        <v>845</v>
      </c>
      <c r="B24" s="1072"/>
      <c r="C24" s="1046"/>
      <c r="D24" s="1046">
        <f t="shared" si="0"/>
        <v>0</v>
      </c>
      <c r="E24" s="1046">
        <v>252400</v>
      </c>
      <c r="F24" s="1047">
        <f t="shared" si="1"/>
        <v>252400</v>
      </c>
    </row>
    <row r="25" spans="1:6" ht="15.75">
      <c r="A25" s="1078" t="s">
        <v>53</v>
      </c>
      <c r="B25" s="1071"/>
      <c r="C25" s="1063">
        <f>SUM(C21:C24)</f>
        <v>330159</v>
      </c>
      <c r="D25" s="1063">
        <f>SUM(D21:D24)</f>
        <v>330159</v>
      </c>
      <c r="E25" s="1063">
        <f>SUM(E21:E24)</f>
        <v>1588891</v>
      </c>
      <c r="F25" s="1064">
        <f>SUM(F21:F24)</f>
        <v>1919050</v>
      </c>
    </row>
    <row r="26" spans="1:6" ht="15.75">
      <c r="A26" s="1079" t="s">
        <v>846</v>
      </c>
      <c r="B26" s="1071"/>
      <c r="C26" s="1061"/>
      <c r="D26" s="1061"/>
      <c r="E26" s="1061"/>
      <c r="F26" s="1062"/>
    </row>
    <row r="27" spans="1:6" ht="15.75">
      <c r="A27" s="1050" t="s">
        <v>847</v>
      </c>
      <c r="B27" s="1073"/>
      <c r="C27" s="1051"/>
      <c r="D27" s="1051"/>
      <c r="E27" s="1051">
        <v>13000000</v>
      </c>
      <c r="F27" s="1052">
        <f>SUM(D27+E27)</f>
        <v>13000000</v>
      </c>
    </row>
    <row r="28" spans="1:6" ht="15.75">
      <c r="A28" s="1078" t="s">
        <v>53</v>
      </c>
      <c r="B28" s="1073"/>
      <c r="C28" s="1051"/>
      <c r="D28" s="1051"/>
      <c r="E28" s="1063">
        <f>SUM(E27:E27)</f>
        <v>13000000</v>
      </c>
      <c r="F28" s="1064">
        <f>SUM(F27:F27)</f>
        <v>13000000</v>
      </c>
    </row>
    <row r="29" spans="1:6" ht="15.75">
      <c r="A29" s="1078" t="s">
        <v>849</v>
      </c>
      <c r="B29" s="1073"/>
      <c r="C29" s="1051"/>
      <c r="D29" s="1051"/>
      <c r="E29" s="1063"/>
      <c r="F29" s="1064"/>
    </row>
    <row r="30" spans="1:6" ht="16.5" thickBot="1">
      <c r="A30" s="1049" t="s">
        <v>854</v>
      </c>
      <c r="B30" s="1074"/>
      <c r="C30" s="1065"/>
      <c r="D30" s="1065"/>
      <c r="E30" s="1066">
        <v>487651</v>
      </c>
      <c r="F30" s="1067">
        <f>SUM(D30+E30)</f>
        <v>487651</v>
      </c>
    </row>
    <row r="31" spans="1:6" ht="16.5" thickBot="1">
      <c r="A31" s="1048" t="s">
        <v>53</v>
      </c>
      <c r="B31" s="1075"/>
      <c r="C31" s="1053"/>
      <c r="D31" s="1053"/>
      <c r="E31" s="1054">
        <f>SUM(E30:E30)</f>
        <v>487651</v>
      </c>
      <c r="F31" s="1033">
        <f>SUM(F30:F30)</f>
        <v>487651</v>
      </c>
    </row>
    <row r="32" spans="1:6" s="1029" customFormat="1" ht="16.5" thickBot="1">
      <c r="A32" s="1031" t="s">
        <v>848</v>
      </c>
      <c r="B32" s="1032">
        <v>6000000</v>
      </c>
      <c r="C32" s="1032">
        <f>SUM(+C16+C19+C25+C28)</f>
        <v>330159</v>
      </c>
      <c r="D32" s="1032">
        <f>SUM(B32+C32)</f>
        <v>6330159</v>
      </c>
      <c r="E32" s="1032">
        <f>SUM(+E16+E19+E25+E28+E31)</f>
        <v>15176892</v>
      </c>
      <c r="F32" s="1033">
        <f>SUM(D32+E32)</f>
        <v>21507051</v>
      </c>
    </row>
    <row r="35" spans="1:1">
      <c r="A35" t="s">
        <v>855</v>
      </c>
    </row>
    <row r="36" spans="1:1">
      <c r="A36" t="s">
        <v>704</v>
      </c>
    </row>
    <row r="37" spans="1:1">
      <c r="A37" s="605" t="s">
        <v>701</v>
      </c>
    </row>
  </sheetData>
  <mergeCells count="2">
    <mergeCell ref="A6:F6"/>
    <mergeCell ref="A7:F7"/>
  </mergeCells>
  <phoneticPr fontId="30" type="noConversion"/>
  <pageMargins left="0.70866141732283472" right="0.70866141732283472" top="0.74803149606299213" bottom="0.74803149606299213" header="0.31496062992125984" footer="0.31496062992125984"/>
  <pageSetup paperSize="8" scale="87" orientation="portrait" r:id="rId1"/>
  <headerFooter>
    <oddHeader xml:space="preserve">&amp;C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27"/>
  <sheetViews>
    <sheetView workbookViewId="0">
      <selection activeCell="D18" sqref="D18"/>
    </sheetView>
  </sheetViews>
  <sheetFormatPr defaultRowHeight="12.75"/>
  <cols>
    <col min="1" max="1" width="78.5" style="40" customWidth="1"/>
    <col min="2" max="2" width="20" style="39" customWidth="1"/>
    <col min="3" max="3" width="15.33203125" style="39" customWidth="1"/>
    <col min="4" max="4" width="16.5" style="39" bestFit="1" customWidth="1"/>
    <col min="5" max="5" width="13.83203125" style="39" customWidth="1"/>
    <col min="6" max="16384" width="9.33203125" style="39"/>
  </cols>
  <sheetData>
    <row r="1" spans="1:4" ht="24.75" customHeight="1">
      <c r="A1" s="1130" t="s">
        <v>1</v>
      </c>
      <c r="B1" s="1130"/>
      <c r="C1" s="1130"/>
      <c r="D1" s="1130"/>
    </row>
    <row r="2" spans="1:4" ht="23.25" customHeight="1" thickBot="1">
      <c r="A2" s="1132" t="s">
        <v>438</v>
      </c>
      <c r="B2" s="1132"/>
      <c r="C2" s="1132"/>
      <c r="D2" s="688" t="s">
        <v>739</v>
      </c>
    </row>
    <row r="3" spans="1:4" s="42" customFormat="1" ht="48.75" customHeight="1" thickBot="1">
      <c r="A3" s="191" t="s">
        <v>71</v>
      </c>
      <c r="B3" s="49" t="s">
        <v>70</v>
      </c>
      <c r="C3" s="693" t="s">
        <v>838</v>
      </c>
      <c r="D3" s="694" t="s">
        <v>834</v>
      </c>
    </row>
    <row r="4" spans="1:4" s="50" customFormat="1" ht="15" customHeight="1" thickBot="1">
      <c r="A4" s="268">
        <v>1</v>
      </c>
      <c r="B4" s="728">
        <v>2</v>
      </c>
      <c r="C4" s="731"/>
      <c r="D4" s="732"/>
    </row>
    <row r="5" spans="1:4" ht="15.95" customHeight="1">
      <c r="A5" s="673" t="s">
        <v>707</v>
      </c>
      <c r="B5" s="733">
        <v>110000000</v>
      </c>
      <c r="C5" s="735">
        <v>61477380</v>
      </c>
      <c r="D5" s="736">
        <f>SUM(B5:C5)</f>
        <v>171477380</v>
      </c>
    </row>
    <row r="6" spans="1:4" ht="15.95" customHeight="1">
      <c r="A6" s="674" t="s">
        <v>757</v>
      </c>
      <c r="B6" s="734">
        <v>100000000</v>
      </c>
      <c r="C6" s="726">
        <v>-40000000</v>
      </c>
      <c r="D6" s="737">
        <f>SUM(B6:C6)</f>
        <v>60000000</v>
      </c>
    </row>
    <row r="7" spans="1:4" ht="30.75" customHeight="1">
      <c r="A7" s="676" t="s">
        <v>758</v>
      </c>
      <c r="B7" s="729">
        <v>121480000</v>
      </c>
      <c r="C7" s="726">
        <v>18520000</v>
      </c>
      <c r="D7" s="737">
        <f>SUM(B7:C7)</f>
        <v>140000000</v>
      </c>
    </row>
    <row r="8" spans="1:4" ht="30.75" customHeight="1">
      <c r="A8" s="1036" t="s">
        <v>762</v>
      </c>
      <c r="B8" s="602">
        <v>5000000</v>
      </c>
      <c r="C8" s="726">
        <v>-860000</v>
      </c>
      <c r="D8" s="737">
        <f>SUM(B8:C8)</f>
        <v>4140000</v>
      </c>
    </row>
    <row r="9" spans="1:4" ht="30.75" customHeight="1">
      <c r="A9" s="1037" t="s">
        <v>852</v>
      </c>
      <c r="B9" s="602"/>
      <c r="C9" s="726">
        <v>1000000</v>
      </c>
      <c r="D9" s="737">
        <f t="shared" ref="D9:D10" si="0">SUM(B9:C9)</f>
        <v>1000000</v>
      </c>
    </row>
    <row r="10" spans="1:4" ht="30.75" customHeight="1" thickBot="1">
      <c r="A10" s="1038" t="s">
        <v>853</v>
      </c>
      <c r="B10" s="1039"/>
      <c r="C10" s="1040">
        <v>24312294</v>
      </c>
      <c r="D10" s="1041">
        <f t="shared" si="0"/>
        <v>24312294</v>
      </c>
    </row>
    <row r="11" spans="1:4" s="52" customFormat="1" ht="18" customHeight="1" thickBot="1">
      <c r="A11" s="453" t="s">
        <v>68</v>
      </c>
      <c r="B11" s="730">
        <f>SUM(B5:B8)</f>
        <v>336480000</v>
      </c>
      <c r="C11" s="730">
        <f>SUM(C5:C10)</f>
        <v>64449674</v>
      </c>
      <c r="D11" s="675">
        <f>SUM(D5:D8)</f>
        <v>375617380</v>
      </c>
    </row>
    <row r="14" spans="1:4">
      <c r="A14" s="604" t="s">
        <v>700</v>
      </c>
    </row>
    <row r="15" spans="1:4">
      <c r="A15" s="604"/>
    </row>
    <row r="19" spans="1:2">
      <c r="A19" s="690"/>
      <c r="B19" s="677"/>
    </row>
    <row r="20" spans="1:2">
      <c r="A20" s="690"/>
      <c r="B20" s="677"/>
    </row>
    <row r="21" spans="1:2">
      <c r="A21" s="690"/>
      <c r="B21" s="677">
        <f>SUM(B19:B20)</f>
        <v>0</v>
      </c>
    </row>
    <row r="22" spans="1:2">
      <c r="A22" s="690"/>
      <c r="B22" s="677"/>
    </row>
    <row r="23" spans="1:2">
      <c r="A23" s="690"/>
      <c r="B23" s="677"/>
    </row>
    <row r="24" spans="1:2">
      <c r="A24" s="690"/>
      <c r="B24" s="677"/>
    </row>
    <row r="25" spans="1:2">
      <c r="A25" s="690"/>
      <c r="B25" s="677"/>
    </row>
    <row r="27" spans="1:2">
      <c r="A27" s="604"/>
    </row>
  </sheetData>
  <mergeCells count="2">
    <mergeCell ref="A1:D1"/>
    <mergeCell ref="A2:C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8" scale="73" orientation="portrait" horizontalDpi="300" verticalDpi="300" r:id="rId1"/>
  <headerFooter alignWithMargins="0">
    <oddHeader xml:space="preserve">&amp;R&amp;"Times New Roman CE,Félkövér dőlt"&amp;12 &amp;11 7. melléklet a 2/2017. (II.14.) önk.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8"/>
  <sheetViews>
    <sheetView zoomScale="60" zoomScaleNormal="60" workbookViewId="0">
      <selection activeCell="J29" sqref="J29"/>
    </sheetView>
  </sheetViews>
  <sheetFormatPr defaultRowHeight="12.75"/>
  <cols>
    <col min="1" max="1" width="37.6640625" style="561" customWidth="1"/>
    <col min="2" max="2" width="19" style="561" customWidth="1"/>
    <col min="3" max="3" width="18.83203125" style="561" customWidth="1"/>
    <col min="4" max="4" width="19.1640625" style="561" customWidth="1"/>
    <col min="5" max="5" width="19.5" style="561" customWidth="1"/>
    <col min="6" max="6" width="22.83203125" style="562" customWidth="1"/>
    <col min="7" max="7" width="19.5" style="561" customWidth="1"/>
    <col min="8" max="8" width="19" style="561" customWidth="1"/>
    <col min="9" max="9" width="21.83203125" style="561" customWidth="1"/>
    <col min="10" max="10" width="20" style="561" customWidth="1"/>
    <col min="11" max="11" width="21.83203125" style="561" customWidth="1"/>
    <col min="12" max="12" width="21.1640625" style="562" customWidth="1"/>
    <col min="13" max="14" width="9.33203125" style="561"/>
    <col min="15" max="15" width="9.5" style="561" bestFit="1" customWidth="1"/>
    <col min="16" max="16384" width="9.33203125" style="561"/>
  </cols>
  <sheetData>
    <row r="2" spans="1:13">
      <c r="J2" s="1133" t="s">
        <v>687</v>
      </c>
      <c r="K2" s="1133"/>
      <c r="L2" s="1133"/>
    </row>
    <row r="3" spans="1:13" ht="51.75" customHeight="1" thickBot="1">
      <c r="A3" s="1134" t="s">
        <v>736</v>
      </c>
      <c r="B3" s="1134"/>
      <c r="C3" s="1134"/>
      <c r="D3" s="1134"/>
      <c r="E3" s="1134"/>
      <c r="F3" s="1134"/>
      <c r="G3" s="1134"/>
      <c r="H3" s="1134"/>
      <c r="I3" s="1134"/>
      <c r="J3" s="1134"/>
      <c r="K3" s="1134"/>
      <c r="L3" s="1134"/>
    </row>
    <row r="4" spans="1:13" ht="15.75">
      <c r="A4" s="563" t="s">
        <v>672</v>
      </c>
      <c r="B4" s="1135" t="s">
        <v>673</v>
      </c>
      <c r="C4" s="1136"/>
      <c r="D4" s="1136"/>
      <c r="E4" s="1136"/>
      <c r="F4" s="1137"/>
      <c r="G4" s="1136" t="s">
        <v>674</v>
      </c>
      <c r="H4" s="1136"/>
      <c r="I4" s="1136"/>
      <c r="J4" s="1136"/>
      <c r="K4" s="1136"/>
      <c r="L4" s="1137"/>
    </row>
    <row r="5" spans="1:13" s="569" customFormat="1" ht="32.25" thickBot="1">
      <c r="A5" s="564" t="s">
        <v>66</v>
      </c>
      <c r="B5" s="565" t="s">
        <v>675</v>
      </c>
      <c r="C5" s="566" t="s">
        <v>676</v>
      </c>
      <c r="D5" s="566" t="s">
        <v>677</v>
      </c>
      <c r="E5" s="567" t="s">
        <v>678</v>
      </c>
      <c r="F5" s="568" t="s">
        <v>51</v>
      </c>
      <c r="G5" s="565" t="s">
        <v>679</v>
      </c>
      <c r="H5" s="566" t="s">
        <v>680</v>
      </c>
      <c r="I5" s="566" t="s">
        <v>535</v>
      </c>
      <c r="J5" s="566" t="s">
        <v>623</v>
      </c>
      <c r="K5" s="567" t="s">
        <v>537</v>
      </c>
      <c r="L5" s="568" t="s">
        <v>51</v>
      </c>
      <c r="M5" s="569" t="s">
        <v>721</v>
      </c>
    </row>
    <row r="6" spans="1:13" ht="16.5" thickBot="1">
      <c r="A6" s="615" t="s">
        <v>695</v>
      </c>
      <c r="B6" s="616">
        <v>0</v>
      </c>
      <c r="C6" s="617">
        <v>102174667</v>
      </c>
      <c r="D6" s="617">
        <f>L6-C6</f>
        <v>6053777</v>
      </c>
      <c r="E6" s="618">
        <v>0</v>
      </c>
      <c r="F6" s="619">
        <f>SUM(B6:E6)</f>
        <v>108228444</v>
      </c>
      <c r="G6" s="616">
        <v>79010200</v>
      </c>
      <c r="H6" s="617">
        <v>17382244</v>
      </c>
      <c r="I6" s="617">
        <v>11836000</v>
      </c>
      <c r="J6" s="617">
        <v>0</v>
      </c>
      <c r="K6" s="618"/>
      <c r="L6" s="619">
        <f>SUM(G6:J6)</f>
        <v>108228444</v>
      </c>
      <c r="M6" s="561">
        <v>24</v>
      </c>
    </row>
    <row r="7" spans="1:13" ht="16.5" thickBot="1">
      <c r="A7" s="620" t="s">
        <v>696</v>
      </c>
      <c r="B7" s="621">
        <v>0</v>
      </c>
      <c r="C7" s="622">
        <v>142240914</v>
      </c>
      <c r="D7" s="617">
        <f>L7-C7</f>
        <v>6629030</v>
      </c>
      <c r="E7" s="623">
        <v>0</v>
      </c>
      <c r="F7" s="624">
        <f>SUM(B7:E7)</f>
        <v>148869944</v>
      </c>
      <c r="G7" s="621">
        <v>109435200</v>
      </c>
      <c r="H7" s="622">
        <v>25927744</v>
      </c>
      <c r="I7" s="622">
        <v>13507000</v>
      </c>
      <c r="J7" s="622">
        <v>0</v>
      </c>
      <c r="K7" s="623"/>
      <c r="L7" s="624">
        <f>SUM(G7:J7)</f>
        <v>148869944</v>
      </c>
      <c r="M7" s="561">
        <v>35</v>
      </c>
    </row>
    <row r="8" spans="1:13" ht="15.75">
      <c r="A8" s="620" t="s">
        <v>697</v>
      </c>
      <c r="B8" s="621">
        <v>0</v>
      </c>
      <c r="C8" s="622">
        <v>143183983</v>
      </c>
      <c r="D8" s="617">
        <f>L8-C8</f>
        <v>-6463983</v>
      </c>
      <c r="E8" s="623">
        <v>0</v>
      </c>
      <c r="F8" s="624">
        <f>SUM(B8:E8)</f>
        <v>136720000</v>
      </c>
      <c r="G8" s="621">
        <v>100735000</v>
      </c>
      <c r="H8" s="622">
        <v>23058000</v>
      </c>
      <c r="I8" s="622">
        <v>12927000</v>
      </c>
      <c r="J8" s="622">
        <v>0</v>
      </c>
      <c r="K8" s="623"/>
      <c r="L8" s="624">
        <f>SUM(G8:J8)</f>
        <v>136720000</v>
      </c>
      <c r="M8" s="561">
        <v>34</v>
      </c>
    </row>
    <row r="9" spans="1:13" ht="20.25" customHeight="1">
      <c r="A9" s="625" t="s">
        <v>681</v>
      </c>
      <c r="B9" s="626">
        <v>2200000</v>
      </c>
      <c r="C9" s="627">
        <v>9586260</v>
      </c>
      <c r="D9" s="627">
        <v>23270533</v>
      </c>
      <c r="E9" s="628">
        <v>0</v>
      </c>
      <c r="F9" s="629">
        <f>SUM(B9:E9)</f>
        <v>35056793</v>
      </c>
      <c r="G9" s="626">
        <v>19262125</v>
      </c>
      <c r="H9" s="627">
        <v>4237668</v>
      </c>
      <c r="I9" s="627">
        <v>11557000</v>
      </c>
      <c r="J9" s="627">
        <v>0</v>
      </c>
      <c r="K9" s="628"/>
      <c r="L9" s="629">
        <f>SUM(G9:J9)</f>
        <v>35056793</v>
      </c>
      <c r="M9" s="561">
        <v>9</v>
      </c>
    </row>
    <row r="10" spans="1:13" ht="15.75">
      <c r="A10" s="572" t="s">
        <v>682</v>
      </c>
      <c r="B10" s="573">
        <v>31000000</v>
      </c>
      <c r="C10" s="574">
        <v>0</v>
      </c>
      <c r="D10" s="574">
        <v>17000000</v>
      </c>
      <c r="E10" s="575">
        <v>868522000</v>
      </c>
      <c r="F10" s="576">
        <f>SUM(B10:E10)</f>
        <v>916522000</v>
      </c>
      <c r="G10" s="573">
        <v>338252000</v>
      </c>
      <c r="H10" s="574">
        <v>74668000</v>
      </c>
      <c r="I10" s="574">
        <v>499602000</v>
      </c>
      <c r="J10" s="574">
        <v>0</v>
      </c>
      <c r="K10" s="575">
        <v>4000000</v>
      </c>
      <c r="L10" s="576">
        <f>SUM(G10:K10)</f>
        <v>916522000</v>
      </c>
      <c r="M10" s="561">
        <v>105</v>
      </c>
    </row>
    <row r="11" spans="1:13" ht="15.75">
      <c r="A11" s="570" t="s">
        <v>683</v>
      </c>
      <c r="B11" s="577"/>
      <c r="C11" s="578"/>
      <c r="D11" s="578"/>
      <c r="E11" s="579"/>
      <c r="F11" s="571"/>
      <c r="G11" s="577"/>
      <c r="H11" s="578"/>
      <c r="I11" s="578"/>
      <c r="J11" s="578"/>
      <c r="K11" s="579"/>
      <c r="L11" s="571"/>
    </row>
    <row r="12" spans="1:13" ht="15.75">
      <c r="A12" s="630" t="s">
        <v>688</v>
      </c>
      <c r="B12" s="631">
        <v>88025000</v>
      </c>
      <c r="C12" s="632">
        <v>117813878</v>
      </c>
      <c r="D12" s="632">
        <f>23089067-51</f>
        <v>23089016</v>
      </c>
      <c r="E12" s="632">
        <v>0</v>
      </c>
      <c r="F12" s="633">
        <f>SUM(B12:E12)</f>
        <v>228927894</v>
      </c>
      <c r="G12" s="634">
        <v>52789400</v>
      </c>
      <c r="H12" s="632">
        <v>11988968</v>
      </c>
      <c r="I12" s="632">
        <v>164149526</v>
      </c>
      <c r="J12" s="632">
        <v>0</v>
      </c>
      <c r="K12" s="635"/>
      <c r="L12" s="633">
        <f>SUM(G12:J12)</f>
        <v>228927894</v>
      </c>
    </row>
    <row r="13" spans="1:13" ht="15.75">
      <c r="A13" s="580" t="s">
        <v>684</v>
      </c>
      <c r="B13" s="581"/>
      <c r="C13" s="582"/>
      <c r="D13" s="582">
        <f>86660830+8000000</f>
        <v>94660830</v>
      </c>
      <c r="E13" s="582">
        <v>0</v>
      </c>
      <c r="F13" s="576">
        <f>SUM(B13:E13)</f>
        <v>94660830</v>
      </c>
      <c r="G13" s="583">
        <v>36971750</v>
      </c>
      <c r="H13" s="582">
        <v>10119080</v>
      </c>
      <c r="I13" s="582">
        <f>39570000+8000000</f>
        <v>47570000</v>
      </c>
      <c r="J13" s="582"/>
      <c r="K13" s="593"/>
      <c r="L13" s="576">
        <f>SUM(G13:J13)</f>
        <v>94660830</v>
      </c>
    </row>
    <row r="14" spans="1:13" ht="31.5">
      <c r="A14" s="592" t="s">
        <v>685</v>
      </c>
      <c r="B14" s="573">
        <f t="shared" ref="B14:J14" si="0">SUM(B12:B13)</f>
        <v>88025000</v>
      </c>
      <c r="C14" s="574">
        <f t="shared" si="0"/>
        <v>117813878</v>
      </c>
      <c r="D14" s="574">
        <f t="shared" si="0"/>
        <v>117749846</v>
      </c>
      <c r="E14" s="574">
        <f t="shared" si="0"/>
        <v>0</v>
      </c>
      <c r="F14" s="576">
        <f t="shared" si="0"/>
        <v>323588724</v>
      </c>
      <c r="G14" s="586">
        <f t="shared" si="0"/>
        <v>89761150</v>
      </c>
      <c r="H14" s="574">
        <f t="shared" si="0"/>
        <v>22108048</v>
      </c>
      <c r="I14" s="574">
        <f t="shared" si="0"/>
        <v>211719526</v>
      </c>
      <c r="J14" s="574">
        <f t="shared" si="0"/>
        <v>0</v>
      </c>
      <c r="K14" s="574"/>
      <c r="L14" s="574">
        <f>SUM(L12:L13)</f>
        <v>323588724</v>
      </c>
      <c r="M14" s="561">
        <v>45</v>
      </c>
    </row>
    <row r="15" spans="1:13" ht="15.75">
      <c r="A15" s="585" t="s">
        <v>211</v>
      </c>
      <c r="B15" s="573">
        <f>B16+B17</f>
        <v>98740000</v>
      </c>
      <c r="C15" s="574">
        <f>C16</f>
        <v>140047686</v>
      </c>
      <c r="D15" s="574">
        <f>L15-B15-C15</f>
        <v>413093069</v>
      </c>
      <c r="E15" s="574"/>
      <c r="F15" s="576">
        <f>SUM(B15:E15)</f>
        <v>651880755</v>
      </c>
      <c r="G15" s="586">
        <f t="shared" ref="G15:L15" si="1">G16+G17</f>
        <v>84132100</v>
      </c>
      <c r="H15" s="586">
        <f t="shared" si="1"/>
        <v>18885742</v>
      </c>
      <c r="I15" s="586">
        <f t="shared" si="1"/>
        <v>269187000</v>
      </c>
      <c r="J15" s="586">
        <f t="shared" si="1"/>
        <v>61500000</v>
      </c>
      <c r="K15" s="586">
        <f t="shared" si="1"/>
        <v>218175913</v>
      </c>
      <c r="L15" s="586">
        <f t="shared" si="1"/>
        <v>651880755</v>
      </c>
      <c r="M15" s="561">
        <v>26</v>
      </c>
    </row>
    <row r="16" spans="1:13" ht="15.75">
      <c r="A16" s="636" t="s">
        <v>702</v>
      </c>
      <c r="B16" s="637">
        <v>55940000</v>
      </c>
      <c r="C16" s="638">
        <f>266762626-126714940</f>
        <v>140047686</v>
      </c>
      <c r="D16" s="638">
        <f>159018607+126714940</f>
        <v>285733547</v>
      </c>
      <c r="E16" s="638"/>
      <c r="F16" s="633">
        <f>SUM(B16:E16)</f>
        <v>481721233</v>
      </c>
      <c r="G16" s="639">
        <v>69436000</v>
      </c>
      <c r="H16" s="638">
        <v>15497100</v>
      </c>
      <c r="I16" s="638">
        <v>197941000</v>
      </c>
      <c r="J16" s="638">
        <v>61500000</v>
      </c>
      <c r="K16" s="640">
        <f>137347133+16000000</f>
        <v>153347133</v>
      </c>
      <c r="L16" s="641">
        <f>SUM(G16:K16)</f>
        <v>497721233</v>
      </c>
    </row>
    <row r="17" spans="1:13" ht="15.75">
      <c r="A17" s="585" t="s">
        <v>703</v>
      </c>
      <c r="B17" s="573">
        <v>42800000</v>
      </c>
      <c r="C17" s="574">
        <v>0</v>
      </c>
      <c r="D17" s="574">
        <v>111359522</v>
      </c>
      <c r="E17" s="574"/>
      <c r="F17" s="576">
        <f>SUM(B17:E17)</f>
        <v>154159522</v>
      </c>
      <c r="G17" s="586">
        <v>14696100</v>
      </c>
      <c r="H17" s="574">
        <v>3388642</v>
      </c>
      <c r="I17" s="574">
        <v>71246000</v>
      </c>
      <c r="J17" s="574">
        <v>0</v>
      </c>
      <c r="K17" s="575">
        <v>64828780</v>
      </c>
      <c r="L17" s="584">
        <f>SUM(G17:K17)</f>
        <v>154159522</v>
      </c>
    </row>
    <row r="18" spans="1:13" ht="16.5" thickBot="1">
      <c r="A18" s="642" t="s">
        <v>528</v>
      </c>
      <c r="B18" s="643">
        <v>13300000</v>
      </c>
      <c r="C18" s="644">
        <v>171933200</v>
      </c>
      <c r="D18" s="644">
        <f>26249500+1920524</f>
        <v>28170024</v>
      </c>
      <c r="E18" s="644">
        <v>0</v>
      </c>
      <c r="F18" s="645">
        <f>SUM(B18:E18)</f>
        <v>213403224</v>
      </c>
      <c r="G18" s="646">
        <v>126884610</v>
      </c>
      <c r="H18" s="644">
        <v>27914614</v>
      </c>
      <c r="I18" s="644">
        <v>58604000</v>
      </c>
      <c r="J18" s="644">
        <v>0</v>
      </c>
      <c r="K18" s="647"/>
      <c r="L18" s="648">
        <f>SUM(G18:J18)</f>
        <v>213403224</v>
      </c>
      <c r="M18" s="561">
        <v>45</v>
      </c>
    </row>
    <row r="19" spans="1:13" ht="16.5" thickBot="1">
      <c r="A19" s="587" t="s">
        <v>686</v>
      </c>
      <c r="B19" s="588">
        <f t="shared" ref="B19:L19" si="2">B6+B7+B8+B9+B10+B14+B15+B18</f>
        <v>233265000</v>
      </c>
      <c r="C19" s="588">
        <f t="shared" si="2"/>
        <v>826980588</v>
      </c>
      <c r="D19" s="588">
        <f t="shared" si="2"/>
        <v>605502296</v>
      </c>
      <c r="E19" s="588">
        <f t="shared" si="2"/>
        <v>868522000</v>
      </c>
      <c r="F19" s="588">
        <f t="shared" si="2"/>
        <v>2534269884</v>
      </c>
      <c r="G19" s="588">
        <f t="shared" si="2"/>
        <v>947472385</v>
      </c>
      <c r="H19" s="588">
        <f t="shared" si="2"/>
        <v>214182060</v>
      </c>
      <c r="I19" s="588">
        <f t="shared" si="2"/>
        <v>1088939526</v>
      </c>
      <c r="J19" s="588">
        <f t="shared" si="2"/>
        <v>61500000</v>
      </c>
      <c r="K19" s="588">
        <f t="shared" si="2"/>
        <v>222175913</v>
      </c>
      <c r="L19" s="588">
        <f t="shared" si="2"/>
        <v>2534269884</v>
      </c>
      <c r="M19" s="561">
        <f>SUM(M6:M18)</f>
        <v>323</v>
      </c>
    </row>
    <row r="20" spans="1:13">
      <c r="A20" s="589"/>
      <c r="C20" s="590"/>
    </row>
    <row r="21" spans="1:13">
      <c r="C21" s="590"/>
      <c r="L21" s="591"/>
    </row>
    <row r="22" spans="1:13">
      <c r="A22" s="561" t="s">
        <v>704</v>
      </c>
      <c r="B22" s="590">
        <f>B6+B7+B8+B9+B12+B16</f>
        <v>146165000</v>
      </c>
      <c r="C22" s="590">
        <f t="shared" ref="C22:L22" si="3">C6+C7+C8+C9+C12+C16</f>
        <v>655047388</v>
      </c>
      <c r="D22" s="590">
        <f t="shared" si="3"/>
        <v>338311920</v>
      </c>
      <c r="E22" s="590">
        <f t="shared" si="3"/>
        <v>0</v>
      </c>
      <c r="F22" s="590">
        <f t="shared" si="3"/>
        <v>1139524308</v>
      </c>
      <c r="G22" s="590">
        <f t="shared" si="3"/>
        <v>430667925</v>
      </c>
      <c r="H22" s="590">
        <f t="shared" si="3"/>
        <v>98091724</v>
      </c>
      <c r="I22" s="590">
        <f t="shared" si="3"/>
        <v>411917526</v>
      </c>
      <c r="J22" s="590">
        <f t="shared" si="3"/>
        <v>61500000</v>
      </c>
      <c r="K22" s="590">
        <f>K16</f>
        <v>153347133</v>
      </c>
      <c r="L22" s="590">
        <f t="shared" si="3"/>
        <v>1155524308</v>
      </c>
    </row>
    <row r="23" spans="1:13">
      <c r="A23" s="561" t="s">
        <v>705</v>
      </c>
      <c r="B23" s="590">
        <f>B10+B13+B17</f>
        <v>73800000</v>
      </c>
      <c r="C23" s="590">
        <f t="shared" ref="C23:L23" si="4">C10+C13+C17</f>
        <v>0</v>
      </c>
      <c r="D23" s="590">
        <f t="shared" si="4"/>
        <v>223020352</v>
      </c>
      <c r="E23" s="590">
        <f t="shared" si="4"/>
        <v>868522000</v>
      </c>
      <c r="F23" s="590">
        <f t="shared" si="4"/>
        <v>1165342352</v>
      </c>
      <c r="G23" s="590">
        <f t="shared" si="4"/>
        <v>389919850</v>
      </c>
      <c r="H23" s="590">
        <f t="shared" si="4"/>
        <v>88175722</v>
      </c>
      <c r="I23" s="590">
        <f t="shared" si="4"/>
        <v>618418000</v>
      </c>
      <c r="J23" s="590">
        <f t="shared" si="4"/>
        <v>0</v>
      </c>
      <c r="K23" s="590">
        <f t="shared" si="4"/>
        <v>68828780</v>
      </c>
      <c r="L23" s="590">
        <f t="shared" si="4"/>
        <v>1165342352</v>
      </c>
    </row>
    <row r="24" spans="1:13">
      <c r="A24" s="561" t="s">
        <v>706</v>
      </c>
      <c r="B24" s="590">
        <f>B18</f>
        <v>13300000</v>
      </c>
      <c r="C24" s="590">
        <f t="shared" ref="C24:L24" si="5">C18</f>
        <v>171933200</v>
      </c>
      <c r="D24" s="590">
        <f t="shared" si="5"/>
        <v>28170024</v>
      </c>
      <c r="E24" s="590">
        <f t="shared" si="5"/>
        <v>0</v>
      </c>
      <c r="F24" s="590">
        <f t="shared" si="5"/>
        <v>213403224</v>
      </c>
      <c r="G24" s="590">
        <f t="shared" si="5"/>
        <v>126884610</v>
      </c>
      <c r="H24" s="590">
        <f t="shared" si="5"/>
        <v>27914614</v>
      </c>
      <c r="I24" s="590">
        <f t="shared" si="5"/>
        <v>58604000</v>
      </c>
      <c r="J24" s="590">
        <f t="shared" si="5"/>
        <v>0</v>
      </c>
      <c r="K24" s="590">
        <f t="shared" si="5"/>
        <v>0</v>
      </c>
      <c r="L24" s="590">
        <f t="shared" si="5"/>
        <v>213403224</v>
      </c>
    </row>
    <row r="25" spans="1:13">
      <c r="B25" s="590">
        <f>SUM(B22:B24)</f>
        <v>233265000</v>
      </c>
      <c r="C25" s="590">
        <f t="shared" ref="C25:L25" si="6">SUM(C22:C24)</f>
        <v>826980588</v>
      </c>
      <c r="D25" s="590">
        <f t="shared" si="6"/>
        <v>589502296</v>
      </c>
      <c r="E25" s="590">
        <f t="shared" si="6"/>
        <v>868522000</v>
      </c>
      <c r="F25" s="590">
        <f t="shared" si="6"/>
        <v>2518269884</v>
      </c>
      <c r="G25" s="590">
        <f t="shared" si="6"/>
        <v>947472385</v>
      </c>
      <c r="H25" s="590">
        <f t="shared" si="6"/>
        <v>214182060</v>
      </c>
      <c r="I25" s="590">
        <f t="shared" si="6"/>
        <v>1088939526</v>
      </c>
      <c r="J25" s="590">
        <f t="shared" si="6"/>
        <v>61500000</v>
      </c>
      <c r="K25" s="590">
        <f t="shared" si="6"/>
        <v>222175913</v>
      </c>
      <c r="L25" s="590">
        <f t="shared" si="6"/>
        <v>2534269884</v>
      </c>
    </row>
    <row r="28" spans="1:13">
      <c r="A28" s="684"/>
    </row>
  </sheetData>
  <mergeCells count="4">
    <mergeCell ref="J2:L2"/>
    <mergeCell ref="A3:L3"/>
    <mergeCell ref="B4:F4"/>
    <mergeCell ref="G4:L4"/>
  </mergeCells>
  <pageMargins left="0" right="0" top="0.98425196850393704" bottom="0.98425196850393704" header="0.51181102362204722" footer="0.51181102362204722"/>
  <pageSetup paperSize="9" scale="60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2"/>
  <sheetViews>
    <sheetView zoomScaleNormal="100" zoomScaleSheetLayoutView="85" workbookViewId="0">
      <selection activeCell="P27" sqref="P27"/>
    </sheetView>
  </sheetViews>
  <sheetFormatPr defaultRowHeight="12.75"/>
  <cols>
    <col min="1" max="1" width="9.33203125" style="372" customWidth="1"/>
    <col min="2" max="2" width="72" style="373" customWidth="1"/>
    <col min="3" max="3" width="25" style="374" customWidth="1"/>
    <col min="4" max="4" width="18.6640625" style="2" customWidth="1"/>
    <col min="5" max="5" width="18.83203125" style="80" customWidth="1"/>
    <col min="6" max="6" width="18.6640625" style="1094" customWidth="1"/>
    <col min="7" max="7" width="18.83203125" style="80" customWidth="1"/>
    <col min="8" max="16384" width="9.33203125" style="2"/>
  </cols>
  <sheetData>
    <row r="1" spans="1:7" s="1" customFormat="1" ht="16.5" customHeight="1" thickBot="1">
      <c r="A1" s="209"/>
      <c r="B1" s="211"/>
      <c r="E1" s="775"/>
      <c r="F1" s="1138" t="s">
        <v>818</v>
      </c>
      <c r="G1" s="1138"/>
    </row>
    <row r="2" spans="1:7" s="83" customFormat="1" ht="21" customHeight="1">
      <c r="A2" s="379" t="s">
        <v>66</v>
      </c>
      <c r="B2" s="342" t="s">
        <v>211</v>
      </c>
      <c r="C2" s="344" t="s">
        <v>54</v>
      </c>
      <c r="E2" s="776"/>
      <c r="F2" s="1081"/>
      <c r="G2" s="776"/>
    </row>
    <row r="3" spans="1:7" s="83" customFormat="1" ht="16.5" thickBot="1">
      <c r="A3" s="212" t="s">
        <v>185</v>
      </c>
      <c r="B3" s="343" t="s">
        <v>446</v>
      </c>
      <c r="C3" s="345">
        <v>1</v>
      </c>
      <c r="E3" s="776"/>
      <c r="F3" s="1081"/>
      <c r="G3" s="776"/>
    </row>
    <row r="4" spans="1:7" s="84" customFormat="1" ht="15.95" customHeight="1" thickBot="1">
      <c r="A4" s="213"/>
      <c r="B4" s="213" t="s">
        <v>620</v>
      </c>
      <c r="E4" s="214"/>
      <c r="F4" s="1082"/>
      <c r="G4" s="214" t="s">
        <v>794</v>
      </c>
    </row>
    <row r="5" spans="1:7" ht="24.75" thickBot="1">
      <c r="A5" s="846" t="s">
        <v>187</v>
      </c>
      <c r="B5" s="215" t="s">
        <v>56</v>
      </c>
      <c r="C5" s="346" t="s">
        <v>57</v>
      </c>
      <c r="D5" s="693" t="s">
        <v>833</v>
      </c>
      <c r="E5" s="694" t="s">
        <v>834</v>
      </c>
      <c r="F5" s="1083" t="s">
        <v>838</v>
      </c>
      <c r="G5" s="694" t="s">
        <v>834</v>
      </c>
    </row>
    <row r="6" spans="1:7" s="53" customFormat="1" ht="12.95" customHeight="1" thickBot="1">
      <c r="A6" s="196">
        <v>1</v>
      </c>
      <c r="B6" s="197">
        <v>2</v>
      </c>
      <c r="C6" s="197">
        <v>3</v>
      </c>
      <c r="D6" s="848">
        <v>4</v>
      </c>
      <c r="E6" s="817">
        <v>5</v>
      </c>
      <c r="F6" s="1084">
        <v>4</v>
      </c>
      <c r="G6" s="817">
        <v>5</v>
      </c>
    </row>
    <row r="7" spans="1:7" s="53" customFormat="1" ht="15.95" customHeight="1" thickBot="1">
      <c r="A7" s="836"/>
      <c r="B7" s="836" t="s">
        <v>58</v>
      </c>
      <c r="C7" s="843"/>
      <c r="D7" s="844"/>
      <c r="E7" s="845"/>
      <c r="F7" s="1085"/>
      <c r="G7" s="845"/>
    </row>
    <row r="8" spans="1:7" s="53" customFormat="1" ht="12" customHeight="1" thickBot="1">
      <c r="A8" s="31" t="s">
        <v>19</v>
      </c>
      <c r="B8" s="20" t="s">
        <v>242</v>
      </c>
      <c r="C8" s="287">
        <f>+C9+C10+C11+C12+C14+C15+C13</f>
        <v>826980588</v>
      </c>
      <c r="D8" s="746">
        <f>+D9+D10+D11+D12+D14+D15+D13</f>
        <v>968248</v>
      </c>
      <c r="E8" s="777">
        <f>+E9+E10+E11+E12+E14+E15+E13</f>
        <v>827948836</v>
      </c>
      <c r="F8" s="1086">
        <f>+F9+F10+F11+F12+F14+F15+F13</f>
        <v>9923327</v>
      </c>
      <c r="G8" s="777">
        <f>+G9+G10+G11+G12+G14+G15+G13</f>
        <v>837872163</v>
      </c>
    </row>
    <row r="9" spans="1:7" s="85" customFormat="1" ht="12" customHeight="1">
      <c r="A9" s="407" t="s">
        <v>103</v>
      </c>
      <c r="B9" s="389" t="s">
        <v>243</v>
      </c>
      <c r="C9" s="739">
        <v>185877626</v>
      </c>
      <c r="D9" s="747">
        <v>968248</v>
      </c>
      <c r="E9" s="778">
        <f>SUM(C9:D9)</f>
        <v>186845874</v>
      </c>
      <c r="F9" s="1087"/>
      <c r="G9" s="778">
        <f>SUM(E9+F9)</f>
        <v>186845874</v>
      </c>
    </row>
    <row r="10" spans="1:7" s="86" customFormat="1" ht="12" customHeight="1">
      <c r="A10" s="408" t="s">
        <v>104</v>
      </c>
      <c r="B10" s="390" t="s">
        <v>244</v>
      </c>
      <c r="C10" s="740">
        <v>387599564</v>
      </c>
      <c r="D10" s="747"/>
      <c r="E10" s="778">
        <f>SUM(C10:D10)</f>
        <v>387599564</v>
      </c>
      <c r="F10" s="1088">
        <v>9923327</v>
      </c>
      <c r="G10" s="778">
        <f t="shared" ref="G10:G13" si="0">SUM(E10+F10)</f>
        <v>397522891</v>
      </c>
    </row>
    <row r="11" spans="1:7" s="86" customFormat="1" ht="12" customHeight="1">
      <c r="A11" s="408" t="s">
        <v>105</v>
      </c>
      <c r="B11" s="390" t="s">
        <v>245</v>
      </c>
      <c r="C11" s="740">
        <v>116517000</v>
      </c>
      <c r="D11" s="747"/>
      <c r="E11" s="778">
        <f>SUM(C11:D11)</f>
        <v>116517000</v>
      </c>
      <c r="F11" s="1087"/>
      <c r="G11" s="778">
        <f t="shared" si="0"/>
        <v>116517000</v>
      </c>
    </row>
    <row r="12" spans="1:7" s="86" customFormat="1" ht="12" customHeight="1">
      <c r="A12" s="408" t="s">
        <v>106</v>
      </c>
      <c r="B12" s="390" t="s">
        <v>246</v>
      </c>
      <c r="C12" s="740">
        <v>19172520</v>
      </c>
      <c r="D12" s="747"/>
      <c r="E12" s="778">
        <f>SUM(C12:D12)</f>
        <v>19172520</v>
      </c>
      <c r="F12" s="1087"/>
      <c r="G12" s="778">
        <f t="shared" si="0"/>
        <v>19172520</v>
      </c>
    </row>
    <row r="13" spans="1:7" s="86" customFormat="1" ht="12" customHeight="1">
      <c r="A13" s="408"/>
      <c r="B13" s="390" t="s">
        <v>531</v>
      </c>
      <c r="C13" s="740">
        <v>117813878</v>
      </c>
      <c r="D13" s="747"/>
      <c r="E13" s="778">
        <f>SUM(C13:D13)</f>
        <v>117813878</v>
      </c>
      <c r="F13" s="1087"/>
      <c r="G13" s="778">
        <f t="shared" si="0"/>
        <v>117813878</v>
      </c>
    </row>
    <row r="14" spans="1:7" s="86" customFormat="1" ht="12" customHeight="1">
      <c r="A14" s="408" t="s">
        <v>131</v>
      </c>
      <c r="B14" s="390" t="s">
        <v>247</v>
      </c>
      <c r="C14" s="741"/>
      <c r="D14" s="748"/>
      <c r="E14" s="779"/>
      <c r="F14" s="1089"/>
      <c r="G14" s="779"/>
    </row>
    <row r="15" spans="1:7" s="85" customFormat="1" ht="12" customHeight="1" thickBot="1">
      <c r="A15" s="409" t="s">
        <v>107</v>
      </c>
      <c r="B15" s="391" t="s">
        <v>248</v>
      </c>
      <c r="C15" s="742"/>
      <c r="D15" s="749"/>
      <c r="E15" s="780"/>
      <c r="F15" s="1090"/>
      <c r="G15" s="780"/>
    </row>
    <row r="16" spans="1:7" s="85" customFormat="1" ht="12" customHeight="1" thickBot="1">
      <c r="A16" s="31" t="s">
        <v>20</v>
      </c>
      <c r="B16" s="276" t="s">
        <v>249</v>
      </c>
      <c r="C16" s="287">
        <f>+C17+C18+C19+C20+C21</f>
        <v>4300000</v>
      </c>
      <c r="D16" s="746">
        <f>+D17+D18+D19+D20+D21</f>
        <v>0</v>
      </c>
      <c r="E16" s="777">
        <f>+E17+E18+E19+E20+E21</f>
        <v>4300000</v>
      </c>
      <c r="F16" s="1086">
        <f>+F17+F18+F19+F20+F21</f>
        <v>24271811</v>
      </c>
      <c r="G16" s="777">
        <f>+G17+G18+G19+G20+G21</f>
        <v>28571811</v>
      </c>
    </row>
    <row r="17" spans="1:7" s="85" customFormat="1" ht="12" customHeight="1">
      <c r="A17" s="407" t="s">
        <v>109</v>
      </c>
      <c r="B17" s="389" t="s">
        <v>250</v>
      </c>
      <c r="C17" s="739"/>
      <c r="D17" s="747"/>
      <c r="E17" s="778">
        <f t="shared" ref="E17:E22" si="1">SUM(C17:D17)</f>
        <v>0</v>
      </c>
      <c r="F17" s="1088">
        <v>24271811</v>
      </c>
      <c r="G17" s="778">
        <f>SUM(E17+F17)</f>
        <v>24271811</v>
      </c>
    </row>
    <row r="18" spans="1:7" s="85" customFormat="1" ht="12" customHeight="1">
      <c r="A18" s="408" t="s">
        <v>110</v>
      </c>
      <c r="B18" s="390" t="s">
        <v>251</v>
      </c>
      <c r="C18" s="740"/>
      <c r="D18" s="747"/>
      <c r="E18" s="778">
        <f t="shared" si="1"/>
        <v>0</v>
      </c>
      <c r="F18" s="1087"/>
      <c r="G18" s="778">
        <f t="shared" ref="G18:G22" si="2">SUM(E18+F18)</f>
        <v>0</v>
      </c>
    </row>
    <row r="19" spans="1:7" s="85" customFormat="1" ht="12" customHeight="1">
      <c r="A19" s="408" t="s">
        <v>111</v>
      </c>
      <c r="B19" s="390" t="s">
        <v>473</v>
      </c>
      <c r="C19" s="740"/>
      <c r="D19" s="747"/>
      <c r="E19" s="778">
        <f t="shared" si="1"/>
        <v>0</v>
      </c>
      <c r="F19" s="1087"/>
      <c r="G19" s="778">
        <f t="shared" si="2"/>
        <v>0</v>
      </c>
    </row>
    <row r="20" spans="1:7" s="85" customFormat="1" ht="12" customHeight="1">
      <c r="A20" s="408" t="s">
        <v>112</v>
      </c>
      <c r="B20" s="390" t="s">
        <v>474</v>
      </c>
      <c r="C20" s="740"/>
      <c r="D20" s="747"/>
      <c r="E20" s="778">
        <f t="shared" si="1"/>
        <v>0</v>
      </c>
      <c r="F20" s="1087"/>
      <c r="G20" s="778">
        <f t="shared" si="2"/>
        <v>0</v>
      </c>
    </row>
    <row r="21" spans="1:7" s="85" customFormat="1" ht="12" customHeight="1">
      <c r="A21" s="408" t="s">
        <v>113</v>
      </c>
      <c r="B21" s="390" t="s">
        <v>768</v>
      </c>
      <c r="C21" s="740">
        <v>4300000</v>
      </c>
      <c r="D21" s="747"/>
      <c r="E21" s="778">
        <f t="shared" si="1"/>
        <v>4300000</v>
      </c>
      <c r="F21" s="1087"/>
      <c r="G21" s="778">
        <f t="shared" si="2"/>
        <v>4300000</v>
      </c>
    </row>
    <row r="22" spans="1:7" s="86" customFormat="1" ht="12" customHeight="1" thickBot="1">
      <c r="A22" s="409" t="s">
        <v>122</v>
      </c>
      <c r="B22" s="391" t="s">
        <v>253</v>
      </c>
      <c r="C22" s="743"/>
      <c r="D22" s="747"/>
      <c r="E22" s="778">
        <f t="shared" si="1"/>
        <v>0</v>
      </c>
      <c r="F22" s="1087"/>
      <c r="G22" s="778">
        <f t="shared" si="2"/>
        <v>0</v>
      </c>
    </row>
    <row r="23" spans="1:7" s="86" customFormat="1" ht="12" customHeight="1" thickBot="1">
      <c r="A23" s="31" t="s">
        <v>21</v>
      </c>
      <c r="B23" s="20" t="s">
        <v>254</v>
      </c>
      <c r="C23" s="287">
        <f>+C24+C25+C26+C27+C28</f>
        <v>300000000</v>
      </c>
      <c r="D23" s="746">
        <f>+D24+D25+D26+D27+D28</f>
        <v>0</v>
      </c>
      <c r="E23" s="777">
        <f>+E24+E25+E26+E27+E28</f>
        <v>300000000</v>
      </c>
      <c r="F23" s="1086">
        <f>+F24+F25+F26+F27+F28</f>
        <v>61966000</v>
      </c>
      <c r="G23" s="777">
        <f>+G24+G25+G26+G27+G28</f>
        <v>361966000</v>
      </c>
    </row>
    <row r="24" spans="1:7" s="86" customFormat="1" ht="12" customHeight="1">
      <c r="A24" s="407" t="s">
        <v>92</v>
      </c>
      <c r="B24" s="389" t="s">
        <v>255</v>
      </c>
      <c r="C24" s="739">
        <v>300000000</v>
      </c>
      <c r="D24" s="747"/>
      <c r="E24" s="778">
        <f>SUM(C24:D24)</f>
        <v>300000000</v>
      </c>
      <c r="F24" s="1087"/>
      <c r="G24" s="778">
        <f>SUM(E24+F24)</f>
        <v>300000000</v>
      </c>
    </row>
    <row r="25" spans="1:7" s="85" customFormat="1" ht="12" customHeight="1">
      <c r="A25" s="408" t="s">
        <v>93</v>
      </c>
      <c r="B25" s="390" t="s">
        <v>256</v>
      </c>
      <c r="C25" s="740"/>
      <c r="D25" s="747"/>
      <c r="E25" s="781"/>
      <c r="F25" s="1087"/>
      <c r="G25" s="778">
        <f t="shared" ref="G25:G29" si="3">SUM(E25+F25)</f>
        <v>0</v>
      </c>
    </row>
    <row r="26" spans="1:7" s="86" customFormat="1" ht="12" customHeight="1">
      <c r="A26" s="408" t="s">
        <v>94</v>
      </c>
      <c r="B26" s="390" t="s">
        <v>475</v>
      </c>
      <c r="C26" s="740"/>
      <c r="D26" s="747"/>
      <c r="E26" s="781"/>
      <c r="F26" s="1087"/>
      <c r="G26" s="778">
        <f t="shared" si="3"/>
        <v>0</v>
      </c>
    </row>
    <row r="27" spans="1:7" s="86" customFormat="1" ht="12" customHeight="1">
      <c r="A27" s="408" t="s">
        <v>95</v>
      </c>
      <c r="B27" s="390" t="s">
        <v>476</v>
      </c>
      <c r="C27" s="740"/>
      <c r="D27" s="747"/>
      <c r="E27" s="781"/>
      <c r="F27" s="1087"/>
      <c r="G27" s="778">
        <f t="shared" si="3"/>
        <v>0</v>
      </c>
    </row>
    <row r="28" spans="1:7" s="86" customFormat="1" ht="12" customHeight="1">
      <c r="A28" s="408" t="s">
        <v>153</v>
      </c>
      <c r="B28" s="390" t="s">
        <v>257</v>
      </c>
      <c r="C28" s="740"/>
      <c r="D28" s="747"/>
      <c r="E28" s="781"/>
      <c r="F28" s="1088">
        <v>61966000</v>
      </c>
      <c r="G28" s="778">
        <f t="shared" si="3"/>
        <v>61966000</v>
      </c>
    </row>
    <row r="29" spans="1:7" s="86" customFormat="1" ht="12" customHeight="1" thickBot="1">
      <c r="A29" s="409" t="s">
        <v>154</v>
      </c>
      <c r="B29" s="391" t="s">
        <v>258</v>
      </c>
      <c r="C29" s="743"/>
      <c r="D29" s="747"/>
      <c r="E29" s="781"/>
      <c r="F29" s="1087"/>
      <c r="G29" s="778">
        <f t="shared" si="3"/>
        <v>0</v>
      </c>
    </row>
    <row r="30" spans="1:7" s="86" customFormat="1" ht="12" customHeight="1" thickBot="1">
      <c r="A30" s="31" t="s">
        <v>155</v>
      </c>
      <c r="B30" s="20" t="s">
        <v>259</v>
      </c>
      <c r="C30" s="287">
        <f>+C31+C34+C35+C36</f>
        <v>858800000</v>
      </c>
      <c r="D30" s="746">
        <f>+D31+D34+D35+D36</f>
        <v>0</v>
      </c>
      <c r="E30" s="777">
        <f>+E31+E34+E35+E36</f>
        <v>858800000</v>
      </c>
      <c r="F30" s="1086">
        <f>+F31+F34+F35+F36</f>
        <v>0</v>
      </c>
      <c r="G30" s="777">
        <f>+G31+G34+G35+G36</f>
        <v>858800000</v>
      </c>
    </row>
    <row r="31" spans="1:7" s="86" customFormat="1" ht="12" customHeight="1">
      <c r="A31" s="407" t="s">
        <v>260</v>
      </c>
      <c r="B31" s="389" t="s">
        <v>266</v>
      </c>
      <c r="C31" s="744">
        <f>+C32+C33</f>
        <v>766800000</v>
      </c>
      <c r="D31" s="747"/>
      <c r="E31" s="778">
        <f t="shared" ref="E31:E36" si="4">SUM(C31:D31)</f>
        <v>766800000</v>
      </c>
      <c r="F31" s="1087"/>
      <c r="G31" s="778">
        <f>SUM(E31+F31)</f>
        <v>766800000</v>
      </c>
    </row>
    <row r="32" spans="1:7" s="86" customFormat="1" ht="12" customHeight="1">
      <c r="A32" s="408" t="s">
        <v>261</v>
      </c>
      <c r="B32" s="390" t="s">
        <v>267</v>
      </c>
      <c r="C32" s="740">
        <v>125000000</v>
      </c>
      <c r="D32" s="747"/>
      <c r="E32" s="778">
        <f t="shared" si="4"/>
        <v>125000000</v>
      </c>
      <c r="F32" s="1087"/>
      <c r="G32" s="778">
        <f t="shared" ref="G32:G36" si="5">SUM(E32+F32)</f>
        <v>125000000</v>
      </c>
    </row>
    <row r="33" spans="1:7" s="86" customFormat="1" ht="12" customHeight="1">
      <c r="A33" s="408" t="s">
        <v>262</v>
      </c>
      <c r="B33" s="390" t="s">
        <v>268</v>
      </c>
      <c r="C33" s="740">
        <v>641800000</v>
      </c>
      <c r="D33" s="747"/>
      <c r="E33" s="778">
        <f t="shared" si="4"/>
        <v>641800000</v>
      </c>
      <c r="F33" s="1087"/>
      <c r="G33" s="778">
        <f t="shared" si="5"/>
        <v>641800000</v>
      </c>
    </row>
    <row r="34" spans="1:7" s="86" customFormat="1" ht="12" customHeight="1">
      <c r="A34" s="408" t="s">
        <v>263</v>
      </c>
      <c r="B34" s="390" t="s">
        <v>269</v>
      </c>
      <c r="C34" s="740">
        <v>90000000</v>
      </c>
      <c r="D34" s="747"/>
      <c r="E34" s="778">
        <f t="shared" si="4"/>
        <v>90000000</v>
      </c>
      <c r="F34" s="1087"/>
      <c r="G34" s="778">
        <f t="shared" si="5"/>
        <v>90000000</v>
      </c>
    </row>
    <row r="35" spans="1:7" s="86" customFormat="1" ht="12" customHeight="1">
      <c r="A35" s="408" t="s">
        <v>264</v>
      </c>
      <c r="B35" s="390" t="s">
        <v>270</v>
      </c>
      <c r="C35" s="740">
        <v>2000000</v>
      </c>
      <c r="D35" s="747"/>
      <c r="E35" s="778">
        <f t="shared" si="4"/>
        <v>2000000</v>
      </c>
      <c r="F35" s="1087"/>
      <c r="G35" s="778">
        <f t="shared" si="5"/>
        <v>2000000</v>
      </c>
    </row>
    <row r="36" spans="1:7" s="86" customFormat="1" ht="12" customHeight="1" thickBot="1">
      <c r="A36" s="409" t="s">
        <v>265</v>
      </c>
      <c r="B36" s="391" t="s">
        <v>271</v>
      </c>
      <c r="C36" s="743"/>
      <c r="D36" s="747"/>
      <c r="E36" s="778">
        <f t="shared" si="4"/>
        <v>0</v>
      </c>
      <c r="F36" s="1087"/>
      <c r="G36" s="778">
        <f t="shared" si="5"/>
        <v>0</v>
      </c>
    </row>
    <row r="37" spans="1:7" s="86" customFormat="1" ht="12" customHeight="1" thickBot="1">
      <c r="A37" s="31" t="s">
        <v>23</v>
      </c>
      <c r="B37" s="20" t="s">
        <v>272</v>
      </c>
      <c r="C37" s="287">
        <f>SUM(C38:C47)</f>
        <v>98740000</v>
      </c>
      <c r="D37" s="746">
        <f>SUM(D38:D47)</f>
        <v>120118000</v>
      </c>
      <c r="E37" s="777">
        <f>SUM(E38:E47)</f>
        <v>218858000</v>
      </c>
      <c r="F37" s="1086">
        <f>SUM(F38:F47)</f>
        <v>1430000</v>
      </c>
      <c r="G37" s="777">
        <f>SUM(G38:G47)</f>
        <v>220288000</v>
      </c>
    </row>
    <row r="38" spans="1:7" s="86" customFormat="1" ht="12" customHeight="1">
      <c r="A38" s="407" t="s">
        <v>96</v>
      </c>
      <c r="B38" s="389" t="s">
        <v>275</v>
      </c>
      <c r="C38" s="739"/>
      <c r="D38" s="747"/>
      <c r="E38" s="778">
        <f>SUM(C38:D38)</f>
        <v>0</v>
      </c>
      <c r="F38" s="1087"/>
      <c r="G38" s="778">
        <f>SUM(E38+F38)</f>
        <v>0</v>
      </c>
    </row>
    <row r="39" spans="1:7" s="86" customFormat="1" ht="12" customHeight="1">
      <c r="A39" s="408" t="s">
        <v>97</v>
      </c>
      <c r="B39" s="390" t="s">
        <v>276</v>
      </c>
      <c r="C39" s="740">
        <v>70690000</v>
      </c>
      <c r="D39" s="747"/>
      <c r="E39" s="778">
        <f t="shared" ref="E39:E47" si="6">SUM(C39:D39)</f>
        <v>70690000</v>
      </c>
      <c r="F39" s="1088">
        <v>1430000</v>
      </c>
      <c r="G39" s="778">
        <f t="shared" ref="G39:G47" si="7">SUM(E39+F39)</f>
        <v>72120000</v>
      </c>
    </row>
    <row r="40" spans="1:7" s="86" customFormat="1" ht="12" customHeight="1">
      <c r="A40" s="408" t="s">
        <v>98</v>
      </c>
      <c r="B40" s="390" t="s">
        <v>277</v>
      </c>
      <c r="C40" s="740"/>
      <c r="D40" s="747">
        <v>17118000</v>
      </c>
      <c r="E40" s="778">
        <f t="shared" si="6"/>
        <v>17118000</v>
      </c>
      <c r="F40" s="1087"/>
      <c r="G40" s="778">
        <f t="shared" si="7"/>
        <v>17118000</v>
      </c>
    </row>
    <row r="41" spans="1:7" s="86" customFormat="1" ht="12" customHeight="1">
      <c r="A41" s="408" t="s">
        <v>157</v>
      </c>
      <c r="B41" s="390" t="s">
        <v>278</v>
      </c>
      <c r="C41" s="740"/>
      <c r="D41" s="747"/>
      <c r="E41" s="778">
        <f t="shared" si="6"/>
        <v>0</v>
      </c>
      <c r="F41" s="1087"/>
      <c r="G41" s="778">
        <f t="shared" si="7"/>
        <v>0</v>
      </c>
    </row>
    <row r="42" spans="1:7" s="86" customFormat="1" ht="12" customHeight="1">
      <c r="A42" s="408" t="s">
        <v>158</v>
      </c>
      <c r="B42" s="390" t="s">
        <v>279</v>
      </c>
      <c r="C42" s="740">
        <v>13440000</v>
      </c>
      <c r="D42" s="747"/>
      <c r="E42" s="778">
        <f t="shared" si="6"/>
        <v>13440000</v>
      </c>
      <c r="F42" s="1087"/>
      <c r="G42" s="778">
        <f t="shared" si="7"/>
        <v>13440000</v>
      </c>
    </row>
    <row r="43" spans="1:7" s="86" customFormat="1" ht="12" customHeight="1">
      <c r="A43" s="408" t="s">
        <v>159</v>
      </c>
      <c r="B43" s="390" t="s">
        <v>280</v>
      </c>
      <c r="C43" s="740">
        <v>13610000</v>
      </c>
      <c r="D43" s="747"/>
      <c r="E43" s="778">
        <f t="shared" si="6"/>
        <v>13610000</v>
      </c>
      <c r="F43" s="1087"/>
      <c r="G43" s="778">
        <f t="shared" si="7"/>
        <v>13610000</v>
      </c>
    </row>
    <row r="44" spans="1:7" s="86" customFormat="1" ht="12" customHeight="1">
      <c r="A44" s="408" t="s">
        <v>160</v>
      </c>
      <c r="B44" s="390" t="s">
        <v>281</v>
      </c>
      <c r="C44" s="740"/>
      <c r="D44" s="747"/>
      <c r="E44" s="778">
        <f t="shared" si="6"/>
        <v>0</v>
      </c>
      <c r="F44" s="1087"/>
      <c r="G44" s="778">
        <f t="shared" si="7"/>
        <v>0</v>
      </c>
    </row>
    <row r="45" spans="1:7" s="86" customFormat="1" ht="12" customHeight="1">
      <c r="A45" s="408" t="s">
        <v>161</v>
      </c>
      <c r="B45" s="390" t="s">
        <v>282</v>
      </c>
      <c r="C45" s="740">
        <v>1000000</v>
      </c>
      <c r="D45" s="747"/>
      <c r="E45" s="778">
        <f t="shared" si="6"/>
        <v>1000000</v>
      </c>
      <c r="F45" s="1087"/>
      <c r="G45" s="778">
        <f t="shared" si="7"/>
        <v>1000000</v>
      </c>
    </row>
    <row r="46" spans="1:7" s="86" customFormat="1" ht="12" customHeight="1">
      <c r="A46" s="408" t="s">
        <v>273</v>
      </c>
      <c r="B46" s="390" t="s">
        <v>283</v>
      </c>
      <c r="C46" s="740"/>
      <c r="D46" s="747"/>
      <c r="E46" s="778">
        <f t="shared" si="6"/>
        <v>0</v>
      </c>
      <c r="F46" s="1087"/>
      <c r="G46" s="778">
        <f t="shared" si="7"/>
        <v>0</v>
      </c>
    </row>
    <row r="47" spans="1:7" s="86" customFormat="1" ht="12" customHeight="1" thickBot="1">
      <c r="A47" s="409" t="s">
        <v>274</v>
      </c>
      <c r="B47" s="391" t="s">
        <v>284</v>
      </c>
      <c r="C47" s="743"/>
      <c r="D47" s="747">
        <v>103000000</v>
      </c>
      <c r="E47" s="778">
        <f t="shared" si="6"/>
        <v>103000000</v>
      </c>
      <c r="F47" s="1087"/>
      <c r="G47" s="778">
        <f t="shared" si="7"/>
        <v>103000000</v>
      </c>
    </row>
    <row r="48" spans="1:7" s="86" customFormat="1" ht="12" customHeight="1" thickBot="1">
      <c r="A48" s="31" t="s">
        <v>24</v>
      </c>
      <c r="B48" s="20" t="s">
        <v>285</v>
      </c>
      <c r="C48" s="287">
        <f>SUM(C49:C53)</f>
        <v>40000000</v>
      </c>
      <c r="D48" s="746">
        <f>SUM(D49:D53)</f>
        <v>0</v>
      </c>
      <c r="E48" s="777">
        <f>SUM(E49:E53)</f>
        <v>40000000</v>
      </c>
      <c r="F48" s="1086">
        <f>SUM(F49:F53)</f>
        <v>0</v>
      </c>
      <c r="G48" s="777">
        <f>SUM(G49:G53)</f>
        <v>40000000</v>
      </c>
    </row>
    <row r="49" spans="1:7" s="86" customFormat="1" ht="12" customHeight="1">
      <c r="A49" s="407" t="s">
        <v>99</v>
      </c>
      <c r="B49" s="389" t="s">
        <v>289</v>
      </c>
      <c r="C49" s="739"/>
      <c r="D49" s="747"/>
      <c r="E49" s="778">
        <f>SUM(C49:D49)</f>
        <v>0</v>
      </c>
      <c r="F49" s="1087"/>
      <c r="G49" s="778">
        <f>SUM(E49+F49)</f>
        <v>0</v>
      </c>
    </row>
    <row r="50" spans="1:7" s="86" customFormat="1" ht="12" customHeight="1">
      <c r="A50" s="408" t="s">
        <v>100</v>
      </c>
      <c r="B50" s="390" t="s">
        <v>290</v>
      </c>
      <c r="C50" s="740">
        <v>40000000</v>
      </c>
      <c r="D50" s="747"/>
      <c r="E50" s="778">
        <f>SUM(C50:D50)</f>
        <v>40000000</v>
      </c>
      <c r="F50" s="1087"/>
      <c r="G50" s="778">
        <f t="shared" ref="G50:G53" si="8">SUM(E50+F50)</f>
        <v>40000000</v>
      </c>
    </row>
    <row r="51" spans="1:7" s="86" customFormat="1" ht="12" customHeight="1">
      <c r="A51" s="408" t="s">
        <v>286</v>
      </c>
      <c r="B51" s="390" t="s">
        <v>291</v>
      </c>
      <c r="C51" s="740"/>
      <c r="D51" s="747"/>
      <c r="E51" s="778">
        <f>SUM(C51:D51)</f>
        <v>0</v>
      </c>
      <c r="F51" s="1087"/>
      <c r="G51" s="778">
        <f t="shared" si="8"/>
        <v>0</v>
      </c>
    </row>
    <row r="52" spans="1:7" s="86" customFormat="1" ht="12" customHeight="1">
      <c r="A52" s="408" t="s">
        <v>287</v>
      </c>
      <c r="B52" s="390" t="s">
        <v>292</v>
      </c>
      <c r="C52" s="740"/>
      <c r="D52" s="747"/>
      <c r="E52" s="778">
        <f>SUM(C52:D52)</f>
        <v>0</v>
      </c>
      <c r="F52" s="1087"/>
      <c r="G52" s="778">
        <f t="shared" si="8"/>
        <v>0</v>
      </c>
    </row>
    <row r="53" spans="1:7" s="86" customFormat="1" ht="12" customHeight="1" thickBot="1">
      <c r="A53" s="409" t="s">
        <v>288</v>
      </c>
      <c r="B53" s="391" t="s">
        <v>293</v>
      </c>
      <c r="C53" s="743"/>
      <c r="D53" s="747"/>
      <c r="E53" s="778">
        <f>SUM(C53:D53)</f>
        <v>0</v>
      </c>
      <c r="F53" s="1087"/>
      <c r="G53" s="778">
        <f t="shared" si="8"/>
        <v>0</v>
      </c>
    </row>
    <row r="54" spans="1:7" s="86" customFormat="1" ht="12" customHeight="1" thickBot="1">
      <c r="A54" s="31" t="s">
        <v>162</v>
      </c>
      <c r="B54" s="20" t="s">
        <v>294</v>
      </c>
      <c r="C54" s="287">
        <f>SUM(C55:C57)</f>
        <v>0</v>
      </c>
      <c r="D54" s="746">
        <f>SUM(D55:D57)</f>
        <v>0</v>
      </c>
      <c r="E54" s="777">
        <f>SUM(E55:E57)</f>
        <v>0</v>
      </c>
      <c r="F54" s="1086">
        <f>SUM(F55:F57)</f>
        <v>0</v>
      </c>
      <c r="G54" s="777">
        <f>SUM(G55:G57)</f>
        <v>0</v>
      </c>
    </row>
    <row r="55" spans="1:7" s="86" customFormat="1" ht="12" customHeight="1">
      <c r="A55" s="407" t="s">
        <v>101</v>
      </c>
      <c r="B55" s="389" t="s">
        <v>295</v>
      </c>
      <c r="C55" s="739"/>
      <c r="D55" s="747"/>
      <c r="E55" s="778">
        <f>SUM(C55:D55)</f>
        <v>0</v>
      </c>
      <c r="F55" s="1087"/>
      <c r="G55" s="778">
        <f>SUM(E55+F55)</f>
        <v>0</v>
      </c>
    </row>
    <row r="56" spans="1:7" s="86" customFormat="1" ht="12" customHeight="1">
      <c r="A56" s="408" t="s">
        <v>102</v>
      </c>
      <c r="B56" s="390" t="s">
        <v>477</v>
      </c>
      <c r="C56" s="740"/>
      <c r="D56" s="747"/>
      <c r="E56" s="778">
        <f>SUM(C56:D56)</f>
        <v>0</v>
      </c>
      <c r="F56" s="1087"/>
      <c r="G56" s="778">
        <f t="shared" ref="G56:G58" si="9">SUM(E56+F56)</f>
        <v>0</v>
      </c>
    </row>
    <row r="57" spans="1:7" s="86" customFormat="1" ht="12" customHeight="1">
      <c r="A57" s="408" t="s">
        <v>299</v>
      </c>
      <c r="B57" s="390" t="s">
        <v>297</v>
      </c>
      <c r="C57" s="740"/>
      <c r="D57" s="747"/>
      <c r="E57" s="778">
        <f>SUM(C57:D57)</f>
        <v>0</v>
      </c>
      <c r="F57" s="1087"/>
      <c r="G57" s="778">
        <f t="shared" si="9"/>
        <v>0</v>
      </c>
    </row>
    <row r="58" spans="1:7" s="86" customFormat="1" ht="12" customHeight="1" thickBot="1">
      <c r="A58" s="409" t="s">
        <v>300</v>
      </c>
      <c r="B58" s="391" t="s">
        <v>298</v>
      </c>
      <c r="C58" s="743"/>
      <c r="D58" s="747"/>
      <c r="E58" s="778">
        <f>SUM(C58:D58)</f>
        <v>0</v>
      </c>
      <c r="F58" s="1087"/>
      <c r="G58" s="778">
        <f t="shared" si="9"/>
        <v>0</v>
      </c>
    </row>
    <row r="59" spans="1:7" s="86" customFormat="1" ht="12" customHeight="1" thickBot="1">
      <c r="A59" s="31" t="s">
        <v>26</v>
      </c>
      <c r="B59" s="276" t="s">
        <v>301</v>
      </c>
      <c r="C59" s="287">
        <f>SUM(C60:C62)</f>
        <v>8000000</v>
      </c>
      <c r="D59" s="746">
        <f>SUM(D60:D62)</f>
        <v>0</v>
      </c>
      <c r="E59" s="777">
        <f>SUM(E60:E62)</f>
        <v>8000000</v>
      </c>
      <c r="F59" s="1086">
        <f>SUM(F60:F62)</f>
        <v>0</v>
      </c>
      <c r="G59" s="777">
        <f>SUM(G60:G62)</f>
        <v>8000000</v>
      </c>
    </row>
    <row r="60" spans="1:7" s="86" customFormat="1" ht="12" customHeight="1">
      <c r="A60" s="407" t="s">
        <v>163</v>
      </c>
      <c r="B60" s="389" t="s">
        <v>303</v>
      </c>
      <c r="C60" s="740"/>
      <c r="D60" s="747"/>
      <c r="E60" s="778">
        <f>SUM(C60:D60)</f>
        <v>0</v>
      </c>
      <c r="F60" s="1087"/>
      <c r="G60" s="778">
        <f>SUM(E60+F60)</f>
        <v>0</v>
      </c>
    </row>
    <row r="61" spans="1:7" s="86" customFormat="1" ht="12" customHeight="1">
      <c r="A61" s="408" t="s">
        <v>164</v>
      </c>
      <c r="B61" s="390" t="s">
        <v>478</v>
      </c>
      <c r="C61" s="740"/>
      <c r="D61" s="747"/>
      <c r="E61" s="778">
        <f>SUM(C61:D61)</f>
        <v>0</v>
      </c>
      <c r="F61" s="1087"/>
      <c r="G61" s="778">
        <f t="shared" ref="G61:G63" si="10">SUM(E61+F61)</f>
        <v>0</v>
      </c>
    </row>
    <row r="62" spans="1:7" s="86" customFormat="1" ht="12" customHeight="1">
      <c r="A62" s="408" t="s">
        <v>217</v>
      </c>
      <c r="B62" s="390" t="s">
        <v>728</v>
      </c>
      <c r="C62" s="740">
        <v>8000000</v>
      </c>
      <c r="D62" s="747"/>
      <c r="E62" s="778">
        <f>SUM(C62:D62)</f>
        <v>8000000</v>
      </c>
      <c r="F62" s="1087"/>
      <c r="G62" s="778">
        <f t="shared" si="10"/>
        <v>8000000</v>
      </c>
    </row>
    <row r="63" spans="1:7" s="86" customFormat="1" ht="12" customHeight="1" thickBot="1">
      <c r="A63" s="409" t="s">
        <v>302</v>
      </c>
      <c r="B63" s="391" t="s">
        <v>305</v>
      </c>
      <c r="C63" s="740"/>
      <c r="D63" s="747"/>
      <c r="E63" s="778">
        <f>SUM(C63:D63)</f>
        <v>0</v>
      </c>
      <c r="F63" s="1087"/>
      <c r="G63" s="778">
        <f t="shared" si="10"/>
        <v>0</v>
      </c>
    </row>
    <row r="64" spans="1:7" s="86" customFormat="1" ht="12" customHeight="1" thickBot="1">
      <c r="A64" s="31" t="s">
        <v>27</v>
      </c>
      <c r="B64" s="20" t="s">
        <v>306</v>
      </c>
      <c r="C64" s="287">
        <f>+C8+C16+C23+C30+C37+C48+C54+C59</f>
        <v>2136820588</v>
      </c>
      <c r="D64" s="746">
        <f>+D8+D16+D23+D30+D37+D48+D54+D59</f>
        <v>121086248</v>
      </c>
      <c r="E64" s="777">
        <f>+E8+E16+E23+E30+E37+E48+E54+E59</f>
        <v>2257906836</v>
      </c>
      <c r="F64" s="1086">
        <f>+F8+F16+F23+F30+F37+F48+F54+F59</f>
        <v>97591138</v>
      </c>
      <c r="G64" s="777">
        <f>+G8+G16+G23+G30+G37+G48+G54+G59</f>
        <v>2355497974</v>
      </c>
    </row>
    <row r="65" spans="1:7" s="86" customFormat="1" ht="12" customHeight="1" thickBot="1">
      <c r="A65" s="410" t="s">
        <v>440</v>
      </c>
      <c r="B65" s="276" t="s">
        <v>308</v>
      </c>
      <c r="C65" s="287">
        <f>SUM(C66:C68)</f>
        <v>0</v>
      </c>
      <c r="D65" s="746">
        <f>SUM(D66:D68)</f>
        <v>0</v>
      </c>
      <c r="E65" s="777">
        <f>SUM(E66:E68)</f>
        <v>0</v>
      </c>
      <c r="F65" s="1086">
        <f>SUM(F66:F68)</f>
        <v>0</v>
      </c>
      <c r="G65" s="777">
        <f>SUM(G66:G68)</f>
        <v>0</v>
      </c>
    </row>
    <row r="66" spans="1:7" s="86" customFormat="1" ht="12" customHeight="1">
      <c r="A66" s="407" t="s">
        <v>341</v>
      </c>
      <c r="B66" s="389" t="s">
        <v>309</v>
      </c>
      <c r="C66" s="740"/>
      <c r="D66" s="747"/>
      <c r="E66" s="778">
        <f>SUM(C66:D66)</f>
        <v>0</v>
      </c>
      <c r="F66" s="1087"/>
      <c r="G66" s="778">
        <f>SUM(E66+F66)</f>
        <v>0</v>
      </c>
    </row>
    <row r="67" spans="1:7" s="86" customFormat="1" ht="12" customHeight="1">
      <c r="A67" s="408" t="s">
        <v>350</v>
      </c>
      <c r="B67" s="390" t="s">
        <v>310</v>
      </c>
      <c r="C67" s="740"/>
      <c r="D67" s="747"/>
      <c r="E67" s="778">
        <f>SUM(C67:D67)</f>
        <v>0</v>
      </c>
      <c r="F67" s="1087"/>
      <c r="G67" s="778">
        <f t="shared" ref="G67:G68" si="11">SUM(E67+F67)</f>
        <v>0</v>
      </c>
    </row>
    <row r="68" spans="1:7" s="86" customFormat="1" ht="12" customHeight="1" thickBot="1">
      <c r="A68" s="409" t="s">
        <v>351</v>
      </c>
      <c r="B68" s="393" t="s">
        <v>311</v>
      </c>
      <c r="C68" s="740"/>
      <c r="D68" s="747"/>
      <c r="E68" s="778">
        <f>SUM(C68:D68)</f>
        <v>0</v>
      </c>
      <c r="F68" s="1087"/>
      <c r="G68" s="778">
        <f t="shared" si="11"/>
        <v>0</v>
      </c>
    </row>
    <row r="69" spans="1:7" s="86" customFormat="1" ht="12" customHeight="1" thickBot="1">
      <c r="A69" s="410" t="s">
        <v>312</v>
      </c>
      <c r="B69" s="276" t="s">
        <v>313</v>
      </c>
      <c r="C69" s="287">
        <f>SUM(C70:C73)</f>
        <v>0</v>
      </c>
      <c r="D69" s="746">
        <f>SUM(D70:D73)</f>
        <v>0</v>
      </c>
      <c r="E69" s="777">
        <f>SUM(E70:E73)</f>
        <v>0</v>
      </c>
      <c r="F69" s="1086">
        <f>SUM(F70:F73)</f>
        <v>0</v>
      </c>
      <c r="G69" s="777">
        <f>SUM(G70:G73)</f>
        <v>0</v>
      </c>
    </row>
    <row r="70" spans="1:7" s="86" customFormat="1" ht="12" customHeight="1">
      <c r="A70" s="407" t="s">
        <v>132</v>
      </c>
      <c r="B70" s="389" t="s">
        <v>314</v>
      </c>
      <c r="C70" s="740"/>
      <c r="D70" s="747"/>
      <c r="E70" s="778">
        <f>SUM(C70:D70)</f>
        <v>0</v>
      </c>
      <c r="F70" s="1087"/>
      <c r="G70" s="778">
        <f>SUM(E70+F70)</f>
        <v>0</v>
      </c>
    </row>
    <row r="71" spans="1:7" s="86" customFormat="1" ht="12" customHeight="1">
      <c r="A71" s="408" t="s">
        <v>133</v>
      </c>
      <c r="B71" s="390" t="s">
        <v>315</v>
      </c>
      <c r="C71" s="740"/>
      <c r="D71" s="747"/>
      <c r="E71" s="778">
        <f>SUM(C71:D71)</f>
        <v>0</v>
      </c>
      <c r="F71" s="1087"/>
      <c r="G71" s="778">
        <f t="shared" ref="G71:G73" si="12">SUM(E71+F71)</f>
        <v>0</v>
      </c>
    </row>
    <row r="72" spans="1:7" s="86" customFormat="1" ht="12" customHeight="1">
      <c r="A72" s="408" t="s">
        <v>342</v>
      </c>
      <c r="B72" s="390" t="s">
        <v>316</v>
      </c>
      <c r="C72" s="740"/>
      <c r="D72" s="747"/>
      <c r="E72" s="778">
        <f>SUM(C72:D72)</f>
        <v>0</v>
      </c>
      <c r="F72" s="1087"/>
      <c r="G72" s="778">
        <f t="shared" si="12"/>
        <v>0</v>
      </c>
    </row>
    <row r="73" spans="1:7" s="86" customFormat="1" ht="12" customHeight="1" thickBot="1">
      <c r="A73" s="409" t="s">
        <v>343</v>
      </c>
      <c r="B73" s="391" t="s">
        <v>317</v>
      </c>
      <c r="C73" s="740"/>
      <c r="D73" s="747"/>
      <c r="E73" s="778">
        <f>SUM(C73:D73)</f>
        <v>0</v>
      </c>
      <c r="F73" s="1087"/>
      <c r="G73" s="778">
        <f t="shared" si="12"/>
        <v>0</v>
      </c>
    </row>
    <row r="74" spans="1:7" s="86" customFormat="1" ht="12" customHeight="1" thickBot="1">
      <c r="A74" s="410" t="s">
        <v>318</v>
      </c>
      <c r="B74" s="276" t="s">
        <v>319</v>
      </c>
      <c r="C74" s="287">
        <f>SUM(C75:C76)</f>
        <v>200000000</v>
      </c>
      <c r="D74" s="746">
        <f>SUM(D75:D76)</f>
        <v>0</v>
      </c>
      <c r="E74" s="782">
        <f>SUM(E75:E76)</f>
        <v>200000000</v>
      </c>
      <c r="F74" s="1086">
        <f>SUM(F75:F76)</f>
        <v>292578549</v>
      </c>
      <c r="G74" s="782">
        <f>SUM(G75:G76)</f>
        <v>492578549</v>
      </c>
    </row>
    <row r="75" spans="1:7" s="86" customFormat="1" ht="12" customHeight="1">
      <c r="A75" s="407" t="s">
        <v>344</v>
      </c>
      <c r="B75" s="389" t="s">
        <v>320</v>
      </c>
      <c r="C75" s="740">
        <v>200000000</v>
      </c>
      <c r="D75" s="747"/>
      <c r="E75" s="778">
        <f>SUM(C75:D75)</f>
        <v>200000000</v>
      </c>
      <c r="F75" s="1088">
        <v>292578549</v>
      </c>
      <c r="G75" s="778">
        <f>SUM(E75+F75)</f>
        <v>492578549</v>
      </c>
    </row>
    <row r="76" spans="1:7" s="86" customFormat="1" ht="12" customHeight="1" thickBot="1">
      <c r="A76" s="409" t="s">
        <v>345</v>
      </c>
      <c r="B76" s="391" t="s">
        <v>321</v>
      </c>
      <c r="C76" s="740"/>
      <c r="D76" s="747"/>
      <c r="E76" s="778">
        <f>SUM(C76:D76)</f>
        <v>0</v>
      </c>
      <c r="F76" s="1087"/>
      <c r="G76" s="778">
        <f>SUM(E76+F76)</f>
        <v>0</v>
      </c>
    </row>
    <row r="77" spans="1:7" s="85" customFormat="1" ht="12" customHeight="1" thickBot="1">
      <c r="A77" s="410" t="s">
        <v>322</v>
      </c>
      <c r="B77" s="276" t="s">
        <v>323</v>
      </c>
      <c r="C77" s="287">
        <f>SUM(C78:C80)</f>
        <v>0</v>
      </c>
      <c r="D77" s="746">
        <f>SUM(D78:D80)</f>
        <v>0</v>
      </c>
      <c r="E77" s="777">
        <f>SUM(E78:E80)</f>
        <v>0</v>
      </c>
      <c r="F77" s="1086">
        <f>SUM(F78:F80)</f>
        <v>0</v>
      </c>
      <c r="G77" s="777">
        <f>SUM(G78:G80)</f>
        <v>0</v>
      </c>
    </row>
    <row r="78" spans="1:7" s="86" customFormat="1" ht="12" customHeight="1">
      <c r="A78" s="407" t="s">
        <v>346</v>
      </c>
      <c r="B78" s="389" t="s">
        <v>324</v>
      </c>
      <c r="C78" s="740"/>
      <c r="D78" s="747"/>
      <c r="E78" s="778">
        <f>SUM(C78:D78)</f>
        <v>0</v>
      </c>
      <c r="F78" s="1087"/>
      <c r="G78" s="778">
        <f>SUM(E78+F78)</f>
        <v>0</v>
      </c>
    </row>
    <row r="79" spans="1:7" s="86" customFormat="1" ht="12" customHeight="1">
      <c r="A79" s="408" t="s">
        <v>347</v>
      </c>
      <c r="B79" s="390" t="s">
        <v>325</v>
      </c>
      <c r="C79" s="740"/>
      <c r="D79" s="747"/>
      <c r="E79" s="778">
        <f>SUM(C79:D79)</f>
        <v>0</v>
      </c>
      <c r="F79" s="1087"/>
      <c r="G79" s="778">
        <f t="shared" ref="G79:G80" si="13">SUM(E79+F79)</f>
        <v>0</v>
      </c>
    </row>
    <row r="80" spans="1:7" s="86" customFormat="1" ht="12" customHeight="1" thickBot="1">
      <c r="A80" s="409" t="s">
        <v>348</v>
      </c>
      <c r="B80" s="391" t="s">
        <v>326</v>
      </c>
      <c r="C80" s="740"/>
      <c r="D80" s="747"/>
      <c r="E80" s="778">
        <f>SUM(C80:D80)</f>
        <v>0</v>
      </c>
      <c r="F80" s="1087"/>
      <c r="G80" s="778">
        <f t="shared" si="13"/>
        <v>0</v>
      </c>
    </row>
    <row r="81" spans="1:7" s="86" customFormat="1" ht="12" customHeight="1" thickBot="1">
      <c r="A81" s="410" t="s">
        <v>327</v>
      </c>
      <c r="B81" s="276" t="s">
        <v>349</v>
      </c>
      <c r="C81" s="287">
        <f>SUM(C82:C85)</f>
        <v>0</v>
      </c>
      <c r="D81" s="746">
        <f>SUM(D82:D85)</f>
        <v>0</v>
      </c>
      <c r="E81" s="777">
        <f>SUM(E82:E85)</f>
        <v>0</v>
      </c>
      <c r="F81" s="1086">
        <f>SUM(F82:F85)</f>
        <v>0</v>
      </c>
      <c r="G81" s="777">
        <f>SUM(G82:G85)</f>
        <v>0</v>
      </c>
    </row>
    <row r="82" spans="1:7" s="86" customFormat="1" ht="12" customHeight="1">
      <c r="A82" s="411" t="s">
        <v>328</v>
      </c>
      <c r="B82" s="389" t="s">
        <v>329</v>
      </c>
      <c r="C82" s="740"/>
      <c r="D82" s="747"/>
      <c r="E82" s="778">
        <f>SUM(C82:D82)</f>
        <v>0</v>
      </c>
      <c r="F82" s="1087"/>
      <c r="G82" s="778">
        <f>SUM(E82:F82)</f>
        <v>0</v>
      </c>
    </row>
    <row r="83" spans="1:7" s="86" customFormat="1" ht="12" customHeight="1">
      <c r="A83" s="412" t="s">
        <v>330</v>
      </c>
      <c r="B83" s="390" t="s">
        <v>331</v>
      </c>
      <c r="C83" s="740"/>
      <c r="D83" s="747"/>
      <c r="E83" s="778">
        <f>SUM(C83:D83)</f>
        <v>0</v>
      </c>
      <c r="F83" s="1087"/>
      <c r="G83" s="778">
        <f>SUM(E83:F83)</f>
        <v>0</v>
      </c>
    </row>
    <row r="84" spans="1:7" s="86" customFormat="1" ht="12" customHeight="1">
      <c r="A84" s="412" t="s">
        <v>332</v>
      </c>
      <c r="B84" s="390" t="s">
        <v>333</v>
      </c>
      <c r="C84" s="740"/>
      <c r="D84" s="747"/>
      <c r="E84" s="778">
        <f>SUM(C84:D84)</f>
        <v>0</v>
      </c>
      <c r="F84" s="1087"/>
      <c r="G84" s="778">
        <f>SUM(E84:F84)</f>
        <v>0</v>
      </c>
    </row>
    <row r="85" spans="1:7" s="85" customFormat="1" ht="12" customHeight="1" thickBot="1">
      <c r="A85" s="413" t="s">
        <v>334</v>
      </c>
      <c r="B85" s="391" t="s">
        <v>335</v>
      </c>
      <c r="C85" s="740"/>
      <c r="D85" s="856"/>
      <c r="E85" s="857">
        <f>SUM(C85:D85)</f>
        <v>0</v>
      </c>
      <c r="F85" s="1091"/>
      <c r="G85" s="857">
        <f>SUM(E85:F85)</f>
        <v>0</v>
      </c>
    </row>
    <row r="86" spans="1:7" s="85" customFormat="1" ht="12" customHeight="1" thickBot="1">
      <c r="A86" s="410" t="s">
        <v>336</v>
      </c>
      <c r="B86" s="276" t="s">
        <v>337</v>
      </c>
      <c r="C86" s="745"/>
      <c r="D86" s="858"/>
      <c r="E86" s="859"/>
      <c r="F86" s="1092"/>
      <c r="G86" s="859"/>
    </row>
    <row r="87" spans="1:7" s="85" customFormat="1" ht="12" customHeight="1" thickBot="1">
      <c r="A87" s="410" t="s">
        <v>338</v>
      </c>
      <c r="B87" s="397" t="s">
        <v>339</v>
      </c>
      <c r="C87" s="287">
        <f>+C65+C69+C74+C77+C81+C86</f>
        <v>200000000</v>
      </c>
      <c r="D87" s="746">
        <f>+D65+D69+D74+D77+D81+D86</f>
        <v>0</v>
      </c>
      <c r="E87" s="777">
        <f>+E65+E69+E74+E77+E81+E86</f>
        <v>200000000</v>
      </c>
      <c r="F87" s="1086">
        <f>+F65+F69+F74+F77+F81+F86</f>
        <v>292578549</v>
      </c>
      <c r="G87" s="777">
        <f>+G65+G69+G74+G77+G81+G86</f>
        <v>492578549</v>
      </c>
    </row>
    <row r="88" spans="1:7" s="85" customFormat="1" ht="12" customHeight="1" thickBot="1">
      <c r="A88" s="414" t="s">
        <v>352</v>
      </c>
      <c r="B88" s="399" t="s">
        <v>468</v>
      </c>
      <c r="C88" s="287">
        <f>+C64+C87</f>
        <v>2336820588</v>
      </c>
      <c r="D88" s="746">
        <f>+D64+D87</f>
        <v>121086248</v>
      </c>
      <c r="E88" s="777">
        <f>+E64+E87</f>
        <v>2457906836</v>
      </c>
      <c r="F88" s="1086">
        <f>+F64+F87</f>
        <v>390169687</v>
      </c>
      <c r="G88" s="777">
        <f>+G64+G87</f>
        <v>2848076523</v>
      </c>
    </row>
    <row r="89" spans="1:7" s="86" customFormat="1" ht="15" customHeight="1">
      <c r="A89" s="223"/>
      <c r="B89" s="224"/>
      <c r="C89" s="352"/>
      <c r="E89" s="783"/>
      <c r="F89" s="1093"/>
      <c r="G89" s="783"/>
    </row>
    <row r="90" spans="1:7" ht="13.5" thickBot="1">
      <c r="A90" s="415"/>
      <c r="B90" s="226"/>
      <c r="C90" s="353"/>
    </row>
    <row r="91" spans="1:7" s="53" customFormat="1" ht="16.5" customHeight="1" thickBot="1">
      <c r="A91" s="227"/>
      <c r="B91" s="228" t="s">
        <v>60</v>
      </c>
      <c r="C91" s="750"/>
      <c r="D91" s="852"/>
      <c r="E91" s="853"/>
      <c r="F91" s="1095"/>
      <c r="G91" s="853"/>
    </row>
    <row r="92" spans="1:7" s="87" customFormat="1" ht="12" customHeight="1" thickBot="1">
      <c r="A92" s="849" t="s">
        <v>19</v>
      </c>
      <c r="B92" s="850" t="s">
        <v>355</v>
      </c>
      <c r="C92" s="851">
        <f>SUM(C93:C97)</f>
        <v>651880755</v>
      </c>
      <c r="D92" s="764">
        <f>SUM(D93:D97)</f>
        <v>120118000</v>
      </c>
      <c r="E92" s="785">
        <f>SUM(E93:E97)</f>
        <v>771998755</v>
      </c>
      <c r="F92" s="1096">
        <f>SUM(F93:F97)</f>
        <v>22927338</v>
      </c>
      <c r="G92" s="785">
        <f>SUM(G93:G97)</f>
        <v>794926093</v>
      </c>
    </row>
    <row r="93" spans="1:7" ht="12" customHeight="1">
      <c r="A93" s="416" t="s">
        <v>103</v>
      </c>
      <c r="B93" s="9" t="s">
        <v>49</v>
      </c>
      <c r="C93" s="760">
        <v>84132100</v>
      </c>
      <c r="D93" s="854">
        <v>83400810</v>
      </c>
      <c r="E93" s="788">
        <f>SUM(C93:D93)</f>
        <v>167532910</v>
      </c>
      <c r="F93" s="1097">
        <v>3551388</v>
      </c>
      <c r="G93" s="1017">
        <f>SUM(E93+F93)</f>
        <v>171084298</v>
      </c>
    </row>
    <row r="94" spans="1:7" ht="12" customHeight="1">
      <c r="A94" s="408" t="s">
        <v>104</v>
      </c>
      <c r="B94" s="7" t="s">
        <v>165</v>
      </c>
      <c r="C94" s="761">
        <v>18885742</v>
      </c>
      <c r="D94" s="768">
        <v>19599190</v>
      </c>
      <c r="E94" s="784">
        <f>SUM(C94:D94)</f>
        <v>38484932</v>
      </c>
      <c r="F94" s="1098">
        <v>850575</v>
      </c>
      <c r="G94" s="1017">
        <f t="shared" ref="G94:G97" si="14">SUM(E94+F94)</f>
        <v>39335507</v>
      </c>
    </row>
    <row r="95" spans="1:7" ht="12" customHeight="1">
      <c r="A95" s="408" t="s">
        <v>105</v>
      </c>
      <c r="B95" s="7" t="s">
        <v>129</v>
      </c>
      <c r="C95" s="762">
        <v>269187000</v>
      </c>
      <c r="D95" s="768">
        <v>17118000</v>
      </c>
      <c r="E95" s="784">
        <f>SUM(C95:D95)</f>
        <v>286305000</v>
      </c>
      <c r="F95" s="1098">
        <v>7330097</v>
      </c>
      <c r="G95" s="1017">
        <f t="shared" si="14"/>
        <v>293635097</v>
      </c>
    </row>
    <row r="96" spans="1:7" ht="12" customHeight="1">
      <c r="A96" s="408" t="s">
        <v>106</v>
      </c>
      <c r="B96" s="10" t="s">
        <v>166</v>
      </c>
      <c r="C96" s="762">
        <v>61500000</v>
      </c>
      <c r="D96" s="768"/>
      <c r="E96" s="784">
        <f>SUM(C96:D96)</f>
        <v>61500000</v>
      </c>
      <c r="F96" s="1098">
        <v>549486</v>
      </c>
      <c r="G96" s="1017">
        <f t="shared" si="14"/>
        <v>62049486</v>
      </c>
    </row>
    <row r="97" spans="1:7" ht="12" customHeight="1" thickBot="1">
      <c r="A97" s="408" t="s">
        <v>117</v>
      </c>
      <c r="B97" s="18" t="s">
        <v>167</v>
      </c>
      <c r="C97" s="762">
        <f>202175913+16000000</f>
        <v>218175913</v>
      </c>
      <c r="D97" s="768"/>
      <c r="E97" s="784">
        <f>SUM(C97:D97)</f>
        <v>218175913</v>
      </c>
      <c r="F97" s="1098">
        <v>10645792</v>
      </c>
      <c r="G97" s="1017">
        <f t="shared" si="14"/>
        <v>228821705</v>
      </c>
    </row>
    <row r="98" spans="1:7" ht="12" customHeight="1" thickBot="1">
      <c r="A98" s="31" t="s">
        <v>20</v>
      </c>
      <c r="B98" s="29" t="s">
        <v>366</v>
      </c>
      <c r="C98" s="763">
        <f>+C99+C101+C103</f>
        <v>698431000</v>
      </c>
      <c r="D98" s="764">
        <f>+D99+D101+D103</f>
        <v>0</v>
      </c>
      <c r="E98" s="785">
        <f>+E99+E101+E103</f>
        <v>698431000</v>
      </c>
      <c r="F98" s="1096">
        <f>+F99+F101+F103</f>
        <v>148347371</v>
      </c>
      <c r="G98" s="785">
        <f>+G99+G101+G103</f>
        <v>846778371</v>
      </c>
    </row>
    <row r="99" spans="1:7" ht="12" customHeight="1">
      <c r="A99" s="407" t="s">
        <v>109</v>
      </c>
      <c r="B99" s="7" t="s">
        <v>215</v>
      </c>
      <c r="C99" s="765">
        <v>361951000</v>
      </c>
      <c r="D99" s="768"/>
      <c r="E99" s="784">
        <f>SUM(C99:D99)</f>
        <v>361951000</v>
      </c>
      <c r="F99" s="1098">
        <v>83897697</v>
      </c>
      <c r="G99" s="784">
        <f>SUM(E99+F99)</f>
        <v>445848697</v>
      </c>
    </row>
    <row r="100" spans="1:7" ht="12" customHeight="1">
      <c r="A100" s="407" t="s">
        <v>110</v>
      </c>
      <c r="B100" s="11" t="s">
        <v>370</v>
      </c>
      <c r="C100" s="765"/>
      <c r="D100" s="768"/>
      <c r="E100" s="784">
        <f>SUM(C100:D100)</f>
        <v>0</v>
      </c>
      <c r="F100" s="1098"/>
      <c r="G100" s="784">
        <f t="shared" ref="G100:G103" si="15">SUM(E100+F100)</f>
        <v>0</v>
      </c>
    </row>
    <row r="101" spans="1:7" ht="12" customHeight="1">
      <c r="A101" s="407" t="s">
        <v>111</v>
      </c>
      <c r="B101" s="11" t="s">
        <v>169</v>
      </c>
      <c r="C101" s="761">
        <v>336480000</v>
      </c>
      <c r="D101" s="768"/>
      <c r="E101" s="784">
        <f>SUM(C101:D101)</f>
        <v>336480000</v>
      </c>
      <c r="F101" s="1098">
        <v>64449674</v>
      </c>
      <c r="G101" s="784">
        <f t="shared" si="15"/>
        <v>400929674</v>
      </c>
    </row>
    <row r="102" spans="1:7" ht="12" customHeight="1">
      <c r="A102" s="407" t="s">
        <v>112</v>
      </c>
      <c r="B102" s="11" t="s">
        <v>371</v>
      </c>
      <c r="C102" s="766"/>
      <c r="D102" s="768"/>
      <c r="E102" s="784">
        <f>SUM(C102:D102)</f>
        <v>0</v>
      </c>
      <c r="F102" s="1098"/>
      <c r="G102" s="784">
        <f t="shared" si="15"/>
        <v>0</v>
      </c>
    </row>
    <row r="103" spans="1:7" ht="12" customHeight="1" thickBot="1">
      <c r="A103" s="407" t="s">
        <v>113</v>
      </c>
      <c r="B103" s="278" t="s">
        <v>218</v>
      </c>
      <c r="C103" s="766"/>
      <c r="D103" s="768"/>
      <c r="E103" s="784">
        <f>SUM(C103:D103)</f>
        <v>0</v>
      </c>
      <c r="F103" s="1098"/>
      <c r="G103" s="784">
        <f t="shared" si="15"/>
        <v>0</v>
      </c>
    </row>
    <row r="104" spans="1:7" ht="12" customHeight="1" thickBot="1">
      <c r="A104" s="31" t="s">
        <v>21</v>
      </c>
      <c r="B104" s="119" t="s">
        <v>377</v>
      </c>
      <c r="C104" s="763">
        <f>+C105+C106</f>
        <v>101166704</v>
      </c>
      <c r="D104" s="764">
        <f>+D105+D106</f>
        <v>332248</v>
      </c>
      <c r="E104" s="785">
        <f>+E105+E106</f>
        <v>101498952</v>
      </c>
      <c r="F104" s="1096">
        <f>+F105+F106</f>
        <v>189394203</v>
      </c>
      <c r="G104" s="785">
        <f>+G105+G106</f>
        <v>290893155</v>
      </c>
    </row>
    <row r="105" spans="1:7" ht="12" customHeight="1">
      <c r="A105" s="407" t="s">
        <v>92</v>
      </c>
      <c r="B105" s="8" t="s">
        <v>62</v>
      </c>
      <c r="C105" s="765">
        <v>44166704</v>
      </c>
      <c r="D105" s="769">
        <v>332248</v>
      </c>
      <c r="E105" s="786">
        <f>SUM(C105:D105)</f>
        <v>44498952</v>
      </c>
      <c r="F105" s="1099">
        <v>-8314271</v>
      </c>
      <c r="G105" s="786">
        <f>SUM(E105+F105)</f>
        <v>36184681</v>
      </c>
    </row>
    <row r="106" spans="1:7" ht="12" customHeight="1">
      <c r="A106" s="409" t="s">
        <v>93</v>
      </c>
      <c r="B106" s="11" t="s">
        <v>63</v>
      </c>
      <c r="C106" s="762">
        <v>57000000</v>
      </c>
      <c r="D106" s="770"/>
      <c r="E106" s="786">
        <f t="shared" ref="E106:E113" si="16">SUM(C106:D106)</f>
        <v>57000000</v>
      </c>
      <c r="F106" s="1100">
        <v>197708474</v>
      </c>
      <c r="G106" s="786">
        <f>SUM(E106+F106)</f>
        <v>254708474</v>
      </c>
    </row>
    <row r="107" spans="1:7" ht="12" customHeight="1">
      <c r="A107" s="417"/>
      <c r="B107" s="6" t="s">
        <v>744</v>
      </c>
      <c r="C107" s="767"/>
      <c r="D107" s="771"/>
      <c r="E107" s="787">
        <f t="shared" si="16"/>
        <v>0</v>
      </c>
      <c r="F107" s="1101"/>
      <c r="G107" s="787"/>
    </row>
    <row r="108" spans="1:7" ht="12" customHeight="1">
      <c r="A108" s="417"/>
      <c r="B108" s="6" t="s">
        <v>743</v>
      </c>
      <c r="C108" s="767"/>
      <c r="D108" s="771"/>
      <c r="E108" s="787">
        <f t="shared" si="16"/>
        <v>0</v>
      </c>
      <c r="F108" s="1101"/>
      <c r="G108" s="787"/>
    </row>
    <row r="109" spans="1:7" ht="12" customHeight="1">
      <c r="A109" s="417"/>
      <c r="B109" s="6" t="s">
        <v>742</v>
      </c>
      <c r="C109" s="767"/>
      <c r="D109" s="771"/>
      <c r="E109" s="787">
        <f t="shared" si="16"/>
        <v>0</v>
      </c>
      <c r="F109" s="1101"/>
      <c r="G109" s="787"/>
    </row>
    <row r="110" spans="1:7" ht="12" customHeight="1">
      <c r="A110" s="417"/>
      <c r="B110" s="6" t="s">
        <v>745</v>
      </c>
      <c r="C110" s="767"/>
      <c r="D110" s="771"/>
      <c r="E110" s="787">
        <f t="shared" si="16"/>
        <v>0</v>
      </c>
      <c r="F110" s="1101"/>
      <c r="G110" s="787"/>
    </row>
    <row r="111" spans="1:7" ht="12" customHeight="1">
      <c r="A111" s="417"/>
      <c r="B111" s="6" t="s">
        <v>804</v>
      </c>
      <c r="C111" s="767"/>
      <c r="D111" s="771"/>
      <c r="E111" s="787">
        <f t="shared" si="16"/>
        <v>0</v>
      </c>
      <c r="F111" s="1101"/>
      <c r="G111" s="787"/>
    </row>
    <row r="112" spans="1:7" ht="12" customHeight="1">
      <c r="A112" s="417"/>
      <c r="B112" s="6" t="s">
        <v>805</v>
      </c>
      <c r="C112" s="767"/>
      <c r="D112" s="771"/>
      <c r="E112" s="787">
        <f t="shared" si="16"/>
        <v>0</v>
      </c>
      <c r="F112" s="1101"/>
      <c r="G112" s="787"/>
    </row>
    <row r="113" spans="1:11" ht="18" customHeight="1" thickBot="1">
      <c r="A113" s="417"/>
      <c r="B113" s="689" t="s">
        <v>746</v>
      </c>
      <c r="C113" s="767"/>
      <c r="D113" s="772"/>
      <c r="E113" s="788">
        <f t="shared" si="16"/>
        <v>0</v>
      </c>
      <c r="F113" s="1102"/>
      <c r="G113" s="788"/>
    </row>
    <row r="114" spans="1:11" ht="12" customHeight="1" thickBot="1">
      <c r="A114" s="31" t="s">
        <v>22</v>
      </c>
      <c r="B114" s="681" t="s">
        <v>378</v>
      </c>
      <c r="C114" s="763">
        <f>+C92+C98+C104</f>
        <v>1451478459</v>
      </c>
      <c r="D114" s="764">
        <f>+D92+D98+D104</f>
        <v>120450248</v>
      </c>
      <c r="E114" s="785">
        <f>+E92+E98+E104</f>
        <v>1571928707</v>
      </c>
      <c r="F114" s="1096">
        <f>+F92+F98+F104</f>
        <v>360668912</v>
      </c>
      <c r="G114" s="785">
        <f>+G92+G98+G104</f>
        <v>1932597619</v>
      </c>
    </row>
    <row r="115" spans="1:11" ht="12" customHeight="1" thickBot="1">
      <c r="A115" s="31" t="s">
        <v>23</v>
      </c>
      <c r="B115" s="119" t="s">
        <v>379</v>
      </c>
      <c r="C115" s="763">
        <f>+C116+C117+C118</f>
        <v>0</v>
      </c>
      <c r="D115" s="764">
        <f>+D116+D117+D118</f>
        <v>0</v>
      </c>
      <c r="E115" s="785">
        <f>+E116+E117+E118</f>
        <v>0</v>
      </c>
      <c r="F115" s="1096">
        <f>+F116+F117+F118</f>
        <v>0</v>
      </c>
      <c r="G115" s="785">
        <f>+G116+G117+G118</f>
        <v>0</v>
      </c>
    </row>
    <row r="116" spans="1:11" s="87" customFormat="1" ht="12" customHeight="1">
      <c r="A116" s="407" t="s">
        <v>96</v>
      </c>
      <c r="B116" s="8" t="s">
        <v>380</v>
      </c>
      <c r="C116" s="766"/>
      <c r="D116" s="773"/>
      <c r="E116" s="789">
        <f>SUM(C116:D116)</f>
        <v>0</v>
      </c>
      <c r="F116" s="1103"/>
      <c r="G116" s="789">
        <f>SUM(E116:F116)</f>
        <v>0</v>
      </c>
    </row>
    <row r="117" spans="1:11" ht="12" customHeight="1">
      <c r="A117" s="407" t="s">
        <v>97</v>
      </c>
      <c r="B117" s="8" t="s">
        <v>381</v>
      </c>
      <c r="C117" s="766"/>
      <c r="D117" s="768"/>
      <c r="E117" s="789">
        <f>SUM(C117:D117)</f>
        <v>0</v>
      </c>
      <c r="F117" s="1098"/>
      <c r="G117" s="789">
        <f>SUM(E117:F117)</f>
        <v>0</v>
      </c>
    </row>
    <row r="118" spans="1:11" ht="12" customHeight="1" thickBot="1">
      <c r="A118" s="417" t="s">
        <v>98</v>
      </c>
      <c r="B118" s="6" t="s">
        <v>382</v>
      </c>
      <c r="C118" s="766"/>
      <c r="D118" s="768"/>
      <c r="E118" s="789">
        <f>SUM(C118:D118)</f>
        <v>0</v>
      </c>
      <c r="F118" s="1098"/>
      <c r="G118" s="789">
        <f>SUM(E118:F118)</f>
        <v>0</v>
      </c>
    </row>
    <row r="119" spans="1:11" ht="12" customHeight="1" thickBot="1">
      <c r="A119" s="31" t="s">
        <v>24</v>
      </c>
      <c r="B119" s="119" t="s">
        <v>439</v>
      </c>
      <c r="C119" s="763">
        <f>+C120+C121+C122+C123</f>
        <v>0</v>
      </c>
      <c r="D119" s="764">
        <f>+D120+D121+D122+D123</f>
        <v>0</v>
      </c>
      <c r="E119" s="785">
        <f>+E120+E121+E122+E123</f>
        <v>0</v>
      </c>
      <c r="F119" s="1096">
        <f>+F120+F121+F122+F123</f>
        <v>0</v>
      </c>
      <c r="G119" s="785">
        <f>+G120+G121+G122+G123</f>
        <v>0</v>
      </c>
    </row>
    <row r="120" spans="1:11" ht="12" customHeight="1">
      <c r="A120" s="407" t="s">
        <v>99</v>
      </c>
      <c r="B120" s="8" t="s">
        <v>383</v>
      </c>
      <c r="C120" s="766"/>
      <c r="D120" s="768"/>
      <c r="E120" s="784">
        <f>SUM(C120:D120)</f>
        <v>0</v>
      </c>
      <c r="F120" s="1098"/>
      <c r="G120" s="784">
        <f>SUM(E120:F120)</f>
        <v>0</v>
      </c>
    </row>
    <row r="121" spans="1:11" ht="12" customHeight="1">
      <c r="A121" s="407" t="s">
        <v>100</v>
      </c>
      <c r="B121" s="8" t="s">
        <v>384</v>
      </c>
      <c r="C121" s="766"/>
      <c r="D121" s="768"/>
      <c r="E121" s="784">
        <f>SUM(C121:D121)</f>
        <v>0</v>
      </c>
      <c r="F121" s="1098"/>
      <c r="G121" s="784">
        <f>SUM(E121:F121)</f>
        <v>0</v>
      </c>
    </row>
    <row r="122" spans="1:11" ht="12" customHeight="1">
      <c r="A122" s="407" t="s">
        <v>286</v>
      </c>
      <c r="B122" s="8" t="s">
        <v>385</v>
      </c>
      <c r="C122" s="766"/>
      <c r="D122" s="768"/>
      <c r="E122" s="784">
        <f>SUM(C122:D122)</f>
        <v>0</v>
      </c>
      <c r="F122" s="1098"/>
      <c r="G122" s="784">
        <f>SUM(E122:F122)</f>
        <v>0</v>
      </c>
    </row>
    <row r="123" spans="1:11" s="87" customFormat="1" ht="12" customHeight="1" thickBot="1">
      <c r="A123" s="417" t="s">
        <v>287</v>
      </c>
      <c r="B123" s="6" t="s">
        <v>386</v>
      </c>
      <c r="C123" s="766"/>
      <c r="D123" s="773"/>
      <c r="E123" s="784">
        <f>SUM(C123:D123)</f>
        <v>0</v>
      </c>
      <c r="F123" s="1103"/>
      <c r="G123" s="784">
        <f>SUM(E123:F123)</f>
        <v>0</v>
      </c>
    </row>
    <row r="124" spans="1:11" ht="12" customHeight="1" thickBot="1">
      <c r="A124" s="31" t="s">
        <v>25</v>
      </c>
      <c r="B124" s="119" t="s">
        <v>387</v>
      </c>
      <c r="C124" s="763">
        <f>+C125+C126+C127+C128</f>
        <v>885342129</v>
      </c>
      <c r="D124" s="764">
        <f>+D125+D126+D127+D128</f>
        <v>636000</v>
      </c>
      <c r="E124" s="785">
        <f>+E125+E126+E127+E128</f>
        <v>885978129</v>
      </c>
      <c r="F124" s="1096">
        <f>+F125+F126+F127+F128</f>
        <v>29500775</v>
      </c>
      <c r="G124" s="785">
        <f>+G125+G126+G127+G128</f>
        <v>915478904</v>
      </c>
      <c r="K124" s="235"/>
    </row>
    <row r="125" spans="1:11">
      <c r="A125" s="407" t="s">
        <v>101</v>
      </c>
      <c r="B125" s="8" t="s">
        <v>499</v>
      </c>
      <c r="C125" s="766">
        <v>885342129</v>
      </c>
      <c r="D125" s="768">
        <v>636000</v>
      </c>
      <c r="E125" s="784">
        <f>SUM(C125:D125)</f>
        <v>885978129</v>
      </c>
      <c r="F125" s="1098">
        <v>1737732</v>
      </c>
      <c r="G125" s="784">
        <f>SUM(E125+F125)</f>
        <v>887715861</v>
      </c>
    </row>
    <row r="126" spans="1:11" ht="12" customHeight="1">
      <c r="A126" s="407" t="s">
        <v>102</v>
      </c>
      <c r="B126" s="8" t="s">
        <v>398</v>
      </c>
      <c r="C126" s="766"/>
      <c r="D126" s="768"/>
      <c r="E126" s="784">
        <f>SUM(C126:D126)</f>
        <v>0</v>
      </c>
      <c r="F126" s="1098">
        <v>27763043</v>
      </c>
      <c r="G126" s="784">
        <f t="shared" ref="G126:G128" si="17">SUM(E126+F126)</f>
        <v>27763043</v>
      </c>
    </row>
    <row r="127" spans="1:11" s="87" customFormat="1" ht="12" customHeight="1">
      <c r="A127" s="407" t="s">
        <v>299</v>
      </c>
      <c r="B127" s="8" t="s">
        <v>389</v>
      </c>
      <c r="C127" s="766"/>
      <c r="D127" s="773"/>
      <c r="E127" s="784">
        <f>SUM(C127:D127)</f>
        <v>0</v>
      </c>
      <c r="F127" s="1103"/>
      <c r="G127" s="784">
        <f t="shared" si="17"/>
        <v>0</v>
      </c>
    </row>
    <row r="128" spans="1:11" s="87" customFormat="1" ht="12" customHeight="1" thickBot="1">
      <c r="A128" s="417" t="s">
        <v>300</v>
      </c>
      <c r="B128" s="6" t="s">
        <v>390</v>
      </c>
      <c r="C128" s="766"/>
      <c r="D128" s="773"/>
      <c r="E128" s="784">
        <f>SUM(C128:D128)</f>
        <v>0</v>
      </c>
      <c r="F128" s="1103"/>
      <c r="G128" s="784">
        <f t="shared" si="17"/>
        <v>0</v>
      </c>
    </row>
    <row r="129" spans="1:7" s="87" customFormat="1" ht="12" customHeight="1" thickBot="1">
      <c r="A129" s="31" t="s">
        <v>26</v>
      </c>
      <c r="B129" s="119" t="s">
        <v>391</v>
      </c>
      <c r="C129" s="290">
        <f>+C130+C131+C132+C133</f>
        <v>0</v>
      </c>
      <c r="D129" s="759">
        <f>+D130+D131+D132+D133</f>
        <v>0</v>
      </c>
      <c r="E129" s="790">
        <f>+E130+E131+E132+E133</f>
        <v>0</v>
      </c>
      <c r="F129" s="1104">
        <f>+F130+F131+F132+F133</f>
        <v>0</v>
      </c>
      <c r="G129" s="790">
        <f>+G130+G131+G132+G133</f>
        <v>0</v>
      </c>
    </row>
    <row r="130" spans="1:7" s="87" customFormat="1" ht="12" customHeight="1">
      <c r="A130" s="407" t="s">
        <v>163</v>
      </c>
      <c r="B130" s="8" t="s">
        <v>392</v>
      </c>
      <c r="C130" s="766"/>
      <c r="D130" s="773"/>
      <c r="E130" s="789">
        <f>SUM(C130:D130)</f>
        <v>0</v>
      </c>
      <c r="F130" s="1103"/>
      <c r="G130" s="789">
        <f>SUM(E130:F130)</f>
        <v>0</v>
      </c>
    </row>
    <row r="131" spans="1:7" s="87" customFormat="1" ht="12" customHeight="1">
      <c r="A131" s="407" t="s">
        <v>164</v>
      </c>
      <c r="B131" s="8" t="s">
        <v>393</v>
      </c>
      <c r="C131" s="766"/>
      <c r="D131" s="773"/>
      <c r="E131" s="789">
        <f>SUM(C131:D131)</f>
        <v>0</v>
      </c>
      <c r="F131" s="1103"/>
      <c r="G131" s="789">
        <f>SUM(E131:F131)</f>
        <v>0</v>
      </c>
    </row>
    <row r="132" spans="1:7" s="87" customFormat="1" ht="12" customHeight="1">
      <c r="A132" s="407" t="s">
        <v>217</v>
      </c>
      <c r="B132" s="8" t="s">
        <v>394</v>
      </c>
      <c r="C132" s="766"/>
      <c r="D132" s="773"/>
      <c r="E132" s="789">
        <f>SUM(C132:D132)</f>
        <v>0</v>
      </c>
      <c r="F132" s="1103"/>
      <c r="G132" s="789">
        <f>SUM(E132:F132)</f>
        <v>0</v>
      </c>
    </row>
    <row r="133" spans="1:7" ht="12.75" customHeight="1" thickBot="1">
      <c r="A133" s="407" t="s">
        <v>302</v>
      </c>
      <c r="B133" s="8" t="s">
        <v>395</v>
      </c>
      <c r="C133" s="766"/>
      <c r="D133" s="768"/>
      <c r="E133" s="789">
        <f>SUM(C133:D133)</f>
        <v>0</v>
      </c>
      <c r="F133" s="1098"/>
      <c r="G133" s="789">
        <f>SUM(E133:F133)</f>
        <v>0</v>
      </c>
    </row>
    <row r="134" spans="1:7" ht="12" customHeight="1" thickBot="1">
      <c r="A134" s="31" t="s">
        <v>27</v>
      </c>
      <c r="B134" s="119" t="s">
        <v>396</v>
      </c>
      <c r="C134" s="702">
        <f>+C115+C119+C124+C129</f>
        <v>885342129</v>
      </c>
      <c r="D134" s="774">
        <f>+D115+D119+D124+D129</f>
        <v>636000</v>
      </c>
      <c r="E134" s="791">
        <f>+E115+E119+E124+E129</f>
        <v>885978129</v>
      </c>
      <c r="F134" s="1105">
        <f>+F115+F119+F124+F129</f>
        <v>29500775</v>
      </c>
      <c r="G134" s="791">
        <f>+G115+G119+G124+G129</f>
        <v>915478904</v>
      </c>
    </row>
    <row r="135" spans="1:7" ht="15" customHeight="1" thickBot="1">
      <c r="A135" s="419" t="s">
        <v>28</v>
      </c>
      <c r="B135" s="363" t="s">
        <v>397</v>
      </c>
      <c r="C135" s="702">
        <f>+C114+C134</f>
        <v>2336820588</v>
      </c>
      <c r="D135" s="774">
        <f>+D114+D134</f>
        <v>121086248</v>
      </c>
      <c r="E135" s="791">
        <f>+E114+E134</f>
        <v>2457906836</v>
      </c>
      <c r="F135" s="1105">
        <f>+F114+F134</f>
        <v>390169687</v>
      </c>
      <c r="G135" s="791">
        <f>+G114+G134</f>
        <v>2848076523</v>
      </c>
    </row>
    <row r="136" spans="1:7" ht="13.5" thickBot="1">
      <c r="A136" s="369"/>
      <c r="B136" s="370"/>
      <c r="C136" s="753"/>
      <c r="D136" s="752"/>
      <c r="E136" s="792"/>
      <c r="F136" s="1106"/>
      <c r="G136" s="792"/>
    </row>
    <row r="137" spans="1:7" ht="15" customHeight="1" thickBot="1">
      <c r="A137" s="232" t="s">
        <v>188</v>
      </c>
      <c r="B137" s="233"/>
      <c r="C137" s="751">
        <v>26</v>
      </c>
      <c r="D137" s="756"/>
      <c r="E137" s="855">
        <f>SUM(C137:D137)</f>
        <v>26</v>
      </c>
      <c r="F137" s="1107"/>
      <c r="G137" s="855">
        <f>SUM(E137:F137)</f>
        <v>26</v>
      </c>
    </row>
    <row r="138" spans="1:7" ht="14.25" customHeight="1" thickBot="1">
      <c r="A138" s="757" t="s">
        <v>189</v>
      </c>
      <c r="B138" s="758"/>
      <c r="C138" s="751">
        <v>130</v>
      </c>
      <c r="D138" s="756"/>
      <c r="E138" s="855">
        <f>SUM(C138:D138)</f>
        <v>130</v>
      </c>
      <c r="F138" s="1107"/>
      <c r="G138" s="855">
        <f>SUM(E138:F138)</f>
        <v>130</v>
      </c>
    </row>
    <row r="142" spans="1:7" ht="11.25" customHeight="1"/>
  </sheetData>
  <sheetProtection formatCells="0"/>
  <mergeCells count="1">
    <mergeCell ref="F1:G1"/>
  </mergeCells>
  <phoneticPr fontId="0" type="noConversion"/>
  <printOptions horizontalCentered="1"/>
  <pageMargins left="0.38" right="0.17" top="0.98425196850393704" bottom="0.98425196850393704" header="0.78740157480314965" footer="0.78740157480314965"/>
  <pageSetup paperSize="8" scale="60" orientation="portrait" r:id="rId1"/>
  <headerFooter alignWithMargins="0">
    <oddHeader xml:space="preserve">&amp;C
</oddHeader>
  </headerFooter>
  <rowBreaks count="1" manualBreakCount="1">
    <brk id="8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K114"/>
  <sheetViews>
    <sheetView topLeftCell="A94" zoomScale="90" zoomScaleNormal="90" workbookViewId="0">
      <selection activeCell="E15" sqref="E15"/>
    </sheetView>
  </sheetViews>
  <sheetFormatPr defaultRowHeight="12.75"/>
  <cols>
    <col min="1" max="1" width="47" customWidth="1"/>
    <col min="2" max="2" width="15.6640625" customWidth="1"/>
    <col min="3" max="3" width="14.83203125" style="507" customWidth="1"/>
    <col min="4" max="4" width="14.33203125" style="507" customWidth="1"/>
    <col min="5" max="5" width="16.83203125" style="507" customWidth="1"/>
    <col min="6" max="6" width="14.83203125" customWidth="1"/>
    <col min="7" max="7" width="17.83203125" customWidth="1"/>
    <col min="8" max="8" width="17.33203125" customWidth="1"/>
    <col min="9" max="10" width="16.6640625" customWidth="1"/>
    <col min="11" max="11" width="18" customWidth="1"/>
  </cols>
  <sheetData>
    <row r="3" spans="1:11" ht="15">
      <c r="F3" s="1139"/>
      <c r="G3" s="1139"/>
      <c r="H3" s="1139"/>
      <c r="I3" s="1142" t="s">
        <v>619</v>
      </c>
      <c r="J3" s="1142"/>
      <c r="K3" s="1142"/>
    </row>
    <row r="4" spans="1:11" ht="18">
      <c r="A4" s="1141" t="s">
        <v>532</v>
      </c>
      <c r="B4" s="1141"/>
      <c r="C4" s="1141"/>
      <c r="D4" s="1141"/>
      <c r="E4" s="1141"/>
      <c r="F4" s="1141"/>
      <c r="G4" s="1141"/>
      <c r="H4" s="1141"/>
      <c r="I4" s="1141"/>
      <c r="J4" s="1141"/>
      <c r="K4" s="1141"/>
    </row>
    <row r="5" spans="1:11" ht="16.5" thickBot="1">
      <c r="A5" s="459"/>
      <c r="B5" s="459"/>
      <c r="C5" s="494"/>
      <c r="D5" s="494" t="s">
        <v>438</v>
      </c>
      <c r="E5" s="494"/>
      <c r="F5" s="459"/>
      <c r="G5" s="459"/>
      <c r="H5" s="1140" t="s">
        <v>737</v>
      </c>
      <c r="I5" s="1140"/>
      <c r="J5" s="1140"/>
      <c r="K5" s="1140"/>
    </row>
    <row r="6" spans="1:11" ht="47.25">
      <c r="A6" s="460" t="s">
        <v>533</v>
      </c>
      <c r="B6" s="461" t="s">
        <v>58</v>
      </c>
      <c r="C6" s="668" t="s">
        <v>67</v>
      </c>
      <c r="D6" s="668" t="s">
        <v>534</v>
      </c>
      <c r="E6" s="668" t="s">
        <v>535</v>
      </c>
      <c r="F6" s="460" t="s">
        <v>536</v>
      </c>
      <c r="G6" s="460" t="s">
        <v>537</v>
      </c>
      <c r="H6" s="460" t="s">
        <v>538</v>
      </c>
      <c r="I6" s="462" t="s">
        <v>539</v>
      </c>
      <c r="J6" s="462" t="s">
        <v>540</v>
      </c>
      <c r="K6" s="463" t="s">
        <v>51</v>
      </c>
    </row>
    <row r="7" spans="1:11" ht="47.25">
      <c r="A7" s="464" t="s">
        <v>541</v>
      </c>
      <c r="B7" s="465"/>
      <c r="C7" s="469"/>
      <c r="D7" s="469"/>
      <c r="E7" s="469"/>
      <c r="F7" s="465"/>
      <c r="G7" s="465"/>
      <c r="H7" s="465"/>
      <c r="I7" s="466"/>
      <c r="J7" s="466"/>
      <c r="K7" s="467"/>
    </row>
    <row r="8" spans="1:11" ht="15.75">
      <c r="A8" s="468" t="s">
        <v>542</v>
      </c>
      <c r="B8" s="465"/>
      <c r="C8" s="482">
        <v>27839000</v>
      </c>
      <c r="D8" s="482">
        <v>6025580</v>
      </c>
      <c r="E8" s="482">
        <f>8200000+6000000</f>
        <v>14200000</v>
      </c>
      <c r="F8" s="465"/>
      <c r="G8" s="465"/>
      <c r="H8" s="469">
        <f>SUM(C8:G8)</f>
        <v>48064580</v>
      </c>
      <c r="I8" s="466"/>
      <c r="J8" s="466"/>
      <c r="K8" s="454">
        <f>H8+I8+J8</f>
        <v>48064580</v>
      </c>
    </row>
    <row r="9" spans="1:11" ht="15.75">
      <c r="A9" s="470" t="s">
        <v>543</v>
      </c>
      <c r="B9" s="471"/>
      <c r="C9" s="471"/>
      <c r="D9" s="471"/>
      <c r="E9" s="471">
        <v>14947000</v>
      </c>
      <c r="F9" s="471"/>
      <c r="G9" s="471"/>
      <c r="H9" s="469">
        <f t="shared" ref="H9:H79" si="0">SUM(C9:G9)</f>
        <v>14947000</v>
      </c>
      <c r="I9" s="466"/>
      <c r="J9" s="466"/>
      <c r="K9" s="454">
        <f t="shared" ref="K9:K77" si="1">H9+I9+J9</f>
        <v>14947000</v>
      </c>
    </row>
    <row r="10" spans="1:11" ht="31.5">
      <c r="A10" s="472" t="s">
        <v>544</v>
      </c>
      <c r="B10" s="471"/>
      <c r="C10" s="471"/>
      <c r="D10" s="471"/>
      <c r="E10" s="471"/>
      <c r="F10" s="471"/>
      <c r="G10" s="471"/>
      <c r="H10" s="469">
        <f t="shared" si="0"/>
        <v>0</v>
      </c>
      <c r="I10" s="466"/>
      <c r="J10" s="466"/>
      <c r="K10" s="454">
        <f t="shared" si="1"/>
        <v>0</v>
      </c>
    </row>
    <row r="11" spans="1:11" ht="15.75">
      <c r="A11" s="470" t="s">
        <v>655</v>
      </c>
      <c r="B11" s="471">
        <v>16000000</v>
      </c>
      <c r="C11" s="471">
        <v>8722000</v>
      </c>
      <c r="D11" s="471">
        <v>1918840</v>
      </c>
      <c r="E11" s="471">
        <v>13407600</v>
      </c>
      <c r="F11" s="471"/>
      <c r="G11" s="471"/>
      <c r="H11" s="469">
        <f t="shared" si="0"/>
        <v>24048440</v>
      </c>
      <c r="I11" s="466"/>
      <c r="J11" s="466">
        <v>11500000</v>
      </c>
      <c r="K11" s="454">
        <f t="shared" si="1"/>
        <v>35548440</v>
      </c>
    </row>
    <row r="12" spans="1:11" ht="31.5">
      <c r="A12" s="472" t="s">
        <v>545</v>
      </c>
      <c r="B12" s="471"/>
      <c r="C12" s="471"/>
      <c r="D12" s="471"/>
      <c r="E12" s="471"/>
      <c r="F12" s="471"/>
      <c r="G12" s="471"/>
      <c r="H12" s="469">
        <f t="shared" si="0"/>
        <v>0</v>
      </c>
      <c r="I12" s="466"/>
      <c r="J12" s="466"/>
      <c r="K12" s="454">
        <f t="shared" si="1"/>
        <v>0</v>
      </c>
    </row>
    <row r="13" spans="1:11" ht="30.75">
      <c r="A13" s="473" t="s">
        <v>546</v>
      </c>
      <c r="B13" s="471">
        <v>7000000</v>
      </c>
      <c r="C13" s="471"/>
      <c r="D13" s="471"/>
      <c r="E13" s="471">
        <v>7000000</v>
      </c>
      <c r="F13" s="471"/>
      <c r="G13" s="471"/>
      <c r="H13" s="469">
        <f t="shared" si="0"/>
        <v>7000000</v>
      </c>
      <c r="I13" s="466"/>
      <c r="J13" s="506"/>
      <c r="K13" s="454">
        <f>H13+I13+J13</f>
        <v>7000000</v>
      </c>
    </row>
    <row r="14" spans="1:11" ht="30.75">
      <c r="A14" s="473" t="s">
        <v>547</v>
      </c>
      <c r="B14" s="471">
        <v>18800000</v>
      </c>
      <c r="C14" s="471"/>
      <c r="D14" s="471"/>
      <c r="E14" s="471">
        <v>17514000</v>
      </c>
      <c r="F14" s="471"/>
      <c r="G14" s="471"/>
      <c r="H14" s="469">
        <f t="shared" si="0"/>
        <v>17514000</v>
      </c>
      <c r="I14" s="466">
        <v>110000000</v>
      </c>
      <c r="J14" s="466">
        <f>42693000+10000000-5000000</f>
        <v>47693000</v>
      </c>
      <c r="K14" s="454">
        <f t="shared" si="1"/>
        <v>175207000</v>
      </c>
    </row>
    <row r="15" spans="1:11" ht="31.5">
      <c r="A15" s="472" t="s">
        <v>548</v>
      </c>
      <c r="B15" s="471"/>
      <c r="C15" s="471"/>
      <c r="D15" s="471"/>
      <c r="E15" s="471"/>
      <c r="F15" s="471"/>
      <c r="G15" s="471"/>
      <c r="H15" s="469">
        <f t="shared" si="0"/>
        <v>0</v>
      </c>
      <c r="I15" s="466"/>
      <c r="J15" s="466"/>
      <c r="K15" s="454">
        <f t="shared" si="1"/>
        <v>0</v>
      </c>
    </row>
    <row r="16" spans="1:11" ht="15.75">
      <c r="A16" s="470" t="s">
        <v>549</v>
      </c>
      <c r="B16" s="471">
        <v>0</v>
      </c>
      <c r="C16" s="471"/>
      <c r="D16" s="471"/>
      <c r="E16" s="471">
        <v>1200000</v>
      </c>
      <c r="F16" s="471"/>
      <c r="G16" s="471"/>
      <c r="H16" s="469">
        <f t="shared" si="0"/>
        <v>1200000</v>
      </c>
      <c r="I16" s="466"/>
      <c r="J16" s="466"/>
      <c r="K16" s="454">
        <f t="shared" si="1"/>
        <v>1200000</v>
      </c>
    </row>
    <row r="17" spans="1:11" ht="30.75">
      <c r="A17" s="474" t="s">
        <v>550</v>
      </c>
      <c r="B17" s="476">
        <v>0</v>
      </c>
      <c r="C17" s="476"/>
      <c r="D17" s="476"/>
      <c r="E17" s="476">
        <v>17700000</v>
      </c>
      <c r="F17" s="476"/>
      <c r="G17" s="476"/>
      <c r="H17" s="477">
        <f t="shared" si="0"/>
        <v>17700000</v>
      </c>
      <c r="I17" s="478"/>
      <c r="J17" s="479"/>
      <c r="K17" s="480">
        <f t="shared" si="1"/>
        <v>17700000</v>
      </c>
    </row>
    <row r="18" spans="1:11" ht="31.5">
      <c r="A18" s="481" t="s">
        <v>551</v>
      </c>
      <c r="B18" s="476"/>
      <c r="C18" s="476"/>
      <c r="D18" s="476"/>
      <c r="E18" s="476"/>
      <c r="F18" s="476"/>
      <c r="G18" s="476"/>
      <c r="H18" s="477">
        <f t="shared" si="0"/>
        <v>0</v>
      </c>
      <c r="I18" s="478"/>
      <c r="J18" s="479"/>
      <c r="K18" s="480">
        <f t="shared" si="1"/>
        <v>0</v>
      </c>
    </row>
    <row r="19" spans="1:11" ht="45.75">
      <c r="A19" s="473" t="s">
        <v>832</v>
      </c>
      <c r="B19" s="471"/>
      <c r="C19" s="471"/>
      <c r="D19" s="471"/>
      <c r="E19" s="471"/>
      <c r="F19" s="471"/>
      <c r="G19" s="471">
        <v>87647133</v>
      </c>
      <c r="H19" s="477">
        <f t="shared" si="0"/>
        <v>87647133</v>
      </c>
      <c r="I19" s="466"/>
      <c r="J19" s="466"/>
      <c r="K19" s="480">
        <f t="shared" si="1"/>
        <v>87647133</v>
      </c>
    </row>
    <row r="20" spans="1:11" ht="45.75">
      <c r="A20" s="474" t="s">
        <v>734</v>
      </c>
      <c r="B20" s="476"/>
      <c r="C20" s="476"/>
      <c r="D20" s="476"/>
      <c r="E20" s="476"/>
      <c r="F20" s="476"/>
      <c r="G20" s="476">
        <v>12765420</v>
      </c>
      <c r="H20" s="477">
        <f t="shared" si="0"/>
        <v>12765420</v>
      </c>
      <c r="I20" s="478"/>
      <c r="J20" s="479"/>
      <c r="K20" s="480">
        <f t="shared" si="1"/>
        <v>12765420</v>
      </c>
    </row>
    <row r="21" spans="1:11" ht="30.75">
      <c r="A21" s="474" t="s">
        <v>656</v>
      </c>
      <c r="B21" s="476"/>
      <c r="C21" s="476"/>
      <c r="D21" s="476"/>
      <c r="E21" s="476"/>
      <c r="F21" s="476"/>
      <c r="G21" s="476">
        <v>336360</v>
      </c>
      <c r="H21" s="477">
        <f t="shared" si="0"/>
        <v>336360</v>
      </c>
      <c r="I21" s="478"/>
      <c r="J21" s="479"/>
      <c r="K21" s="480">
        <f t="shared" si="1"/>
        <v>336360</v>
      </c>
    </row>
    <row r="22" spans="1:11" ht="15.75">
      <c r="A22" s="472" t="s">
        <v>552</v>
      </c>
      <c r="B22" s="471"/>
      <c r="C22" s="471"/>
      <c r="D22" s="471"/>
      <c r="E22" s="471"/>
      <c r="F22" s="471"/>
      <c r="G22" s="471"/>
      <c r="H22" s="469">
        <f t="shared" si="0"/>
        <v>0</v>
      </c>
      <c r="I22" s="466"/>
      <c r="J22" s="466"/>
      <c r="K22" s="454">
        <f t="shared" si="1"/>
        <v>0</v>
      </c>
    </row>
    <row r="23" spans="1:11" ht="15.75">
      <c r="A23" s="470" t="s">
        <v>553</v>
      </c>
      <c r="B23" s="471">
        <v>0</v>
      </c>
      <c r="C23" s="471"/>
      <c r="D23" s="471"/>
      <c r="E23" s="471">
        <v>150000</v>
      </c>
      <c r="F23" s="471"/>
      <c r="G23" s="471"/>
      <c r="H23" s="469">
        <f t="shared" si="0"/>
        <v>150000</v>
      </c>
      <c r="I23" s="466"/>
      <c r="J23" s="466"/>
      <c r="K23" s="454">
        <f t="shared" si="1"/>
        <v>150000</v>
      </c>
    </row>
    <row r="24" spans="1:11" ht="31.5">
      <c r="A24" s="472" t="s">
        <v>554</v>
      </c>
      <c r="B24" s="471"/>
      <c r="C24" s="471"/>
      <c r="D24" s="471"/>
      <c r="E24" s="471"/>
      <c r="F24" s="471"/>
      <c r="G24" s="471"/>
      <c r="H24" s="469"/>
      <c r="I24" s="466"/>
      <c r="J24" s="466"/>
      <c r="K24" s="454">
        <f t="shared" si="1"/>
        <v>0</v>
      </c>
    </row>
    <row r="25" spans="1:11" ht="30.75">
      <c r="A25" s="473" t="s">
        <v>555</v>
      </c>
      <c r="B25" s="471">
        <v>0</v>
      </c>
      <c r="C25" s="471"/>
      <c r="D25" s="471"/>
      <c r="E25" s="471">
        <v>6000000</v>
      </c>
      <c r="F25" s="471"/>
      <c r="G25" s="471"/>
      <c r="H25" s="469">
        <f t="shared" si="0"/>
        <v>6000000</v>
      </c>
      <c r="I25" s="466"/>
      <c r="J25" s="466">
        <v>4000000</v>
      </c>
      <c r="K25" s="454">
        <f t="shared" si="1"/>
        <v>10000000</v>
      </c>
    </row>
    <row r="26" spans="1:11" ht="31.5">
      <c r="A26" s="481" t="s">
        <v>556</v>
      </c>
      <c r="B26" s="476"/>
      <c r="C26" s="476"/>
      <c r="D26" s="476"/>
      <c r="E26" s="476"/>
      <c r="F26" s="476"/>
      <c r="G26" s="476"/>
      <c r="H26" s="477">
        <f t="shared" si="0"/>
        <v>0</v>
      </c>
      <c r="I26" s="478"/>
      <c r="J26" s="479"/>
      <c r="K26" s="480">
        <f t="shared" si="1"/>
        <v>0</v>
      </c>
    </row>
    <row r="27" spans="1:11" ht="45.75">
      <c r="A27" s="474" t="s">
        <v>735</v>
      </c>
      <c r="B27" s="476">
        <v>1000000</v>
      </c>
      <c r="C27" s="476">
        <v>1500000</v>
      </c>
      <c r="D27" s="476">
        <v>445000</v>
      </c>
      <c r="E27" s="476">
        <v>7250000</v>
      </c>
      <c r="F27" s="476">
        <v>0</v>
      </c>
      <c r="G27" s="476"/>
      <c r="H27" s="477">
        <f t="shared" si="0"/>
        <v>9195000</v>
      </c>
      <c r="I27" s="478"/>
      <c r="J27" s="479"/>
      <c r="K27" s="480">
        <f t="shared" si="1"/>
        <v>9195000</v>
      </c>
    </row>
    <row r="28" spans="1:11" ht="15.75">
      <c r="A28" s="481" t="s">
        <v>557</v>
      </c>
      <c r="B28" s="476"/>
      <c r="C28" s="476"/>
      <c r="D28" s="476"/>
      <c r="E28" s="476"/>
      <c r="F28" s="476"/>
      <c r="G28" s="476"/>
      <c r="H28" s="477">
        <f t="shared" si="0"/>
        <v>0</v>
      </c>
      <c r="I28" s="478"/>
      <c r="J28" s="479"/>
      <c r="K28" s="480">
        <f t="shared" si="1"/>
        <v>0</v>
      </c>
    </row>
    <row r="29" spans="1:11" ht="30.75">
      <c r="A29" s="474" t="s">
        <v>558</v>
      </c>
      <c r="B29" s="476">
        <v>4000000</v>
      </c>
      <c r="C29" s="476">
        <v>6989100</v>
      </c>
      <c r="D29" s="476">
        <v>1537602</v>
      </c>
      <c r="E29" s="476">
        <v>3011000</v>
      </c>
      <c r="F29" s="476"/>
      <c r="G29" s="476"/>
      <c r="H29" s="477">
        <f t="shared" si="0"/>
        <v>11537702</v>
      </c>
      <c r="I29" s="478"/>
      <c r="J29" s="479"/>
      <c r="K29" s="480">
        <f t="shared" si="1"/>
        <v>11537702</v>
      </c>
    </row>
    <row r="30" spans="1:11" ht="15.75">
      <c r="A30" s="472" t="s">
        <v>559</v>
      </c>
      <c r="B30" s="471"/>
      <c r="C30" s="471"/>
      <c r="D30" s="471"/>
      <c r="E30" s="471"/>
      <c r="F30" s="471"/>
      <c r="G30" s="471"/>
      <c r="H30" s="469">
        <f t="shared" si="0"/>
        <v>0</v>
      </c>
      <c r="I30" s="466"/>
      <c r="J30" s="466">
        <v>6500000</v>
      </c>
      <c r="K30" s="454">
        <f>H30+I30+J30</f>
        <v>6500000</v>
      </c>
    </row>
    <row r="31" spans="1:11" ht="31.5">
      <c r="A31" s="472" t="s">
        <v>560</v>
      </c>
      <c r="B31" s="471"/>
      <c r="C31" s="471"/>
      <c r="D31" s="471"/>
      <c r="E31" s="471"/>
      <c r="F31" s="471"/>
      <c r="G31" s="471"/>
      <c r="H31" s="469">
        <f t="shared" si="0"/>
        <v>0</v>
      </c>
      <c r="I31" s="466"/>
      <c r="J31" s="466"/>
      <c r="K31" s="454">
        <f t="shared" si="1"/>
        <v>0</v>
      </c>
    </row>
    <row r="32" spans="1:11" ht="15.75">
      <c r="A32" s="473" t="s">
        <v>561</v>
      </c>
      <c r="B32" s="471"/>
      <c r="C32" s="482">
        <v>4795000</v>
      </c>
      <c r="D32" s="482">
        <v>1295000</v>
      </c>
      <c r="E32" s="482">
        <v>3910000</v>
      </c>
      <c r="F32" s="482"/>
      <c r="G32" s="482"/>
      <c r="H32" s="469">
        <f t="shared" si="0"/>
        <v>10000000</v>
      </c>
      <c r="I32" s="466"/>
      <c r="J32" s="466"/>
      <c r="K32" s="454">
        <f t="shared" si="1"/>
        <v>10000000</v>
      </c>
    </row>
    <row r="33" spans="1:11" ht="15.75">
      <c r="A33" s="473"/>
      <c r="B33" s="471"/>
      <c r="C33" s="482"/>
      <c r="D33" s="482"/>
      <c r="E33" s="482"/>
      <c r="F33" s="482"/>
      <c r="G33" s="482"/>
      <c r="H33" s="469"/>
      <c r="I33" s="466"/>
      <c r="J33" s="466"/>
      <c r="K33" s="454">
        <f t="shared" si="1"/>
        <v>0</v>
      </c>
    </row>
    <row r="34" spans="1:11" ht="31.5">
      <c r="A34" s="481" t="s">
        <v>562</v>
      </c>
      <c r="B34" s="476"/>
      <c r="C34" s="483"/>
      <c r="D34" s="483"/>
      <c r="E34" s="483"/>
      <c r="F34" s="483"/>
      <c r="G34" s="483"/>
      <c r="H34" s="477">
        <f t="shared" si="0"/>
        <v>0</v>
      </c>
      <c r="I34" s="478"/>
      <c r="J34" s="479"/>
      <c r="K34" s="480">
        <f t="shared" si="1"/>
        <v>0</v>
      </c>
    </row>
    <row r="35" spans="1:11" ht="15.75">
      <c r="A35" s="474" t="s">
        <v>563</v>
      </c>
      <c r="B35" s="476"/>
      <c r="C35" s="483">
        <v>2082000</v>
      </c>
      <c r="D35" s="483">
        <v>458040</v>
      </c>
      <c r="E35" s="483">
        <v>3000000</v>
      </c>
      <c r="F35" s="483"/>
      <c r="G35" s="483"/>
      <c r="H35" s="477">
        <f t="shared" si="0"/>
        <v>5540040</v>
      </c>
      <c r="I35" s="478"/>
      <c r="J35" s="479"/>
      <c r="K35" s="480">
        <f t="shared" si="1"/>
        <v>5540040</v>
      </c>
    </row>
    <row r="36" spans="1:11" ht="31.5">
      <c r="A36" s="481" t="s">
        <v>564</v>
      </c>
      <c r="B36" s="476"/>
      <c r="C36" s="483"/>
      <c r="D36" s="483"/>
      <c r="E36" s="483"/>
      <c r="F36" s="483"/>
      <c r="G36" s="483"/>
      <c r="H36" s="477">
        <f t="shared" si="0"/>
        <v>0</v>
      </c>
      <c r="I36" s="478"/>
      <c r="J36" s="479"/>
      <c r="K36" s="480">
        <f t="shared" si="1"/>
        <v>0</v>
      </c>
    </row>
    <row r="37" spans="1:11" ht="15.75">
      <c r="A37" s="475" t="s">
        <v>565</v>
      </c>
      <c r="B37" s="476">
        <v>500000</v>
      </c>
      <c r="C37" s="476">
        <v>360000</v>
      </c>
      <c r="D37" s="476">
        <v>97000</v>
      </c>
      <c r="E37" s="476">
        <v>469000</v>
      </c>
      <c r="F37" s="476"/>
      <c r="G37" s="476"/>
      <c r="H37" s="477">
        <f>SUM(C37:G37)</f>
        <v>926000</v>
      </c>
      <c r="I37" s="478"/>
      <c r="J37" s="479"/>
      <c r="K37" s="480">
        <f t="shared" si="1"/>
        <v>926000</v>
      </c>
    </row>
    <row r="38" spans="1:11" ht="15.75">
      <c r="A38" s="484" t="s">
        <v>566</v>
      </c>
      <c r="B38" s="471"/>
      <c r="C38" s="471"/>
      <c r="D38" s="471"/>
      <c r="E38" s="471"/>
      <c r="F38" s="471"/>
      <c r="G38" s="471"/>
      <c r="H38" s="469">
        <f t="shared" si="0"/>
        <v>0</v>
      </c>
      <c r="I38" s="466"/>
      <c r="J38" s="466"/>
      <c r="K38" s="454">
        <f t="shared" si="1"/>
        <v>0</v>
      </c>
    </row>
    <row r="39" spans="1:11" ht="15.75">
      <c r="A39" s="470" t="s">
        <v>567</v>
      </c>
      <c r="B39" s="471">
        <v>0</v>
      </c>
      <c r="C39" s="471"/>
      <c r="D39" s="471"/>
      <c r="E39" s="471">
        <v>14068000</v>
      </c>
      <c r="F39" s="471"/>
      <c r="G39" s="471"/>
      <c r="H39" s="469">
        <f t="shared" si="0"/>
        <v>14068000</v>
      </c>
      <c r="I39" s="466">
        <v>100000000</v>
      </c>
      <c r="J39" s="466"/>
      <c r="K39" s="454">
        <f t="shared" si="1"/>
        <v>114068000</v>
      </c>
    </row>
    <row r="40" spans="1:11" ht="15.75">
      <c r="A40" s="484" t="s">
        <v>809</v>
      </c>
      <c r="B40" s="471"/>
      <c r="C40" s="471"/>
      <c r="D40" s="471"/>
      <c r="E40" s="471"/>
      <c r="F40" s="471"/>
      <c r="G40" s="471"/>
      <c r="H40" s="469"/>
      <c r="I40" s="466">
        <v>121480000</v>
      </c>
      <c r="J40" s="466"/>
      <c r="K40" s="454">
        <f t="shared" si="1"/>
        <v>121480000</v>
      </c>
    </row>
    <row r="41" spans="1:11" ht="31.5">
      <c r="A41" s="485" t="s">
        <v>568</v>
      </c>
      <c r="B41" s="471"/>
      <c r="C41" s="482"/>
      <c r="D41" s="482"/>
      <c r="E41" s="482"/>
      <c r="F41" s="482"/>
      <c r="G41" s="482"/>
      <c r="H41" s="469">
        <f t="shared" si="0"/>
        <v>0</v>
      </c>
      <c r="I41" s="466"/>
      <c r="J41" s="466"/>
      <c r="K41" s="454">
        <f t="shared" si="1"/>
        <v>0</v>
      </c>
    </row>
    <row r="42" spans="1:11" ht="15.75">
      <c r="A42" s="486" t="s">
        <v>569</v>
      </c>
      <c r="B42" s="471"/>
      <c r="C42" s="482"/>
      <c r="D42" s="482"/>
      <c r="E42" s="482">
        <v>2200000</v>
      </c>
      <c r="F42" s="482"/>
      <c r="G42" s="482"/>
      <c r="H42" s="469">
        <f t="shared" si="0"/>
        <v>2200000</v>
      </c>
      <c r="I42" s="466"/>
      <c r="J42" s="466"/>
      <c r="K42" s="454">
        <f t="shared" si="1"/>
        <v>2200000</v>
      </c>
    </row>
    <row r="43" spans="1:11" ht="15.75">
      <c r="A43" s="486" t="s">
        <v>570</v>
      </c>
      <c r="B43" s="471"/>
      <c r="C43" s="482"/>
      <c r="D43" s="482"/>
      <c r="E43" s="482"/>
      <c r="F43" s="482"/>
      <c r="G43" s="482"/>
      <c r="H43" s="469"/>
      <c r="I43" s="466"/>
      <c r="J43" s="466"/>
      <c r="K43" s="454">
        <f t="shared" si="1"/>
        <v>0</v>
      </c>
    </row>
    <row r="44" spans="1:11" ht="15.75">
      <c r="A44" s="485" t="s">
        <v>571</v>
      </c>
      <c r="B44" s="471"/>
      <c r="C44" s="482"/>
      <c r="D44" s="482"/>
      <c r="E44" s="482"/>
      <c r="F44" s="482"/>
      <c r="G44" s="482"/>
      <c r="H44" s="469">
        <f t="shared" si="0"/>
        <v>0</v>
      </c>
      <c r="I44" s="466"/>
      <c r="J44" s="466"/>
      <c r="K44" s="454">
        <f t="shared" si="1"/>
        <v>0</v>
      </c>
    </row>
    <row r="45" spans="1:11" ht="15.75">
      <c r="A45" s="470" t="s">
        <v>572</v>
      </c>
      <c r="B45" s="471">
        <v>0</v>
      </c>
      <c r="C45" s="471"/>
      <c r="D45" s="471"/>
      <c r="E45" s="471">
        <v>35000000</v>
      </c>
      <c r="F45" s="471"/>
      <c r="G45" s="471"/>
      <c r="H45" s="469">
        <f t="shared" si="0"/>
        <v>35000000</v>
      </c>
      <c r="I45" s="466"/>
      <c r="J45" s="466">
        <v>13768000</v>
      </c>
      <c r="K45" s="454">
        <f t="shared" si="1"/>
        <v>48768000</v>
      </c>
    </row>
    <row r="46" spans="1:11" ht="15.75">
      <c r="A46" s="484" t="s">
        <v>573</v>
      </c>
      <c r="B46" s="471"/>
      <c r="C46" s="471"/>
      <c r="D46" s="471"/>
      <c r="E46" s="471"/>
      <c r="F46" s="471"/>
      <c r="G46" s="471"/>
      <c r="H46" s="469">
        <f t="shared" si="0"/>
        <v>0</v>
      </c>
      <c r="I46" s="466"/>
      <c r="J46" s="466"/>
      <c r="K46" s="454">
        <f t="shared" si="1"/>
        <v>0</v>
      </c>
    </row>
    <row r="47" spans="1:11" ht="15.75">
      <c r="A47" s="470" t="s">
        <v>574</v>
      </c>
      <c r="B47" s="471">
        <v>0</v>
      </c>
      <c r="C47" s="471">
        <v>6190000</v>
      </c>
      <c r="D47" s="471">
        <v>1361800</v>
      </c>
      <c r="E47" s="471">
        <v>41123000</v>
      </c>
      <c r="F47" s="471"/>
      <c r="G47" s="471"/>
      <c r="H47" s="469">
        <f t="shared" si="0"/>
        <v>48674800</v>
      </c>
      <c r="I47" s="466"/>
      <c r="J47" s="466">
        <v>1500000</v>
      </c>
      <c r="K47" s="454">
        <f t="shared" si="1"/>
        <v>50174800</v>
      </c>
    </row>
    <row r="48" spans="1:11" ht="31.5">
      <c r="A48" s="481" t="s">
        <v>575</v>
      </c>
      <c r="B48" s="476"/>
      <c r="C48" s="476"/>
      <c r="D48" s="476"/>
      <c r="E48" s="476"/>
      <c r="F48" s="476"/>
      <c r="G48" s="476"/>
      <c r="H48" s="477">
        <f t="shared" si="0"/>
        <v>0</v>
      </c>
      <c r="I48" s="478"/>
      <c r="J48" s="479"/>
      <c r="K48" s="480">
        <f t="shared" si="1"/>
        <v>0</v>
      </c>
    </row>
    <row r="49" spans="1:11" ht="15.75">
      <c r="A49" s="475" t="s">
        <v>576</v>
      </c>
      <c r="B49" s="476">
        <v>32000000</v>
      </c>
      <c r="C49" s="476">
        <v>1858000</v>
      </c>
      <c r="D49" s="476">
        <v>376000</v>
      </c>
      <c r="E49" s="476">
        <v>11440000</v>
      </c>
      <c r="F49" s="476"/>
      <c r="G49" s="476"/>
      <c r="H49" s="477">
        <f t="shared" si="0"/>
        <v>13674000</v>
      </c>
      <c r="I49" s="478"/>
      <c r="J49" s="479"/>
      <c r="K49" s="480">
        <f t="shared" si="1"/>
        <v>13674000</v>
      </c>
    </row>
    <row r="50" spans="1:11" ht="30.75">
      <c r="A50" s="474" t="s">
        <v>657</v>
      </c>
      <c r="B50" s="476"/>
      <c r="C50" s="476"/>
      <c r="D50" s="476"/>
      <c r="E50" s="476"/>
      <c r="F50" s="476"/>
      <c r="G50" s="476">
        <v>1564000</v>
      </c>
      <c r="H50" s="477">
        <f t="shared" si="0"/>
        <v>1564000</v>
      </c>
      <c r="I50" s="478"/>
      <c r="J50" s="479"/>
      <c r="K50" s="480">
        <f t="shared" si="1"/>
        <v>1564000</v>
      </c>
    </row>
    <row r="51" spans="1:11" ht="47.25">
      <c r="A51" s="481" t="s">
        <v>662</v>
      </c>
      <c r="B51" s="476"/>
      <c r="C51" s="476"/>
      <c r="D51" s="476"/>
      <c r="E51" s="476"/>
      <c r="F51" s="476"/>
      <c r="G51" s="476"/>
      <c r="H51" s="477">
        <f t="shared" si="0"/>
        <v>0</v>
      </c>
      <c r="I51" s="478"/>
      <c r="J51" s="479"/>
      <c r="K51" s="480">
        <f t="shared" si="1"/>
        <v>0</v>
      </c>
    </row>
    <row r="52" spans="1:11" ht="15.75">
      <c r="A52" s="474" t="s">
        <v>663</v>
      </c>
      <c r="B52" s="476"/>
      <c r="C52" s="476"/>
      <c r="D52" s="476"/>
      <c r="E52" s="476">
        <v>1800000</v>
      </c>
      <c r="F52" s="476"/>
      <c r="G52" s="476"/>
      <c r="H52" s="477">
        <f t="shared" si="0"/>
        <v>1800000</v>
      </c>
      <c r="I52" s="478"/>
      <c r="J52" s="479"/>
      <c r="K52" s="480">
        <f t="shared" si="1"/>
        <v>1800000</v>
      </c>
    </row>
    <row r="53" spans="1:11" ht="47.25">
      <c r="A53" s="472" t="s">
        <v>577</v>
      </c>
      <c r="B53" s="471"/>
      <c r="C53" s="471"/>
      <c r="D53" s="471"/>
      <c r="E53" s="471"/>
      <c r="F53" s="471"/>
      <c r="G53" s="471"/>
      <c r="H53" s="469">
        <f t="shared" si="0"/>
        <v>0</v>
      </c>
      <c r="I53" s="466"/>
      <c r="J53" s="466"/>
      <c r="K53" s="454">
        <f t="shared" si="1"/>
        <v>0</v>
      </c>
    </row>
    <row r="54" spans="1:11" ht="31.5">
      <c r="A54" s="472" t="s">
        <v>661</v>
      </c>
      <c r="B54" s="471"/>
      <c r="C54" s="471">
        <v>1906000</v>
      </c>
      <c r="D54" s="471">
        <v>419320</v>
      </c>
      <c r="E54" s="471">
        <f>240000+2000000</f>
        <v>2240000</v>
      </c>
      <c r="F54" s="471"/>
      <c r="G54" s="471">
        <f>48000000+12000000</f>
        <v>60000000</v>
      </c>
      <c r="H54" s="469">
        <f t="shared" si="0"/>
        <v>64565320</v>
      </c>
      <c r="I54" s="466"/>
      <c r="J54" s="466">
        <f>68520000+66750000+4000000</f>
        <v>139270000</v>
      </c>
      <c r="K54" s="454">
        <f t="shared" si="1"/>
        <v>203835320</v>
      </c>
    </row>
    <row r="55" spans="1:11" ht="31.5">
      <c r="A55" s="481" t="s">
        <v>578</v>
      </c>
      <c r="B55" s="476"/>
      <c r="C55" s="476"/>
      <c r="D55" s="476"/>
      <c r="E55" s="476"/>
      <c r="F55" s="476"/>
      <c r="G55" s="476"/>
      <c r="H55" s="477">
        <f t="shared" si="0"/>
        <v>0</v>
      </c>
      <c r="I55" s="478"/>
      <c r="J55" s="479"/>
      <c r="K55" s="480">
        <f t="shared" si="1"/>
        <v>0</v>
      </c>
    </row>
    <row r="56" spans="1:11" ht="31.5">
      <c r="A56" s="481" t="s">
        <v>659</v>
      </c>
      <c r="B56" s="476"/>
      <c r="C56" s="476"/>
      <c r="D56" s="476"/>
      <c r="E56" s="476"/>
      <c r="F56" s="476"/>
      <c r="G56" s="476">
        <f>7744000+4000000</f>
        <v>11744000</v>
      </c>
      <c r="H56" s="477">
        <f t="shared" si="0"/>
        <v>11744000</v>
      </c>
      <c r="I56" s="478"/>
      <c r="J56" s="479">
        <v>10420000</v>
      </c>
      <c r="K56" s="480">
        <f t="shared" si="1"/>
        <v>22164000</v>
      </c>
    </row>
    <row r="57" spans="1:11" ht="31.5">
      <c r="A57" s="481" t="s">
        <v>579</v>
      </c>
      <c r="B57" s="476"/>
      <c r="C57" s="476"/>
      <c r="D57" s="476"/>
      <c r="E57" s="476"/>
      <c r="F57" s="476"/>
      <c r="G57" s="476"/>
      <c r="H57" s="477">
        <f t="shared" si="0"/>
        <v>0</v>
      </c>
      <c r="I57" s="478"/>
      <c r="J57" s="479"/>
      <c r="K57" s="480">
        <f t="shared" si="1"/>
        <v>0</v>
      </c>
    </row>
    <row r="58" spans="1:11" ht="15.75">
      <c r="A58" s="475" t="s">
        <v>660</v>
      </c>
      <c r="B58" s="476"/>
      <c r="C58" s="476"/>
      <c r="D58" s="476"/>
      <c r="E58" s="476"/>
      <c r="F58" s="476"/>
      <c r="G58" s="476">
        <v>11503000</v>
      </c>
      <c r="H58" s="477">
        <f t="shared" si="0"/>
        <v>11503000</v>
      </c>
      <c r="I58" s="478"/>
      <c r="J58" s="479"/>
      <c r="K58" s="480">
        <f t="shared" si="1"/>
        <v>11503000</v>
      </c>
    </row>
    <row r="59" spans="1:11" ht="47.25">
      <c r="A59" s="472" t="s">
        <v>580</v>
      </c>
      <c r="B59" s="471"/>
      <c r="C59" s="471"/>
      <c r="D59" s="471"/>
      <c r="E59" s="471"/>
      <c r="F59" s="471"/>
      <c r="G59" s="471"/>
      <c r="H59" s="469">
        <f t="shared" si="0"/>
        <v>0</v>
      </c>
      <c r="I59" s="466"/>
      <c r="J59" s="466"/>
      <c r="K59" s="454">
        <f t="shared" si="1"/>
        <v>0</v>
      </c>
    </row>
    <row r="60" spans="1:11" ht="45.75">
      <c r="A60" s="473" t="s">
        <v>581</v>
      </c>
      <c r="B60" s="471">
        <v>700000</v>
      </c>
      <c r="C60" s="482">
        <v>5816000</v>
      </c>
      <c r="D60" s="482">
        <v>1359600</v>
      </c>
      <c r="E60" s="482">
        <v>12630000</v>
      </c>
      <c r="F60" s="482"/>
      <c r="G60" s="482"/>
      <c r="H60" s="469">
        <f t="shared" si="0"/>
        <v>19805600</v>
      </c>
      <c r="I60" s="466">
        <v>5000000</v>
      </c>
      <c r="J60" s="466">
        <v>119000000</v>
      </c>
      <c r="K60" s="454">
        <f t="shared" si="1"/>
        <v>143805600</v>
      </c>
    </row>
    <row r="61" spans="1:11" ht="31.5">
      <c r="A61" s="481" t="s">
        <v>582</v>
      </c>
      <c r="B61" s="476"/>
      <c r="C61" s="483"/>
      <c r="D61" s="483"/>
      <c r="E61" s="483"/>
      <c r="F61" s="483"/>
      <c r="G61" s="483"/>
      <c r="H61" s="477">
        <f t="shared" si="0"/>
        <v>0</v>
      </c>
      <c r="I61" s="478"/>
      <c r="J61" s="479"/>
      <c r="K61" s="480">
        <f t="shared" si="1"/>
        <v>0</v>
      </c>
    </row>
    <row r="62" spans="1:11" ht="30.75">
      <c r="A62" s="474" t="s">
        <v>583</v>
      </c>
      <c r="B62" s="476">
        <v>4500000</v>
      </c>
      <c r="C62" s="483">
        <v>1907000</v>
      </c>
      <c r="D62" s="483">
        <v>475000</v>
      </c>
      <c r="E62" s="483">
        <v>1620000</v>
      </c>
      <c r="F62" s="483"/>
      <c r="G62" s="483"/>
      <c r="H62" s="477">
        <f t="shared" si="0"/>
        <v>4002000</v>
      </c>
      <c r="I62" s="478"/>
      <c r="J62" s="479"/>
      <c r="K62" s="480">
        <f t="shared" si="1"/>
        <v>4002000</v>
      </c>
    </row>
    <row r="63" spans="1:11" ht="15.75">
      <c r="A63" s="481" t="s">
        <v>584</v>
      </c>
      <c r="B63" s="476"/>
      <c r="C63" s="483"/>
      <c r="D63" s="483"/>
      <c r="E63" s="483"/>
      <c r="F63" s="483"/>
      <c r="G63" s="483"/>
      <c r="H63" s="477">
        <f t="shared" si="0"/>
        <v>0</v>
      </c>
      <c r="I63" s="478"/>
      <c r="J63" s="479"/>
      <c r="K63" s="480">
        <f t="shared" si="1"/>
        <v>0</v>
      </c>
    </row>
    <row r="64" spans="1:11" ht="15.75">
      <c r="A64" s="474" t="s">
        <v>585</v>
      </c>
      <c r="B64" s="476"/>
      <c r="C64" s="483"/>
      <c r="D64" s="483"/>
      <c r="E64" s="483">
        <v>5600000</v>
      </c>
      <c r="F64" s="483"/>
      <c r="G64" s="483"/>
      <c r="H64" s="477">
        <f t="shared" si="0"/>
        <v>5600000</v>
      </c>
      <c r="I64" s="478"/>
      <c r="J64" s="479"/>
      <c r="K64" s="480">
        <f t="shared" si="1"/>
        <v>5600000</v>
      </c>
    </row>
    <row r="65" spans="1:11" ht="15.75">
      <c r="A65" s="481" t="s">
        <v>586</v>
      </c>
      <c r="B65" s="476"/>
      <c r="C65" s="483"/>
      <c r="D65" s="483"/>
      <c r="E65" s="483"/>
      <c r="F65" s="483"/>
      <c r="G65" s="483"/>
      <c r="H65" s="477">
        <f t="shared" si="0"/>
        <v>0</v>
      </c>
      <c r="I65" s="478"/>
      <c r="J65" s="479"/>
      <c r="K65" s="480">
        <f t="shared" si="1"/>
        <v>0</v>
      </c>
    </row>
    <row r="66" spans="1:11" ht="15.75">
      <c r="A66" s="481" t="s">
        <v>587</v>
      </c>
      <c r="B66" s="476">
        <v>800000</v>
      </c>
      <c r="C66" s="483"/>
      <c r="D66" s="483"/>
      <c r="E66" s="483">
        <v>10000000</v>
      </c>
      <c r="F66" s="483"/>
      <c r="G66" s="483"/>
      <c r="H66" s="477">
        <f t="shared" si="0"/>
        <v>10000000</v>
      </c>
      <c r="I66" s="478"/>
      <c r="J66" s="479"/>
      <c r="K66" s="480">
        <f t="shared" si="1"/>
        <v>10000000</v>
      </c>
    </row>
    <row r="67" spans="1:11" ht="31.5">
      <c r="A67" s="481" t="s">
        <v>588</v>
      </c>
      <c r="B67" s="476"/>
      <c r="C67" s="483"/>
      <c r="D67" s="483"/>
      <c r="E67" s="483"/>
      <c r="F67" s="483"/>
      <c r="G67" s="483"/>
      <c r="H67" s="477">
        <f t="shared" si="0"/>
        <v>0</v>
      </c>
      <c r="I67" s="478"/>
      <c r="J67" s="479"/>
      <c r="K67" s="480">
        <f t="shared" si="1"/>
        <v>0</v>
      </c>
    </row>
    <row r="68" spans="1:11" ht="31.5">
      <c r="A68" s="481" t="s">
        <v>589</v>
      </c>
      <c r="B68" s="476"/>
      <c r="C68" s="483"/>
      <c r="D68" s="483"/>
      <c r="E68" s="483"/>
      <c r="F68" s="483"/>
      <c r="G68" s="483">
        <v>10000000</v>
      </c>
      <c r="H68" s="477">
        <f t="shared" si="0"/>
        <v>10000000</v>
      </c>
      <c r="I68" s="478"/>
      <c r="J68" s="479"/>
      <c r="K68" s="480">
        <f t="shared" si="1"/>
        <v>10000000</v>
      </c>
    </row>
    <row r="69" spans="1:11" ht="31.5">
      <c r="A69" s="481" t="s">
        <v>590</v>
      </c>
      <c r="B69" s="476"/>
      <c r="C69" s="483"/>
      <c r="D69" s="483"/>
      <c r="E69" s="483"/>
      <c r="F69" s="483"/>
      <c r="G69" s="483"/>
      <c r="H69" s="477">
        <f t="shared" si="0"/>
        <v>0</v>
      </c>
      <c r="I69" s="478"/>
      <c r="J69" s="479"/>
      <c r="K69" s="480">
        <f t="shared" si="1"/>
        <v>0</v>
      </c>
    </row>
    <row r="70" spans="1:11" ht="46.5">
      <c r="A70" s="481" t="s">
        <v>831</v>
      </c>
      <c r="B70" s="476"/>
      <c r="C70" s="483"/>
      <c r="D70" s="483"/>
      <c r="E70" s="483">
        <v>1656000</v>
      </c>
      <c r="F70" s="483"/>
      <c r="G70" s="483">
        <v>13416000</v>
      </c>
      <c r="H70" s="477">
        <f>SUM(C70:G70)</f>
        <v>15072000</v>
      </c>
      <c r="I70" s="478"/>
      <c r="J70" s="479"/>
      <c r="K70" s="480">
        <f t="shared" si="1"/>
        <v>15072000</v>
      </c>
    </row>
    <row r="71" spans="1:11" ht="31.5">
      <c r="A71" s="472" t="s">
        <v>591</v>
      </c>
      <c r="B71" s="471"/>
      <c r="C71" s="482"/>
      <c r="D71" s="482"/>
      <c r="E71" s="482"/>
      <c r="F71" s="482"/>
      <c r="G71" s="482"/>
      <c r="H71" s="469">
        <f t="shared" si="0"/>
        <v>0</v>
      </c>
      <c r="I71" s="466"/>
      <c r="J71" s="466"/>
      <c r="K71" s="454">
        <f t="shared" si="1"/>
        <v>0</v>
      </c>
    </row>
    <row r="72" spans="1:11" ht="30.75">
      <c r="A72" s="487" t="s">
        <v>592</v>
      </c>
      <c r="B72" s="471"/>
      <c r="C72" s="482"/>
      <c r="D72" s="482"/>
      <c r="E72" s="482"/>
      <c r="F72" s="482"/>
      <c r="G72" s="482">
        <v>700000</v>
      </c>
      <c r="H72" s="469">
        <f t="shared" si="0"/>
        <v>700000</v>
      </c>
      <c r="I72" s="466"/>
      <c r="J72" s="466"/>
      <c r="K72" s="454">
        <f t="shared" si="1"/>
        <v>700000</v>
      </c>
    </row>
    <row r="73" spans="1:11" ht="31.5">
      <c r="A73" s="481" t="s">
        <v>593</v>
      </c>
      <c r="B73" s="476"/>
      <c r="C73" s="483"/>
      <c r="D73" s="483"/>
      <c r="E73" s="483"/>
      <c r="F73" s="483"/>
      <c r="G73" s="483"/>
      <c r="H73" s="477">
        <f t="shared" si="0"/>
        <v>0</v>
      </c>
      <c r="I73" s="478"/>
      <c r="J73" s="479"/>
      <c r="K73" s="480">
        <f t="shared" si="1"/>
        <v>0</v>
      </c>
    </row>
    <row r="74" spans="1:11" ht="30.75">
      <c r="A74" s="474" t="s">
        <v>594</v>
      </c>
      <c r="B74" s="476">
        <v>0</v>
      </c>
      <c r="C74" s="483"/>
      <c r="D74" s="483"/>
      <c r="E74" s="483"/>
      <c r="F74" s="483"/>
      <c r="G74" s="483">
        <v>7500000</v>
      </c>
      <c r="H74" s="477">
        <f t="shared" si="0"/>
        <v>7500000</v>
      </c>
      <c r="I74" s="478"/>
      <c r="J74" s="479">
        <v>3000000</v>
      </c>
      <c r="K74" s="480">
        <f t="shared" si="1"/>
        <v>10500000</v>
      </c>
    </row>
    <row r="75" spans="1:11" ht="15.75">
      <c r="A75" s="481" t="s">
        <v>595</v>
      </c>
      <c r="B75" s="476"/>
      <c r="C75" s="483"/>
      <c r="D75" s="483"/>
      <c r="E75" s="483"/>
      <c r="F75" s="483"/>
      <c r="G75" s="483"/>
      <c r="H75" s="477">
        <f t="shared" si="0"/>
        <v>0</v>
      </c>
      <c r="I75" s="478"/>
      <c r="J75" s="479"/>
      <c r="K75" s="480">
        <f t="shared" si="1"/>
        <v>0</v>
      </c>
    </row>
    <row r="76" spans="1:11" ht="15.75">
      <c r="A76" s="481" t="s">
        <v>722</v>
      </c>
      <c r="B76" s="476"/>
      <c r="C76" s="483"/>
      <c r="D76" s="483"/>
      <c r="E76" s="483"/>
      <c r="F76" s="483"/>
      <c r="G76" s="483"/>
      <c r="H76" s="477">
        <f t="shared" si="0"/>
        <v>0</v>
      </c>
      <c r="I76" s="478"/>
      <c r="J76" s="479">
        <v>700000</v>
      </c>
      <c r="K76" s="480">
        <f t="shared" si="1"/>
        <v>700000</v>
      </c>
    </row>
    <row r="77" spans="1:11" ht="47.25">
      <c r="A77" s="472" t="s">
        <v>596</v>
      </c>
      <c r="B77" s="471"/>
      <c r="C77" s="482"/>
      <c r="D77" s="482"/>
      <c r="E77" s="482"/>
      <c r="F77" s="482"/>
      <c r="G77" s="482"/>
      <c r="H77" s="469">
        <f t="shared" si="0"/>
        <v>0</v>
      </c>
      <c r="I77" s="466"/>
      <c r="J77" s="466"/>
      <c r="K77" s="454">
        <f t="shared" si="1"/>
        <v>0</v>
      </c>
    </row>
    <row r="78" spans="1:11" ht="15.75">
      <c r="A78" s="473" t="s">
        <v>597</v>
      </c>
      <c r="B78" s="471">
        <v>0</v>
      </c>
      <c r="C78" s="482"/>
      <c r="D78" s="482"/>
      <c r="E78" s="482">
        <v>800000</v>
      </c>
      <c r="F78" s="482"/>
      <c r="G78" s="482"/>
      <c r="H78" s="469">
        <f t="shared" si="0"/>
        <v>800000</v>
      </c>
      <c r="I78" s="466"/>
      <c r="J78" s="466"/>
      <c r="K78" s="454">
        <f t="shared" ref="K78:K105" si="2">H78+I78+J78</f>
        <v>800000</v>
      </c>
    </row>
    <row r="79" spans="1:11" ht="15.75">
      <c r="A79" s="470" t="s">
        <v>598</v>
      </c>
      <c r="B79" s="471">
        <v>0</v>
      </c>
      <c r="C79" s="471"/>
      <c r="D79" s="471"/>
      <c r="E79" s="471">
        <v>3677000</v>
      </c>
      <c r="F79" s="471"/>
      <c r="G79" s="471"/>
      <c r="H79" s="469">
        <f t="shared" si="0"/>
        <v>3677000</v>
      </c>
      <c r="I79" s="466"/>
      <c r="J79" s="466"/>
      <c r="K79" s="454">
        <f t="shared" si="2"/>
        <v>3677000</v>
      </c>
    </row>
    <row r="80" spans="1:11" ht="15.75">
      <c r="A80" s="470" t="s">
        <v>658</v>
      </c>
      <c r="B80" s="471"/>
      <c r="C80" s="471"/>
      <c r="D80" s="471"/>
      <c r="E80" s="471">
        <v>1164000</v>
      </c>
      <c r="F80" s="471"/>
      <c r="G80" s="471">
        <v>1000000</v>
      </c>
      <c r="H80" s="469">
        <f t="shared" ref="H80:H104" si="3">SUM(C80:G80)</f>
        <v>2164000</v>
      </c>
      <c r="I80" s="466"/>
      <c r="J80" s="466"/>
      <c r="K80" s="454">
        <f t="shared" si="2"/>
        <v>2164000</v>
      </c>
    </row>
    <row r="81" spans="1:11" ht="31.5">
      <c r="A81" s="481" t="s">
        <v>599</v>
      </c>
      <c r="B81" s="476"/>
      <c r="C81" s="483"/>
      <c r="D81" s="483"/>
      <c r="E81" s="483"/>
      <c r="F81" s="483"/>
      <c r="G81" s="483"/>
      <c r="H81" s="477">
        <f t="shared" si="3"/>
        <v>0</v>
      </c>
      <c r="I81" s="478"/>
      <c r="J81" s="479"/>
      <c r="K81" s="480">
        <f t="shared" si="2"/>
        <v>0</v>
      </c>
    </row>
    <row r="82" spans="1:11" ht="15.75">
      <c r="A82" s="475" t="s">
        <v>600</v>
      </c>
      <c r="B82" s="476">
        <v>0</v>
      </c>
      <c r="C82" s="476"/>
      <c r="D82" s="476"/>
      <c r="E82" s="476">
        <v>5200000</v>
      </c>
      <c r="F82" s="476"/>
      <c r="G82" s="476"/>
      <c r="H82" s="477">
        <f t="shared" si="3"/>
        <v>5200000</v>
      </c>
      <c r="I82" s="478"/>
      <c r="J82" s="479">
        <v>3000000</v>
      </c>
      <c r="K82" s="480">
        <f t="shared" si="2"/>
        <v>8200000</v>
      </c>
    </row>
    <row r="83" spans="1:11" ht="15.75">
      <c r="A83" s="484" t="s">
        <v>712</v>
      </c>
      <c r="B83" s="471"/>
      <c r="C83" s="471"/>
      <c r="D83" s="471"/>
      <c r="E83" s="471"/>
      <c r="F83" s="471"/>
      <c r="G83" s="471"/>
      <c r="H83" s="469">
        <f t="shared" si="3"/>
        <v>0</v>
      </c>
      <c r="I83" s="466"/>
      <c r="J83" s="466"/>
      <c r="K83" s="454">
        <f t="shared" si="2"/>
        <v>0</v>
      </c>
    </row>
    <row r="84" spans="1:11" ht="15.75">
      <c r="A84" s="470" t="s">
        <v>601</v>
      </c>
      <c r="B84" s="471">
        <v>13440000</v>
      </c>
      <c r="C84" s="471">
        <v>14168000</v>
      </c>
      <c r="D84" s="471">
        <v>3116960</v>
      </c>
      <c r="E84" s="471">
        <v>6710400</v>
      </c>
      <c r="F84" s="471"/>
      <c r="G84" s="471"/>
      <c r="H84" s="469">
        <f t="shared" si="3"/>
        <v>23995360</v>
      </c>
      <c r="I84" s="466"/>
      <c r="J84" s="466">
        <v>1600000</v>
      </c>
      <c r="K84" s="454">
        <f t="shared" si="2"/>
        <v>25595360</v>
      </c>
    </row>
    <row r="85" spans="1:11" ht="15.75">
      <c r="A85" s="488" t="s">
        <v>602</v>
      </c>
      <c r="B85" s="476"/>
      <c r="C85" s="476"/>
      <c r="D85" s="476"/>
      <c r="E85" s="476"/>
      <c r="F85" s="476"/>
      <c r="G85" s="476"/>
      <c r="H85" s="477">
        <f t="shared" si="3"/>
        <v>0</v>
      </c>
      <c r="I85" s="478"/>
      <c r="J85" s="479"/>
      <c r="K85" s="480">
        <f t="shared" si="2"/>
        <v>0</v>
      </c>
    </row>
    <row r="86" spans="1:11" ht="15.75">
      <c r="A86" s="475" t="s">
        <v>603</v>
      </c>
      <c r="B86" s="476"/>
      <c r="C86" s="476"/>
      <c r="D86" s="476"/>
      <c r="E86" s="476">
        <v>2500000</v>
      </c>
      <c r="F86" s="476"/>
      <c r="G86" s="476"/>
      <c r="H86" s="477">
        <f t="shared" si="3"/>
        <v>2500000</v>
      </c>
      <c r="I86" s="478"/>
      <c r="J86" s="479"/>
      <c r="K86" s="480">
        <f t="shared" si="2"/>
        <v>2500000</v>
      </c>
    </row>
    <row r="87" spans="1:11" ht="31.5">
      <c r="A87" s="472" t="s">
        <v>604</v>
      </c>
      <c r="B87" s="471"/>
      <c r="C87" s="471"/>
      <c r="D87" s="471"/>
      <c r="E87" s="471"/>
      <c r="F87" s="471"/>
      <c r="G87" s="471"/>
      <c r="H87" s="469">
        <f t="shared" si="3"/>
        <v>0</v>
      </c>
      <c r="I87" s="466"/>
      <c r="J87" s="466"/>
      <c r="K87" s="454">
        <f t="shared" si="2"/>
        <v>0</v>
      </c>
    </row>
    <row r="88" spans="1:11" ht="45.75">
      <c r="A88" s="473" t="s">
        <v>605</v>
      </c>
      <c r="B88" s="471">
        <v>0</v>
      </c>
      <c r="C88" s="471"/>
      <c r="D88" s="471"/>
      <c r="E88" s="471"/>
      <c r="F88" s="471">
        <v>500000</v>
      </c>
      <c r="G88" s="471"/>
      <c r="H88" s="469">
        <f t="shared" si="3"/>
        <v>500000</v>
      </c>
      <c r="I88" s="466"/>
      <c r="J88" s="466"/>
      <c r="K88" s="454">
        <f t="shared" si="2"/>
        <v>500000</v>
      </c>
    </row>
    <row r="89" spans="1:11" ht="15.75">
      <c r="A89" s="473" t="s">
        <v>669</v>
      </c>
      <c r="B89" s="471"/>
      <c r="C89" s="471"/>
      <c r="D89" s="471"/>
      <c r="E89" s="471"/>
      <c r="F89" s="471">
        <v>500000</v>
      </c>
      <c r="G89" s="471"/>
      <c r="H89" s="469">
        <f t="shared" si="3"/>
        <v>500000</v>
      </c>
      <c r="I89" s="466"/>
      <c r="J89" s="466"/>
      <c r="K89" s="454">
        <f t="shared" si="2"/>
        <v>500000</v>
      </c>
    </row>
    <row r="90" spans="1:11" ht="15.75">
      <c r="A90" s="473" t="s">
        <v>606</v>
      </c>
      <c r="B90" s="471"/>
      <c r="C90" s="471"/>
      <c r="D90" s="471"/>
      <c r="E90" s="471"/>
      <c r="F90" s="471">
        <v>300000</v>
      </c>
      <c r="G90" s="471"/>
      <c r="H90" s="469">
        <f t="shared" si="3"/>
        <v>300000</v>
      </c>
      <c r="I90" s="466"/>
      <c r="J90" s="466"/>
      <c r="K90" s="454">
        <f t="shared" si="2"/>
        <v>300000</v>
      </c>
    </row>
    <row r="91" spans="1:11" ht="31.5">
      <c r="A91" s="472" t="s">
        <v>607</v>
      </c>
      <c r="B91" s="471"/>
      <c r="C91" s="471"/>
      <c r="D91" s="471"/>
      <c r="E91" s="471"/>
      <c r="F91" s="471"/>
      <c r="G91" s="471"/>
      <c r="H91" s="469">
        <f t="shared" si="3"/>
        <v>0</v>
      </c>
      <c r="I91" s="466"/>
      <c r="J91" s="466"/>
      <c r="K91" s="454">
        <f t="shared" si="2"/>
        <v>0</v>
      </c>
    </row>
    <row r="92" spans="1:11" ht="15.75">
      <c r="A92" s="472" t="s">
        <v>608</v>
      </c>
      <c r="B92" s="471"/>
      <c r="C92" s="471"/>
      <c r="D92" s="471"/>
      <c r="E92" s="471"/>
      <c r="F92" s="471">
        <v>3000000</v>
      </c>
      <c r="G92" s="471"/>
      <c r="H92" s="469">
        <f t="shared" si="3"/>
        <v>3000000</v>
      </c>
      <c r="I92" s="466"/>
      <c r="J92" s="466"/>
      <c r="K92" s="454">
        <f t="shared" si="2"/>
        <v>3000000</v>
      </c>
    </row>
    <row r="93" spans="1:11" ht="15.75">
      <c r="A93" s="472" t="s">
        <v>609</v>
      </c>
      <c r="B93" s="471"/>
      <c r="C93" s="471"/>
      <c r="D93" s="471"/>
      <c r="E93" s="471"/>
      <c r="F93" s="471">
        <v>8000000</v>
      </c>
      <c r="G93" s="471"/>
      <c r="H93" s="469">
        <f t="shared" si="3"/>
        <v>8000000</v>
      </c>
      <c r="I93" s="466"/>
      <c r="J93" s="466"/>
      <c r="K93" s="454">
        <f t="shared" si="2"/>
        <v>8000000</v>
      </c>
    </row>
    <row r="94" spans="1:11" ht="47.25">
      <c r="A94" s="472" t="s">
        <v>610</v>
      </c>
      <c r="B94" s="471"/>
      <c r="C94" s="471"/>
      <c r="D94" s="471"/>
      <c r="E94" s="471"/>
      <c r="F94" s="471"/>
      <c r="G94" s="471"/>
      <c r="H94" s="469">
        <f t="shared" si="3"/>
        <v>0</v>
      </c>
      <c r="I94" s="466"/>
      <c r="J94" s="466"/>
      <c r="K94" s="454">
        <f t="shared" si="2"/>
        <v>0</v>
      </c>
    </row>
    <row r="95" spans="1:11" ht="15.75">
      <c r="A95" s="470" t="s">
        <v>664</v>
      </c>
      <c r="B95" s="471">
        <v>0</v>
      </c>
      <c r="C95" s="471"/>
      <c r="D95" s="471"/>
      <c r="E95" s="471"/>
      <c r="F95" s="471">
        <v>1000000</v>
      </c>
      <c r="G95" s="471"/>
      <c r="H95" s="469">
        <f t="shared" si="3"/>
        <v>1000000</v>
      </c>
      <c r="I95" s="466"/>
      <c r="J95" s="466"/>
      <c r="K95" s="454">
        <f t="shared" si="2"/>
        <v>1000000</v>
      </c>
    </row>
    <row r="96" spans="1:11" ht="15.75">
      <c r="A96" s="470" t="s">
        <v>665</v>
      </c>
      <c r="B96" s="471">
        <v>0</v>
      </c>
      <c r="C96" s="471"/>
      <c r="D96" s="471"/>
      <c r="E96" s="471"/>
      <c r="F96" s="471">
        <v>17000000</v>
      </c>
      <c r="G96" s="471"/>
      <c r="H96" s="469">
        <f t="shared" si="3"/>
        <v>17000000</v>
      </c>
      <c r="I96" s="466"/>
      <c r="J96" s="466"/>
      <c r="K96" s="454">
        <f t="shared" si="2"/>
        <v>17000000</v>
      </c>
    </row>
    <row r="97" spans="1:11" ht="15.75">
      <c r="A97" s="470" t="s">
        <v>611</v>
      </c>
      <c r="B97" s="471"/>
      <c r="C97" s="471"/>
      <c r="D97" s="471"/>
      <c r="E97" s="471"/>
      <c r="F97" s="471">
        <v>1500000</v>
      </c>
      <c r="G97" s="471"/>
      <c r="H97" s="469">
        <f t="shared" si="3"/>
        <v>1500000</v>
      </c>
      <c r="I97" s="466"/>
      <c r="J97" s="466"/>
      <c r="K97" s="454">
        <f t="shared" si="2"/>
        <v>1500000</v>
      </c>
    </row>
    <row r="98" spans="1:11" ht="45.75">
      <c r="A98" s="473" t="s">
        <v>612</v>
      </c>
      <c r="B98" s="471">
        <v>0</v>
      </c>
      <c r="C98" s="482"/>
      <c r="D98" s="482"/>
      <c r="E98" s="482"/>
      <c r="F98" s="482">
        <v>10000000</v>
      </c>
      <c r="G98" s="482"/>
      <c r="H98" s="469">
        <f t="shared" si="3"/>
        <v>10000000</v>
      </c>
      <c r="I98" s="466"/>
      <c r="J98" s="466"/>
      <c r="K98" s="454">
        <f t="shared" si="2"/>
        <v>10000000</v>
      </c>
    </row>
    <row r="99" spans="1:11" ht="30.75">
      <c r="A99" s="473" t="s">
        <v>666</v>
      </c>
      <c r="B99" s="471"/>
      <c r="C99" s="482"/>
      <c r="D99" s="482"/>
      <c r="E99" s="482"/>
      <c r="F99" s="482">
        <v>10000000</v>
      </c>
      <c r="G99" s="482"/>
      <c r="H99" s="469">
        <f t="shared" si="3"/>
        <v>10000000</v>
      </c>
      <c r="I99" s="466"/>
      <c r="J99" s="466"/>
      <c r="K99" s="454">
        <f t="shared" si="2"/>
        <v>10000000</v>
      </c>
    </row>
    <row r="100" spans="1:11" ht="15.75">
      <c r="A100" s="473" t="s">
        <v>667</v>
      </c>
      <c r="B100" s="471"/>
      <c r="C100" s="482"/>
      <c r="D100" s="482"/>
      <c r="E100" s="482"/>
      <c r="F100" s="482">
        <v>500000</v>
      </c>
      <c r="G100" s="482"/>
      <c r="H100" s="469">
        <f t="shared" si="3"/>
        <v>500000</v>
      </c>
      <c r="I100" s="466"/>
      <c r="J100" s="466"/>
      <c r="K100" s="454">
        <f t="shared" si="2"/>
        <v>500000</v>
      </c>
    </row>
    <row r="101" spans="1:11" ht="15.75">
      <c r="A101" s="473" t="s">
        <v>668</v>
      </c>
      <c r="B101" s="471"/>
      <c r="C101" s="482"/>
      <c r="D101" s="482"/>
      <c r="E101" s="482"/>
      <c r="F101" s="482">
        <v>1500000</v>
      </c>
      <c r="G101" s="482"/>
      <c r="H101" s="469">
        <f t="shared" si="3"/>
        <v>1500000</v>
      </c>
      <c r="I101" s="466"/>
      <c r="J101" s="466"/>
      <c r="K101" s="454">
        <f t="shared" si="2"/>
        <v>1500000</v>
      </c>
    </row>
    <row r="102" spans="1:11" ht="45.75">
      <c r="A102" s="473" t="s">
        <v>670</v>
      </c>
      <c r="B102" s="471"/>
      <c r="C102" s="482"/>
      <c r="D102" s="482"/>
      <c r="E102" s="482"/>
      <c r="F102" s="482">
        <v>5700000</v>
      </c>
      <c r="G102" s="482"/>
      <c r="H102" s="469">
        <f t="shared" si="3"/>
        <v>5700000</v>
      </c>
      <c r="I102" s="466"/>
      <c r="J102" s="466"/>
      <c r="K102" s="454">
        <f t="shared" si="2"/>
        <v>5700000</v>
      </c>
    </row>
    <row r="103" spans="1:11" ht="30.75">
      <c r="A103" s="473" t="s">
        <v>671</v>
      </c>
      <c r="B103" s="471">
        <v>0</v>
      </c>
      <c r="C103" s="482"/>
      <c r="D103" s="482"/>
      <c r="E103" s="482"/>
      <c r="F103" s="482">
        <v>1000000</v>
      </c>
      <c r="G103" s="482"/>
      <c r="H103" s="469">
        <f t="shared" si="3"/>
        <v>1000000</v>
      </c>
      <c r="I103" s="489"/>
      <c r="J103" s="466"/>
      <c r="K103" s="454">
        <f t="shared" si="2"/>
        <v>1000000</v>
      </c>
    </row>
    <row r="104" spans="1:11" ht="30.75">
      <c r="A104" s="473" t="s">
        <v>613</v>
      </c>
      <c r="B104" s="471">
        <v>0</v>
      </c>
      <c r="C104" s="482"/>
      <c r="D104" s="482"/>
      <c r="E104" s="482"/>
      <c r="F104" s="482">
        <v>1000000</v>
      </c>
      <c r="G104" s="482"/>
      <c r="H104" s="469">
        <f t="shared" si="3"/>
        <v>1000000</v>
      </c>
      <c r="I104" s="489"/>
      <c r="J104" s="466"/>
      <c r="K104" s="454">
        <f>H104+I104+J104</f>
        <v>1000000</v>
      </c>
    </row>
    <row r="105" spans="1:11" ht="16.5" thickBot="1">
      <c r="A105" s="490" t="s">
        <v>51</v>
      </c>
      <c r="B105" s="491">
        <f t="shared" ref="B105:G105" si="4">SUM(B8:B104)</f>
        <v>98740000</v>
      </c>
      <c r="C105" s="491">
        <f t="shared" si="4"/>
        <v>84132100</v>
      </c>
      <c r="D105" s="491">
        <f t="shared" si="4"/>
        <v>18885742</v>
      </c>
      <c r="E105" s="491">
        <f t="shared" si="4"/>
        <v>269187000</v>
      </c>
      <c r="F105" s="491">
        <f t="shared" si="4"/>
        <v>61500000</v>
      </c>
      <c r="G105" s="491">
        <f t="shared" si="4"/>
        <v>218175913</v>
      </c>
      <c r="H105" s="491">
        <f>SUM(C105:G105)</f>
        <v>651880755</v>
      </c>
      <c r="I105" s="492">
        <f>SUM(I8:I104)</f>
        <v>336480000</v>
      </c>
      <c r="J105" s="492">
        <f>SUM(J8:J104)</f>
        <v>361951000</v>
      </c>
      <c r="K105" s="493">
        <f t="shared" si="2"/>
        <v>1350311755</v>
      </c>
    </row>
    <row r="106" spans="1:11" ht="16.5" thickBot="1">
      <c r="A106" s="459"/>
      <c r="B106" s="494"/>
      <c r="C106" s="494"/>
      <c r="D106" s="494"/>
      <c r="E106" s="494"/>
      <c r="F106" s="494"/>
      <c r="G106" s="494"/>
      <c r="H106" s="494"/>
      <c r="I106" s="495"/>
      <c r="J106" s="458"/>
      <c r="K106" s="458"/>
    </row>
    <row r="107" spans="1:11" ht="18">
      <c r="A107" s="496" t="s">
        <v>614</v>
      </c>
      <c r="B107" s="497">
        <f>B104+B103+B101+B98+B96+B95+B93+B92+B90+B88+B84+B80+B79+B78+B72+B60+B54+B47+B45+B42+B39+B32+B25+B23+B16+B14+B13+B11+B9+B8</f>
        <v>55940000</v>
      </c>
      <c r="C107" s="497">
        <f>C104+C103+C101+C98+C96+C95+C93+C92+C90+C88+C84+C80+C79+C78+C72+C60+C54+C47+C45+C42+C39+C32+C25+C23+C16+C14+C13+C11+C9+C8</f>
        <v>69436000</v>
      </c>
      <c r="D107" s="497">
        <f>D104+D103+D101+D98+D96+D95+D93+D92+D90+D88+D84+D80+D79+D78+D72+D60+D54+D47+D45+D42+D39+D32+D25+D23+D16+D14+D13+D11+D9+D8</f>
        <v>15497100</v>
      </c>
      <c r="E107" s="497">
        <f>E104+E103+E101+E98+E96+E95+E93+E92+E90+E88+E84+E80+E79+E78+E72+E60+E54+E47+E45+E42+E39+E32+E25+E23+E16+E14+E13+E11+E9+E8</f>
        <v>197941000</v>
      </c>
      <c r="F107" s="497">
        <f>SUM(F88:F104)</f>
        <v>61500000</v>
      </c>
      <c r="G107" s="497">
        <f>G19+G54+G72+G80</f>
        <v>149347133</v>
      </c>
      <c r="H107" s="498">
        <f>SUM(C107:G107)</f>
        <v>493721233</v>
      </c>
      <c r="I107" s="495"/>
      <c r="J107" s="458"/>
      <c r="K107" s="458"/>
    </row>
    <row r="108" spans="1:11" ht="18">
      <c r="A108" s="499" t="s">
        <v>615</v>
      </c>
      <c r="B108" s="500">
        <f>B86+B82+B74+B70+B68+B66+B64+B62+B58+B56+B50+B49+B37+B35+B29+B27+F26+B21+B17</f>
        <v>42800000</v>
      </c>
      <c r="C108" s="500">
        <f>C86+C82+C74+C70+C68+C66+C64+C62+C58+C56+C50+C49+C37+C35+C29+C27+G26+C21+C17</f>
        <v>14696100</v>
      </c>
      <c r="D108" s="500">
        <f>D86+D82+D74+D70+D68+D66+D64+D62+D58+D56+D50+D49+D37+D35+D29+D27+H26+D21+D17</f>
        <v>3388642</v>
      </c>
      <c r="E108" s="500">
        <f>E86+E82+E74+E70+E68+E66+E64+E62+E58+E56+E52+E50+E49+E37+E35+E29+E27+I26+E21+E17</f>
        <v>71246000</v>
      </c>
      <c r="F108" s="500">
        <f>F86+F82+F74+F70+F68+F66+F64+F62+F58+F56+F50+F49+F37+F35+F29+F27+J26+F21+F17</f>
        <v>0</v>
      </c>
      <c r="G108" s="500">
        <f>G86+G82+G76+G74+G70+G68+G66+G64+G62+G58+G56+G50+G49+G37+G35+G29+G27+K26+G21+G20+G17</f>
        <v>68828780</v>
      </c>
      <c r="H108" s="501">
        <f>SUM(C108:G108)</f>
        <v>158159522</v>
      </c>
      <c r="I108" s="495"/>
      <c r="J108" s="458"/>
      <c r="K108" s="458"/>
    </row>
    <row r="109" spans="1:11" ht="18.75" thickBot="1">
      <c r="A109" s="502" t="s">
        <v>51</v>
      </c>
      <c r="B109" s="503">
        <f>B107+B108</f>
        <v>98740000</v>
      </c>
      <c r="C109" s="503">
        <f t="shared" ref="C109:H109" si="5">C107+C108</f>
        <v>84132100</v>
      </c>
      <c r="D109" s="503">
        <f t="shared" si="5"/>
        <v>18885742</v>
      </c>
      <c r="E109" s="503">
        <f t="shared" si="5"/>
        <v>269187000</v>
      </c>
      <c r="F109" s="503">
        <f t="shared" si="5"/>
        <v>61500000</v>
      </c>
      <c r="G109" s="503">
        <f t="shared" si="5"/>
        <v>218175913</v>
      </c>
      <c r="H109" s="504">
        <f t="shared" si="5"/>
        <v>651880755</v>
      </c>
      <c r="I109" s="495"/>
      <c r="J109" s="458"/>
      <c r="K109" s="458"/>
    </row>
    <row r="110" spans="1:11" ht="18">
      <c r="A110" s="505"/>
      <c r="B110" s="494"/>
      <c r="C110" s="494"/>
      <c r="D110" s="494"/>
      <c r="E110" s="494"/>
      <c r="F110" s="494"/>
      <c r="G110" s="494"/>
      <c r="H110" s="494"/>
      <c r="I110" s="495" t="s">
        <v>616</v>
      </c>
      <c r="J110" s="458"/>
      <c r="K110" s="458">
        <f>44166704+57000000</f>
        <v>101166704</v>
      </c>
    </row>
    <row r="111" spans="1:11" ht="18">
      <c r="A111" s="505"/>
      <c r="B111" s="494"/>
      <c r="C111" s="494"/>
      <c r="D111" s="494"/>
      <c r="E111" s="494"/>
      <c r="F111" s="494"/>
      <c r="G111" s="494"/>
      <c r="H111" s="494"/>
      <c r="I111" s="495" t="s">
        <v>617</v>
      </c>
      <c r="J111" s="458"/>
      <c r="K111" s="458">
        <v>885342129</v>
      </c>
    </row>
    <row r="112" spans="1:11" ht="15">
      <c r="I112" s="458"/>
      <c r="J112" s="458"/>
      <c r="K112" s="458"/>
    </row>
    <row r="113" spans="1:11" ht="15">
      <c r="A113" s="654" t="s">
        <v>618</v>
      </c>
      <c r="B113" s="653"/>
      <c r="C113" s="669"/>
      <c r="H113" s="507"/>
      <c r="I113" s="458" t="s">
        <v>51</v>
      </c>
      <c r="J113" s="458"/>
      <c r="K113" s="508">
        <f>SUM(K105:K112)</f>
        <v>2336820588</v>
      </c>
    </row>
    <row r="114" spans="1:11">
      <c r="A114" t="s">
        <v>714</v>
      </c>
    </row>
  </sheetData>
  <mergeCells count="4">
    <mergeCell ref="F3:H3"/>
    <mergeCell ref="H5:K5"/>
    <mergeCell ref="A4:K4"/>
    <mergeCell ref="I3:K3"/>
  </mergeCells>
  <pageMargins left="0.70866141732283472" right="0.70866141732283472" top="0.74803149606299213" bottom="0.74803149606299213" header="0.31496062992125984" footer="0.31496062992125984"/>
  <pageSetup paperSize="9" scale="67" fitToHeight="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1"/>
  <sheetViews>
    <sheetView zoomScaleSheetLayoutView="85" workbookViewId="0">
      <selection activeCell="L49" sqref="L49"/>
    </sheetView>
  </sheetViews>
  <sheetFormatPr defaultRowHeight="12.75"/>
  <cols>
    <col min="1" max="1" width="19.5" style="372" customWidth="1"/>
    <col min="2" max="2" width="72" style="373" customWidth="1"/>
    <col min="3" max="3" width="25" style="374" customWidth="1"/>
    <col min="4" max="16384" width="9.33203125" style="2"/>
  </cols>
  <sheetData>
    <row r="1" spans="1:3" s="1" customFormat="1" ht="16.5" customHeight="1" thickBot="1">
      <c r="A1" s="209"/>
      <c r="B1" s="211"/>
      <c r="C1" s="234" t="s">
        <v>819</v>
      </c>
    </row>
    <row r="2" spans="1:3" s="83" customFormat="1" ht="21" customHeight="1">
      <c r="A2" s="379" t="s">
        <v>66</v>
      </c>
      <c r="B2" s="342" t="s">
        <v>211</v>
      </c>
      <c r="C2" s="344" t="s">
        <v>54</v>
      </c>
    </row>
    <row r="3" spans="1:3" s="83" customFormat="1" ht="16.5" thickBot="1">
      <c r="A3" s="212" t="s">
        <v>185</v>
      </c>
      <c r="B3" s="343" t="s">
        <v>480</v>
      </c>
      <c r="C3" s="345">
        <v>2</v>
      </c>
    </row>
    <row r="4" spans="1:3" s="84" customFormat="1" ht="15.95" customHeight="1" thickBot="1">
      <c r="A4" s="213"/>
      <c r="B4" s="213"/>
      <c r="C4" s="214" t="s">
        <v>794</v>
      </c>
    </row>
    <row r="5" spans="1:3" ht="13.5" thickBot="1">
      <c r="A5" s="380" t="s">
        <v>187</v>
      </c>
      <c r="B5" s="215" t="s">
        <v>56</v>
      </c>
      <c r="C5" s="346" t="s">
        <v>57</v>
      </c>
    </row>
    <row r="6" spans="1:3" s="53" customFormat="1" ht="12.95" customHeight="1" thickBot="1">
      <c r="A6" s="196">
        <v>1</v>
      </c>
      <c r="B6" s="197">
        <v>2</v>
      </c>
      <c r="C6" s="198">
        <v>3</v>
      </c>
    </row>
    <row r="7" spans="1:3" s="53" customFormat="1" ht="15.95" customHeight="1" thickBot="1">
      <c r="A7" s="217"/>
      <c r="B7" s="218" t="s">
        <v>58</v>
      </c>
      <c r="C7" s="347"/>
    </row>
    <row r="8" spans="1:3" s="53" customFormat="1" ht="12" customHeight="1" thickBot="1">
      <c r="A8" s="31" t="s">
        <v>19</v>
      </c>
      <c r="B8" s="20" t="s">
        <v>242</v>
      </c>
      <c r="C8" s="281">
        <f>SUM(C9:C13)</f>
        <v>655047388</v>
      </c>
    </row>
    <row r="9" spans="1:3" s="85" customFormat="1" ht="12" customHeight="1">
      <c r="A9" s="407" t="s">
        <v>103</v>
      </c>
      <c r="B9" s="389" t="s">
        <v>243</v>
      </c>
      <c r="C9" s="284">
        <f>185877626-171933200</f>
        <v>13944426</v>
      </c>
    </row>
    <row r="10" spans="1:3" s="86" customFormat="1" ht="12" customHeight="1">
      <c r="A10" s="408" t="s">
        <v>104</v>
      </c>
      <c r="B10" s="390" t="s">
        <v>244</v>
      </c>
      <c r="C10" s="283">
        <v>387599564</v>
      </c>
    </row>
    <row r="11" spans="1:3" s="86" customFormat="1" ht="12" customHeight="1">
      <c r="A11" s="408" t="s">
        <v>105</v>
      </c>
      <c r="B11" s="390" t="s">
        <v>245</v>
      </c>
      <c r="C11" s="283">
        <v>116517000</v>
      </c>
    </row>
    <row r="12" spans="1:3" s="86" customFormat="1" ht="12" customHeight="1">
      <c r="A12" s="408" t="s">
        <v>106</v>
      </c>
      <c r="B12" s="390" t="s">
        <v>246</v>
      </c>
      <c r="C12" s="283">
        <v>19172520</v>
      </c>
    </row>
    <row r="13" spans="1:3" s="86" customFormat="1" ht="12" customHeight="1">
      <c r="A13" s="408"/>
      <c r="B13" s="390" t="s">
        <v>522</v>
      </c>
      <c r="C13" s="283">
        <v>117813878</v>
      </c>
    </row>
    <row r="14" spans="1:3" s="86" customFormat="1" ht="12" customHeight="1">
      <c r="A14" s="408" t="s">
        <v>131</v>
      </c>
      <c r="B14" s="390" t="s">
        <v>247</v>
      </c>
      <c r="C14" s="433"/>
    </row>
    <row r="15" spans="1:3" s="85" customFormat="1" ht="12" customHeight="1" thickBot="1">
      <c r="A15" s="409" t="s">
        <v>107</v>
      </c>
      <c r="B15" s="391" t="s">
        <v>248</v>
      </c>
      <c r="C15" s="434"/>
    </row>
    <row r="16" spans="1:3" s="85" customFormat="1" ht="12" customHeight="1" thickBot="1">
      <c r="A16" s="31" t="s">
        <v>20</v>
      </c>
      <c r="B16" s="276" t="s">
        <v>249</v>
      </c>
      <c r="C16" s="281">
        <f>+C17+C18+C19+C20+C21</f>
        <v>300000000</v>
      </c>
    </row>
    <row r="17" spans="1:5" s="85" customFormat="1" ht="12" customHeight="1">
      <c r="A17" s="407" t="s">
        <v>109</v>
      </c>
      <c r="B17" s="389" t="s">
        <v>250</v>
      </c>
      <c r="C17" s="284"/>
    </row>
    <row r="18" spans="1:5" s="85" customFormat="1" ht="12" customHeight="1">
      <c r="A18" s="408" t="s">
        <v>110</v>
      </c>
      <c r="B18" s="390" t="s">
        <v>251</v>
      </c>
      <c r="C18" s="283"/>
    </row>
    <row r="19" spans="1:5" s="85" customFormat="1" ht="12" customHeight="1">
      <c r="A19" s="408" t="s">
        <v>111</v>
      </c>
      <c r="B19" s="390" t="s">
        <v>473</v>
      </c>
      <c r="C19" s="283"/>
    </row>
    <row r="20" spans="1:5" s="85" customFormat="1" ht="12" customHeight="1">
      <c r="A20" s="408" t="s">
        <v>112</v>
      </c>
      <c r="B20" s="390" t="s">
        <v>474</v>
      </c>
      <c r="C20" s="283"/>
    </row>
    <row r="21" spans="1:5" s="85" customFormat="1" ht="12" customHeight="1">
      <c r="A21" s="408" t="s">
        <v>113</v>
      </c>
      <c r="B21" s="390" t="s">
        <v>252</v>
      </c>
      <c r="C21" s="283">
        <v>300000000</v>
      </c>
    </row>
    <row r="22" spans="1:5" s="86" customFormat="1" ht="12" customHeight="1" thickBot="1">
      <c r="A22" s="409" t="s">
        <v>122</v>
      </c>
      <c r="B22" s="391" t="s">
        <v>253</v>
      </c>
      <c r="C22" s="285"/>
    </row>
    <row r="23" spans="1:5" s="86" customFormat="1" ht="12" customHeight="1" thickBot="1">
      <c r="A23" s="31" t="s">
        <v>21</v>
      </c>
      <c r="B23" s="20" t="s">
        <v>254</v>
      </c>
      <c r="C23" s="281">
        <f>+C24+C25+C26+C27+C28</f>
        <v>0</v>
      </c>
    </row>
    <row r="24" spans="1:5" s="86" customFormat="1" ht="12" customHeight="1">
      <c r="A24" s="407" t="s">
        <v>92</v>
      </c>
      <c r="B24" s="389" t="s">
        <v>255</v>
      </c>
      <c r="C24" s="284"/>
    </row>
    <row r="25" spans="1:5" s="85" customFormat="1" ht="12" customHeight="1">
      <c r="A25" s="408" t="s">
        <v>93</v>
      </c>
      <c r="B25" s="390" t="s">
        <v>256</v>
      </c>
      <c r="C25" s="283"/>
    </row>
    <row r="26" spans="1:5" s="86" customFormat="1" ht="12" customHeight="1">
      <c r="A26" s="408" t="s">
        <v>94</v>
      </c>
      <c r="B26" s="390" t="s">
        <v>475</v>
      </c>
      <c r="C26" s="283"/>
    </row>
    <row r="27" spans="1:5" s="86" customFormat="1" ht="12" customHeight="1">
      <c r="A27" s="408" t="s">
        <v>95</v>
      </c>
      <c r="B27" s="390" t="s">
        <v>476</v>
      </c>
      <c r="C27" s="283"/>
    </row>
    <row r="28" spans="1:5" s="86" customFormat="1" ht="12" customHeight="1">
      <c r="A28" s="408" t="s">
        <v>153</v>
      </c>
      <c r="B28" s="390" t="s">
        <v>257</v>
      </c>
      <c r="C28" s="283"/>
    </row>
    <row r="29" spans="1:5" s="86" customFormat="1" ht="12" customHeight="1" thickBot="1">
      <c r="A29" s="409" t="s">
        <v>154</v>
      </c>
      <c r="B29" s="391" t="s">
        <v>258</v>
      </c>
      <c r="C29" s="285"/>
    </row>
    <row r="30" spans="1:5" s="86" customFormat="1" ht="12" customHeight="1" thickBot="1">
      <c r="A30" s="31" t="s">
        <v>155</v>
      </c>
      <c r="B30" s="20" t="s">
        <v>259</v>
      </c>
      <c r="C30" s="287">
        <f>+C31+C34+C35+C36</f>
        <v>733800000</v>
      </c>
    </row>
    <row r="31" spans="1:5" s="86" customFormat="1" ht="12" customHeight="1">
      <c r="A31" s="407" t="s">
        <v>260</v>
      </c>
      <c r="B31" s="389" t="s">
        <v>266</v>
      </c>
      <c r="C31" s="384">
        <f>+C32+C33</f>
        <v>641800000</v>
      </c>
    </row>
    <row r="32" spans="1:5" s="86" customFormat="1" ht="12" customHeight="1">
      <c r="A32" s="408" t="s">
        <v>261</v>
      </c>
      <c r="B32" s="390" t="s">
        <v>267</v>
      </c>
      <c r="C32" s="283"/>
      <c r="E32" s="667"/>
    </row>
    <row r="33" spans="1:5" s="86" customFormat="1" ht="12" customHeight="1">
      <c r="A33" s="408" t="s">
        <v>262</v>
      </c>
      <c r="B33" s="390" t="s">
        <v>268</v>
      </c>
      <c r="C33" s="660">
        <v>641800000</v>
      </c>
    </row>
    <row r="34" spans="1:5" s="86" customFormat="1" ht="12" customHeight="1">
      <c r="A34" s="408" t="s">
        <v>263</v>
      </c>
      <c r="B34" s="390" t="s">
        <v>269</v>
      </c>
      <c r="C34" s="283">
        <v>90000000</v>
      </c>
      <c r="E34" s="659">
        <f>E32-E33</f>
        <v>0</v>
      </c>
    </row>
    <row r="35" spans="1:5" s="86" customFormat="1" ht="12" customHeight="1">
      <c r="A35" s="408" t="s">
        <v>264</v>
      </c>
      <c r="B35" s="390" t="s">
        <v>270</v>
      </c>
      <c r="C35" s="283">
        <v>2000000</v>
      </c>
    </row>
    <row r="36" spans="1:5" s="86" customFormat="1" ht="12" customHeight="1" thickBot="1">
      <c r="A36" s="409" t="s">
        <v>265</v>
      </c>
      <c r="B36" s="391" t="s">
        <v>271</v>
      </c>
      <c r="C36" s="285"/>
    </row>
    <row r="37" spans="1:5" s="86" customFormat="1" ht="12" customHeight="1" thickBot="1">
      <c r="A37" s="31" t="s">
        <v>23</v>
      </c>
      <c r="B37" s="20" t="s">
        <v>272</v>
      </c>
      <c r="C37" s="281">
        <f>SUM(C38:C47)</f>
        <v>55940000</v>
      </c>
    </row>
    <row r="38" spans="1:5" s="86" customFormat="1" ht="12" customHeight="1">
      <c r="A38" s="407" t="s">
        <v>96</v>
      </c>
      <c r="B38" s="389" t="s">
        <v>275</v>
      </c>
      <c r="C38" s="284"/>
    </row>
    <row r="39" spans="1:5" s="86" customFormat="1" ht="12" customHeight="1">
      <c r="A39" s="408" t="s">
        <v>97</v>
      </c>
      <c r="B39" s="390" t="s">
        <v>276</v>
      </c>
      <c r="C39" s="283">
        <v>44047244</v>
      </c>
    </row>
    <row r="40" spans="1:5" s="86" customFormat="1" ht="12" customHeight="1">
      <c r="A40" s="408" t="s">
        <v>98</v>
      </c>
      <c r="B40" s="390" t="s">
        <v>277</v>
      </c>
      <c r="C40" s="283"/>
    </row>
    <row r="41" spans="1:5" s="86" customFormat="1" ht="12" customHeight="1">
      <c r="A41" s="408" t="s">
        <v>157</v>
      </c>
      <c r="B41" s="390" t="s">
        <v>278</v>
      </c>
      <c r="C41" s="283"/>
    </row>
    <row r="42" spans="1:5" s="86" customFormat="1" ht="12" customHeight="1">
      <c r="A42" s="408" t="s">
        <v>158</v>
      </c>
      <c r="B42" s="390" t="s">
        <v>279</v>
      </c>
      <c r="C42" s="283"/>
    </row>
    <row r="43" spans="1:5" s="86" customFormat="1" ht="12" customHeight="1">
      <c r="A43" s="408" t="s">
        <v>159</v>
      </c>
      <c r="B43" s="390" t="s">
        <v>280</v>
      </c>
      <c r="C43" s="283">
        <v>11892756</v>
      </c>
    </row>
    <row r="44" spans="1:5" s="86" customFormat="1" ht="12" customHeight="1">
      <c r="A44" s="408" t="s">
        <v>160</v>
      </c>
      <c r="B44" s="390" t="s">
        <v>281</v>
      </c>
      <c r="C44" s="283"/>
    </row>
    <row r="45" spans="1:5" s="86" customFormat="1" ht="12" customHeight="1">
      <c r="A45" s="408" t="s">
        <v>161</v>
      </c>
      <c r="B45" s="390" t="s">
        <v>282</v>
      </c>
      <c r="C45" s="283"/>
    </row>
    <row r="46" spans="1:5" s="86" customFormat="1" ht="12" customHeight="1">
      <c r="A46" s="408" t="s">
        <v>273</v>
      </c>
      <c r="B46" s="390" t="s">
        <v>283</v>
      </c>
      <c r="C46" s="286"/>
    </row>
    <row r="47" spans="1:5" s="86" customFormat="1" ht="12" customHeight="1" thickBot="1">
      <c r="A47" s="409" t="s">
        <v>274</v>
      </c>
      <c r="B47" s="391" t="s">
        <v>284</v>
      </c>
      <c r="C47" s="378"/>
    </row>
    <row r="48" spans="1:5" s="86" customFormat="1" ht="12" customHeight="1" thickBot="1">
      <c r="A48" s="31" t="s">
        <v>24</v>
      </c>
      <c r="B48" s="20" t="s">
        <v>285</v>
      </c>
      <c r="C48" s="281">
        <f>SUM(C49:C53)</f>
        <v>0</v>
      </c>
    </row>
    <row r="49" spans="1:3" s="86" customFormat="1" ht="12" customHeight="1">
      <c r="A49" s="407" t="s">
        <v>99</v>
      </c>
      <c r="B49" s="389" t="s">
        <v>289</v>
      </c>
      <c r="C49" s="435"/>
    </row>
    <row r="50" spans="1:3" s="86" customFormat="1" ht="12" customHeight="1">
      <c r="A50" s="408" t="s">
        <v>100</v>
      </c>
      <c r="B50" s="390" t="s">
        <v>290</v>
      </c>
      <c r="C50" s="286"/>
    </row>
    <row r="51" spans="1:3" s="86" customFormat="1" ht="12" customHeight="1">
      <c r="A51" s="408" t="s">
        <v>286</v>
      </c>
      <c r="B51" s="390" t="s">
        <v>291</v>
      </c>
      <c r="C51" s="286"/>
    </row>
    <row r="52" spans="1:3" s="86" customFormat="1" ht="12" customHeight="1">
      <c r="A52" s="408" t="s">
        <v>287</v>
      </c>
      <c r="B52" s="390" t="s">
        <v>292</v>
      </c>
      <c r="C52" s="286"/>
    </row>
    <row r="53" spans="1:3" s="86" customFormat="1" ht="12" customHeight="1" thickBot="1">
      <c r="A53" s="409" t="s">
        <v>288</v>
      </c>
      <c r="B53" s="391" t="s">
        <v>293</v>
      </c>
      <c r="C53" s="378"/>
    </row>
    <row r="54" spans="1:3" s="86" customFormat="1" ht="12" customHeight="1" thickBot="1">
      <c r="A54" s="31" t="s">
        <v>162</v>
      </c>
      <c r="B54" s="20" t="s">
        <v>294</v>
      </c>
      <c r="C54" s="281">
        <f>SUM(C55:C57)</f>
        <v>0</v>
      </c>
    </row>
    <row r="55" spans="1:3" s="86" customFormat="1" ht="12" customHeight="1">
      <c r="A55" s="407" t="s">
        <v>101</v>
      </c>
      <c r="B55" s="389" t="s">
        <v>295</v>
      </c>
      <c r="C55" s="284"/>
    </row>
    <row r="56" spans="1:3" s="86" customFormat="1" ht="12" customHeight="1">
      <c r="A56" s="408" t="s">
        <v>102</v>
      </c>
      <c r="B56" s="390" t="s">
        <v>477</v>
      </c>
      <c r="C56" s="283"/>
    </row>
    <row r="57" spans="1:3" s="86" customFormat="1" ht="12" customHeight="1">
      <c r="A57" s="408" t="s">
        <v>299</v>
      </c>
      <c r="B57" s="390" t="s">
        <v>297</v>
      </c>
      <c r="C57" s="283"/>
    </row>
    <row r="58" spans="1:3" s="86" customFormat="1" ht="12" customHeight="1" thickBot="1">
      <c r="A58" s="409" t="s">
        <v>300</v>
      </c>
      <c r="B58" s="391" t="s">
        <v>298</v>
      </c>
      <c r="C58" s="285"/>
    </row>
    <row r="59" spans="1:3" s="86" customFormat="1" ht="12" customHeight="1" thickBot="1">
      <c r="A59" s="31" t="s">
        <v>26</v>
      </c>
      <c r="B59" s="276" t="s">
        <v>301</v>
      </c>
      <c r="C59" s="281">
        <f>SUM(C60:C62)</f>
        <v>8000000</v>
      </c>
    </row>
    <row r="60" spans="1:3" s="86" customFormat="1" ht="12" customHeight="1">
      <c r="A60" s="407" t="s">
        <v>163</v>
      </c>
      <c r="B60" s="389" t="s">
        <v>303</v>
      </c>
      <c r="C60" s="286"/>
    </row>
    <row r="61" spans="1:3" s="86" customFormat="1" ht="12" customHeight="1">
      <c r="A61" s="408" t="s">
        <v>164</v>
      </c>
      <c r="B61" s="390" t="s">
        <v>478</v>
      </c>
      <c r="C61" s="286"/>
    </row>
    <row r="62" spans="1:3" s="86" customFormat="1" ht="12" customHeight="1">
      <c r="A62" s="408" t="s">
        <v>217</v>
      </c>
      <c r="B62" s="390" t="s">
        <v>728</v>
      </c>
      <c r="C62" s="286">
        <v>8000000</v>
      </c>
    </row>
    <row r="63" spans="1:3" s="86" customFormat="1" ht="12" customHeight="1" thickBot="1">
      <c r="A63" s="409" t="s">
        <v>302</v>
      </c>
      <c r="B63" s="391" t="s">
        <v>305</v>
      </c>
      <c r="C63" s="286"/>
    </row>
    <row r="64" spans="1:3" s="86" customFormat="1" ht="12" customHeight="1" thickBot="1">
      <c r="A64" s="31" t="s">
        <v>27</v>
      </c>
      <c r="B64" s="20" t="s">
        <v>306</v>
      </c>
      <c r="C64" s="287">
        <f>+C8+C16+C23+C30+C37+C48+C54+C59</f>
        <v>1752787388</v>
      </c>
    </row>
    <row r="65" spans="1:3" s="86" customFormat="1" ht="12" customHeight="1" thickBot="1">
      <c r="A65" s="410" t="s">
        <v>440</v>
      </c>
      <c r="B65" s="276" t="s">
        <v>308</v>
      </c>
      <c r="C65" s="281">
        <f>SUM(C66:C68)</f>
        <v>0</v>
      </c>
    </row>
    <row r="66" spans="1:3" s="86" customFormat="1" ht="12" customHeight="1">
      <c r="A66" s="407" t="s">
        <v>341</v>
      </c>
      <c r="B66" s="389" t="s">
        <v>309</v>
      </c>
      <c r="C66" s="286"/>
    </row>
    <row r="67" spans="1:3" s="86" customFormat="1" ht="12" customHeight="1">
      <c r="A67" s="408" t="s">
        <v>350</v>
      </c>
      <c r="B67" s="390" t="s">
        <v>310</v>
      </c>
      <c r="C67" s="286"/>
    </row>
    <row r="68" spans="1:3" s="86" customFormat="1" ht="12" customHeight="1" thickBot="1">
      <c r="A68" s="409" t="s">
        <v>351</v>
      </c>
      <c r="B68" s="393" t="s">
        <v>311</v>
      </c>
      <c r="C68" s="286"/>
    </row>
    <row r="69" spans="1:3" s="86" customFormat="1" ht="12" customHeight="1" thickBot="1">
      <c r="A69" s="410" t="s">
        <v>312</v>
      </c>
      <c r="B69" s="276" t="s">
        <v>313</v>
      </c>
      <c r="C69" s="281">
        <f>SUM(C70:C73)</f>
        <v>0</v>
      </c>
    </row>
    <row r="70" spans="1:3" s="86" customFormat="1" ht="12" customHeight="1">
      <c r="A70" s="407" t="s">
        <v>132</v>
      </c>
      <c r="B70" s="389" t="s">
        <v>314</v>
      </c>
      <c r="C70" s="286"/>
    </row>
    <row r="71" spans="1:3" s="86" customFormat="1" ht="12" customHeight="1">
      <c r="A71" s="408" t="s">
        <v>133</v>
      </c>
      <c r="B71" s="390" t="s">
        <v>315</v>
      </c>
      <c r="C71" s="286"/>
    </row>
    <row r="72" spans="1:3" s="86" customFormat="1" ht="12" customHeight="1">
      <c r="A72" s="408" t="s">
        <v>342</v>
      </c>
      <c r="B72" s="390" t="s">
        <v>316</v>
      </c>
      <c r="C72" s="286"/>
    </row>
    <row r="73" spans="1:3" s="86" customFormat="1" ht="12" customHeight="1" thickBot="1">
      <c r="A73" s="409" t="s">
        <v>343</v>
      </c>
      <c r="B73" s="391" t="s">
        <v>317</v>
      </c>
      <c r="C73" s="286"/>
    </row>
    <row r="74" spans="1:3" s="86" customFormat="1" ht="12" customHeight="1" thickBot="1">
      <c r="A74" s="410" t="s">
        <v>318</v>
      </c>
      <c r="B74" s="276" t="s">
        <v>319</v>
      </c>
      <c r="C74" s="281">
        <f>SUM(C75:C76)</f>
        <v>8016624</v>
      </c>
    </row>
    <row r="75" spans="1:3" s="86" customFormat="1" ht="12" customHeight="1">
      <c r="A75" s="407" t="s">
        <v>344</v>
      </c>
      <c r="B75" s="389" t="s">
        <v>320</v>
      </c>
      <c r="C75" s="286">
        <v>8016624</v>
      </c>
    </row>
    <row r="76" spans="1:3" s="86" customFormat="1" ht="12" customHeight="1" thickBot="1">
      <c r="A76" s="409" t="s">
        <v>345</v>
      </c>
      <c r="B76" s="391" t="s">
        <v>321</v>
      </c>
      <c r="C76" s="286"/>
    </row>
    <row r="77" spans="1:3" s="85" customFormat="1" ht="12" customHeight="1" thickBot="1">
      <c r="A77" s="410" t="s">
        <v>322</v>
      </c>
      <c r="B77" s="276" t="s">
        <v>323</v>
      </c>
      <c r="C77" s="281">
        <f>SUM(C78:C80)</f>
        <v>0</v>
      </c>
    </row>
    <row r="78" spans="1:3" s="86" customFormat="1" ht="12" customHeight="1">
      <c r="A78" s="407" t="s">
        <v>346</v>
      </c>
      <c r="B78" s="389" t="s">
        <v>324</v>
      </c>
      <c r="C78" s="286"/>
    </row>
    <row r="79" spans="1:3" s="86" customFormat="1" ht="12" customHeight="1">
      <c r="A79" s="408" t="s">
        <v>347</v>
      </c>
      <c r="B79" s="390" t="s">
        <v>325</v>
      </c>
      <c r="C79" s="286"/>
    </row>
    <row r="80" spans="1:3" s="86" customFormat="1" ht="12" customHeight="1" thickBot="1">
      <c r="A80" s="409" t="s">
        <v>348</v>
      </c>
      <c r="B80" s="391" t="s">
        <v>326</v>
      </c>
      <c r="C80" s="286"/>
    </row>
    <row r="81" spans="1:3" s="86" customFormat="1" ht="12" customHeight="1" thickBot="1">
      <c r="A81" s="410" t="s">
        <v>327</v>
      </c>
      <c r="B81" s="276" t="s">
        <v>349</v>
      </c>
      <c r="C81" s="281">
        <f>SUM(C82:C85)</f>
        <v>0</v>
      </c>
    </row>
    <row r="82" spans="1:3" s="86" customFormat="1" ht="12" customHeight="1">
      <c r="A82" s="411" t="s">
        <v>328</v>
      </c>
      <c r="B82" s="389" t="s">
        <v>329</v>
      </c>
      <c r="C82" s="286"/>
    </row>
    <row r="83" spans="1:3" s="86" customFormat="1" ht="12" customHeight="1">
      <c r="A83" s="412" t="s">
        <v>330</v>
      </c>
      <c r="B83" s="390" t="s">
        <v>331</v>
      </c>
      <c r="C83" s="286"/>
    </row>
    <row r="84" spans="1:3" s="86" customFormat="1" ht="12" customHeight="1">
      <c r="A84" s="412" t="s">
        <v>332</v>
      </c>
      <c r="B84" s="390" t="s">
        <v>333</v>
      </c>
      <c r="C84" s="286"/>
    </row>
    <row r="85" spans="1:3" s="85" customFormat="1" ht="12" customHeight="1" thickBot="1">
      <c r="A85" s="413" t="s">
        <v>334</v>
      </c>
      <c r="B85" s="391" t="s">
        <v>335</v>
      </c>
      <c r="C85" s="286"/>
    </row>
    <row r="86" spans="1:3" s="85" customFormat="1" ht="12" customHeight="1" thickBot="1">
      <c r="A86" s="410" t="s">
        <v>336</v>
      </c>
      <c r="B86" s="276" t="s">
        <v>337</v>
      </c>
      <c r="C86" s="436"/>
    </row>
    <row r="87" spans="1:3" s="85" customFormat="1" ht="12" customHeight="1" thickBot="1">
      <c r="A87" s="410" t="s">
        <v>338</v>
      </c>
      <c r="B87" s="397" t="s">
        <v>339</v>
      </c>
      <c r="C87" s="287">
        <f>+C65+C69+C74+C77+C81+C86</f>
        <v>8016624</v>
      </c>
    </row>
    <row r="88" spans="1:3" s="85" customFormat="1" ht="12" customHeight="1" thickBot="1">
      <c r="A88" s="414" t="s">
        <v>352</v>
      </c>
      <c r="B88" s="399" t="s">
        <v>468</v>
      </c>
      <c r="C88" s="287">
        <f>+C64+C87</f>
        <v>1760804012</v>
      </c>
    </row>
    <row r="89" spans="1:3" s="86" customFormat="1" ht="15" customHeight="1">
      <c r="A89" s="223"/>
      <c r="B89" s="224"/>
      <c r="C89" s="352"/>
    </row>
    <row r="90" spans="1:3" ht="13.5" thickBot="1">
      <c r="A90" s="415"/>
      <c r="B90" s="226"/>
      <c r="C90" s="353"/>
    </row>
    <row r="91" spans="1:3" s="53" customFormat="1" ht="16.5" customHeight="1" thickBot="1">
      <c r="A91" s="227"/>
      <c r="B91" s="228" t="s">
        <v>60</v>
      </c>
      <c r="C91" s="354"/>
    </row>
    <row r="92" spans="1:3" s="87" customFormat="1" ht="12" customHeight="1" thickBot="1">
      <c r="A92" s="381" t="s">
        <v>19</v>
      </c>
      <c r="B92" s="30" t="s">
        <v>355</v>
      </c>
      <c r="C92" s="280">
        <f>SUM(C93:C97)</f>
        <v>497721233</v>
      </c>
    </row>
    <row r="93" spans="1:3" ht="12" customHeight="1">
      <c r="A93" s="416" t="s">
        <v>103</v>
      </c>
      <c r="B93" s="9" t="s">
        <v>49</v>
      </c>
      <c r="C93" s="282">
        <v>69436000</v>
      </c>
    </row>
    <row r="94" spans="1:3" ht="12" customHeight="1">
      <c r="A94" s="408" t="s">
        <v>104</v>
      </c>
      <c r="B94" s="7" t="s">
        <v>165</v>
      </c>
      <c r="C94" s="283">
        <v>15497100</v>
      </c>
    </row>
    <row r="95" spans="1:3" ht="12" customHeight="1">
      <c r="A95" s="408" t="s">
        <v>105</v>
      </c>
      <c r="B95" s="7" t="s">
        <v>129</v>
      </c>
      <c r="C95" s="285">
        <v>197941000</v>
      </c>
    </row>
    <row r="96" spans="1:3" ht="12" customHeight="1">
      <c r="A96" s="408" t="s">
        <v>106</v>
      </c>
      <c r="B96" s="10" t="s">
        <v>166</v>
      </c>
      <c r="C96" s="285">
        <v>61500000</v>
      </c>
    </row>
    <row r="97" spans="1:3" ht="12" customHeight="1" thickBot="1">
      <c r="A97" s="408" t="s">
        <v>117</v>
      </c>
      <c r="B97" s="18" t="s">
        <v>167</v>
      </c>
      <c r="C97" s="285">
        <f>137347133+16000000</f>
        <v>153347133</v>
      </c>
    </row>
    <row r="98" spans="1:3" ht="12" customHeight="1" thickBot="1">
      <c r="A98" s="31" t="s">
        <v>20</v>
      </c>
      <c r="B98" s="29" t="s">
        <v>366</v>
      </c>
      <c r="C98" s="281">
        <f>+C99+C101+C103</f>
        <v>661338000</v>
      </c>
    </row>
    <row r="99" spans="1:3" ht="12" customHeight="1">
      <c r="A99" s="407" t="s">
        <v>109</v>
      </c>
      <c r="B99" s="7" t="s">
        <v>215</v>
      </c>
      <c r="C99" s="284">
        <v>324858000</v>
      </c>
    </row>
    <row r="100" spans="1:3" ht="12" customHeight="1">
      <c r="A100" s="407" t="s">
        <v>110</v>
      </c>
      <c r="B100" s="11" t="s">
        <v>370</v>
      </c>
      <c r="C100" s="284"/>
    </row>
    <row r="101" spans="1:3" ht="12" customHeight="1">
      <c r="A101" s="407" t="s">
        <v>111</v>
      </c>
      <c r="B101" s="11" t="s">
        <v>169</v>
      </c>
      <c r="C101" s="283">
        <v>336480000</v>
      </c>
    </row>
    <row r="102" spans="1:3" ht="12" customHeight="1">
      <c r="A102" s="407" t="s">
        <v>112</v>
      </c>
      <c r="B102" s="11" t="s">
        <v>371</v>
      </c>
      <c r="C102" s="252"/>
    </row>
    <row r="103" spans="1:3" ht="12" customHeight="1" thickBot="1">
      <c r="A103" s="407" t="s">
        <v>113</v>
      </c>
      <c r="B103" s="278" t="s">
        <v>218</v>
      </c>
      <c r="C103" s="252"/>
    </row>
    <row r="104" spans="1:3" ht="12" customHeight="1" thickBot="1">
      <c r="A104" s="31" t="s">
        <v>21</v>
      </c>
      <c r="B104" s="119" t="s">
        <v>377</v>
      </c>
      <c r="C104" s="281">
        <f>+C105+C106</f>
        <v>44166704</v>
      </c>
    </row>
    <row r="105" spans="1:3" ht="12" customHeight="1">
      <c r="A105" s="407" t="s">
        <v>92</v>
      </c>
      <c r="B105" s="8" t="s">
        <v>62</v>
      </c>
      <c r="C105" s="284">
        <v>44166704</v>
      </c>
    </row>
    <row r="106" spans="1:3" ht="12" customHeight="1" thickBot="1">
      <c r="A106" s="409" t="s">
        <v>93</v>
      </c>
      <c r="B106" s="11" t="s">
        <v>63</v>
      </c>
      <c r="C106" s="285"/>
    </row>
    <row r="107" spans="1:3" ht="12" customHeight="1" thickBot="1">
      <c r="A107" s="31" t="s">
        <v>22</v>
      </c>
      <c r="B107" s="119" t="s">
        <v>378</v>
      </c>
      <c r="C107" s="281">
        <f>+C92+C98+C104</f>
        <v>1203225937</v>
      </c>
    </row>
    <row r="108" spans="1:3" ht="12" customHeight="1" thickBot="1">
      <c r="A108" s="31" t="s">
        <v>23</v>
      </c>
      <c r="B108" s="119" t="s">
        <v>379</v>
      </c>
      <c r="C108" s="281">
        <f>+C109+C110+C111</f>
        <v>0</v>
      </c>
    </row>
    <row r="109" spans="1:3" s="87" customFormat="1" ht="12" customHeight="1">
      <c r="A109" s="407" t="s">
        <v>96</v>
      </c>
      <c r="B109" s="8" t="s">
        <v>380</v>
      </c>
      <c r="C109" s="252"/>
    </row>
    <row r="110" spans="1:3" ht="12" customHeight="1">
      <c r="A110" s="407" t="s">
        <v>97</v>
      </c>
      <c r="B110" s="8" t="s">
        <v>381</v>
      </c>
      <c r="C110" s="252"/>
    </row>
    <row r="111" spans="1:3" ht="12" customHeight="1" thickBot="1">
      <c r="A111" s="417" t="s">
        <v>98</v>
      </c>
      <c r="B111" s="6" t="s">
        <v>382</v>
      </c>
      <c r="C111" s="252"/>
    </row>
    <row r="112" spans="1:3" ht="12" customHeight="1" thickBot="1">
      <c r="A112" s="31" t="s">
        <v>24</v>
      </c>
      <c r="B112" s="119" t="s">
        <v>439</v>
      </c>
      <c r="C112" s="281">
        <f>+C113+C114+C115+C116</f>
        <v>0</v>
      </c>
    </row>
    <row r="113" spans="1:11" ht="12" customHeight="1">
      <c r="A113" s="407" t="s">
        <v>99</v>
      </c>
      <c r="B113" s="8" t="s">
        <v>383</v>
      </c>
      <c r="C113" s="252"/>
    </row>
    <row r="114" spans="1:11" ht="12" customHeight="1">
      <c r="A114" s="407" t="s">
        <v>100</v>
      </c>
      <c r="B114" s="8" t="s">
        <v>384</v>
      </c>
      <c r="C114" s="252"/>
    </row>
    <row r="115" spans="1:11" ht="12" customHeight="1">
      <c r="A115" s="407" t="s">
        <v>286</v>
      </c>
      <c r="B115" s="8" t="s">
        <v>385</v>
      </c>
      <c r="C115" s="252"/>
    </row>
    <row r="116" spans="1:11" s="87" customFormat="1" ht="12" customHeight="1" thickBot="1">
      <c r="A116" s="417" t="s">
        <v>287</v>
      </c>
      <c r="B116" s="6" t="s">
        <v>386</v>
      </c>
      <c r="C116" s="252"/>
    </row>
    <row r="117" spans="1:11" ht="12" customHeight="1" thickBot="1">
      <c r="A117" s="31" t="s">
        <v>25</v>
      </c>
      <c r="B117" s="119" t="s">
        <v>387</v>
      </c>
      <c r="C117" s="287">
        <f>+C118+C119+C120+C121</f>
        <v>573578075</v>
      </c>
      <c r="K117" s="235"/>
    </row>
    <row r="118" spans="1:11">
      <c r="A118" s="407" t="s">
        <v>101</v>
      </c>
      <c r="B118" s="8" t="s">
        <v>806</v>
      </c>
      <c r="C118" s="252">
        <v>573578075</v>
      </c>
    </row>
    <row r="119" spans="1:11" ht="12" customHeight="1">
      <c r="A119" s="407" t="s">
        <v>102</v>
      </c>
      <c r="B119" s="8" t="s">
        <v>398</v>
      </c>
      <c r="C119" s="252"/>
    </row>
    <row r="120" spans="1:11" s="87" customFormat="1" ht="12" customHeight="1">
      <c r="A120" s="407" t="s">
        <v>299</v>
      </c>
      <c r="B120" s="8" t="s">
        <v>389</v>
      </c>
      <c r="C120" s="252"/>
    </row>
    <row r="121" spans="1:11" s="87" customFormat="1" ht="12" customHeight="1" thickBot="1">
      <c r="A121" s="417" t="s">
        <v>300</v>
      </c>
      <c r="B121" s="6" t="s">
        <v>390</v>
      </c>
      <c r="C121" s="252"/>
      <c r="D121" s="87" t="s">
        <v>512</v>
      </c>
    </row>
    <row r="122" spans="1:11" s="87" customFormat="1" ht="12" customHeight="1" thickBot="1">
      <c r="A122" s="31" t="s">
        <v>26</v>
      </c>
      <c r="B122" s="119" t="s">
        <v>391</v>
      </c>
      <c r="C122" s="290">
        <f>+C123+C124+C125+C126</f>
        <v>0</v>
      </c>
    </row>
    <row r="123" spans="1:11" s="87" customFormat="1" ht="12" customHeight="1">
      <c r="A123" s="407" t="s">
        <v>163</v>
      </c>
      <c r="B123" s="8" t="s">
        <v>392</v>
      </c>
      <c r="C123" s="252"/>
    </row>
    <row r="124" spans="1:11" s="87" customFormat="1" ht="12" customHeight="1">
      <c r="A124" s="407" t="s">
        <v>164</v>
      </c>
      <c r="B124" s="8" t="s">
        <v>393</v>
      </c>
      <c r="C124" s="252"/>
    </row>
    <row r="125" spans="1:11" s="87" customFormat="1" ht="12" customHeight="1">
      <c r="A125" s="407" t="s">
        <v>217</v>
      </c>
      <c r="B125" s="8" t="s">
        <v>394</v>
      </c>
      <c r="C125" s="252"/>
    </row>
    <row r="126" spans="1:11" ht="12.75" customHeight="1" thickBot="1">
      <c r="A126" s="407" t="s">
        <v>302</v>
      </c>
      <c r="B126" s="8" t="s">
        <v>395</v>
      </c>
      <c r="C126" s="252"/>
    </row>
    <row r="127" spans="1:11" ht="12" customHeight="1" thickBot="1">
      <c r="A127" s="31" t="s">
        <v>27</v>
      </c>
      <c r="B127" s="119" t="s">
        <v>396</v>
      </c>
      <c r="C127" s="401">
        <f>+C108+C112+C117+C122</f>
        <v>573578075</v>
      </c>
    </row>
    <row r="128" spans="1:11" ht="15" customHeight="1" thickBot="1">
      <c r="A128" s="419" t="s">
        <v>28</v>
      </c>
      <c r="B128" s="363" t="s">
        <v>397</v>
      </c>
      <c r="C128" s="401">
        <f>+C107+C127</f>
        <v>1776804012</v>
      </c>
      <c r="D128" s="39"/>
    </row>
    <row r="129" spans="1:3" ht="13.5" thickBot="1">
      <c r="A129" s="369"/>
      <c r="B129" s="370"/>
      <c r="C129" s="371"/>
    </row>
    <row r="130" spans="1:3" ht="15" customHeight="1" thickBot="1">
      <c r="A130" s="232" t="s">
        <v>188</v>
      </c>
      <c r="B130" s="233"/>
      <c r="C130" s="116">
        <v>20</v>
      </c>
    </row>
    <row r="131" spans="1:3" ht="14.25" customHeight="1" thickBot="1">
      <c r="A131" s="232" t="s">
        <v>189</v>
      </c>
      <c r="B131" s="233"/>
      <c r="C131" s="116">
        <v>130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0"/>
  <sheetViews>
    <sheetView zoomScaleSheetLayoutView="85" workbookViewId="0">
      <selection activeCell="B5" sqref="B5"/>
    </sheetView>
  </sheetViews>
  <sheetFormatPr defaultRowHeight="12.75"/>
  <cols>
    <col min="1" max="1" width="19.5" style="372" customWidth="1"/>
    <col min="2" max="2" width="72" style="373" customWidth="1"/>
    <col min="3" max="3" width="25" style="374" customWidth="1"/>
    <col min="4" max="4" width="11.1640625" style="2" bestFit="1" customWidth="1"/>
    <col min="5" max="16384" width="9.33203125" style="2"/>
  </cols>
  <sheetData>
    <row r="1" spans="1:3" s="1" customFormat="1" ht="16.5" customHeight="1" thickBot="1">
      <c r="A1" s="209"/>
      <c r="B1" s="211"/>
      <c r="C1" s="234" t="s">
        <v>820</v>
      </c>
    </row>
    <row r="2" spans="1:3" s="83" customFormat="1" ht="21" customHeight="1">
      <c r="A2" s="379" t="s">
        <v>66</v>
      </c>
      <c r="B2" s="342" t="s">
        <v>211</v>
      </c>
      <c r="C2" s="344" t="s">
        <v>54</v>
      </c>
    </row>
    <row r="3" spans="1:3" s="83" customFormat="1" ht="16.5" thickBot="1">
      <c r="A3" s="212" t="s">
        <v>185</v>
      </c>
      <c r="B3" s="343" t="s">
        <v>481</v>
      </c>
      <c r="C3" s="345">
        <v>3</v>
      </c>
    </row>
    <row r="4" spans="1:3" s="84" customFormat="1" ht="15.95" customHeight="1" thickBot="1">
      <c r="A4" s="213"/>
      <c r="B4" s="213"/>
      <c r="C4" s="214" t="s">
        <v>797</v>
      </c>
    </row>
    <row r="5" spans="1:3" ht="13.5" thickBot="1">
      <c r="A5" s="380" t="s">
        <v>187</v>
      </c>
      <c r="B5" s="215" t="s">
        <v>56</v>
      </c>
      <c r="C5" s="346" t="s">
        <v>57</v>
      </c>
    </row>
    <row r="6" spans="1:3" s="53" customFormat="1" ht="12.95" customHeight="1" thickBot="1">
      <c r="A6" s="196">
        <v>1</v>
      </c>
      <c r="B6" s="197">
        <v>2</v>
      </c>
      <c r="C6" s="198">
        <v>3</v>
      </c>
    </row>
    <row r="7" spans="1:3" s="53" customFormat="1" ht="15.95" customHeight="1" thickBot="1">
      <c r="A7" s="217"/>
      <c r="B7" s="218" t="s">
        <v>58</v>
      </c>
      <c r="C7" s="347"/>
    </row>
    <row r="8" spans="1:3" s="53" customFormat="1" ht="12" customHeight="1" thickBot="1">
      <c r="A8" s="31" t="s">
        <v>19</v>
      </c>
      <c r="B8" s="20" t="s">
        <v>242</v>
      </c>
      <c r="C8" s="281"/>
    </row>
    <row r="9" spans="1:3" s="85" customFormat="1" ht="12" customHeight="1">
      <c r="A9" s="407" t="s">
        <v>103</v>
      </c>
      <c r="B9" s="389" t="s">
        <v>243</v>
      </c>
      <c r="C9" s="661"/>
    </row>
    <row r="10" spans="1:3" s="86" customFormat="1" ht="12" customHeight="1">
      <c r="A10" s="408" t="s">
        <v>104</v>
      </c>
      <c r="B10" s="390" t="s">
        <v>244</v>
      </c>
      <c r="C10" s="662"/>
    </row>
    <row r="11" spans="1:3" s="86" customFormat="1" ht="12" customHeight="1">
      <c r="A11" s="408" t="s">
        <v>105</v>
      </c>
      <c r="B11" s="390" t="s">
        <v>245</v>
      </c>
      <c r="C11" s="662"/>
    </row>
    <row r="12" spans="1:3" s="86" customFormat="1" ht="12" customHeight="1">
      <c r="A12" s="408" t="s">
        <v>106</v>
      </c>
      <c r="B12" s="390" t="s">
        <v>246</v>
      </c>
      <c r="C12" s="662"/>
    </row>
    <row r="13" spans="1:3" s="86" customFormat="1" ht="12" customHeight="1">
      <c r="A13" s="408" t="s">
        <v>131</v>
      </c>
      <c r="B13" s="390" t="s">
        <v>247</v>
      </c>
      <c r="C13" s="662"/>
    </row>
    <row r="14" spans="1:3" s="85" customFormat="1" ht="12" customHeight="1" thickBot="1">
      <c r="A14" s="409" t="s">
        <v>107</v>
      </c>
      <c r="B14" s="391" t="s">
        <v>248</v>
      </c>
      <c r="C14" s="434"/>
    </row>
    <row r="15" spans="1:3" s="85" customFormat="1" ht="12" customHeight="1" thickBot="1">
      <c r="A15" s="31" t="s">
        <v>20</v>
      </c>
      <c r="B15" s="276" t="s">
        <v>249</v>
      </c>
      <c r="C15" s="281">
        <f>+C16+C17+C18+C19+C20</f>
        <v>4300000</v>
      </c>
    </row>
    <row r="16" spans="1:3" s="85" customFormat="1" ht="12" customHeight="1">
      <c r="A16" s="407" t="s">
        <v>109</v>
      </c>
      <c r="B16" s="389" t="s">
        <v>250</v>
      </c>
      <c r="C16" s="284"/>
    </row>
    <row r="17" spans="1:3" s="85" customFormat="1" ht="12" customHeight="1">
      <c r="A17" s="408" t="s">
        <v>110</v>
      </c>
      <c r="B17" s="390" t="s">
        <v>251</v>
      </c>
      <c r="C17" s="283"/>
    </row>
    <row r="18" spans="1:3" s="85" customFormat="1" ht="12" customHeight="1">
      <c r="A18" s="408" t="s">
        <v>111</v>
      </c>
      <c r="B18" s="390" t="s">
        <v>473</v>
      </c>
      <c r="C18" s="283"/>
    </row>
    <row r="19" spans="1:3" s="85" customFormat="1" ht="12" customHeight="1">
      <c r="A19" s="408" t="s">
        <v>112</v>
      </c>
      <c r="B19" s="390" t="s">
        <v>474</v>
      </c>
      <c r="C19" s="283"/>
    </row>
    <row r="20" spans="1:3" s="85" customFormat="1" ht="12" customHeight="1">
      <c r="A20" s="408" t="s">
        <v>113</v>
      </c>
      <c r="B20" s="390" t="s">
        <v>252</v>
      </c>
      <c r="C20" s="283">
        <v>4300000</v>
      </c>
    </row>
    <row r="21" spans="1:3" s="86" customFormat="1" ht="12" customHeight="1" thickBot="1">
      <c r="A21" s="409" t="s">
        <v>122</v>
      </c>
      <c r="B21" s="391" t="s">
        <v>253</v>
      </c>
      <c r="C21" s="285"/>
    </row>
    <row r="22" spans="1:3" s="86" customFormat="1" ht="12" customHeight="1" thickBot="1">
      <c r="A22" s="31" t="s">
        <v>21</v>
      </c>
      <c r="B22" s="20" t="s">
        <v>254</v>
      </c>
      <c r="C22" s="281">
        <f>+C23+C24+C25+C26+C27</f>
        <v>0</v>
      </c>
    </row>
    <row r="23" spans="1:3" s="86" customFormat="1" ht="12" customHeight="1">
      <c r="A23" s="407" t="s">
        <v>92</v>
      </c>
      <c r="B23" s="389" t="s">
        <v>255</v>
      </c>
      <c r="C23" s="284"/>
    </row>
    <row r="24" spans="1:3" s="85" customFormat="1" ht="12" customHeight="1">
      <c r="A24" s="408" t="s">
        <v>93</v>
      </c>
      <c r="B24" s="390" t="s">
        <v>256</v>
      </c>
      <c r="C24" s="283"/>
    </row>
    <row r="25" spans="1:3" s="86" customFormat="1" ht="12" customHeight="1">
      <c r="A25" s="408" t="s">
        <v>94</v>
      </c>
      <c r="B25" s="390" t="s">
        <v>475</v>
      </c>
      <c r="C25" s="283"/>
    </row>
    <row r="26" spans="1:3" s="86" customFormat="1" ht="12" customHeight="1">
      <c r="A26" s="408" t="s">
        <v>95</v>
      </c>
      <c r="B26" s="390" t="s">
        <v>476</v>
      </c>
      <c r="C26" s="283"/>
    </row>
    <row r="27" spans="1:3" s="86" customFormat="1" ht="12" customHeight="1">
      <c r="A27" s="408" t="s">
        <v>153</v>
      </c>
      <c r="B27" s="390" t="s">
        <v>257</v>
      </c>
      <c r="C27" s="283"/>
    </row>
    <row r="28" spans="1:3" s="86" customFormat="1" ht="12" customHeight="1" thickBot="1">
      <c r="A28" s="409" t="s">
        <v>154</v>
      </c>
      <c r="B28" s="391" t="s">
        <v>258</v>
      </c>
      <c r="C28" s="285"/>
    </row>
    <row r="29" spans="1:3" s="86" customFormat="1" ht="12" customHeight="1" thickBot="1">
      <c r="A29" s="31" t="s">
        <v>155</v>
      </c>
      <c r="B29" s="20" t="s">
        <v>259</v>
      </c>
      <c r="C29" s="287">
        <f>+C30+C33+C34+C35</f>
        <v>125000000</v>
      </c>
    </row>
    <row r="30" spans="1:3" s="86" customFormat="1" ht="12" customHeight="1">
      <c r="A30" s="407" t="s">
        <v>260</v>
      </c>
      <c r="B30" s="389" t="s">
        <v>266</v>
      </c>
      <c r="C30" s="384">
        <f>+C31+C32</f>
        <v>125000000</v>
      </c>
    </row>
    <row r="31" spans="1:3" s="86" customFormat="1" ht="12" customHeight="1">
      <c r="A31" s="408" t="s">
        <v>261</v>
      </c>
      <c r="B31" s="390" t="s">
        <v>267</v>
      </c>
      <c r="C31" s="283">
        <v>125000000</v>
      </c>
    </row>
    <row r="32" spans="1:3" s="86" customFormat="1" ht="12" customHeight="1">
      <c r="A32" s="408" t="s">
        <v>262</v>
      </c>
      <c r="B32" s="390" t="s">
        <v>268</v>
      </c>
      <c r="C32" s="283"/>
    </row>
    <row r="33" spans="1:3" s="86" customFormat="1" ht="12" customHeight="1">
      <c r="A33" s="408" t="s">
        <v>263</v>
      </c>
      <c r="B33" s="390" t="s">
        <v>269</v>
      </c>
      <c r="C33" s="283"/>
    </row>
    <row r="34" spans="1:3" s="86" customFormat="1" ht="12" customHeight="1">
      <c r="A34" s="408" t="s">
        <v>264</v>
      </c>
      <c r="B34" s="390" t="s">
        <v>270</v>
      </c>
      <c r="C34" s="283"/>
    </row>
    <row r="35" spans="1:3" s="86" customFormat="1" ht="12" customHeight="1" thickBot="1">
      <c r="A35" s="409" t="s">
        <v>265</v>
      </c>
      <c r="B35" s="391" t="s">
        <v>271</v>
      </c>
      <c r="C35" s="285"/>
    </row>
    <row r="36" spans="1:3" s="86" customFormat="1" ht="12" customHeight="1" thickBot="1">
      <c r="A36" s="31" t="s">
        <v>23</v>
      </c>
      <c r="B36" s="20" t="s">
        <v>272</v>
      </c>
      <c r="C36" s="281">
        <f>SUM(C37:C46)</f>
        <v>42800000</v>
      </c>
    </row>
    <row r="37" spans="1:3" s="86" customFormat="1" ht="12" customHeight="1">
      <c r="A37" s="407" t="s">
        <v>96</v>
      </c>
      <c r="B37" s="389" t="s">
        <v>275</v>
      </c>
      <c r="C37" s="284"/>
    </row>
    <row r="38" spans="1:3" s="86" customFormat="1" ht="12" customHeight="1">
      <c r="A38" s="408" t="s">
        <v>97</v>
      </c>
      <c r="B38" s="390" t="s">
        <v>276</v>
      </c>
      <c r="C38" s="283">
        <v>32913386</v>
      </c>
    </row>
    <row r="39" spans="1:3" s="86" customFormat="1" ht="12" customHeight="1">
      <c r="A39" s="408" t="s">
        <v>98</v>
      </c>
      <c r="B39" s="390" t="s">
        <v>277</v>
      </c>
      <c r="C39" s="283"/>
    </row>
    <row r="40" spans="1:3" s="86" customFormat="1" ht="12" customHeight="1">
      <c r="A40" s="408" t="s">
        <v>157</v>
      </c>
      <c r="B40" s="390" t="s">
        <v>278</v>
      </c>
      <c r="C40" s="283"/>
    </row>
    <row r="41" spans="1:3" s="86" customFormat="1" ht="12" customHeight="1">
      <c r="A41" s="408" t="s">
        <v>158</v>
      </c>
      <c r="B41" s="390" t="s">
        <v>279</v>
      </c>
      <c r="C41" s="283"/>
    </row>
    <row r="42" spans="1:3" s="86" customFormat="1" ht="12" customHeight="1">
      <c r="A42" s="408" t="s">
        <v>159</v>
      </c>
      <c r="B42" s="390" t="s">
        <v>280</v>
      </c>
      <c r="C42" s="283"/>
    </row>
    <row r="43" spans="1:3" s="86" customFormat="1" ht="12" customHeight="1">
      <c r="A43" s="408" t="s">
        <v>160</v>
      </c>
      <c r="B43" s="390" t="s">
        <v>281</v>
      </c>
      <c r="C43" s="283">
        <v>8886614</v>
      </c>
    </row>
    <row r="44" spans="1:3" s="86" customFormat="1" ht="12" customHeight="1">
      <c r="A44" s="408" t="s">
        <v>161</v>
      </c>
      <c r="B44" s="390" t="s">
        <v>282</v>
      </c>
      <c r="C44" s="283">
        <v>1000000</v>
      </c>
    </row>
    <row r="45" spans="1:3" s="86" customFormat="1" ht="12" customHeight="1">
      <c r="A45" s="408" t="s">
        <v>273</v>
      </c>
      <c r="B45" s="390" t="s">
        <v>283</v>
      </c>
      <c r="C45" s="286"/>
    </row>
    <row r="46" spans="1:3" s="86" customFormat="1" ht="12" customHeight="1" thickBot="1">
      <c r="A46" s="409" t="s">
        <v>274</v>
      </c>
      <c r="B46" s="391" t="s">
        <v>284</v>
      </c>
      <c r="C46" s="378"/>
    </row>
    <row r="47" spans="1:3" s="86" customFormat="1" ht="12" customHeight="1" thickBot="1">
      <c r="A47" s="31" t="s">
        <v>24</v>
      </c>
      <c r="B47" s="20" t="s">
        <v>285</v>
      </c>
      <c r="C47" s="281">
        <f>SUM(C48:C52)</f>
        <v>40000000</v>
      </c>
    </row>
    <row r="48" spans="1:3" s="86" customFormat="1" ht="12" customHeight="1">
      <c r="A48" s="407" t="s">
        <v>99</v>
      </c>
      <c r="B48" s="389" t="s">
        <v>289</v>
      </c>
      <c r="C48" s="435"/>
    </row>
    <row r="49" spans="1:3" s="86" customFormat="1" ht="12" customHeight="1">
      <c r="A49" s="408" t="s">
        <v>100</v>
      </c>
      <c r="B49" s="390" t="s">
        <v>290</v>
      </c>
      <c r="C49" s="286">
        <v>40000000</v>
      </c>
    </row>
    <row r="50" spans="1:3" s="86" customFormat="1" ht="12" customHeight="1">
      <c r="A50" s="408" t="s">
        <v>286</v>
      </c>
      <c r="B50" s="390" t="s">
        <v>291</v>
      </c>
      <c r="C50" s="286"/>
    </row>
    <row r="51" spans="1:3" s="86" customFormat="1" ht="12" customHeight="1">
      <c r="A51" s="408" t="s">
        <v>287</v>
      </c>
      <c r="B51" s="390" t="s">
        <v>292</v>
      </c>
      <c r="C51" s="286"/>
    </row>
    <row r="52" spans="1:3" s="86" customFormat="1" ht="12" customHeight="1" thickBot="1">
      <c r="A52" s="409" t="s">
        <v>288</v>
      </c>
      <c r="B52" s="391" t="s">
        <v>293</v>
      </c>
      <c r="C52" s="378"/>
    </row>
    <row r="53" spans="1:3" s="86" customFormat="1" ht="12" customHeight="1" thickBot="1">
      <c r="A53" s="31" t="s">
        <v>162</v>
      </c>
      <c r="B53" s="20" t="s">
        <v>294</v>
      </c>
      <c r="C53" s="281">
        <f>SUM(C54:C56)</f>
        <v>0</v>
      </c>
    </row>
    <row r="54" spans="1:3" s="86" customFormat="1" ht="12" customHeight="1">
      <c r="A54" s="407" t="s">
        <v>101</v>
      </c>
      <c r="B54" s="389" t="s">
        <v>295</v>
      </c>
      <c r="C54" s="284"/>
    </row>
    <row r="55" spans="1:3" s="86" customFormat="1" ht="12" customHeight="1">
      <c r="A55" s="408" t="s">
        <v>102</v>
      </c>
      <c r="B55" s="390" t="s">
        <v>477</v>
      </c>
      <c r="C55" s="283"/>
    </row>
    <row r="56" spans="1:3" s="86" customFormat="1" ht="12" customHeight="1">
      <c r="A56" s="408" t="s">
        <v>299</v>
      </c>
      <c r="B56" s="390" t="s">
        <v>297</v>
      </c>
      <c r="C56" s="283"/>
    </row>
    <row r="57" spans="1:3" s="86" customFormat="1" ht="12" customHeight="1" thickBot="1">
      <c r="A57" s="409" t="s">
        <v>300</v>
      </c>
      <c r="B57" s="391" t="s">
        <v>298</v>
      </c>
      <c r="C57" s="285"/>
    </row>
    <row r="58" spans="1:3" s="86" customFormat="1" ht="12" customHeight="1" thickBot="1">
      <c r="A58" s="31" t="s">
        <v>26</v>
      </c>
      <c r="B58" s="276" t="s">
        <v>301</v>
      </c>
      <c r="C58" s="281">
        <f>SUM(C59:C61)</f>
        <v>0</v>
      </c>
    </row>
    <row r="59" spans="1:3" s="86" customFormat="1" ht="12" customHeight="1">
      <c r="A59" s="407" t="s">
        <v>163</v>
      </c>
      <c r="B59" s="389" t="s">
        <v>303</v>
      </c>
      <c r="C59" s="286"/>
    </row>
    <row r="60" spans="1:3" s="86" customFormat="1" ht="12" customHeight="1">
      <c r="A60" s="408" t="s">
        <v>164</v>
      </c>
      <c r="B60" s="390" t="s">
        <v>478</v>
      </c>
      <c r="C60" s="286"/>
    </row>
    <row r="61" spans="1:3" s="86" customFormat="1" ht="12" customHeight="1">
      <c r="A61" s="408" t="s">
        <v>217</v>
      </c>
      <c r="B61" s="390" t="s">
        <v>304</v>
      </c>
      <c r="C61" s="286"/>
    </row>
    <row r="62" spans="1:3" s="86" customFormat="1" ht="12" customHeight="1" thickBot="1">
      <c r="A62" s="409" t="s">
        <v>302</v>
      </c>
      <c r="B62" s="391" t="s">
        <v>305</v>
      </c>
      <c r="C62" s="286"/>
    </row>
    <row r="63" spans="1:3" s="86" customFormat="1" ht="12" customHeight="1" thickBot="1">
      <c r="A63" s="31" t="s">
        <v>27</v>
      </c>
      <c r="B63" s="20" t="s">
        <v>306</v>
      </c>
      <c r="C63" s="287">
        <f>+C8+C15+C22+C29+C36+C47+C53+C58</f>
        <v>212100000</v>
      </c>
    </row>
    <row r="64" spans="1:3" s="86" customFormat="1" ht="12" customHeight="1" thickBot="1">
      <c r="A64" s="410" t="s">
        <v>440</v>
      </c>
      <c r="B64" s="276" t="s">
        <v>308</v>
      </c>
      <c r="C64" s="281">
        <f>SUM(C65:C67)</f>
        <v>0</v>
      </c>
    </row>
    <row r="65" spans="1:3" s="86" customFormat="1" ht="12" customHeight="1">
      <c r="A65" s="407" t="s">
        <v>341</v>
      </c>
      <c r="B65" s="389" t="s">
        <v>309</v>
      </c>
      <c r="C65" s="286"/>
    </row>
    <row r="66" spans="1:3" s="86" customFormat="1" ht="12" customHeight="1">
      <c r="A66" s="408" t="s">
        <v>350</v>
      </c>
      <c r="B66" s="390" t="s">
        <v>310</v>
      </c>
      <c r="C66" s="286"/>
    </row>
    <row r="67" spans="1:3" s="86" customFormat="1" ht="12" customHeight="1" thickBot="1">
      <c r="A67" s="409" t="s">
        <v>351</v>
      </c>
      <c r="B67" s="393" t="s">
        <v>311</v>
      </c>
      <c r="C67" s="286"/>
    </row>
    <row r="68" spans="1:3" s="86" customFormat="1" ht="12" customHeight="1" thickBot="1">
      <c r="A68" s="410" t="s">
        <v>312</v>
      </c>
      <c r="B68" s="276" t="s">
        <v>313</v>
      </c>
      <c r="C68" s="281">
        <f>SUM(C69:C72)</f>
        <v>0</v>
      </c>
    </row>
    <row r="69" spans="1:3" s="86" customFormat="1" ht="12" customHeight="1">
      <c r="A69" s="407" t="s">
        <v>132</v>
      </c>
      <c r="B69" s="389" t="s">
        <v>314</v>
      </c>
      <c r="C69" s="286"/>
    </row>
    <row r="70" spans="1:3" s="86" customFormat="1" ht="12" customHeight="1">
      <c r="A70" s="408" t="s">
        <v>133</v>
      </c>
      <c r="B70" s="390" t="s">
        <v>315</v>
      </c>
      <c r="C70" s="286"/>
    </row>
    <row r="71" spans="1:3" s="86" customFormat="1" ht="12" customHeight="1">
      <c r="A71" s="408" t="s">
        <v>342</v>
      </c>
      <c r="B71" s="390" t="s">
        <v>316</v>
      </c>
      <c r="C71" s="286"/>
    </row>
    <row r="72" spans="1:3" s="86" customFormat="1" ht="12" customHeight="1" thickBot="1">
      <c r="A72" s="409" t="s">
        <v>343</v>
      </c>
      <c r="B72" s="391" t="s">
        <v>317</v>
      </c>
      <c r="C72" s="286"/>
    </row>
    <row r="73" spans="1:3" s="86" customFormat="1" ht="12" customHeight="1" thickBot="1">
      <c r="A73" s="410" t="s">
        <v>318</v>
      </c>
      <c r="B73" s="276" t="s">
        <v>319</v>
      </c>
      <c r="C73" s="281">
        <f>SUM(C74:C75)</f>
        <v>163813352</v>
      </c>
    </row>
    <row r="74" spans="1:3" s="86" customFormat="1" ht="12" customHeight="1">
      <c r="A74" s="407" t="s">
        <v>344</v>
      </c>
      <c r="B74" s="389" t="s">
        <v>320</v>
      </c>
      <c r="C74" s="286">
        <f>163649539+163813</f>
        <v>163813352</v>
      </c>
    </row>
    <row r="75" spans="1:3" s="86" customFormat="1" ht="12" customHeight="1" thickBot="1">
      <c r="A75" s="409" t="s">
        <v>345</v>
      </c>
      <c r="B75" s="391" t="s">
        <v>321</v>
      </c>
      <c r="C75" s="286"/>
    </row>
    <row r="76" spans="1:3" s="85" customFormat="1" ht="12" customHeight="1" thickBot="1">
      <c r="A76" s="410" t="s">
        <v>322</v>
      </c>
      <c r="B76" s="276" t="s">
        <v>323</v>
      </c>
      <c r="C76" s="281">
        <f>SUM(C77:C79)</f>
        <v>0</v>
      </c>
    </row>
    <row r="77" spans="1:3" s="86" customFormat="1" ht="12" customHeight="1">
      <c r="A77" s="407" t="s">
        <v>346</v>
      </c>
      <c r="B77" s="389" t="s">
        <v>324</v>
      </c>
      <c r="C77" s="286"/>
    </row>
    <row r="78" spans="1:3" s="86" customFormat="1" ht="12" customHeight="1">
      <c r="A78" s="408" t="s">
        <v>347</v>
      </c>
      <c r="B78" s="390" t="s">
        <v>325</v>
      </c>
      <c r="C78" s="286"/>
    </row>
    <row r="79" spans="1:3" s="86" customFormat="1" ht="12" customHeight="1" thickBot="1">
      <c r="A79" s="409" t="s">
        <v>348</v>
      </c>
      <c r="B79" s="391" t="s">
        <v>326</v>
      </c>
      <c r="C79" s="286"/>
    </row>
    <row r="80" spans="1:3" s="86" customFormat="1" ht="12" customHeight="1" thickBot="1">
      <c r="A80" s="410" t="s">
        <v>327</v>
      </c>
      <c r="B80" s="276" t="s">
        <v>349</v>
      </c>
      <c r="C80" s="281">
        <f>SUM(C81:C84)</f>
        <v>0</v>
      </c>
    </row>
    <row r="81" spans="1:3" s="86" customFormat="1" ht="12" customHeight="1">
      <c r="A81" s="411" t="s">
        <v>328</v>
      </c>
      <c r="B81" s="389" t="s">
        <v>329</v>
      </c>
      <c r="C81" s="286"/>
    </row>
    <row r="82" spans="1:3" s="86" customFormat="1" ht="12" customHeight="1">
      <c r="A82" s="412" t="s">
        <v>330</v>
      </c>
      <c r="B82" s="390" t="s">
        <v>331</v>
      </c>
      <c r="C82" s="286"/>
    </row>
    <row r="83" spans="1:3" s="86" customFormat="1" ht="12" customHeight="1">
      <c r="A83" s="412" t="s">
        <v>332</v>
      </c>
      <c r="B83" s="390" t="s">
        <v>333</v>
      </c>
      <c r="C83" s="286"/>
    </row>
    <row r="84" spans="1:3" s="85" customFormat="1" ht="12" customHeight="1" thickBot="1">
      <c r="A84" s="413" t="s">
        <v>334</v>
      </c>
      <c r="B84" s="391" t="s">
        <v>335</v>
      </c>
      <c r="C84" s="286"/>
    </row>
    <row r="85" spans="1:3" s="85" customFormat="1" ht="12" customHeight="1" thickBot="1">
      <c r="A85" s="410" t="s">
        <v>336</v>
      </c>
      <c r="B85" s="276" t="s">
        <v>337</v>
      </c>
      <c r="C85" s="436"/>
    </row>
    <row r="86" spans="1:3" s="85" customFormat="1" ht="12" customHeight="1" thickBot="1">
      <c r="A86" s="410" t="s">
        <v>338</v>
      </c>
      <c r="B86" s="397" t="s">
        <v>339</v>
      </c>
      <c r="C86" s="287">
        <f>+C64+C68+C73+C76+C80+C85</f>
        <v>163813352</v>
      </c>
    </row>
    <row r="87" spans="1:3" s="85" customFormat="1" ht="12" customHeight="1" thickBot="1">
      <c r="A87" s="414" t="s">
        <v>352</v>
      </c>
      <c r="B87" s="399" t="s">
        <v>468</v>
      </c>
      <c r="C87" s="287">
        <f>+C63+C86</f>
        <v>375913352</v>
      </c>
    </row>
    <row r="88" spans="1:3" s="86" customFormat="1" ht="15" customHeight="1">
      <c r="A88" s="223"/>
      <c r="B88" s="224"/>
      <c r="C88" s="352"/>
    </row>
    <row r="89" spans="1:3" ht="13.5" thickBot="1">
      <c r="A89" s="415"/>
      <c r="B89" s="226"/>
      <c r="C89" s="353"/>
    </row>
    <row r="90" spans="1:3" s="53" customFormat="1" ht="16.5" customHeight="1" thickBot="1">
      <c r="A90" s="227"/>
      <c r="B90" s="228" t="s">
        <v>60</v>
      </c>
      <c r="C90" s="354"/>
    </row>
    <row r="91" spans="1:3" s="87" customFormat="1" ht="12" customHeight="1" thickBot="1">
      <c r="A91" s="381" t="s">
        <v>19</v>
      </c>
      <c r="B91" s="30" t="s">
        <v>355</v>
      </c>
      <c r="C91" s="280">
        <f>SUM(C92:C96)</f>
        <v>154159522</v>
      </c>
    </row>
    <row r="92" spans="1:3" ht="12" customHeight="1">
      <c r="A92" s="416" t="s">
        <v>103</v>
      </c>
      <c r="B92" s="9" t="s">
        <v>49</v>
      </c>
      <c r="C92" s="282">
        <v>14696100</v>
      </c>
    </row>
    <row r="93" spans="1:3" ht="12" customHeight="1">
      <c r="A93" s="408" t="s">
        <v>104</v>
      </c>
      <c r="B93" s="7" t="s">
        <v>165</v>
      </c>
      <c r="C93" s="283">
        <v>3388642</v>
      </c>
    </row>
    <row r="94" spans="1:3" ht="12" customHeight="1">
      <c r="A94" s="408" t="s">
        <v>105</v>
      </c>
      <c r="B94" s="7" t="s">
        <v>129</v>
      </c>
      <c r="C94" s="285">
        <v>71246000</v>
      </c>
    </row>
    <row r="95" spans="1:3" ht="12" customHeight="1">
      <c r="A95" s="408" t="s">
        <v>106</v>
      </c>
      <c r="B95" s="10" t="s">
        <v>166</v>
      </c>
      <c r="C95" s="285"/>
    </row>
    <row r="96" spans="1:3" ht="12" customHeight="1" thickBot="1">
      <c r="A96" s="408" t="s">
        <v>117</v>
      </c>
      <c r="B96" s="18" t="s">
        <v>167</v>
      </c>
      <c r="C96" s="285">
        <v>64828780</v>
      </c>
    </row>
    <row r="97" spans="1:3" ht="12" customHeight="1" thickBot="1">
      <c r="A97" s="31" t="s">
        <v>20</v>
      </c>
      <c r="B97" s="29" t="s">
        <v>366</v>
      </c>
      <c r="C97" s="281">
        <f>+C98+C100+C102</f>
        <v>43093000</v>
      </c>
    </row>
    <row r="98" spans="1:3" ht="12" customHeight="1">
      <c r="A98" s="407" t="s">
        <v>109</v>
      </c>
      <c r="B98" s="7" t="s">
        <v>215</v>
      </c>
      <c r="C98" s="284">
        <v>43093000</v>
      </c>
    </row>
    <row r="99" spans="1:3" ht="12" customHeight="1">
      <c r="A99" s="407" t="s">
        <v>110</v>
      </c>
      <c r="B99" s="11" t="s">
        <v>370</v>
      </c>
      <c r="C99" s="284"/>
    </row>
    <row r="100" spans="1:3" ht="12" customHeight="1">
      <c r="A100" s="407" t="s">
        <v>111</v>
      </c>
      <c r="B100" s="11" t="s">
        <v>169</v>
      </c>
      <c r="C100" s="283"/>
    </row>
    <row r="101" spans="1:3" ht="12" customHeight="1">
      <c r="A101" s="407" t="s">
        <v>112</v>
      </c>
      <c r="B101" s="11" t="s">
        <v>371</v>
      </c>
      <c r="C101" s="252"/>
    </row>
    <row r="102" spans="1:3" ht="12" customHeight="1" thickBot="1">
      <c r="A102" s="407" t="s">
        <v>113</v>
      </c>
      <c r="B102" s="278" t="s">
        <v>218</v>
      </c>
      <c r="C102" s="252"/>
    </row>
    <row r="103" spans="1:3" ht="12" customHeight="1" thickBot="1">
      <c r="A103" s="31" t="s">
        <v>21</v>
      </c>
      <c r="B103" s="119" t="s">
        <v>377</v>
      </c>
      <c r="C103" s="281">
        <f>+C104+C105</f>
        <v>57000000</v>
      </c>
    </row>
    <row r="104" spans="1:3" ht="12" customHeight="1">
      <c r="A104" s="407" t="s">
        <v>92</v>
      </c>
      <c r="B104" s="8" t="s">
        <v>62</v>
      </c>
      <c r="C104" s="284"/>
    </row>
    <row r="105" spans="1:3" ht="12" customHeight="1" thickBot="1">
      <c r="A105" s="409" t="s">
        <v>93</v>
      </c>
      <c r="B105" s="11" t="s">
        <v>63</v>
      </c>
      <c r="C105" s="285">
        <v>57000000</v>
      </c>
    </row>
    <row r="106" spans="1:3" ht="12" customHeight="1" thickBot="1">
      <c r="A106" s="31" t="s">
        <v>22</v>
      </c>
      <c r="B106" s="119" t="s">
        <v>378</v>
      </c>
      <c r="C106" s="281">
        <f>+C91+C97+C103</f>
        <v>254252522</v>
      </c>
    </row>
    <row r="107" spans="1:3" ht="12" customHeight="1" thickBot="1">
      <c r="A107" s="31" t="s">
        <v>23</v>
      </c>
      <c r="B107" s="119" t="s">
        <v>379</v>
      </c>
      <c r="C107" s="281">
        <f>+C108+C109+C110</f>
        <v>0</v>
      </c>
    </row>
    <row r="108" spans="1:3" s="87" customFormat="1" ht="12" customHeight="1">
      <c r="A108" s="407" t="s">
        <v>96</v>
      </c>
      <c r="B108" s="8" t="s">
        <v>380</v>
      </c>
      <c r="C108" s="252"/>
    </row>
    <row r="109" spans="1:3" ht="12" customHeight="1">
      <c r="A109" s="407" t="s">
        <v>97</v>
      </c>
      <c r="B109" s="8" t="s">
        <v>381</v>
      </c>
      <c r="C109" s="252"/>
    </row>
    <row r="110" spans="1:3" ht="12" customHeight="1" thickBot="1">
      <c r="A110" s="417" t="s">
        <v>98</v>
      </c>
      <c r="B110" s="6" t="s">
        <v>382</v>
      </c>
      <c r="C110" s="252"/>
    </row>
    <row r="111" spans="1:3" ht="12" customHeight="1" thickBot="1">
      <c r="A111" s="31" t="s">
        <v>24</v>
      </c>
      <c r="B111" s="119" t="s">
        <v>439</v>
      </c>
      <c r="C111" s="281">
        <f>+C112+C113+C114+C115</f>
        <v>0</v>
      </c>
    </row>
    <row r="112" spans="1:3" ht="12" customHeight="1">
      <c r="A112" s="407" t="s">
        <v>99</v>
      </c>
      <c r="B112" s="8" t="s">
        <v>383</v>
      </c>
      <c r="C112" s="252"/>
    </row>
    <row r="113" spans="1:11" ht="12" customHeight="1">
      <c r="A113" s="407" t="s">
        <v>100</v>
      </c>
      <c r="B113" s="8" t="s">
        <v>384</v>
      </c>
      <c r="C113" s="252"/>
    </row>
    <row r="114" spans="1:11" ht="12" customHeight="1">
      <c r="A114" s="407" t="s">
        <v>286</v>
      </c>
      <c r="B114" s="8" t="s">
        <v>385</v>
      </c>
      <c r="C114" s="252"/>
    </row>
    <row r="115" spans="1:11" s="87" customFormat="1" ht="12" customHeight="1" thickBot="1">
      <c r="A115" s="417" t="s">
        <v>287</v>
      </c>
      <c r="B115" s="6" t="s">
        <v>386</v>
      </c>
      <c r="C115" s="252"/>
    </row>
    <row r="116" spans="1:11" ht="12" customHeight="1" thickBot="1">
      <c r="A116" s="31" t="s">
        <v>25</v>
      </c>
      <c r="B116" s="119" t="s">
        <v>387</v>
      </c>
      <c r="C116" s="287">
        <f>+C117+C118+C119+C120</f>
        <v>111660830</v>
      </c>
      <c r="K116" s="235"/>
    </row>
    <row r="117" spans="1:11">
      <c r="A117" s="407" t="s">
        <v>101</v>
      </c>
      <c r="B117" s="8" t="s">
        <v>388</v>
      </c>
      <c r="C117" s="252">
        <v>111660830</v>
      </c>
    </row>
    <row r="118" spans="1:11" ht="12" customHeight="1">
      <c r="A118" s="407" t="s">
        <v>102</v>
      </c>
      <c r="B118" s="8" t="s">
        <v>398</v>
      </c>
      <c r="C118" s="252"/>
    </row>
    <row r="119" spans="1:11" s="87" customFormat="1" ht="12" customHeight="1">
      <c r="A119" s="407" t="s">
        <v>299</v>
      </c>
      <c r="B119" s="8" t="s">
        <v>389</v>
      </c>
      <c r="C119" s="252"/>
    </row>
    <row r="120" spans="1:11" s="87" customFormat="1" ht="12" customHeight="1" thickBot="1">
      <c r="A120" s="417" t="s">
        <v>300</v>
      </c>
      <c r="B120" s="6" t="s">
        <v>390</v>
      </c>
      <c r="C120" s="252"/>
    </row>
    <row r="121" spans="1:11" s="87" customFormat="1" ht="12" customHeight="1" thickBot="1">
      <c r="A121" s="31" t="s">
        <v>26</v>
      </c>
      <c r="B121" s="119" t="s">
        <v>391</v>
      </c>
      <c r="C121" s="290">
        <f>+C122+C123+C124+C125</f>
        <v>0</v>
      </c>
    </row>
    <row r="122" spans="1:11" s="87" customFormat="1" ht="12" customHeight="1">
      <c r="A122" s="407" t="s">
        <v>163</v>
      </c>
      <c r="B122" s="8" t="s">
        <v>392</v>
      </c>
      <c r="C122" s="252"/>
    </row>
    <row r="123" spans="1:11" s="87" customFormat="1" ht="12" customHeight="1">
      <c r="A123" s="407" t="s">
        <v>164</v>
      </c>
      <c r="B123" s="8" t="s">
        <v>393</v>
      </c>
      <c r="C123" s="252"/>
    </row>
    <row r="124" spans="1:11" s="87" customFormat="1" ht="12" customHeight="1">
      <c r="A124" s="407" t="s">
        <v>217</v>
      </c>
      <c r="B124" s="8" t="s">
        <v>394</v>
      </c>
      <c r="C124" s="252"/>
    </row>
    <row r="125" spans="1:11" ht="12.75" customHeight="1" thickBot="1">
      <c r="A125" s="407" t="s">
        <v>302</v>
      </c>
      <c r="B125" s="8" t="s">
        <v>395</v>
      </c>
      <c r="C125" s="252"/>
    </row>
    <row r="126" spans="1:11" ht="12" customHeight="1" thickBot="1">
      <c r="A126" s="31" t="s">
        <v>27</v>
      </c>
      <c r="B126" s="119" t="s">
        <v>396</v>
      </c>
      <c r="C126" s="401">
        <f>+C107+C111+C116+C121</f>
        <v>111660830</v>
      </c>
    </row>
    <row r="127" spans="1:11" ht="15" customHeight="1" thickBot="1">
      <c r="A127" s="419" t="s">
        <v>28</v>
      </c>
      <c r="B127" s="363" t="s">
        <v>397</v>
      </c>
      <c r="C127" s="401">
        <f>+C106+C126</f>
        <v>365913352</v>
      </c>
      <c r="D127" s="39"/>
    </row>
    <row r="128" spans="1:11" ht="13.5" thickBot="1">
      <c r="A128" s="369"/>
      <c r="B128" s="370"/>
      <c r="C128" s="371"/>
    </row>
    <row r="129" spans="1:3" ht="15" customHeight="1" thickBot="1">
      <c r="A129" s="232" t="s">
        <v>188</v>
      </c>
      <c r="B129" s="233"/>
      <c r="C129" s="116">
        <v>6</v>
      </c>
    </row>
    <row r="130" spans="1:3" ht="14.25" customHeight="1" thickBot="1">
      <c r="A130" s="232" t="s">
        <v>189</v>
      </c>
      <c r="B130" s="233"/>
      <c r="C130" s="11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1" sqref="C1"/>
    </sheetView>
  </sheetViews>
  <sheetFormatPr defaultRowHeight="12.75"/>
  <cols>
    <col min="1" max="1" width="19.5" style="372" customWidth="1"/>
    <col min="2" max="2" width="72" style="373" customWidth="1"/>
    <col min="3" max="3" width="25" style="374" customWidth="1"/>
    <col min="4" max="16384" width="9.33203125" style="2"/>
  </cols>
  <sheetData>
    <row r="1" spans="1:3" s="1" customFormat="1" ht="16.5" customHeight="1" thickBot="1">
      <c r="A1" s="209"/>
      <c r="B1" s="211"/>
      <c r="C1" s="234" t="s">
        <v>821</v>
      </c>
    </row>
    <row r="2" spans="1:3" s="83" customFormat="1" ht="21" customHeight="1">
      <c r="A2" s="379" t="s">
        <v>66</v>
      </c>
      <c r="B2" s="342" t="s">
        <v>211</v>
      </c>
      <c r="C2" s="344"/>
    </row>
    <row r="3" spans="1:3" s="83" customFormat="1" ht="16.5" thickBot="1">
      <c r="A3" s="212" t="s">
        <v>185</v>
      </c>
      <c r="B3" s="343" t="s">
        <v>482</v>
      </c>
      <c r="C3" s="345">
        <v>4</v>
      </c>
    </row>
    <row r="4" spans="1:3" s="84" customFormat="1" ht="15.95" customHeight="1" thickBot="1">
      <c r="A4" s="213"/>
      <c r="B4" s="213"/>
      <c r="C4" s="214" t="s">
        <v>797</v>
      </c>
    </row>
    <row r="5" spans="1:3" ht="13.5" thickBot="1">
      <c r="A5" s="380" t="s">
        <v>187</v>
      </c>
      <c r="B5" s="215" t="s">
        <v>56</v>
      </c>
      <c r="C5" s="346" t="s">
        <v>57</v>
      </c>
    </row>
    <row r="6" spans="1:3" s="53" customFormat="1" ht="12.95" customHeight="1" thickBot="1">
      <c r="A6" s="196">
        <v>1</v>
      </c>
      <c r="B6" s="197">
        <v>2</v>
      </c>
      <c r="C6" s="198">
        <v>3</v>
      </c>
    </row>
    <row r="7" spans="1:3" s="53" customFormat="1" ht="15.95" customHeight="1" thickBot="1">
      <c r="A7" s="217"/>
      <c r="B7" s="218" t="s">
        <v>58</v>
      </c>
      <c r="C7" s="347"/>
    </row>
    <row r="8" spans="1:3" s="53" customFormat="1" ht="12" customHeight="1" thickBot="1">
      <c r="A8" s="31" t="s">
        <v>19</v>
      </c>
      <c r="B8" s="20" t="s">
        <v>242</v>
      </c>
      <c r="C8" s="281">
        <f>+C9+C10+C11+C12+C13+C14</f>
        <v>171933200</v>
      </c>
    </row>
    <row r="9" spans="1:3" s="85" customFormat="1" ht="12" customHeight="1">
      <c r="A9" s="407" t="s">
        <v>103</v>
      </c>
      <c r="B9" s="389" t="s">
        <v>243</v>
      </c>
      <c r="C9" s="284">
        <v>171933200</v>
      </c>
    </row>
    <row r="10" spans="1:3" s="86" customFormat="1" ht="12" customHeight="1">
      <c r="A10" s="408" t="s">
        <v>104</v>
      </c>
      <c r="B10" s="390" t="s">
        <v>244</v>
      </c>
      <c r="C10" s="283"/>
    </row>
    <row r="11" spans="1:3" s="86" customFormat="1" ht="12" customHeight="1">
      <c r="A11" s="408" t="s">
        <v>105</v>
      </c>
      <c r="B11" s="390" t="s">
        <v>245</v>
      </c>
      <c r="C11" s="283"/>
    </row>
    <row r="12" spans="1:3" s="86" customFormat="1" ht="12" customHeight="1">
      <c r="A12" s="408" t="s">
        <v>106</v>
      </c>
      <c r="B12" s="390" t="s">
        <v>246</v>
      </c>
      <c r="C12" s="283"/>
    </row>
    <row r="13" spans="1:3" s="86" customFormat="1" ht="12" customHeight="1">
      <c r="A13" s="408" t="s">
        <v>131</v>
      </c>
      <c r="B13" s="390" t="s">
        <v>247</v>
      </c>
      <c r="C13" s="433"/>
    </row>
    <row r="14" spans="1:3" s="85" customFormat="1" ht="12" customHeight="1" thickBot="1">
      <c r="A14" s="409" t="s">
        <v>107</v>
      </c>
      <c r="B14" s="391" t="s">
        <v>248</v>
      </c>
      <c r="C14" s="434"/>
    </row>
    <row r="15" spans="1:3" s="85" customFormat="1" ht="12" customHeight="1" thickBot="1">
      <c r="A15" s="31" t="s">
        <v>20</v>
      </c>
      <c r="B15" s="276" t="s">
        <v>249</v>
      </c>
      <c r="C15" s="281">
        <f>+C16+C17+C18+C19+C20</f>
        <v>0</v>
      </c>
    </row>
    <row r="16" spans="1:3" s="85" customFormat="1" ht="12" customHeight="1">
      <c r="A16" s="407" t="s">
        <v>109</v>
      </c>
      <c r="B16" s="389" t="s">
        <v>250</v>
      </c>
      <c r="C16" s="284"/>
    </row>
    <row r="17" spans="1:3" s="85" customFormat="1" ht="12" customHeight="1">
      <c r="A17" s="408" t="s">
        <v>110</v>
      </c>
      <c r="B17" s="390" t="s">
        <v>251</v>
      </c>
      <c r="C17" s="283"/>
    </row>
    <row r="18" spans="1:3" s="85" customFormat="1" ht="12" customHeight="1">
      <c r="A18" s="408" t="s">
        <v>111</v>
      </c>
      <c r="B18" s="390" t="s">
        <v>473</v>
      </c>
      <c r="C18" s="283"/>
    </row>
    <row r="19" spans="1:3" s="85" customFormat="1" ht="12" customHeight="1">
      <c r="A19" s="408" t="s">
        <v>112</v>
      </c>
      <c r="B19" s="390" t="s">
        <v>474</v>
      </c>
      <c r="C19" s="283"/>
    </row>
    <row r="20" spans="1:3" s="85" customFormat="1" ht="12" customHeight="1">
      <c r="A20" s="408" t="s">
        <v>113</v>
      </c>
      <c r="B20" s="390" t="s">
        <v>252</v>
      </c>
      <c r="C20" s="283"/>
    </row>
    <row r="21" spans="1:3" s="86" customFormat="1" ht="12" customHeight="1" thickBot="1">
      <c r="A21" s="409" t="s">
        <v>122</v>
      </c>
      <c r="B21" s="391" t="s">
        <v>253</v>
      </c>
      <c r="C21" s="285"/>
    </row>
    <row r="22" spans="1:3" s="86" customFormat="1" ht="12" customHeight="1" thickBot="1">
      <c r="A22" s="31" t="s">
        <v>21</v>
      </c>
      <c r="B22" s="20" t="s">
        <v>254</v>
      </c>
      <c r="C22" s="281">
        <f>+C23+C24+C25+C26+C27</f>
        <v>0</v>
      </c>
    </row>
    <row r="23" spans="1:3" s="86" customFormat="1" ht="12" customHeight="1">
      <c r="A23" s="407" t="s">
        <v>92</v>
      </c>
      <c r="B23" s="389" t="s">
        <v>255</v>
      </c>
      <c r="C23" s="284"/>
    </row>
    <row r="24" spans="1:3" s="85" customFormat="1" ht="12" customHeight="1">
      <c r="A24" s="408" t="s">
        <v>93</v>
      </c>
      <c r="B24" s="390" t="s">
        <v>256</v>
      </c>
      <c r="C24" s="283"/>
    </row>
    <row r="25" spans="1:3" s="86" customFormat="1" ht="12" customHeight="1">
      <c r="A25" s="408" t="s">
        <v>94</v>
      </c>
      <c r="B25" s="390" t="s">
        <v>475</v>
      </c>
      <c r="C25" s="283"/>
    </row>
    <row r="26" spans="1:3" s="86" customFormat="1" ht="12" customHeight="1">
      <c r="A26" s="408" t="s">
        <v>95</v>
      </c>
      <c r="B26" s="390" t="s">
        <v>476</v>
      </c>
      <c r="C26" s="283"/>
    </row>
    <row r="27" spans="1:3" s="86" customFormat="1" ht="12" customHeight="1">
      <c r="A27" s="408" t="s">
        <v>153</v>
      </c>
      <c r="B27" s="390" t="s">
        <v>257</v>
      </c>
      <c r="C27" s="283"/>
    </row>
    <row r="28" spans="1:3" s="86" customFormat="1" ht="12" customHeight="1" thickBot="1">
      <c r="A28" s="409" t="s">
        <v>154</v>
      </c>
      <c r="B28" s="391" t="s">
        <v>258</v>
      </c>
      <c r="C28" s="285"/>
    </row>
    <row r="29" spans="1:3" s="86" customFormat="1" ht="12" customHeight="1" thickBot="1">
      <c r="A29" s="31" t="s">
        <v>155</v>
      </c>
      <c r="B29" s="20" t="s">
        <v>259</v>
      </c>
      <c r="C29" s="287">
        <f>+C30+C33+C34+C35</f>
        <v>0</v>
      </c>
    </row>
    <row r="30" spans="1:3" s="86" customFormat="1" ht="12" customHeight="1">
      <c r="A30" s="407" t="s">
        <v>260</v>
      </c>
      <c r="B30" s="389" t="s">
        <v>266</v>
      </c>
      <c r="C30" s="384">
        <f>+C31+C32</f>
        <v>0</v>
      </c>
    </row>
    <row r="31" spans="1:3" s="86" customFormat="1" ht="12" customHeight="1">
      <c r="A31" s="408" t="s">
        <v>261</v>
      </c>
      <c r="B31" s="390" t="s">
        <v>267</v>
      </c>
      <c r="C31" s="283"/>
    </row>
    <row r="32" spans="1:3" s="86" customFormat="1" ht="12" customHeight="1">
      <c r="A32" s="408" t="s">
        <v>262</v>
      </c>
      <c r="B32" s="390" t="s">
        <v>268</v>
      </c>
      <c r="C32" s="283"/>
    </row>
    <row r="33" spans="1:3" s="86" customFormat="1" ht="12" customHeight="1">
      <c r="A33" s="408" t="s">
        <v>263</v>
      </c>
      <c r="B33" s="390" t="s">
        <v>269</v>
      </c>
      <c r="C33" s="283"/>
    </row>
    <row r="34" spans="1:3" s="86" customFormat="1" ht="12" customHeight="1">
      <c r="A34" s="408" t="s">
        <v>264</v>
      </c>
      <c r="B34" s="390" t="s">
        <v>270</v>
      </c>
      <c r="C34" s="283"/>
    </row>
    <row r="35" spans="1:3" s="86" customFormat="1" ht="12" customHeight="1" thickBot="1">
      <c r="A35" s="409" t="s">
        <v>265</v>
      </c>
      <c r="B35" s="391" t="s">
        <v>271</v>
      </c>
      <c r="C35" s="285"/>
    </row>
    <row r="36" spans="1:3" s="86" customFormat="1" ht="12" customHeight="1" thickBot="1">
      <c r="A36" s="31" t="s">
        <v>23</v>
      </c>
      <c r="B36" s="20" t="s">
        <v>272</v>
      </c>
      <c r="C36" s="281">
        <f>SUM(C37:C46)</f>
        <v>0</v>
      </c>
    </row>
    <row r="37" spans="1:3" s="86" customFormat="1" ht="12" customHeight="1">
      <c r="A37" s="407" t="s">
        <v>96</v>
      </c>
      <c r="B37" s="389" t="s">
        <v>275</v>
      </c>
      <c r="C37" s="284"/>
    </row>
    <row r="38" spans="1:3" s="86" customFormat="1" ht="12" customHeight="1">
      <c r="A38" s="408" t="s">
        <v>97</v>
      </c>
      <c r="B38" s="390" t="s">
        <v>276</v>
      </c>
      <c r="C38" s="283"/>
    </row>
    <row r="39" spans="1:3" s="86" customFormat="1" ht="12" customHeight="1">
      <c r="A39" s="408" t="s">
        <v>98</v>
      </c>
      <c r="B39" s="390" t="s">
        <v>277</v>
      </c>
      <c r="C39" s="283"/>
    </row>
    <row r="40" spans="1:3" s="86" customFormat="1" ht="12" customHeight="1">
      <c r="A40" s="408" t="s">
        <v>157</v>
      </c>
      <c r="B40" s="390" t="s">
        <v>278</v>
      </c>
      <c r="C40" s="283"/>
    </row>
    <row r="41" spans="1:3" s="86" customFormat="1" ht="12" customHeight="1">
      <c r="A41" s="408" t="s">
        <v>158</v>
      </c>
      <c r="B41" s="390" t="s">
        <v>279</v>
      </c>
      <c r="C41" s="283"/>
    </row>
    <row r="42" spans="1:3" s="86" customFormat="1" ht="12" customHeight="1">
      <c r="A42" s="408" t="s">
        <v>159</v>
      </c>
      <c r="B42" s="390" t="s">
        <v>280</v>
      </c>
      <c r="C42" s="283"/>
    </row>
    <row r="43" spans="1:3" s="86" customFormat="1" ht="12" customHeight="1">
      <c r="A43" s="408" t="s">
        <v>160</v>
      </c>
      <c r="B43" s="390" t="s">
        <v>281</v>
      </c>
      <c r="C43" s="283"/>
    </row>
    <row r="44" spans="1:3" s="86" customFormat="1" ht="12" customHeight="1">
      <c r="A44" s="408" t="s">
        <v>161</v>
      </c>
      <c r="B44" s="390" t="s">
        <v>282</v>
      </c>
      <c r="C44" s="283"/>
    </row>
    <row r="45" spans="1:3" s="86" customFormat="1" ht="12" customHeight="1">
      <c r="A45" s="408" t="s">
        <v>273</v>
      </c>
      <c r="B45" s="390" t="s">
        <v>283</v>
      </c>
      <c r="C45" s="286"/>
    </row>
    <row r="46" spans="1:3" s="86" customFormat="1" ht="12" customHeight="1" thickBot="1">
      <c r="A46" s="409" t="s">
        <v>274</v>
      </c>
      <c r="B46" s="391" t="s">
        <v>284</v>
      </c>
      <c r="C46" s="378"/>
    </row>
    <row r="47" spans="1:3" s="86" customFormat="1" ht="12" customHeight="1" thickBot="1">
      <c r="A47" s="31" t="s">
        <v>24</v>
      </c>
      <c r="B47" s="20" t="s">
        <v>285</v>
      </c>
      <c r="C47" s="281">
        <f>SUM(C48:C52)</f>
        <v>0</v>
      </c>
    </row>
    <row r="48" spans="1:3" s="86" customFormat="1" ht="12" customHeight="1">
      <c r="A48" s="407" t="s">
        <v>99</v>
      </c>
      <c r="B48" s="389" t="s">
        <v>289</v>
      </c>
      <c r="C48" s="435"/>
    </row>
    <row r="49" spans="1:3" s="86" customFormat="1" ht="12" customHeight="1">
      <c r="A49" s="408" t="s">
        <v>100</v>
      </c>
      <c r="B49" s="390" t="s">
        <v>290</v>
      </c>
      <c r="C49" s="286"/>
    </row>
    <row r="50" spans="1:3" s="86" customFormat="1" ht="12" customHeight="1">
      <c r="A50" s="408" t="s">
        <v>286</v>
      </c>
      <c r="B50" s="390" t="s">
        <v>291</v>
      </c>
      <c r="C50" s="286"/>
    </row>
    <row r="51" spans="1:3" s="86" customFormat="1" ht="12" customHeight="1">
      <c r="A51" s="408" t="s">
        <v>287</v>
      </c>
      <c r="B51" s="390" t="s">
        <v>292</v>
      </c>
      <c r="C51" s="286"/>
    </row>
    <row r="52" spans="1:3" s="86" customFormat="1" ht="12" customHeight="1" thickBot="1">
      <c r="A52" s="409" t="s">
        <v>288</v>
      </c>
      <c r="B52" s="391" t="s">
        <v>293</v>
      </c>
      <c r="C52" s="378"/>
    </row>
    <row r="53" spans="1:3" s="86" customFormat="1" ht="12" customHeight="1" thickBot="1">
      <c r="A53" s="31" t="s">
        <v>162</v>
      </c>
      <c r="B53" s="20" t="s">
        <v>294</v>
      </c>
      <c r="C53" s="281">
        <f>SUM(C54:C56)</f>
        <v>0</v>
      </c>
    </row>
    <row r="54" spans="1:3" s="86" customFormat="1" ht="12" customHeight="1">
      <c r="A54" s="407" t="s">
        <v>101</v>
      </c>
      <c r="B54" s="389" t="s">
        <v>295</v>
      </c>
      <c r="C54" s="284"/>
    </row>
    <row r="55" spans="1:3" s="86" customFormat="1" ht="12" customHeight="1">
      <c r="A55" s="408" t="s">
        <v>102</v>
      </c>
      <c r="B55" s="390" t="s">
        <v>477</v>
      </c>
      <c r="C55" s="283"/>
    </row>
    <row r="56" spans="1:3" s="86" customFormat="1" ht="12" customHeight="1">
      <c r="A56" s="408" t="s">
        <v>299</v>
      </c>
      <c r="B56" s="390" t="s">
        <v>297</v>
      </c>
      <c r="C56" s="283"/>
    </row>
    <row r="57" spans="1:3" s="86" customFormat="1" ht="12" customHeight="1" thickBot="1">
      <c r="A57" s="409" t="s">
        <v>300</v>
      </c>
      <c r="B57" s="391" t="s">
        <v>298</v>
      </c>
      <c r="C57" s="285"/>
    </row>
    <row r="58" spans="1:3" s="86" customFormat="1" ht="12" customHeight="1" thickBot="1">
      <c r="A58" s="31" t="s">
        <v>26</v>
      </c>
      <c r="B58" s="276" t="s">
        <v>301</v>
      </c>
      <c r="C58" s="281">
        <f>SUM(C59:C61)</f>
        <v>0</v>
      </c>
    </row>
    <row r="59" spans="1:3" s="86" customFormat="1" ht="12" customHeight="1">
      <c r="A59" s="407" t="s">
        <v>163</v>
      </c>
      <c r="B59" s="389" t="s">
        <v>303</v>
      </c>
      <c r="C59" s="286"/>
    </row>
    <row r="60" spans="1:3" s="86" customFormat="1" ht="12" customHeight="1">
      <c r="A60" s="408" t="s">
        <v>164</v>
      </c>
      <c r="B60" s="390" t="s">
        <v>478</v>
      </c>
      <c r="C60" s="286"/>
    </row>
    <row r="61" spans="1:3" s="86" customFormat="1" ht="12" customHeight="1">
      <c r="A61" s="408" t="s">
        <v>217</v>
      </c>
      <c r="B61" s="390" t="s">
        <v>304</v>
      </c>
      <c r="C61" s="286"/>
    </row>
    <row r="62" spans="1:3" s="86" customFormat="1" ht="12" customHeight="1" thickBot="1">
      <c r="A62" s="409" t="s">
        <v>302</v>
      </c>
      <c r="B62" s="391" t="s">
        <v>305</v>
      </c>
      <c r="C62" s="286"/>
    </row>
    <row r="63" spans="1:3" s="86" customFormat="1" ht="12" customHeight="1" thickBot="1">
      <c r="A63" s="31" t="s">
        <v>27</v>
      </c>
      <c r="B63" s="20" t="s">
        <v>306</v>
      </c>
      <c r="C63" s="287">
        <f>+C8+C15+C22+C29+C36+C47+C53+C58</f>
        <v>171933200</v>
      </c>
    </row>
    <row r="64" spans="1:3" s="86" customFormat="1" ht="12" customHeight="1" thickBot="1">
      <c r="A64" s="410" t="s">
        <v>440</v>
      </c>
      <c r="B64" s="276" t="s">
        <v>308</v>
      </c>
      <c r="C64" s="281">
        <f>SUM(C65:C67)</f>
        <v>0</v>
      </c>
    </row>
    <row r="65" spans="1:3" s="86" customFormat="1" ht="12" customHeight="1">
      <c r="A65" s="407" t="s">
        <v>341</v>
      </c>
      <c r="B65" s="389" t="s">
        <v>309</v>
      </c>
      <c r="C65" s="286"/>
    </row>
    <row r="66" spans="1:3" s="86" customFormat="1" ht="12" customHeight="1">
      <c r="A66" s="408" t="s">
        <v>350</v>
      </c>
      <c r="B66" s="390" t="s">
        <v>310</v>
      </c>
      <c r="C66" s="286"/>
    </row>
    <row r="67" spans="1:3" s="86" customFormat="1" ht="12" customHeight="1" thickBot="1">
      <c r="A67" s="409" t="s">
        <v>351</v>
      </c>
      <c r="B67" s="393" t="s">
        <v>311</v>
      </c>
      <c r="C67" s="286"/>
    </row>
    <row r="68" spans="1:3" s="86" customFormat="1" ht="12" customHeight="1" thickBot="1">
      <c r="A68" s="410" t="s">
        <v>312</v>
      </c>
      <c r="B68" s="276" t="s">
        <v>313</v>
      </c>
      <c r="C68" s="281">
        <f>SUM(C69:C72)</f>
        <v>0</v>
      </c>
    </row>
    <row r="69" spans="1:3" s="86" customFormat="1" ht="12" customHeight="1">
      <c r="A69" s="407" t="s">
        <v>132</v>
      </c>
      <c r="B69" s="389" t="s">
        <v>314</v>
      </c>
      <c r="C69" s="286"/>
    </row>
    <row r="70" spans="1:3" s="86" customFormat="1" ht="12" customHeight="1">
      <c r="A70" s="408" t="s">
        <v>133</v>
      </c>
      <c r="B70" s="390" t="s">
        <v>315</v>
      </c>
      <c r="C70" s="286"/>
    </row>
    <row r="71" spans="1:3" s="86" customFormat="1" ht="12" customHeight="1">
      <c r="A71" s="408" t="s">
        <v>342</v>
      </c>
      <c r="B71" s="390" t="s">
        <v>316</v>
      </c>
      <c r="C71" s="286"/>
    </row>
    <row r="72" spans="1:3" s="86" customFormat="1" ht="12" customHeight="1" thickBot="1">
      <c r="A72" s="409" t="s">
        <v>343</v>
      </c>
      <c r="B72" s="391" t="s">
        <v>317</v>
      </c>
      <c r="C72" s="286"/>
    </row>
    <row r="73" spans="1:3" s="86" customFormat="1" ht="12" customHeight="1" thickBot="1">
      <c r="A73" s="410" t="s">
        <v>318</v>
      </c>
      <c r="B73" s="276" t="s">
        <v>319</v>
      </c>
      <c r="C73" s="281">
        <f>SUM(C74:C75)</f>
        <v>0</v>
      </c>
    </row>
    <row r="74" spans="1:3" s="86" customFormat="1" ht="12" customHeight="1">
      <c r="A74" s="407" t="s">
        <v>344</v>
      </c>
      <c r="B74" s="389" t="s">
        <v>320</v>
      </c>
      <c r="C74" s="286"/>
    </row>
    <row r="75" spans="1:3" s="86" customFormat="1" ht="12" customHeight="1" thickBot="1">
      <c r="A75" s="409" t="s">
        <v>345</v>
      </c>
      <c r="B75" s="391" t="s">
        <v>321</v>
      </c>
      <c r="C75" s="286"/>
    </row>
    <row r="76" spans="1:3" s="85" customFormat="1" ht="12" customHeight="1" thickBot="1">
      <c r="A76" s="410" t="s">
        <v>322</v>
      </c>
      <c r="B76" s="276" t="s">
        <v>323</v>
      </c>
      <c r="C76" s="281">
        <f>SUM(C77:C79)</f>
        <v>0</v>
      </c>
    </row>
    <row r="77" spans="1:3" s="86" customFormat="1" ht="12" customHeight="1">
      <c r="A77" s="407" t="s">
        <v>346</v>
      </c>
      <c r="B77" s="389" t="s">
        <v>324</v>
      </c>
      <c r="C77" s="286"/>
    </row>
    <row r="78" spans="1:3" s="86" customFormat="1" ht="12" customHeight="1">
      <c r="A78" s="408" t="s">
        <v>347</v>
      </c>
      <c r="B78" s="390" t="s">
        <v>325</v>
      </c>
      <c r="C78" s="286"/>
    </row>
    <row r="79" spans="1:3" s="86" customFormat="1" ht="12" customHeight="1" thickBot="1">
      <c r="A79" s="409" t="s">
        <v>348</v>
      </c>
      <c r="B79" s="391" t="s">
        <v>326</v>
      </c>
      <c r="C79" s="286"/>
    </row>
    <row r="80" spans="1:3" s="86" customFormat="1" ht="12" customHeight="1" thickBot="1">
      <c r="A80" s="410" t="s">
        <v>327</v>
      </c>
      <c r="B80" s="276" t="s">
        <v>349</v>
      </c>
      <c r="C80" s="281">
        <f>SUM(C81:C84)</f>
        <v>0</v>
      </c>
    </row>
    <row r="81" spans="1:3" s="86" customFormat="1" ht="12" customHeight="1">
      <c r="A81" s="411" t="s">
        <v>328</v>
      </c>
      <c r="B81" s="389" t="s">
        <v>329</v>
      </c>
      <c r="C81" s="286"/>
    </row>
    <row r="82" spans="1:3" s="86" customFormat="1" ht="12" customHeight="1">
      <c r="A82" s="412" t="s">
        <v>330</v>
      </c>
      <c r="B82" s="390" t="s">
        <v>331</v>
      </c>
      <c r="C82" s="286"/>
    </row>
    <row r="83" spans="1:3" s="86" customFormat="1" ht="12" customHeight="1">
      <c r="A83" s="412" t="s">
        <v>332</v>
      </c>
      <c r="B83" s="390" t="s">
        <v>333</v>
      </c>
      <c r="C83" s="286"/>
    </row>
    <row r="84" spans="1:3" s="85" customFormat="1" ht="12" customHeight="1" thickBot="1">
      <c r="A84" s="413" t="s">
        <v>334</v>
      </c>
      <c r="B84" s="391" t="s">
        <v>335</v>
      </c>
      <c r="C84" s="286"/>
    </row>
    <row r="85" spans="1:3" s="85" customFormat="1" ht="12" customHeight="1" thickBot="1">
      <c r="A85" s="410" t="s">
        <v>336</v>
      </c>
      <c r="B85" s="276" t="s">
        <v>337</v>
      </c>
      <c r="C85" s="436"/>
    </row>
    <row r="86" spans="1:3" s="85" customFormat="1" ht="12" customHeight="1" thickBot="1">
      <c r="A86" s="410" t="s">
        <v>338</v>
      </c>
      <c r="B86" s="397" t="s">
        <v>339</v>
      </c>
      <c r="C86" s="287">
        <f>+C64+C68+C73+C76+C80+C85</f>
        <v>0</v>
      </c>
    </row>
    <row r="87" spans="1:3" s="85" customFormat="1" ht="12" customHeight="1" thickBot="1">
      <c r="A87" s="414" t="s">
        <v>352</v>
      </c>
      <c r="B87" s="399" t="s">
        <v>468</v>
      </c>
      <c r="C87" s="287">
        <f>+C63+C86</f>
        <v>171933200</v>
      </c>
    </row>
    <row r="88" spans="1:3" s="86" customFormat="1" ht="15" customHeight="1">
      <c r="A88" s="223"/>
      <c r="B88" s="224"/>
      <c r="C88" s="352"/>
    </row>
    <row r="89" spans="1:3" ht="13.5" thickBot="1">
      <c r="A89" s="415"/>
      <c r="B89" s="226"/>
      <c r="C89" s="353"/>
    </row>
    <row r="90" spans="1:3" s="53" customFormat="1" ht="16.5" customHeight="1" thickBot="1">
      <c r="A90" s="227"/>
      <c r="B90" s="228" t="s">
        <v>60</v>
      </c>
      <c r="C90" s="354"/>
    </row>
    <row r="91" spans="1:3" s="87" customFormat="1" ht="12" customHeight="1" thickBot="1">
      <c r="A91" s="381" t="s">
        <v>19</v>
      </c>
      <c r="B91" s="30" t="s">
        <v>355</v>
      </c>
      <c r="C91" s="280">
        <f>SUM(C92:C96)</f>
        <v>0</v>
      </c>
    </row>
    <row r="92" spans="1:3" ht="12" customHeight="1">
      <c r="A92" s="416" t="s">
        <v>103</v>
      </c>
      <c r="B92" s="9" t="s">
        <v>49</v>
      </c>
      <c r="C92" s="282"/>
    </row>
    <row r="93" spans="1:3" ht="12" customHeight="1">
      <c r="A93" s="408" t="s">
        <v>104</v>
      </c>
      <c r="B93" s="7" t="s">
        <v>165</v>
      </c>
      <c r="C93" s="283"/>
    </row>
    <row r="94" spans="1:3" ht="12" customHeight="1">
      <c r="A94" s="408" t="s">
        <v>105</v>
      </c>
      <c r="B94" s="7" t="s">
        <v>129</v>
      </c>
      <c r="C94" s="285"/>
    </row>
    <row r="95" spans="1:3" ht="12" customHeight="1">
      <c r="A95" s="408" t="s">
        <v>106</v>
      </c>
      <c r="B95" s="10" t="s">
        <v>166</v>
      </c>
      <c r="C95" s="285"/>
    </row>
    <row r="96" spans="1:3" ht="12" customHeight="1">
      <c r="A96" s="408" t="s">
        <v>117</v>
      </c>
      <c r="B96" s="18" t="s">
        <v>167</v>
      </c>
      <c r="C96" s="285"/>
    </row>
    <row r="97" spans="1:3" ht="12" customHeight="1">
      <c r="A97" s="408" t="s">
        <v>107</v>
      </c>
      <c r="B97" s="7" t="s">
        <v>356</v>
      </c>
      <c r="C97" s="285"/>
    </row>
    <row r="98" spans="1:3" ht="12" customHeight="1">
      <c r="A98" s="408" t="s">
        <v>108</v>
      </c>
      <c r="B98" s="136" t="s">
        <v>357</v>
      </c>
      <c r="C98" s="285"/>
    </row>
    <row r="99" spans="1:3" ht="12" customHeight="1">
      <c r="A99" s="408" t="s">
        <v>118</v>
      </c>
      <c r="B99" s="137" t="s">
        <v>358</v>
      </c>
      <c r="C99" s="285"/>
    </row>
    <row r="100" spans="1:3" ht="12" customHeight="1">
      <c r="A100" s="408" t="s">
        <v>119</v>
      </c>
      <c r="B100" s="137" t="s">
        <v>359</v>
      </c>
      <c r="C100" s="285"/>
    </row>
    <row r="101" spans="1:3" ht="12" customHeight="1">
      <c r="A101" s="408" t="s">
        <v>120</v>
      </c>
      <c r="B101" s="136" t="s">
        <v>360</v>
      </c>
      <c r="C101" s="285"/>
    </row>
    <row r="102" spans="1:3" ht="12" customHeight="1">
      <c r="A102" s="408" t="s">
        <v>121</v>
      </c>
      <c r="B102" s="136" t="s">
        <v>361</v>
      </c>
      <c r="C102" s="285"/>
    </row>
    <row r="103" spans="1:3" ht="12" customHeight="1">
      <c r="A103" s="408" t="s">
        <v>123</v>
      </c>
      <c r="B103" s="137" t="s">
        <v>362</v>
      </c>
      <c r="C103" s="285"/>
    </row>
    <row r="104" spans="1:3" ht="12" customHeight="1">
      <c r="A104" s="417" t="s">
        <v>168</v>
      </c>
      <c r="B104" s="138" t="s">
        <v>363</v>
      </c>
      <c r="C104" s="285"/>
    </row>
    <row r="105" spans="1:3" ht="12" customHeight="1">
      <c r="A105" s="408" t="s">
        <v>353</v>
      </c>
      <c r="B105" s="138" t="s">
        <v>364</v>
      </c>
      <c r="C105" s="285"/>
    </row>
    <row r="106" spans="1:3" ht="12" customHeight="1" thickBot="1">
      <c r="A106" s="418" t="s">
        <v>354</v>
      </c>
      <c r="B106" s="139" t="s">
        <v>365</v>
      </c>
      <c r="C106" s="289"/>
    </row>
    <row r="107" spans="1:3" ht="12" customHeight="1" thickBot="1">
      <c r="A107" s="31" t="s">
        <v>20</v>
      </c>
      <c r="B107" s="29" t="s">
        <v>366</v>
      </c>
      <c r="C107" s="281">
        <f>+C108+C110+C112</f>
        <v>0</v>
      </c>
    </row>
    <row r="108" spans="1:3" ht="12" customHeight="1">
      <c r="A108" s="407" t="s">
        <v>109</v>
      </c>
      <c r="B108" s="7" t="s">
        <v>215</v>
      </c>
      <c r="C108" s="284"/>
    </row>
    <row r="109" spans="1:3" ht="12" customHeight="1">
      <c r="A109" s="407" t="s">
        <v>110</v>
      </c>
      <c r="B109" s="11" t="s">
        <v>370</v>
      </c>
      <c r="C109" s="284"/>
    </row>
    <row r="110" spans="1:3" ht="12" customHeight="1">
      <c r="A110" s="407" t="s">
        <v>111</v>
      </c>
      <c r="B110" s="11" t="s">
        <v>169</v>
      </c>
      <c r="C110" s="283"/>
    </row>
    <row r="111" spans="1:3" ht="12" customHeight="1">
      <c r="A111" s="407" t="s">
        <v>112</v>
      </c>
      <c r="B111" s="11" t="s">
        <v>371</v>
      </c>
      <c r="C111" s="252"/>
    </row>
    <row r="112" spans="1:3" ht="12" customHeight="1">
      <c r="A112" s="407" t="s">
        <v>113</v>
      </c>
      <c r="B112" s="278" t="s">
        <v>218</v>
      </c>
      <c r="C112" s="252"/>
    </row>
    <row r="113" spans="1:3" ht="12" customHeight="1">
      <c r="A113" s="407" t="s">
        <v>122</v>
      </c>
      <c r="B113" s="277" t="s">
        <v>479</v>
      </c>
      <c r="C113" s="252"/>
    </row>
    <row r="114" spans="1:3" ht="12" customHeight="1">
      <c r="A114" s="407" t="s">
        <v>124</v>
      </c>
      <c r="B114" s="385" t="s">
        <v>376</v>
      </c>
      <c r="C114" s="252"/>
    </row>
    <row r="115" spans="1:3" ht="12" customHeight="1">
      <c r="A115" s="407" t="s">
        <v>170</v>
      </c>
      <c r="B115" s="137" t="s">
        <v>359</v>
      </c>
      <c r="C115" s="252"/>
    </row>
    <row r="116" spans="1:3" ht="12" customHeight="1">
      <c r="A116" s="407" t="s">
        <v>171</v>
      </c>
      <c r="B116" s="137" t="s">
        <v>375</v>
      </c>
      <c r="C116" s="252"/>
    </row>
    <row r="117" spans="1:3" ht="12" customHeight="1">
      <c r="A117" s="407" t="s">
        <v>172</v>
      </c>
      <c r="B117" s="137" t="s">
        <v>374</v>
      </c>
      <c r="C117" s="252"/>
    </row>
    <row r="118" spans="1:3" ht="12" customHeight="1">
      <c r="A118" s="407" t="s">
        <v>367</v>
      </c>
      <c r="B118" s="137" t="s">
        <v>362</v>
      </c>
      <c r="C118" s="252"/>
    </row>
    <row r="119" spans="1:3" ht="12" customHeight="1">
      <c r="A119" s="407" t="s">
        <v>368</v>
      </c>
      <c r="B119" s="137" t="s">
        <v>373</v>
      </c>
      <c r="C119" s="252"/>
    </row>
    <row r="120" spans="1:3" ht="12" customHeight="1" thickBot="1">
      <c r="A120" s="417" t="s">
        <v>369</v>
      </c>
      <c r="B120" s="137" t="s">
        <v>372</v>
      </c>
      <c r="C120" s="253"/>
    </row>
    <row r="121" spans="1:3" ht="12" customHeight="1" thickBot="1">
      <c r="A121" s="31" t="s">
        <v>21</v>
      </c>
      <c r="B121" s="119" t="s">
        <v>377</v>
      </c>
      <c r="C121" s="281">
        <f>+C122+C123</f>
        <v>0</v>
      </c>
    </row>
    <row r="122" spans="1:3" ht="12" customHeight="1">
      <c r="A122" s="407" t="s">
        <v>92</v>
      </c>
      <c r="B122" s="8" t="s">
        <v>62</v>
      </c>
      <c r="C122" s="284"/>
    </row>
    <row r="123" spans="1:3" ht="12" customHeight="1" thickBot="1">
      <c r="A123" s="409" t="s">
        <v>93</v>
      </c>
      <c r="B123" s="11" t="s">
        <v>63</v>
      </c>
      <c r="C123" s="285"/>
    </row>
    <row r="124" spans="1:3" ht="12" customHeight="1" thickBot="1">
      <c r="A124" s="31" t="s">
        <v>22</v>
      </c>
      <c r="B124" s="119" t="s">
        <v>378</v>
      </c>
      <c r="C124" s="281">
        <f>+C91+C107+C121</f>
        <v>0</v>
      </c>
    </row>
    <row r="125" spans="1:3" ht="12" customHeight="1" thickBot="1">
      <c r="A125" s="31" t="s">
        <v>23</v>
      </c>
      <c r="B125" s="119" t="s">
        <v>379</v>
      </c>
      <c r="C125" s="281">
        <f>+C126+C127+C128</f>
        <v>0</v>
      </c>
    </row>
    <row r="126" spans="1:3" s="87" customFormat="1" ht="12" customHeight="1">
      <c r="A126" s="407" t="s">
        <v>96</v>
      </c>
      <c r="B126" s="8" t="s">
        <v>380</v>
      </c>
      <c r="C126" s="252"/>
    </row>
    <row r="127" spans="1:3" ht="12" customHeight="1">
      <c r="A127" s="407" t="s">
        <v>97</v>
      </c>
      <c r="B127" s="8" t="s">
        <v>381</v>
      </c>
      <c r="C127" s="252"/>
    </row>
    <row r="128" spans="1:3" ht="12" customHeight="1" thickBot="1">
      <c r="A128" s="417" t="s">
        <v>98</v>
      </c>
      <c r="B128" s="6" t="s">
        <v>382</v>
      </c>
      <c r="C128" s="252"/>
    </row>
    <row r="129" spans="1:11" ht="12" customHeight="1" thickBot="1">
      <c r="A129" s="31" t="s">
        <v>24</v>
      </c>
      <c r="B129" s="119" t="s">
        <v>439</v>
      </c>
      <c r="C129" s="281">
        <f>+C130+C131+C132+C133</f>
        <v>0</v>
      </c>
    </row>
    <row r="130" spans="1:11" ht="12" customHeight="1">
      <c r="A130" s="407" t="s">
        <v>99</v>
      </c>
      <c r="B130" s="8" t="s">
        <v>383</v>
      </c>
      <c r="C130" s="252"/>
    </row>
    <row r="131" spans="1:11" ht="12" customHeight="1">
      <c r="A131" s="407" t="s">
        <v>100</v>
      </c>
      <c r="B131" s="8" t="s">
        <v>384</v>
      </c>
      <c r="C131" s="252"/>
    </row>
    <row r="132" spans="1:11" ht="12" customHeight="1">
      <c r="A132" s="407" t="s">
        <v>286</v>
      </c>
      <c r="B132" s="8" t="s">
        <v>385</v>
      </c>
      <c r="C132" s="252"/>
    </row>
    <row r="133" spans="1:11" s="87" customFormat="1" ht="12" customHeight="1" thickBot="1">
      <c r="A133" s="417" t="s">
        <v>287</v>
      </c>
      <c r="B133" s="6" t="s">
        <v>386</v>
      </c>
      <c r="C133" s="252"/>
    </row>
    <row r="134" spans="1:11" ht="12" customHeight="1" thickBot="1">
      <c r="A134" s="31" t="s">
        <v>25</v>
      </c>
      <c r="B134" s="119" t="s">
        <v>387</v>
      </c>
      <c r="C134" s="287">
        <f>+C135+C136+C137+C138</f>
        <v>0</v>
      </c>
      <c r="K134" s="235"/>
    </row>
    <row r="135" spans="1:11">
      <c r="A135" s="407" t="s">
        <v>101</v>
      </c>
      <c r="B135" s="8" t="s">
        <v>388</v>
      </c>
      <c r="C135" s="252"/>
    </row>
    <row r="136" spans="1:11" ht="12" customHeight="1">
      <c r="A136" s="407" t="s">
        <v>102</v>
      </c>
      <c r="B136" s="8" t="s">
        <v>398</v>
      </c>
      <c r="C136" s="252"/>
    </row>
    <row r="137" spans="1:11" s="87" customFormat="1" ht="12" customHeight="1">
      <c r="A137" s="407" t="s">
        <v>299</v>
      </c>
      <c r="B137" s="8" t="s">
        <v>389</v>
      </c>
      <c r="C137" s="252"/>
    </row>
    <row r="138" spans="1:11" s="87" customFormat="1" ht="12" customHeight="1" thickBot="1">
      <c r="A138" s="417" t="s">
        <v>300</v>
      </c>
      <c r="B138" s="6" t="s">
        <v>390</v>
      </c>
      <c r="C138" s="252"/>
    </row>
    <row r="139" spans="1:11" s="87" customFormat="1" ht="12" customHeight="1" thickBot="1">
      <c r="A139" s="31" t="s">
        <v>26</v>
      </c>
      <c r="B139" s="119" t="s">
        <v>391</v>
      </c>
      <c r="C139" s="290">
        <f>+C140+C141+C142+C143</f>
        <v>0</v>
      </c>
    </row>
    <row r="140" spans="1:11" s="87" customFormat="1" ht="12" customHeight="1">
      <c r="A140" s="407" t="s">
        <v>163</v>
      </c>
      <c r="B140" s="8" t="s">
        <v>392</v>
      </c>
      <c r="C140" s="252"/>
    </row>
    <row r="141" spans="1:11" s="87" customFormat="1" ht="12" customHeight="1">
      <c r="A141" s="407" t="s">
        <v>164</v>
      </c>
      <c r="B141" s="8" t="s">
        <v>393</v>
      </c>
      <c r="C141" s="252"/>
    </row>
    <row r="142" spans="1:11" s="87" customFormat="1" ht="12" customHeight="1">
      <c r="A142" s="407" t="s">
        <v>217</v>
      </c>
      <c r="B142" s="8" t="s">
        <v>394</v>
      </c>
      <c r="C142" s="252"/>
    </row>
    <row r="143" spans="1:11" ht="12.75" customHeight="1" thickBot="1">
      <c r="A143" s="407" t="s">
        <v>302</v>
      </c>
      <c r="B143" s="8" t="s">
        <v>395</v>
      </c>
      <c r="C143" s="252"/>
    </row>
    <row r="144" spans="1:11" ht="12" customHeight="1" thickBot="1">
      <c r="A144" s="31" t="s">
        <v>27</v>
      </c>
      <c r="B144" s="119" t="s">
        <v>396</v>
      </c>
      <c r="C144" s="401">
        <f>+C125+C129+C134+C139</f>
        <v>0</v>
      </c>
    </row>
    <row r="145" spans="1:3" ht="15" customHeight="1" thickBot="1">
      <c r="A145" s="419" t="s">
        <v>28</v>
      </c>
      <c r="B145" s="363" t="s">
        <v>397</v>
      </c>
      <c r="C145" s="401">
        <f>+C124+C144</f>
        <v>0</v>
      </c>
    </row>
    <row r="146" spans="1:3" ht="13.5" thickBot="1">
      <c r="A146" s="369"/>
      <c r="B146" s="370"/>
      <c r="C146" s="371"/>
    </row>
    <row r="147" spans="1:3" ht="15" customHeight="1" thickBot="1">
      <c r="A147" s="232" t="s">
        <v>188</v>
      </c>
      <c r="B147" s="233"/>
      <c r="C147" s="116"/>
    </row>
    <row r="148" spans="1:3" ht="14.25" customHeight="1" thickBot="1">
      <c r="A148" s="232" t="s">
        <v>189</v>
      </c>
      <c r="B148" s="233"/>
      <c r="C148" s="11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32"/>
  <sheetViews>
    <sheetView zoomScaleSheetLayoutView="100" workbookViewId="0">
      <selection activeCell="C72" sqref="C72"/>
    </sheetView>
  </sheetViews>
  <sheetFormatPr defaultRowHeight="15.75"/>
  <cols>
    <col min="1" max="1" width="9.5" style="364" customWidth="1"/>
    <col min="2" max="2" width="91.6640625" style="364" customWidth="1"/>
    <col min="3" max="3" width="21.6640625" style="365" customWidth="1"/>
    <col min="4" max="4" width="13.83203125" style="386" customWidth="1"/>
    <col min="5" max="16384" width="9.33203125" style="386"/>
  </cols>
  <sheetData>
    <row r="1" spans="1:3" ht="15.95" customHeight="1">
      <c r="A1" s="1108" t="s">
        <v>16</v>
      </c>
      <c r="B1" s="1108"/>
      <c r="C1" s="1108"/>
    </row>
    <row r="2" spans="1:3" ht="15.95" customHeight="1" thickBot="1">
      <c r="A2" s="1109" t="s">
        <v>724</v>
      </c>
      <c r="B2" s="1109"/>
      <c r="C2" s="291" t="s">
        <v>739</v>
      </c>
    </row>
    <row r="3" spans="1:3" ht="38.1" customHeight="1" thickBot="1">
      <c r="A3" s="22" t="s">
        <v>73</v>
      </c>
      <c r="B3" s="23" t="s">
        <v>18</v>
      </c>
      <c r="C3" s="38" t="s">
        <v>738</v>
      </c>
    </row>
    <row r="4" spans="1:3" s="387" customFormat="1" ht="12" customHeight="1" thickBot="1">
      <c r="A4" s="381">
        <v>1</v>
      </c>
      <c r="B4" s="382">
        <v>2</v>
      </c>
      <c r="C4" s="383">
        <v>3</v>
      </c>
    </row>
    <row r="5" spans="1:3" s="388" customFormat="1" ht="12" customHeight="1" thickBot="1">
      <c r="A5" s="19" t="s">
        <v>19</v>
      </c>
      <c r="B5" s="20" t="s">
        <v>242</v>
      </c>
      <c r="C5" s="281">
        <f>+C6+C7+C8+C9+C10+C11</f>
        <v>655047388</v>
      </c>
    </row>
    <row r="6" spans="1:3" s="388" customFormat="1" ht="12" customHeight="1">
      <c r="A6" s="14" t="s">
        <v>103</v>
      </c>
      <c r="B6" s="389" t="s">
        <v>243</v>
      </c>
      <c r="C6" s="284">
        <v>13944426</v>
      </c>
    </row>
    <row r="7" spans="1:3" s="388" customFormat="1" ht="12" customHeight="1">
      <c r="A7" s="13" t="s">
        <v>104</v>
      </c>
      <c r="B7" s="390" t="s">
        <v>244</v>
      </c>
      <c r="C7" s="283">
        <v>387599564</v>
      </c>
    </row>
    <row r="8" spans="1:3" s="388" customFormat="1" ht="12" customHeight="1">
      <c r="A8" s="13" t="s">
        <v>105</v>
      </c>
      <c r="B8" s="390" t="s">
        <v>245</v>
      </c>
      <c r="C8" s="283">
        <v>116517000</v>
      </c>
    </row>
    <row r="9" spans="1:3" s="388" customFormat="1" ht="12" customHeight="1">
      <c r="A9" s="13" t="s">
        <v>106</v>
      </c>
      <c r="B9" s="390" t="s">
        <v>246</v>
      </c>
      <c r="C9" s="283">
        <v>19172520</v>
      </c>
    </row>
    <row r="10" spans="1:3" s="388" customFormat="1" ht="12" customHeight="1">
      <c r="A10" s="13" t="s">
        <v>131</v>
      </c>
      <c r="B10" s="390" t="s">
        <v>522</v>
      </c>
      <c r="C10" s="283">
        <v>117813878</v>
      </c>
    </row>
    <row r="11" spans="1:3" s="388" customFormat="1" ht="12" customHeight="1" thickBot="1">
      <c r="A11" s="15" t="s">
        <v>107</v>
      </c>
      <c r="B11" s="391" t="s">
        <v>248</v>
      </c>
      <c r="C11" s="283"/>
    </row>
    <row r="12" spans="1:3" s="388" customFormat="1" ht="12" customHeight="1" thickBot="1">
      <c r="A12" s="19" t="s">
        <v>20</v>
      </c>
      <c r="B12" s="276" t="s">
        <v>249</v>
      </c>
      <c r="C12" s="281">
        <f>+C13+C14+C15+C16+C17</f>
        <v>0</v>
      </c>
    </row>
    <row r="13" spans="1:3" s="388" customFormat="1" ht="12" customHeight="1">
      <c r="A13" s="14" t="s">
        <v>109</v>
      </c>
      <c r="B13" s="389" t="s">
        <v>250</v>
      </c>
      <c r="C13" s="284"/>
    </row>
    <row r="14" spans="1:3" s="388" customFormat="1" ht="12" customHeight="1">
      <c r="A14" s="13" t="s">
        <v>110</v>
      </c>
      <c r="B14" s="390" t="s">
        <v>251</v>
      </c>
      <c r="C14" s="283"/>
    </row>
    <row r="15" spans="1:3" s="388" customFormat="1" ht="12" customHeight="1">
      <c r="A15" s="13" t="s">
        <v>111</v>
      </c>
      <c r="B15" s="390" t="s">
        <v>473</v>
      </c>
      <c r="C15" s="283"/>
    </row>
    <row r="16" spans="1:3" s="388" customFormat="1" ht="12" customHeight="1">
      <c r="A16" s="13" t="s">
        <v>112</v>
      </c>
      <c r="B16" s="390" t="s">
        <v>474</v>
      </c>
      <c r="C16" s="283"/>
    </row>
    <row r="17" spans="1:5" s="388" customFormat="1" ht="12" customHeight="1">
      <c r="A17" s="13" t="s">
        <v>113</v>
      </c>
      <c r="B17" s="390" t="s">
        <v>252</v>
      </c>
      <c r="C17" s="283"/>
    </row>
    <row r="18" spans="1:5" s="388" customFormat="1" ht="12" customHeight="1" thickBot="1">
      <c r="A18" s="15" t="s">
        <v>122</v>
      </c>
      <c r="B18" s="391" t="s">
        <v>253</v>
      </c>
      <c r="C18" s="285"/>
    </row>
    <row r="19" spans="1:5" s="388" customFormat="1" ht="12" customHeight="1" thickBot="1">
      <c r="A19" s="19" t="s">
        <v>21</v>
      </c>
      <c r="B19" s="20" t="s">
        <v>254</v>
      </c>
      <c r="C19" s="281">
        <f>+C20+C21+C22+C23+C24</f>
        <v>300000000</v>
      </c>
    </row>
    <row r="20" spans="1:5" s="388" customFormat="1" ht="12" customHeight="1">
      <c r="A20" s="14" t="s">
        <v>92</v>
      </c>
      <c r="B20" s="389" t="s">
        <v>255</v>
      </c>
      <c r="C20" s="284">
        <v>300000000</v>
      </c>
    </row>
    <row r="21" spans="1:5" s="388" customFormat="1" ht="12" customHeight="1">
      <c r="A21" s="13" t="s">
        <v>93</v>
      </c>
      <c r="B21" s="390" t="s">
        <v>256</v>
      </c>
      <c r="C21" s="283"/>
    </row>
    <row r="22" spans="1:5" s="388" customFormat="1" ht="12" customHeight="1">
      <c r="A22" s="13" t="s">
        <v>94</v>
      </c>
      <c r="B22" s="390" t="s">
        <v>475</v>
      </c>
      <c r="C22" s="283"/>
    </row>
    <row r="23" spans="1:5" s="388" customFormat="1" ht="12" customHeight="1">
      <c r="A23" s="13" t="s">
        <v>95</v>
      </c>
      <c r="B23" s="390" t="s">
        <v>476</v>
      </c>
      <c r="C23" s="283"/>
    </row>
    <row r="24" spans="1:5" s="388" customFormat="1" ht="12" customHeight="1">
      <c r="A24" s="13" t="s">
        <v>153</v>
      </c>
      <c r="B24" s="390" t="s">
        <v>257</v>
      </c>
      <c r="C24" s="283"/>
    </row>
    <row r="25" spans="1:5" s="388" customFormat="1" ht="12" customHeight="1" thickBot="1">
      <c r="A25" s="15" t="s">
        <v>154</v>
      </c>
      <c r="B25" s="391" t="s">
        <v>258</v>
      </c>
      <c r="C25" s="285"/>
    </row>
    <row r="26" spans="1:5" s="388" customFormat="1" ht="12" customHeight="1" thickBot="1">
      <c r="A26" s="19" t="s">
        <v>155</v>
      </c>
      <c r="B26" s="20" t="s">
        <v>259</v>
      </c>
      <c r="C26" s="287">
        <f>+C27+C30+C31+C32</f>
        <v>733800000</v>
      </c>
    </row>
    <row r="27" spans="1:5" s="388" customFormat="1" ht="12" customHeight="1">
      <c r="A27" s="14" t="s">
        <v>260</v>
      </c>
      <c r="B27" s="389" t="s">
        <v>266</v>
      </c>
      <c r="C27" s="384">
        <f>+C28+C29</f>
        <v>641800000</v>
      </c>
    </row>
    <row r="28" spans="1:5" s="388" customFormat="1" ht="12" customHeight="1">
      <c r="A28" s="13" t="s">
        <v>261</v>
      </c>
      <c r="B28" s="390" t="s">
        <v>267</v>
      </c>
      <c r="C28" s="283"/>
    </row>
    <row r="29" spans="1:5" s="388" customFormat="1" ht="12" customHeight="1">
      <c r="A29" s="13" t="s">
        <v>262</v>
      </c>
      <c r="B29" s="390" t="s">
        <v>268</v>
      </c>
      <c r="C29" s="283">
        <v>641800000</v>
      </c>
      <c r="D29" s="283"/>
      <c r="E29" s="658"/>
    </row>
    <row r="30" spans="1:5" s="388" customFormat="1" ht="12" customHeight="1">
      <c r="A30" s="13" t="s">
        <v>263</v>
      </c>
      <c r="B30" s="390" t="s">
        <v>269</v>
      </c>
      <c r="C30" s="283">
        <v>90000000</v>
      </c>
    </row>
    <row r="31" spans="1:5" s="388" customFormat="1" ht="12" customHeight="1">
      <c r="A31" s="13" t="s">
        <v>264</v>
      </c>
      <c r="B31" s="390" t="s">
        <v>270</v>
      </c>
      <c r="C31" s="283">
        <v>2000000</v>
      </c>
    </row>
    <row r="32" spans="1:5" s="388" customFormat="1" ht="12" customHeight="1" thickBot="1">
      <c r="A32" s="15" t="s">
        <v>265</v>
      </c>
      <c r="B32" s="391" t="s">
        <v>271</v>
      </c>
      <c r="C32" s="285"/>
    </row>
    <row r="33" spans="1:3" s="388" customFormat="1" ht="12" customHeight="1" thickBot="1">
      <c r="A33" s="19" t="s">
        <v>23</v>
      </c>
      <c r="B33" s="20" t="s">
        <v>272</v>
      </c>
      <c r="C33" s="281">
        <f>SUM(C34:C43)</f>
        <v>146165000</v>
      </c>
    </row>
    <row r="34" spans="1:3" s="388" customFormat="1" ht="12" customHeight="1">
      <c r="A34" s="14" t="s">
        <v>96</v>
      </c>
      <c r="B34" s="389" t="s">
        <v>275</v>
      </c>
      <c r="C34" s="284"/>
    </row>
    <row r="35" spans="1:3" s="388" customFormat="1" ht="12" customHeight="1">
      <c r="A35" s="13" t="s">
        <v>97</v>
      </c>
      <c r="B35" s="390" t="s">
        <v>276</v>
      </c>
      <c r="C35" s="283">
        <v>70363937</v>
      </c>
    </row>
    <row r="36" spans="1:3" s="388" customFormat="1" ht="12" customHeight="1">
      <c r="A36" s="13" t="s">
        <v>98</v>
      </c>
      <c r="B36" s="390" t="s">
        <v>277</v>
      </c>
      <c r="C36" s="283"/>
    </row>
    <row r="37" spans="1:3" s="388" customFormat="1" ht="12" customHeight="1">
      <c r="A37" s="13" t="s">
        <v>157</v>
      </c>
      <c r="B37" s="390" t="s">
        <v>278</v>
      </c>
      <c r="C37" s="283"/>
    </row>
    <row r="38" spans="1:3" s="388" customFormat="1" ht="12" customHeight="1">
      <c r="A38" s="13" t="s">
        <v>158</v>
      </c>
      <c r="B38" s="390" t="s">
        <v>279</v>
      </c>
      <c r="C38" s="283">
        <v>56802800</v>
      </c>
    </row>
    <row r="39" spans="1:3" s="388" customFormat="1" ht="12" customHeight="1">
      <c r="A39" s="13" t="s">
        <v>159</v>
      </c>
      <c r="B39" s="390" t="s">
        <v>280</v>
      </c>
      <c r="C39" s="283">
        <v>18998263</v>
      </c>
    </row>
    <row r="40" spans="1:3" s="388" customFormat="1" ht="12" customHeight="1">
      <c r="A40" s="13" t="s">
        <v>160</v>
      </c>
      <c r="B40" s="390" t="s">
        <v>281</v>
      </c>
      <c r="C40" s="283"/>
    </row>
    <row r="41" spans="1:3" s="388" customFormat="1" ht="12" customHeight="1">
      <c r="A41" s="13" t="s">
        <v>161</v>
      </c>
      <c r="B41" s="390" t="s">
        <v>282</v>
      </c>
      <c r="C41" s="283"/>
    </row>
    <row r="42" spans="1:3" s="388" customFormat="1" ht="12" customHeight="1">
      <c r="A42" s="13" t="s">
        <v>273</v>
      </c>
      <c r="B42" s="390" t="s">
        <v>283</v>
      </c>
      <c r="C42" s="286"/>
    </row>
    <row r="43" spans="1:3" s="388" customFormat="1" ht="12" customHeight="1" thickBot="1">
      <c r="A43" s="15" t="s">
        <v>274</v>
      </c>
      <c r="B43" s="391" t="s">
        <v>284</v>
      </c>
      <c r="C43" s="378"/>
    </row>
    <row r="44" spans="1:3" s="388" customFormat="1" ht="12" customHeight="1" thickBot="1">
      <c r="A44" s="19" t="s">
        <v>24</v>
      </c>
      <c r="B44" s="20" t="s">
        <v>285</v>
      </c>
      <c r="C44" s="281">
        <f>SUM(C45:C49)</f>
        <v>0</v>
      </c>
    </row>
    <row r="45" spans="1:3" s="388" customFormat="1" ht="12" customHeight="1">
      <c r="A45" s="14" t="s">
        <v>99</v>
      </c>
      <c r="B45" s="389" t="s">
        <v>289</v>
      </c>
      <c r="C45" s="435"/>
    </row>
    <row r="46" spans="1:3" s="388" customFormat="1" ht="12" customHeight="1">
      <c r="A46" s="13" t="s">
        <v>100</v>
      </c>
      <c r="B46" s="390" t="s">
        <v>290</v>
      </c>
      <c r="C46" s="286"/>
    </row>
    <row r="47" spans="1:3" s="388" customFormat="1" ht="12" customHeight="1">
      <c r="A47" s="13" t="s">
        <v>286</v>
      </c>
      <c r="B47" s="390" t="s">
        <v>291</v>
      </c>
      <c r="C47" s="286"/>
    </row>
    <row r="48" spans="1:3" s="388" customFormat="1" ht="12" customHeight="1">
      <c r="A48" s="13" t="s">
        <v>287</v>
      </c>
      <c r="B48" s="390" t="s">
        <v>292</v>
      </c>
      <c r="C48" s="286"/>
    </row>
    <row r="49" spans="1:3" s="388" customFormat="1" ht="12" customHeight="1" thickBot="1">
      <c r="A49" s="15" t="s">
        <v>288</v>
      </c>
      <c r="B49" s="391" t="s">
        <v>293</v>
      </c>
      <c r="C49" s="378"/>
    </row>
    <row r="50" spans="1:3" s="388" customFormat="1" ht="12" customHeight="1" thickBot="1">
      <c r="A50" s="19" t="s">
        <v>162</v>
      </c>
      <c r="B50" s="20" t="s">
        <v>294</v>
      </c>
      <c r="C50" s="281">
        <f>SUM(C51:C53)</f>
        <v>0</v>
      </c>
    </row>
    <row r="51" spans="1:3" s="388" customFormat="1" ht="12" customHeight="1">
      <c r="A51" s="14" t="s">
        <v>101</v>
      </c>
      <c r="B51" s="389" t="s">
        <v>295</v>
      </c>
      <c r="C51" s="284"/>
    </row>
    <row r="52" spans="1:3" s="388" customFormat="1" ht="12" customHeight="1">
      <c r="A52" s="13" t="s">
        <v>102</v>
      </c>
      <c r="B52" s="390" t="s">
        <v>296</v>
      </c>
      <c r="C52" s="283"/>
    </row>
    <row r="53" spans="1:3" s="388" customFormat="1" ht="12" customHeight="1">
      <c r="A53" s="13" t="s">
        <v>299</v>
      </c>
      <c r="B53" s="390" t="s">
        <v>297</v>
      </c>
      <c r="C53" s="283"/>
    </row>
    <row r="54" spans="1:3" s="388" customFormat="1" ht="12" customHeight="1" thickBot="1">
      <c r="A54" s="15" t="s">
        <v>300</v>
      </c>
      <c r="B54" s="391" t="s">
        <v>298</v>
      </c>
      <c r="C54" s="285"/>
    </row>
    <row r="55" spans="1:3" s="388" customFormat="1" ht="12" customHeight="1" thickBot="1">
      <c r="A55" s="19" t="s">
        <v>26</v>
      </c>
      <c r="B55" s="276" t="s">
        <v>301</v>
      </c>
      <c r="C55" s="281">
        <f>SUM(C56:C58)</f>
        <v>8000000</v>
      </c>
    </row>
    <row r="56" spans="1:3" s="388" customFormat="1" ht="12" customHeight="1">
      <c r="A56" s="14" t="s">
        <v>163</v>
      </c>
      <c r="B56" s="389" t="s">
        <v>303</v>
      </c>
      <c r="C56" s="286"/>
    </row>
    <row r="57" spans="1:3" s="388" customFormat="1" ht="12" customHeight="1">
      <c r="A57" s="13" t="s">
        <v>164</v>
      </c>
      <c r="B57" s="390" t="s">
        <v>478</v>
      </c>
      <c r="C57" s="286"/>
    </row>
    <row r="58" spans="1:3" s="388" customFormat="1" ht="12" customHeight="1">
      <c r="A58" s="13" t="s">
        <v>217</v>
      </c>
      <c r="B58" s="390" t="s">
        <v>728</v>
      </c>
      <c r="C58" s="286">
        <v>8000000</v>
      </c>
    </row>
    <row r="59" spans="1:3" s="388" customFormat="1" ht="12" customHeight="1" thickBot="1">
      <c r="A59" s="15" t="s">
        <v>302</v>
      </c>
      <c r="B59" s="391" t="s">
        <v>524</v>
      </c>
      <c r="C59" s="286"/>
    </row>
    <row r="60" spans="1:3" s="388" customFormat="1" ht="12" customHeight="1" thickBot="1">
      <c r="A60" s="19" t="s">
        <v>27</v>
      </c>
      <c r="B60" s="20" t="s">
        <v>306</v>
      </c>
      <c r="C60" s="287">
        <f>+C5+C12+C19+C26+C33+C44+C50+C55</f>
        <v>1843012388</v>
      </c>
    </row>
    <row r="61" spans="1:3" s="388" customFormat="1" ht="12" customHeight="1" thickBot="1">
      <c r="A61" s="392" t="s">
        <v>307</v>
      </c>
      <c r="B61" s="276" t="s">
        <v>308</v>
      </c>
      <c r="C61" s="281">
        <f>SUM(C62:C64)</f>
        <v>0</v>
      </c>
    </row>
    <row r="62" spans="1:3" s="388" customFormat="1" ht="12" customHeight="1">
      <c r="A62" s="14" t="s">
        <v>341</v>
      </c>
      <c r="B62" s="389" t="s">
        <v>309</v>
      </c>
      <c r="C62" s="286"/>
    </row>
    <row r="63" spans="1:3" s="388" customFormat="1" ht="12" customHeight="1">
      <c r="A63" s="13" t="s">
        <v>350</v>
      </c>
      <c r="B63" s="390" t="s">
        <v>310</v>
      </c>
      <c r="C63" s="286"/>
    </row>
    <row r="64" spans="1:3" s="388" customFormat="1" ht="12" customHeight="1" thickBot="1">
      <c r="A64" s="15" t="s">
        <v>351</v>
      </c>
      <c r="B64" s="393" t="s">
        <v>311</v>
      </c>
      <c r="C64" s="286"/>
    </row>
    <row r="65" spans="1:3" s="388" customFormat="1" ht="12" customHeight="1" thickBot="1">
      <c r="A65" s="392" t="s">
        <v>312</v>
      </c>
      <c r="B65" s="276" t="s">
        <v>313</v>
      </c>
      <c r="C65" s="281">
        <f>SUM(C66:C69)</f>
        <v>0</v>
      </c>
    </row>
    <row r="66" spans="1:3" s="388" customFormat="1" ht="12" customHeight="1">
      <c r="A66" s="14" t="s">
        <v>132</v>
      </c>
      <c r="B66" s="389" t="s">
        <v>314</v>
      </c>
      <c r="C66" s="286"/>
    </row>
    <row r="67" spans="1:3" s="388" customFormat="1" ht="12" customHeight="1">
      <c r="A67" s="13" t="s">
        <v>133</v>
      </c>
      <c r="B67" s="390" t="s">
        <v>315</v>
      </c>
      <c r="C67" s="286"/>
    </row>
    <row r="68" spans="1:3" s="388" customFormat="1" ht="12" customHeight="1">
      <c r="A68" s="13" t="s">
        <v>342</v>
      </c>
      <c r="B68" s="390" t="s">
        <v>316</v>
      </c>
      <c r="C68" s="286"/>
    </row>
    <row r="69" spans="1:3" s="388" customFormat="1" ht="12" customHeight="1" thickBot="1">
      <c r="A69" s="15" t="s">
        <v>343</v>
      </c>
      <c r="B69" s="391" t="s">
        <v>317</v>
      </c>
      <c r="C69" s="286"/>
    </row>
    <row r="70" spans="1:3" s="388" customFormat="1" ht="12" customHeight="1" thickBot="1">
      <c r="A70" s="392" t="s">
        <v>318</v>
      </c>
      <c r="B70" s="276" t="s">
        <v>319</v>
      </c>
      <c r="C70" s="281">
        <f>SUM(C71:C72)</f>
        <v>12026624</v>
      </c>
    </row>
    <row r="71" spans="1:3" s="388" customFormat="1" ht="12" customHeight="1">
      <c r="A71" s="14" t="s">
        <v>344</v>
      </c>
      <c r="B71" s="389" t="s">
        <v>320</v>
      </c>
      <c r="C71" s="286">
        <f>3000000+9026624</f>
        <v>12026624</v>
      </c>
    </row>
    <row r="72" spans="1:3" s="388" customFormat="1" ht="12" customHeight="1" thickBot="1">
      <c r="A72" s="15" t="s">
        <v>345</v>
      </c>
      <c r="B72" s="391" t="s">
        <v>321</v>
      </c>
      <c r="C72" s="286"/>
    </row>
    <row r="73" spans="1:3" s="388" customFormat="1" ht="12" customHeight="1" thickBot="1">
      <c r="A73" s="392" t="s">
        <v>322</v>
      </c>
      <c r="B73" s="276" t="s">
        <v>323</v>
      </c>
      <c r="C73" s="281">
        <f>SUM(C74:C76)</f>
        <v>0</v>
      </c>
    </row>
    <row r="74" spans="1:3" s="388" customFormat="1" ht="12" customHeight="1">
      <c r="A74" s="14" t="s">
        <v>346</v>
      </c>
      <c r="B74" s="389" t="s">
        <v>324</v>
      </c>
      <c r="C74" s="286"/>
    </row>
    <row r="75" spans="1:3" s="388" customFormat="1" ht="12" customHeight="1">
      <c r="A75" s="13" t="s">
        <v>347</v>
      </c>
      <c r="B75" s="390" t="s">
        <v>325</v>
      </c>
      <c r="C75" s="286"/>
    </row>
    <row r="76" spans="1:3" s="388" customFormat="1" ht="12" customHeight="1" thickBot="1">
      <c r="A76" s="15" t="s">
        <v>348</v>
      </c>
      <c r="B76" s="391" t="s">
        <v>326</v>
      </c>
      <c r="C76" s="286"/>
    </row>
    <row r="77" spans="1:3" s="388" customFormat="1" ht="12" customHeight="1" thickBot="1">
      <c r="A77" s="392" t="s">
        <v>327</v>
      </c>
      <c r="B77" s="276" t="s">
        <v>349</v>
      </c>
      <c r="C77" s="281">
        <f>SUM(C78:C81)</f>
        <v>0</v>
      </c>
    </row>
    <row r="78" spans="1:3" s="388" customFormat="1" ht="12" customHeight="1">
      <c r="A78" s="394" t="s">
        <v>328</v>
      </c>
      <c r="B78" s="389" t="s">
        <v>329</v>
      </c>
      <c r="C78" s="286"/>
    </row>
    <row r="79" spans="1:3" s="388" customFormat="1" ht="12" customHeight="1">
      <c r="A79" s="395" t="s">
        <v>330</v>
      </c>
      <c r="B79" s="390" t="s">
        <v>331</v>
      </c>
      <c r="C79" s="286"/>
    </row>
    <row r="80" spans="1:3" s="388" customFormat="1" ht="12" customHeight="1">
      <c r="A80" s="395" t="s">
        <v>332</v>
      </c>
      <c r="B80" s="390" t="s">
        <v>333</v>
      </c>
      <c r="C80" s="286"/>
    </row>
    <row r="81" spans="1:3" s="388" customFormat="1" ht="12" customHeight="1" thickBot="1">
      <c r="A81" s="396" t="s">
        <v>334</v>
      </c>
      <c r="B81" s="391" t="s">
        <v>335</v>
      </c>
      <c r="C81" s="286"/>
    </row>
    <row r="82" spans="1:3" s="388" customFormat="1" ht="13.5" customHeight="1" thickBot="1">
      <c r="A82" s="392" t="s">
        <v>336</v>
      </c>
      <c r="B82" s="276" t="s">
        <v>337</v>
      </c>
      <c r="C82" s="436"/>
    </row>
    <row r="83" spans="1:3" s="388" customFormat="1" ht="15.75" customHeight="1" thickBot="1">
      <c r="A83" s="392" t="s">
        <v>338</v>
      </c>
      <c r="B83" s="397" t="s">
        <v>339</v>
      </c>
      <c r="C83" s="287">
        <f>+C61+C65+C70+C73+C77+C82</f>
        <v>12026624</v>
      </c>
    </row>
    <row r="84" spans="1:3" s="388" customFormat="1" ht="16.5" customHeight="1" thickBot="1">
      <c r="A84" s="398" t="s">
        <v>352</v>
      </c>
      <c r="B84" s="399" t="s">
        <v>340</v>
      </c>
      <c r="C84" s="287">
        <f>+C60+C83</f>
        <v>1855039012</v>
      </c>
    </row>
    <row r="85" spans="1:3" s="388" customFormat="1" ht="83.25" customHeight="1">
      <c r="A85" s="4"/>
      <c r="B85" s="5"/>
      <c r="C85" s="288"/>
    </row>
    <row r="86" spans="1:3" ht="16.5" customHeight="1">
      <c r="A86" s="1108" t="s">
        <v>47</v>
      </c>
      <c r="B86" s="1108"/>
      <c r="C86" s="1108"/>
    </row>
    <row r="87" spans="1:3" s="400" customFormat="1" ht="16.5" customHeight="1" thickBot="1">
      <c r="A87" s="1110" t="s">
        <v>785</v>
      </c>
      <c r="B87" s="1110"/>
      <c r="C87" s="134" t="s">
        <v>795</v>
      </c>
    </row>
    <row r="88" spans="1:3" ht="38.1" customHeight="1" thickBot="1">
      <c r="A88" s="22" t="s">
        <v>73</v>
      </c>
      <c r="B88" s="23" t="s">
        <v>48</v>
      </c>
      <c r="C88" s="38" t="s">
        <v>738</v>
      </c>
    </row>
    <row r="89" spans="1:3" s="387" customFormat="1" ht="12" customHeight="1" thickBot="1">
      <c r="A89" s="31">
        <v>1</v>
      </c>
      <c r="B89" s="32">
        <v>2</v>
      </c>
      <c r="C89" s="33">
        <v>3</v>
      </c>
    </row>
    <row r="90" spans="1:3" ht="12" customHeight="1" thickBot="1">
      <c r="A90" s="21" t="s">
        <v>19</v>
      </c>
      <c r="B90" s="30" t="s">
        <v>355</v>
      </c>
      <c r="C90" s="280">
        <f>SUM(C91:C95)</f>
        <v>1155534308</v>
      </c>
    </row>
    <row r="91" spans="1:3" ht="12" customHeight="1">
      <c r="A91" s="16" t="s">
        <v>103</v>
      </c>
      <c r="B91" s="9" t="s">
        <v>49</v>
      </c>
      <c r="C91" s="282">
        <v>430667925</v>
      </c>
    </row>
    <row r="92" spans="1:3" ht="12" customHeight="1">
      <c r="A92" s="13" t="s">
        <v>104</v>
      </c>
      <c r="B92" s="7" t="s">
        <v>165</v>
      </c>
      <c r="C92" s="283">
        <v>98091724</v>
      </c>
    </row>
    <row r="93" spans="1:3" ht="12" customHeight="1">
      <c r="A93" s="13" t="s">
        <v>105</v>
      </c>
      <c r="B93" s="7" t="s">
        <v>129</v>
      </c>
      <c r="C93" s="285">
        <v>411927526</v>
      </c>
    </row>
    <row r="94" spans="1:3" ht="12" customHeight="1">
      <c r="A94" s="13" t="s">
        <v>106</v>
      </c>
      <c r="B94" s="10" t="s">
        <v>166</v>
      </c>
      <c r="C94" s="285">
        <v>61500000</v>
      </c>
    </row>
    <row r="95" spans="1:3" ht="12" customHeight="1">
      <c r="A95" s="13" t="s">
        <v>117</v>
      </c>
      <c r="B95" s="18" t="s">
        <v>167</v>
      </c>
      <c r="C95" s="285">
        <f>137347133+16000000</f>
        <v>153347133</v>
      </c>
    </row>
    <row r="96" spans="1:3" ht="12" customHeight="1" thickBot="1">
      <c r="A96" s="17" t="s">
        <v>354</v>
      </c>
      <c r="B96" s="139" t="s">
        <v>365</v>
      </c>
      <c r="C96" s="289"/>
    </row>
    <row r="97" spans="1:3" ht="12" customHeight="1" thickBot="1">
      <c r="A97" s="19" t="s">
        <v>20</v>
      </c>
      <c r="B97" s="29" t="s">
        <v>366</v>
      </c>
      <c r="C97" s="281">
        <f>+C98+C100+C102</f>
        <v>655338000</v>
      </c>
    </row>
    <row r="98" spans="1:3" ht="12" customHeight="1">
      <c r="A98" s="14" t="s">
        <v>109</v>
      </c>
      <c r="B98" s="7" t="s">
        <v>215</v>
      </c>
      <c r="C98" s="284">
        <v>318858000</v>
      </c>
    </row>
    <row r="99" spans="1:3" ht="12" customHeight="1">
      <c r="A99" s="14" t="s">
        <v>110</v>
      </c>
      <c r="B99" s="11" t="s">
        <v>370</v>
      </c>
      <c r="C99" s="284"/>
    </row>
    <row r="100" spans="1:3" ht="12" customHeight="1">
      <c r="A100" s="14" t="s">
        <v>111</v>
      </c>
      <c r="B100" s="11" t="s">
        <v>169</v>
      </c>
      <c r="C100" s="283">
        <v>336480000</v>
      </c>
    </row>
    <row r="101" spans="1:3" ht="12" customHeight="1">
      <c r="A101" s="14" t="s">
        <v>112</v>
      </c>
      <c r="B101" s="11" t="s">
        <v>371</v>
      </c>
      <c r="C101" s="252"/>
    </row>
    <row r="102" spans="1:3" ht="12" customHeight="1" thickBot="1">
      <c r="A102" s="14" t="s">
        <v>113</v>
      </c>
      <c r="B102" s="278" t="s">
        <v>218</v>
      </c>
      <c r="C102" s="252"/>
    </row>
    <row r="103" spans="1:3" ht="12" customHeight="1" thickBot="1">
      <c r="A103" s="19" t="s">
        <v>21</v>
      </c>
      <c r="B103" s="119" t="s">
        <v>377</v>
      </c>
      <c r="C103" s="281">
        <f>+C104+C105</f>
        <v>44166704</v>
      </c>
    </row>
    <row r="104" spans="1:3" ht="12" customHeight="1">
      <c r="A104" s="14" t="s">
        <v>92</v>
      </c>
      <c r="B104" s="8" t="s">
        <v>62</v>
      </c>
      <c r="C104" s="284">
        <v>44166704</v>
      </c>
    </row>
    <row r="105" spans="1:3" ht="12" customHeight="1" thickBot="1">
      <c r="A105" s="15" t="s">
        <v>93</v>
      </c>
      <c r="B105" s="11" t="s">
        <v>63</v>
      </c>
      <c r="C105" s="285"/>
    </row>
    <row r="106" spans="1:3" ht="12" customHeight="1" thickBot="1">
      <c r="A106" s="19" t="s">
        <v>22</v>
      </c>
      <c r="B106" s="119" t="s">
        <v>378</v>
      </c>
      <c r="C106" s="281">
        <f>+C90+C97+C103</f>
        <v>1855039012</v>
      </c>
    </row>
    <row r="107" spans="1:3" ht="12" customHeight="1" thickBot="1">
      <c r="A107" s="19" t="s">
        <v>23</v>
      </c>
      <c r="B107" s="119" t="s">
        <v>379</v>
      </c>
      <c r="C107" s="281">
        <f>+C108+C109+C110</f>
        <v>0</v>
      </c>
    </row>
    <row r="108" spans="1:3" ht="12" customHeight="1">
      <c r="A108" s="14" t="s">
        <v>96</v>
      </c>
      <c r="B108" s="8" t="s">
        <v>380</v>
      </c>
      <c r="C108" s="252"/>
    </row>
    <row r="109" spans="1:3" ht="12" customHeight="1">
      <c r="A109" s="14" t="s">
        <v>97</v>
      </c>
      <c r="B109" s="8" t="s">
        <v>381</v>
      </c>
      <c r="C109" s="252"/>
    </row>
    <row r="110" spans="1:3" ht="12" customHeight="1" thickBot="1">
      <c r="A110" s="12" t="s">
        <v>98</v>
      </c>
      <c r="B110" s="6" t="s">
        <v>382</v>
      </c>
      <c r="C110" s="252"/>
    </row>
    <row r="111" spans="1:3" ht="12" customHeight="1" thickBot="1">
      <c r="A111" s="19" t="s">
        <v>24</v>
      </c>
      <c r="B111" s="119" t="s">
        <v>439</v>
      </c>
      <c r="C111" s="281">
        <f>+C112+C113+C114+C115</f>
        <v>0</v>
      </c>
    </row>
    <row r="112" spans="1:3" ht="12" customHeight="1">
      <c r="A112" s="14" t="s">
        <v>99</v>
      </c>
      <c r="B112" s="8" t="s">
        <v>383</v>
      </c>
      <c r="C112" s="252"/>
    </row>
    <row r="113" spans="1:9" ht="12" customHeight="1">
      <c r="A113" s="14" t="s">
        <v>100</v>
      </c>
      <c r="B113" s="8" t="s">
        <v>384</v>
      </c>
      <c r="C113" s="252"/>
    </row>
    <row r="114" spans="1:9" ht="12" customHeight="1">
      <c r="A114" s="14" t="s">
        <v>286</v>
      </c>
      <c r="B114" s="8" t="s">
        <v>385</v>
      </c>
      <c r="C114" s="252"/>
    </row>
    <row r="115" spans="1:9" ht="12" customHeight="1" thickBot="1">
      <c r="A115" s="12" t="s">
        <v>287</v>
      </c>
      <c r="B115" s="6" t="s">
        <v>386</v>
      </c>
      <c r="C115" s="252"/>
    </row>
    <row r="116" spans="1:9" ht="12" customHeight="1" thickBot="1">
      <c r="A116" s="19" t="s">
        <v>25</v>
      </c>
      <c r="B116" s="119" t="s">
        <v>387</v>
      </c>
      <c r="C116" s="287">
        <f>+C117+C118+C119+C120</f>
        <v>0</v>
      </c>
    </row>
    <row r="117" spans="1:9" ht="12" customHeight="1">
      <c r="A117" s="14" t="s">
        <v>101</v>
      </c>
      <c r="B117" s="8" t="s">
        <v>388</v>
      </c>
      <c r="C117" s="252"/>
    </row>
    <row r="118" spans="1:9" ht="12" customHeight="1">
      <c r="A118" s="14" t="s">
        <v>102</v>
      </c>
      <c r="B118" s="8" t="s">
        <v>398</v>
      </c>
      <c r="C118" s="252"/>
    </row>
    <row r="119" spans="1:9" ht="12" customHeight="1">
      <c r="A119" s="14" t="s">
        <v>299</v>
      </c>
      <c r="B119" s="8" t="s">
        <v>389</v>
      </c>
      <c r="C119" s="252"/>
    </row>
    <row r="120" spans="1:9" ht="12" customHeight="1" thickBot="1">
      <c r="A120" s="12" t="s">
        <v>300</v>
      </c>
      <c r="B120" s="6" t="s">
        <v>390</v>
      </c>
      <c r="C120" s="252"/>
    </row>
    <row r="121" spans="1:9" ht="12" customHeight="1" thickBot="1">
      <c r="A121" s="19" t="s">
        <v>26</v>
      </c>
      <c r="B121" s="119" t="s">
        <v>391</v>
      </c>
      <c r="C121" s="290">
        <f>+C122+C123+C124+C125</f>
        <v>0</v>
      </c>
    </row>
    <row r="122" spans="1:9" ht="12" customHeight="1">
      <c r="A122" s="14" t="s">
        <v>163</v>
      </c>
      <c r="B122" s="8" t="s">
        <v>392</v>
      </c>
      <c r="C122" s="252"/>
    </row>
    <row r="123" spans="1:9" ht="12" customHeight="1">
      <c r="A123" s="14" t="s">
        <v>164</v>
      </c>
      <c r="B123" s="8" t="s">
        <v>393</v>
      </c>
      <c r="C123" s="252"/>
    </row>
    <row r="124" spans="1:9" ht="12" customHeight="1">
      <c r="A124" s="14" t="s">
        <v>217</v>
      </c>
      <c r="B124" s="8" t="s">
        <v>394</v>
      </c>
      <c r="C124" s="252"/>
    </row>
    <row r="125" spans="1:9" ht="12" customHeight="1" thickBot="1">
      <c r="A125" s="14" t="s">
        <v>302</v>
      </c>
      <c r="B125" s="8" t="s">
        <v>395</v>
      </c>
      <c r="C125" s="252"/>
    </row>
    <row r="126" spans="1:9" ht="15" customHeight="1" thickBot="1">
      <c r="A126" s="19" t="s">
        <v>27</v>
      </c>
      <c r="B126" s="119" t="s">
        <v>396</v>
      </c>
      <c r="C126" s="401">
        <f>+C107+C111+C116+C121</f>
        <v>0</v>
      </c>
      <c r="F126" s="402"/>
      <c r="G126" s="403"/>
      <c r="H126" s="403"/>
      <c r="I126" s="403"/>
    </row>
    <row r="127" spans="1:9" s="388" customFormat="1" ht="12.95" customHeight="1" thickBot="1">
      <c r="A127" s="279" t="s">
        <v>28</v>
      </c>
      <c r="B127" s="363" t="s">
        <v>397</v>
      </c>
      <c r="C127" s="401">
        <f>+C106+C126</f>
        <v>1855039012</v>
      </c>
      <c r="D127" s="658">
        <f>C84-C127</f>
        <v>0</v>
      </c>
    </row>
    <row r="128" spans="1:9" ht="7.5" customHeight="1"/>
    <row r="129" spans="1:4">
      <c r="A129" s="1111" t="s">
        <v>399</v>
      </c>
      <c r="B129" s="1111"/>
      <c r="C129" s="1111"/>
    </row>
    <row r="130" spans="1:4" ht="15" customHeight="1" thickBot="1">
      <c r="A130" s="1109" t="s">
        <v>136</v>
      </c>
      <c r="B130" s="1109"/>
      <c r="C130" s="291" t="s">
        <v>216</v>
      </c>
    </row>
    <row r="131" spans="1:4" ht="13.5" customHeight="1" thickBot="1">
      <c r="A131" s="19">
        <v>1</v>
      </c>
      <c r="B131" s="29" t="s">
        <v>400</v>
      </c>
      <c r="C131" s="281">
        <f>+C60-C106</f>
        <v>-12026624</v>
      </c>
      <c r="D131" s="404"/>
    </row>
    <row r="132" spans="1:4" ht="27.75" customHeight="1" thickBot="1">
      <c r="A132" s="19" t="s">
        <v>20</v>
      </c>
      <c r="B132" s="29" t="s">
        <v>401</v>
      </c>
      <c r="C132" s="281">
        <f>+C83-C126</f>
        <v>12026624</v>
      </c>
    </row>
  </sheetData>
  <mergeCells count="6">
    <mergeCell ref="A130:B130"/>
    <mergeCell ref="A1:C1"/>
    <mergeCell ref="A2:B2"/>
    <mergeCell ref="A86:C86"/>
    <mergeCell ref="A87:B87"/>
    <mergeCell ref="A129:C12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7" fitToHeight="2" orientation="portrait" r:id="rId1"/>
  <headerFooter alignWithMargins="0">
    <oddHeader>&amp;C&amp;"Times New Roman CE,Félkövér"&amp;12Dabas Önkormányzat
2017. ÉVI KÖLTSÉGVETÉS
KÖTELEZŐ FELADATAINAK MÉRLEGE &amp;R&amp;"Times New Roman CE,Félkövér dőlt"&amp;11 1.2. melléklet a 2/2017. (II.14.) önk.rendelethez</oddHeader>
  </headerFooter>
  <rowBreaks count="1" manualBreakCount="1">
    <brk id="85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58"/>
  <sheetViews>
    <sheetView workbookViewId="0">
      <selection activeCell="E5" sqref="E5"/>
    </sheetView>
  </sheetViews>
  <sheetFormatPr defaultRowHeight="12.75"/>
  <cols>
    <col min="1" max="1" width="13.83203125" style="230" customWidth="1"/>
    <col min="2" max="2" width="79.1640625" style="231" customWidth="1"/>
    <col min="3" max="3" width="25" style="231" customWidth="1"/>
    <col min="4" max="4" width="19.5" style="832" customWidth="1"/>
    <col min="5" max="5" width="18.6640625" style="832" customWidth="1"/>
    <col min="6" max="16384" width="9.33203125" style="231"/>
  </cols>
  <sheetData>
    <row r="1" spans="1:5" s="210" customFormat="1" ht="21" customHeight="1" thickBot="1">
      <c r="A1" s="209"/>
      <c r="B1" s="211"/>
      <c r="C1" s="427" t="s">
        <v>822</v>
      </c>
      <c r="D1" s="828"/>
      <c r="E1" s="828"/>
    </row>
    <row r="2" spans="1:5" s="428" customFormat="1" ht="25.5" customHeight="1">
      <c r="A2" s="379" t="s">
        <v>186</v>
      </c>
      <c r="B2" s="342" t="s">
        <v>514</v>
      </c>
      <c r="C2" s="357" t="s">
        <v>64</v>
      </c>
      <c r="D2" s="829"/>
      <c r="E2" s="829"/>
    </row>
    <row r="3" spans="1:5" s="428" customFormat="1" ht="24.75" thickBot="1">
      <c r="A3" s="420" t="s">
        <v>185</v>
      </c>
      <c r="B3" s="343" t="s">
        <v>446</v>
      </c>
      <c r="C3" s="358" t="s">
        <v>54</v>
      </c>
      <c r="D3" s="829"/>
      <c r="E3" s="829"/>
    </row>
    <row r="4" spans="1:5" s="429" customFormat="1" ht="15.95" customHeight="1" thickBot="1">
      <c r="A4" s="213"/>
      <c r="B4" s="213"/>
      <c r="D4" s="829"/>
      <c r="E4" s="839" t="s">
        <v>856</v>
      </c>
    </row>
    <row r="5" spans="1:5" ht="21.75" thickBot="1">
      <c r="A5" s="380" t="s">
        <v>187</v>
      </c>
      <c r="B5" s="215" t="s">
        <v>56</v>
      </c>
      <c r="C5" s="216" t="s">
        <v>57</v>
      </c>
      <c r="D5" s="830" t="s">
        <v>838</v>
      </c>
      <c r="E5" s="831" t="s">
        <v>834</v>
      </c>
    </row>
    <row r="6" spans="1:5" s="430" customFormat="1" ht="12.95" customHeight="1" thickBot="1">
      <c r="A6" s="196">
        <v>1</v>
      </c>
      <c r="B6" s="197">
        <v>2</v>
      </c>
      <c r="C6" s="738">
        <v>3</v>
      </c>
      <c r="D6" s="833">
        <v>4</v>
      </c>
      <c r="E6" s="834">
        <v>5</v>
      </c>
    </row>
    <row r="7" spans="1:5" s="430" customFormat="1" ht="15.95" customHeight="1" thickBot="1">
      <c r="A7" s="836"/>
      <c r="B7" s="836" t="s">
        <v>58</v>
      </c>
      <c r="C7" s="837"/>
      <c r="D7" s="838"/>
      <c r="E7" s="838"/>
    </row>
    <row r="8" spans="1:5" s="359" customFormat="1" ht="12" customHeight="1" thickBot="1">
      <c r="A8" s="196" t="s">
        <v>19</v>
      </c>
      <c r="B8" s="220" t="s">
        <v>447</v>
      </c>
      <c r="C8" s="301">
        <f>SUM(C9:C18)</f>
        <v>13300000</v>
      </c>
      <c r="D8" s="825">
        <f>SUM(D9:D18)</f>
        <v>13500000</v>
      </c>
      <c r="E8" s="873">
        <f>SUM(E9:E18)</f>
        <v>26800000</v>
      </c>
    </row>
    <row r="9" spans="1:5" s="359" customFormat="1" ht="12" customHeight="1">
      <c r="A9" s="421" t="s">
        <v>103</v>
      </c>
      <c r="B9" s="9" t="s">
        <v>275</v>
      </c>
      <c r="C9" s="348"/>
      <c r="D9" s="880"/>
      <c r="E9" s="869">
        <f>SUM(C9:D9)</f>
        <v>0</v>
      </c>
    </row>
    <row r="10" spans="1:5" s="359" customFormat="1" ht="12" customHeight="1">
      <c r="A10" s="422" t="s">
        <v>104</v>
      </c>
      <c r="B10" s="7" t="s">
        <v>276</v>
      </c>
      <c r="C10" s="299">
        <v>10470000</v>
      </c>
      <c r="D10" s="881"/>
      <c r="E10" s="869">
        <f t="shared" ref="E10:E18" si="0">SUM(C10:D10)</f>
        <v>10470000</v>
      </c>
    </row>
    <row r="11" spans="1:5" s="359" customFormat="1" ht="12" customHeight="1">
      <c r="A11" s="422" t="s">
        <v>105</v>
      </c>
      <c r="B11" s="7" t="s">
        <v>277</v>
      </c>
      <c r="C11" s="299"/>
      <c r="D11" s="882">
        <v>10000000</v>
      </c>
      <c r="E11" s="869">
        <f t="shared" si="0"/>
        <v>10000000</v>
      </c>
    </row>
    <row r="12" spans="1:5" s="359" customFormat="1" ht="12" customHeight="1">
      <c r="A12" s="422" t="s">
        <v>106</v>
      </c>
      <c r="B12" s="7" t="s">
        <v>278</v>
      </c>
      <c r="C12" s="299">
        <v>0</v>
      </c>
      <c r="D12" s="881"/>
      <c r="E12" s="869">
        <f t="shared" si="0"/>
        <v>0</v>
      </c>
    </row>
    <row r="13" spans="1:5" s="359" customFormat="1" ht="12" customHeight="1">
      <c r="A13" s="422" t="s">
        <v>131</v>
      </c>
      <c r="B13" s="7" t="s">
        <v>279</v>
      </c>
      <c r="C13" s="299"/>
      <c r="D13" s="881"/>
      <c r="E13" s="869">
        <f t="shared" si="0"/>
        <v>0</v>
      </c>
    </row>
    <row r="14" spans="1:5" s="359" customFormat="1" ht="12" customHeight="1">
      <c r="A14" s="422" t="s">
        <v>107</v>
      </c>
      <c r="B14" s="7" t="s">
        <v>448</v>
      </c>
      <c r="C14" s="299">
        <v>2830000</v>
      </c>
      <c r="D14" s="882">
        <v>3500000</v>
      </c>
      <c r="E14" s="869">
        <f t="shared" si="0"/>
        <v>6330000</v>
      </c>
    </row>
    <row r="15" spans="1:5" s="359" customFormat="1" ht="12" customHeight="1">
      <c r="A15" s="422" t="s">
        <v>108</v>
      </c>
      <c r="B15" s="6" t="s">
        <v>449</v>
      </c>
      <c r="C15" s="299"/>
      <c r="D15" s="881"/>
      <c r="E15" s="869">
        <f t="shared" si="0"/>
        <v>0</v>
      </c>
    </row>
    <row r="16" spans="1:5" s="359" customFormat="1" ht="12" customHeight="1">
      <c r="A16" s="422" t="s">
        <v>118</v>
      </c>
      <c r="B16" s="7" t="s">
        <v>282</v>
      </c>
      <c r="C16" s="349"/>
      <c r="D16" s="881"/>
      <c r="E16" s="869">
        <f t="shared" si="0"/>
        <v>0</v>
      </c>
    </row>
    <row r="17" spans="1:5" s="431" customFormat="1" ht="12" customHeight="1">
      <c r="A17" s="422" t="s">
        <v>119</v>
      </c>
      <c r="B17" s="7" t="s">
        <v>283</v>
      </c>
      <c r="C17" s="299"/>
      <c r="D17" s="882"/>
      <c r="E17" s="869">
        <f t="shared" si="0"/>
        <v>0</v>
      </c>
    </row>
    <row r="18" spans="1:5" s="431" customFormat="1" ht="12" customHeight="1" thickBot="1">
      <c r="A18" s="422" t="s">
        <v>120</v>
      </c>
      <c r="B18" s="6" t="s">
        <v>284</v>
      </c>
      <c r="C18" s="300"/>
      <c r="D18" s="882"/>
      <c r="E18" s="869">
        <f t="shared" si="0"/>
        <v>0</v>
      </c>
    </row>
    <row r="19" spans="1:5" s="359" customFormat="1" ht="12" customHeight="1" thickBot="1">
      <c r="A19" s="196" t="s">
        <v>20</v>
      </c>
      <c r="B19" s="220" t="s">
        <v>450</v>
      </c>
      <c r="C19" s="301">
        <f>SUM(C20:C22)</f>
        <v>0</v>
      </c>
      <c r="D19" s="825">
        <f>SUM(D20:D22)</f>
        <v>0</v>
      </c>
      <c r="E19" s="873">
        <f>SUM(E20:E22)</f>
        <v>0</v>
      </c>
    </row>
    <row r="20" spans="1:5" s="431" customFormat="1" ht="12" customHeight="1">
      <c r="A20" s="422" t="s">
        <v>109</v>
      </c>
      <c r="B20" s="8" t="s">
        <v>250</v>
      </c>
      <c r="C20" s="299"/>
      <c r="D20" s="882"/>
      <c r="E20" s="870">
        <f>SUM(C20:D20)</f>
        <v>0</v>
      </c>
    </row>
    <row r="21" spans="1:5" s="431" customFormat="1" ht="12" customHeight="1">
      <c r="A21" s="422" t="s">
        <v>110</v>
      </c>
      <c r="B21" s="7" t="s">
        <v>451</v>
      </c>
      <c r="C21" s="299"/>
      <c r="D21" s="882"/>
      <c r="E21" s="870">
        <f>SUM(C21:D21)</f>
        <v>0</v>
      </c>
    </row>
    <row r="22" spans="1:5" s="431" customFormat="1" ht="12" customHeight="1">
      <c r="A22" s="422" t="s">
        <v>111</v>
      </c>
      <c r="B22" s="7" t="s">
        <v>452</v>
      </c>
      <c r="C22" s="299"/>
      <c r="D22" s="882"/>
      <c r="E22" s="870">
        <f>SUM(C22:D22)</f>
        <v>0</v>
      </c>
    </row>
    <row r="23" spans="1:5" s="431" customFormat="1" ht="12" customHeight="1" thickBot="1">
      <c r="A23" s="422" t="s">
        <v>112</v>
      </c>
      <c r="B23" s="7" t="s">
        <v>2</v>
      </c>
      <c r="C23" s="299"/>
      <c r="D23" s="882"/>
      <c r="E23" s="870">
        <f>SUM(C23:D23)</f>
        <v>0</v>
      </c>
    </row>
    <row r="24" spans="1:5" s="431" customFormat="1" ht="12" customHeight="1" thickBot="1">
      <c r="A24" s="204" t="s">
        <v>21</v>
      </c>
      <c r="B24" s="119" t="s">
        <v>156</v>
      </c>
      <c r="C24" s="328"/>
      <c r="D24" s="824"/>
      <c r="E24" s="874"/>
    </row>
    <row r="25" spans="1:5" s="431" customFormat="1" ht="12" customHeight="1" thickBot="1">
      <c r="A25" s="204" t="s">
        <v>22</v>
      </c>
      <c r="B25" s="119" t="s">
        <v>453</v>
      </c>
      <c r="C25" s="301">
        <f>+C26+C27</f>
        <v>0</v>
      </c>
      <c r="D25" s="825">
        <f>+D26+D27</f>
        <v>0</v>
      </c>
      <c r="E25" s="873">
        <f>+E26+E27</f>
        <v>0</v>
      </c>
    </row>
    <row r="26" spans="1:5" s="431" customFormat="1" ht="12" customHeight="1">
      <c r="A26" s="423" t="s">
        <v>260</v>
      </c>
      <c r="B26" s="424" t="s">
        <v>451</v>
      </c>
      <c r="C26" s="72"/>
      <c r="D26" s="882"/>
      <c r="E26" s="870">
        <f>SUM(C26:D26)</f>
        <v>0</v>
      </c>
    </row>
    <row r="27" spans="1:5" s="431" customFormat="1" ht="12" customHeight="1">
      <c r="A27" s="423" t="s">
        <v>263</v>
      </c>
      <c r="B27" s="425" t="s">
        <v>454</v>
      </c>
      <c r="C27" s="302"/>
      <c r="D27" s="882"/>
      <c r="E27" s="870">
        <f>SUM(C27:D27)</f>
        <v>0</v>
      </c>
    </row>
    <row r="28" spans="1:5" s="431" customFormat="1" ht="12" customHeight="1" thickBot="1">
      <c r="A28" s="422" t="s">
        <v>264</v>
      </c>
      <c r="B28" s="426" t="s">
        <v>455</v>
      </c>
      <c r="C28" s="79"/>
      <c r="D28" s="882"/>
      <c r="E28" s="870">
        <f>SUM(C28:D28)</f>
        <v>0</v>
      </c>
    </row>
    <row r="29" spans="1:5" s="431" customFormat="1" ht="12" customHeight="1" thickBot="1">
      <c r="A29" s="204" t="s">
        <v>23</v>
      </c>
      <c r="B29" s="119" t="s">
        <v>456</v>
      </c>
      <c r="C29" s="301">
        <f>+C30+C31+C32</f>
        <v>0</v>
      </c>
      <c r="D29" s="825">
        <f>+D30+D31+D32</f>
        <v>0</v>
      </c>
      <c r="E29" s="873">
        <f>+E30+E31+E32</f>
        <v>0</v>
      </c>
    </row>
    <row r="30" spans="1:5" s="431" customFormat="1" ht="12" customHeight="1">
      <c r="A30" s="423" t="s">
        <v>96</v>
      </c>
      <c r="B30" s="424" t="s">
        <v>289</v>
      </c>
      <c r="C30" s="72"/>
      <c r="D30" s="882"/>
      <c r="E30" s="870">
        <f>SUM(C30:D30)</f>
        <v>0</v>
      </c>
    </row>
    <row r="31" spans="1:5" s="431" customFormat="1" ht="12" customHeight="1">
      <c r="A31" s="423" t="s">
        <v>97</v>
      </c>
      <c r="B31" s="425" t="s">
        <v>290</v>
      </c>
      <c r="C31" s="302"/>
      <c r="D31" s="882"/>
      <c r="E31" s="870">
        <f>SUM(C31:D31)</f>
        <v>0</v>
      </c>
    </row>
    <row r="32" spans="1:5" s="431" customFormat="1" ht="12" customHeight="1" thickBot="1">
      <c r="A32" s="422" t="s">
        <v>98</v>
      </c>
      <c r="B32" s="135" t="s">
        <v>291</v>
      </c>
      <c r="C32" s="79"/>
      <c r="D32" s="882"/>
      <c r="E32" s="969">
        <f>SUM(C32:D32)</f>
        <v>0</v>
      </c>
    </row>
    <row r="33" spans="1:5" s="359" customFormat="1" ht="12" customHeight="1" thickBot="1">
      <c r="A33" s="204" t="s">
        <v>24</v>
      </c>
      <c r="B33" s="119" t="s">
        <v>404</v>
      </c>
      <c r="C33" s="328"/>
      <c r="D33" s="824"/>
      <c r="E33" s="970">
        <f>SUM(C33:D33)</f>
        <v>0</v>
      </c>
    </row>
    <row r="34" spans="1:5" s="359" customFormat="1" ht="12" customHeight="1" thickBot="1">
      <c r="A34" s="204" t="s">
        <v>25</v>
      </c>
      <c r="B34" s="119" t="s">
        <v>457</v>
      </c>
      <c r="C34" s="350"/>
      <c r="D34" s="899"/>
      <c r="E34" s="971">
        <f>SUM(C34:D34)</f>
        <v>0</v>
      </c>
    </row>
    <row r="35" spans="1:5" s="359" customFormat="1" ht="12" customHeight="1" thickBot="1">
      <c r="A35" s="196" t="s">
        <v>26</v>
      </c>
      <c r="B35" s="119" t="s">
        <v>458</v>
      </c>
      <c r="C35" s="351">
        <f>+C8+C19+C24+C25+C29+C33+C34</f>
        <v>13300000</v>
      </c>
      <c r="D35" s="825">
        <f>+D8+D19+D24+D25+D29+D33+D34</f>
        <v>13500000</v>
      </c>
      <c r="E35" s="900">
        <f>+E8+E19+E24+E25+E29+E33+E34</f>
        <v>26800000</v>
      </c>
    </row>
    <row r="36" spans="1:5" s="359" customFormat="1" ht="11.25" customHeight="1" thickBot="1">
      <c r="A36" s="221" t="s">
        <v>27</v>
      </c>
      <c r="B36" s="119" t="s">
        <v>459</v>
      </c>
      <c r="C36" s="351">
        <f>+C37+C38+C39</f>
        <v>206103224</v>
      </c>
      <c r="D36" s="825">
        <f>+D37+D38+D39</f>
        <v>28534903</v>
      </c>
      <c r="E36" s="972">
        <f>+E37+E38+E39</f>
        <v>234638127</v>
      </c>
    </row>
    <row r="37" spans="1:5" s="359" customFormat="1" ht="12" customHeight="1">
      <c r="A37" s="423" t="s">
        <v>460</v>
      </c>
      <c r="B37" s="424" t="s">
        <v>225</v>
      </c>
      <c r="C37" s="72"/>
      <c r="D37" s="882">
        <v>27955433</v>
      </c>
      <c r="E37" s="869">
        <f>SUM(C37:D37)</f>
        <v>27955433</v>
      </c>
    </row>
    <row r="38" spans="1:5" s="359" customFormat="1" ht="12" customHeight="1">
      <c r="A38" s="423" t="s">
        <v>461</v>
      </c>
      <c r="B38" s="425" t="s">
        <v>3</v>
      </c>
      <c r="C38" s="302"/>
      <c r="D38" s="881"/>
      <c r="E38" s="870">
        <f>SUM(C38:D38)</f>
        <v>0</v>
      </c>
    </row>
    <row r="39" spans="1:5" s="431" customFormat="1" ht="12" customHeight="1" thickBot="1">
      <c r="A39" s="422" t="s">
        <v>462</v>
      </c>
      <c r="B39" s="135" t="s">
        <v>463</v>
      </c>
      <c r="C39" s="79">
        <v>206103224</v>
      </c>
      <c r="D39" s="882">
        <v>579470</v>
      </c>
      <c r="E39" s="870">
        <f>SUM(C39:D39)</f>
        <v>206682694</v>
      </c>
    </row>
    <row r="40" spans="1:5" s="431" customFormat="1" ht="15" customHeight="1" thickBot="1">
      <c r="A40" s="221" t="s">
        <v>28</v>
      </c>
      <c r="B40" s="222" t="s">
        <v>464</v>
      </c>
      <c r="C40" s="354">
        <f>+C35+C36</f>
        <v>219403224</v>
      </c>
      <c r="D40" s="750">
        <f>+D35+D36</f>
        <v>42034903</v>
      </c>
      <c r="E40" s="875">
        <f>+E35+E36</f>
        <v>261438127</v>
      </c>
    </row>
    <row r="41" spans="1:5" s="431" customFormat="1" ht="15" customHeight="1">
      <c r="A41" s="223"/>
      <c r="B41" s="224"/>
      <c r="C41" s="352"/>
      <c r="D41" s="832"/>
      <c r="E41" s="871"/>
    </row>
    <row r="42" spans="1:5" ht="13.5" thickBot="1">
      <c r="A42" s="225"/>
      <c r="B42" s="226"/>
      <c r="C42" s="353"/>
      <c r="E42" s="871"/>
    </row>
    <row r="43" spans="1:5" s="430" customFormat="1" ht="16.5" customHeight="1" thickBot="1">
      <c r="A43" s="227"/>
      <c r="B43" s="228" t="s">
        <v>60</v>
      </c>
      <c r="C43" s="750"/>
      <c r="D43" s="865"/>
      <c r="E43" s="872"/>
    </row>
    <row r="44" spans="1:5" s="432" customFormat="1" ht="12" customHeight="1" thickBot="1">
      <c r="A44" s="864" t="s">
        <v>19</v>
      </c>
      <c r="B44" s="681" t="s">
        <v>465</v>
      </c>
      <c r="C44" s="887">
        <f>SUM(C45:C49)</f>
        <v>213403224</v>
      </c>
      <c r="D44" s="863">
        <f>SUM(D45:D49)</f>
        <v>42034903</v>
      </c>
      <c r="E44" s="973">
        <f>SUM(E45:E49)</f>
        <v>255438127</v>
      </c>
    </row>
    <row r="45" spans="1:5" ht="12" customHeight="1">
      <c r="A45" s="422" t="s">
        <v>103</v>
      </c>
      <c r="B45" s="8" t="s">
        <v>49</v>
      </c>
      <c r="C45" s="72">
        <v>126884610</v>
      </c>
      <c r="D45" s="882">
        <v>10470000</v>
      </c>
      <c r="E45" s="870">
        <f>SUM(C45:D45)</f>
        <v>137354610</v>
      </c>
    </row>
    <row r="46" spans="1:5" ht="12" customHeight="1">
      <c r="A46" s="422" t="s">
        <v>104</v>
      </c>
      <c r="B46" s="7" t="s">
        <v>165</v>
      </c>
      <c r="C46" s="75">
        <v>27914614</v>
      </c>
      <c r="D46" s="882">
        <v>2309470</v>
      </c>
      <c r="E46" s="870">
        <f>SUM(C46:D46)</f>
        <v>30224084</v>
      </c>
    </row>
    <row r="47" spans="1:5" ht="12" customHeight="1">
      <c r="A47" s="422" t="s">
        <v>105</v>
      </c>
      <c r="B47" s="7" t="s">
        <v>129</v>
      </c>
      <c r="C47" s="75">
        <v>58604000</v>
      </c>
      <c r="D47" s="882">
        <v>29225383</v>
      </c>
      <c r="E47" s="870">
        <f>SUM(C47:D47)</f>
        <v>87829383</v>
      </c>
    </row>
    <row r="48" spans="1:5" ht="12" customHeight="1">
      <c r="A48" s="422" t="s">
        <v>106</v>
      </c>
      <c r="B48" s="7" t="s">
        <v>166</v>
      </c>
      <c r="C48" s="75"/>
      <c r="D48" s="882"/>
      <c r="E48" s="870">
        <f>SUM(C48:D48)</f>
        <v>0</v>
      </c>
    </row>
    <row r="49" spans="1:5" ht="12" customHeight="1" thickBot="1">
      <c r="A49" s="422" t="s">
        <v>131</v>
      </c>
      <c r="B49" s="7" t="s">
        <v>167</v>
      </c>
      <c r="C49" s="75"/>
      <c r="D49" s="882">
        <v>30050</v>
      </c>
      <c r="E49" s="870">
        <f>SUM(C49:D49)</f>
        <v>30050</v>
      </c>
    </row>
    <row r="50" spans="1:5" ht="12" customHeight="1" thickBot="1">
      <c r="A50" s="204" t="s">
        <v>20</v>
      </c>
      <c r="B50" s="119" t="s">
        <v>466</v>
      </c>
      <c r="C50" s="301">
        <f>SUM(C51:C53)</f>
        <v>6000000</v>
      </c>
      <c r="D50" s="825">
        <f>SUM(D51:D53)</f>
        <v>0</v>
      </c>
      <c r="E50" s="873">
        <f>SUM(E51:E53)</f>
        <v>6000000</v>
      </c>
    </row>
    <row r="51" spans="1:5" s="432" customFormat="1" ht="12" customHeight="1">
      <c r="A51" s="422" t="s">
        <v>109</v>
      </c>
      <c r="B51" s="8" t="s">
        <v>215</v>
      </c>
      <c r="C51" s="72">
        <v>6000000</v>
      </c>
      <c r="D51" s="881"/>
      <c r="E51" s="870">
        <f>SUM(C51:D51)</f>
        <v>6000000</v>
      </c>
    </row>
    <row r="52" spans="1:5" ht="12" customHeight="1">
      <c r="A52" s="422" t="s">
        <v>110</v>
      </c>
      <c r="B52" s="7" t="s">
        <v>169</v>
      </c>
      <c r="C52" s="75"/>
      <c r="D52" s="882"/>
      <c r="E52" s="870">
        <f>SUM(C52:D52)</f>
        <v>0</v>
      </c>
    </row>
    <row r="53" spans="1:5" ht="12" customHeight="1">
      <c r="A53" s="422" t="s">
        <v>111</v>
      </c>
      <c r="B53" s="7" t="s">
        <v>61</v>
      </c>
      <c r="C53" s="75"/>
      <c r="D53" s="882"/>
      <c r="E53" s="870">
        <f>SUM(C53:D53)</f>
        <v>0</v>
      </c>
    </row>
    <row r="54" spans="1:5" ht="12" customHeight="1" thickBot="1">
      <c r="A54" s="422" t="s">
        <v>112</v>
      </c>
      <c r="B54" s="7" t="s">
        <v>4</v>
      </c>
      <c r="C54" s="75"/>
      <c r="D54" s="882"/>
      <c r="E54" s="870">
        <f>SUM(C54:D54)</f>
        <v>0</v>
      </c>
    </row>
    <row r="55" spans="1:5" ht="15" customHeight="1" thickBot="1">
      <c r="A55" s="891" t="s">
        <v>21</v>
      </c>
      <c r="B55" s="892" t="s">
        <v>467</v>
      </c>
      <c r="C55" s="893">
        <f>+C44+C50</f>
        <v>219403224</v>
      </c>
      <c r="D55" s="894">
        <f>+D44+D50</f>
        <v>42034903</v>
      </c>
      <c r="E55" s="974">
        <f>+E44+E50</f>
        <v>261438127</v>
      </c>
    </row>
    <row r="56" spans="1:5" ht="13.5" thickBot="1">
      <c r="A56" s="888"/>
      <c r="B56" s="889"/>
      <c r="C56" s="897"/>
      <c r="D56" s="890"/>
      <c r="E56" s="975"/>
    </row>
    <row r="57" spans="1:5" ht="15" customHeight="1" thickBot="1">
      <c r="A57" s="754" t="s">
        <v>188</v>
      </c>
      <c r="B57" s="755"/>
      <c r="C57" s="895">
        <v>45</v>
      </c>
      <c r="D57" s="896"/>
      <c r="E57" s="976">
        <f>SUM(C57:D57)</f>
        <v>45</v>
      </c>
    </row>
    <row r="58" spans="1:5" ht="14.25" customHeight="1" thickBot="1">
      <c r="A58" s="232" t="s">
        <v>189</v>
      </c>
      <c r="B58" s="233"/>
      <c r="C58" s="116"/>
      <c r="D58" s="886"/>
      <c r="E58" s="977">
        <f>SUM(C58:D58)</f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J15"/>
  <sheetViews>
    <sheetView topLeftCell="A5" workbookViewId="0">
      <selection activeCell="J6" sqref="J6"/>
    </sheetView>
  </sheetViews>
  <sheetFormatPr defaultRowHeight="12.75"/>
  <cols>
    <col min="1" max="1" width="42.6640625" customWidth="1"/>
    <col min="2" max="2" width="15.5" customWidth="1"/>
    <col min="3" max="3" width="16" customWidth="1"/>
    <col min="4" max="4" width="15.5" customWidth="1"/>
    <col min="5" max="5" width="15.6640625" customWidth="1"/>
    <col min="6" max="6" width="13.1640625" customWidth="1"/>
    <col min="7" max="7" width="11.1640625" customWidth="1"/>
    <col min="8" max="8" width="16.83203125" customWidth="1"/>
    <col min="9" max="9" width="13" customWidth="1"/>
    <col min="10" max="10" width="19.6640625" customWidth="1"/>
  </cols>
  <sheetData>
    <row r="2" spans="1:10">
      <c r="H2" s="1143" t="s">
        <v>631</v>
      </c>
      <c r="I2" s="1143"/>
      <c r="J2" s="1143"/>
    </row>
    <row r="4" spans="1:10" ht="18">
      <c r="A4" s="1141" t="s">
        <v>621</v>
      </c>
      <c r="B4" s="1141"/>
      <c r="C4" s="1141"/>
      <c r="D4" s="1141"/>
      <c r="E4" s="1141"/>
      <c r="F4" s="1141"/>
      <c r="G4" s="1141"/>
      <c r="H4" s="1141"/>
      <c r="I4" s="1141"/>
      <c r="J4" s="1141"/>
    </row>
    <row r="5" spans="1:10" ht="16.5" thickBot="1">
      <c r="A5" s="459"/>
      <c r="B5" s="459"/>
      <c r="C5" s="459"/>
      <c r="D5" s="459"/>
      <c r="E5" s="459"/>
      <c r="F5" s="459"/>
      <c r="G5" s="459"/>
      <c r="H5" s="459"/>
      <c r="J5" t="s">
        <v>739</v>
      </c>
    </row>
    <row r="6" spans="1:10" ht="64.5" customHeight="1">
      <c r="A6" s="461" t="s">
        <v>622</v>
      </c>
      <c r="B6" s="461" t="s">
        <v>58</v>
      </c>
      <c r="C6" s="460" t="s">
        <v>67</v>
      </c>
      <c r="D6" s="460" t="s">
        <v>534</v>
      </c>
      <c r="E6" s="460" t="s">
        <v>535</v>
      </c>
      <c r="F6" s="460" t="s">
        <v>623</v>
      </c>
      <c r="G6" s="460" t="s">
        <v>537</v>
      </c>
      <c r="H6" s="509" t="s">
        <v>538</v>
      </c>
      <c r="I6" s="510" t="s">
        <v>215</v>
      </c>
      <c r="J6" s="511" t="s">
        <v>624</v>
      </c>
    </row>
    <row r="7" spans="1:10" ht="47.25">
      <c r="A7" s="512" t="s">
        <v>625</v>
      </c>
      <c r="B7" s="513"/>
      <c r="C7" s="512"/>
      <c r="D7" s="512"/>
      <c r="E7" s="512"/>
      <c r="F7" s="512"/>
      <c r="G7" s="512"/>
      <c r="H7" s="514"/>
      <c r="I7" s="515"/>
      <c r="J7" s="516"/>
    </row>
    <row r="8" spans="1:10" ht="30.75">
      <c r="A8" s="517" t="s">
        <v>626</v>
      </c>
      <c r="B8" s="518">
        <v>13300000</v>
      </c>
      <c r="C8" s="518">
        <f>118933410+1574200</f>
        <v>120507610</v>
      </c>
      <c r="D8" s="518">
        <f>26165350+346324</f>
        <v>26511674</v>
      </c>
      <c r="E8" s="518">
        <v>55444000</v>
      </c>
      <c r="F8" s="518"/>
      <c r="G8" s="518"/>
      <c r="H8" s="519">
        <f>SUM(C8:G8)</f>
        <v>202463284</v>
      </c>
      <c r="I8" s="520">
        <v>6000000</v>
      </c>
      <c r="J8" s="521">
        <f t="shared" ref="J8:J13" si="0">H8+I8</f>
        <v>208463284</v>
      </c>
    </row>
    <row r="9" spans="1:10" ht="31.5">
      <c r="A9" s="522" t="s">
        <v>627</v>
      </c>
      <c r="B9" s="518"/>
      <c r="C9" s="518"/>
      <c r="D9" s="518"/>
      <c r="E9" s="518"/>
      <c r="F9" s="518"/>
      <c r="G9" s="518"/>
      <c r="H9" s="519"/>
      <c r="I9" s="515"/>
      <c r="J9" s="521">
        <f t="shared" si="0"/>
        <v>0</v>
      </c>
    </row>
    <row r="10" spans="1:10" ht="30.75">
      <c r="A10" s="517" t="s">
        <v>628</v>
      </c>
      <c r="B10" s="518">
        <v>0</v>
      </c>
      <c r="C10" s="518">
        <v>6377000</v>
      </c>
      <c r="D10" s="518">
        <v>1402940</v>
      </c>
      <c r="E10" s="518">
        <v>1810000</v>
      </c>
      <c r="F10" s="518"/>
      <c r="G10" s="518"/>
      <c r="H10" s="519">
        <f>SUM(C10:G10)</f>
        <v>9589940</v>
      </c>
      <c r="I10" s="515"/>
      <c r="J10" s="521">
        <f t="shared" si="0"/>
        <v>9589940</v>
      </c>
    </row>
    <row r="11" spans="1:10" ht="15.75">
      <c r="A11" s="523" t="s">
        <v>557</v>
      </c>
      <c r="B11" s="518"/>
      <c r="C11" s="518"/>
      <c r="D11" s="518"/>
      <c r="E11" s="518"/>
      <c r="F11" s="518"/>
      <c r="G11" s="518"/>
      <c r="H11" s="519"/>
      <c r="I11" s="515"/>
      <c r="J11" s="521">
        <f t="shared" si="0"/>
        <v>0</v>
      </c>
    </row>
    <row r="12" spans="1:10" ht="31.5" thickBot="1">
      <c r="A12" s="517" t="s">
        <v>629</v>
      </c>
      <c r="B12" s="518">
        <v>0</v>
      </c>
      <c r="C12" s="518">
        <v>0</v>
      </c>
      <c r="D12" s="518">
        <v>0</v>
      </c>
      <c r="E12" s="518">
        <v>1350000</v>
      </c>
      <c r="F12" s="518"/>
      <c r="G12" s="518"/>
      <c r="H12" s="519">
        <f>SUM(C12:G12)</f>
        <v>1350000</v>
      </c>
      <c r="I12" s="515"/>
      <c r="J12" s="521">
        <f t="shared" si="0"/>
        <v>1350000</v>
      </c>
    </row>
    <row r="13" spans="1:10" ht="16.5" thickBot="1">
      <c r="A13" s="524"/>
      <c r="B13" s="525">
        <f t="shared" ref="B13:I13" si="1">SUM(B8:B12)</f>
        <v>13300000</v>
      </c>
      <c r="C13" s="525">
        <f t="shared" si="1"/>
        <v>126884610</v>
      </c>
      <c r="D13" s="525">
        <f t="shared" si="1"/>
        <v>27914614</v>
      </c>
      <c r="E13" s="525">
        <f t="shared" si="1"/>
        <v>58604000</v>
      </c>
      <c r="F13" s="525">
        <f t="shared" si="1"/>
        <v>0</v>
      </c>
      <c r="G13" s="525">
        <f t="shared" si="1"/>
        <v>0</v>
      </c>
      <c r="H13" s="526">
        <f t="shared" si="1"/>
        <v>213403224</v>
      </c>
      <c r="I13" s="526">
        <f t="shared" si="1"/>
        <v>6000000</v>
      </c>
      <c r="J13" s="527">
        <f t="shared" si="0"/>
        <v>219403224</v>
      </c>
    </row>
    <row r="15" spans="1:10" ht="15">
      <c r="A15" s="528" t="s">
        <v>630</v>
      </c>
      <c r="B15" s="529"/>
    </row>
  </sheetData>
  <mergeCells count="2">
    <mergeCell ref="A4:J4"/>
    <mergeCell ref="H2:J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3" sqref="D3:E3"/>
    </sheetView>
  </sheetViews>
  <sheetFormatPr defaultRowHeight="12.75"/>
  <cols>
    <col min="1" max="1" width="13.83203125" style="230" customWidth="1"/>
    <col min="2" max="2" width="79.1640625" style="231" customWidth="1"/>
    <col min="3" max="3" width="25" style="231" customWidth="1"/>
    <col min="4" max="16384" width="9.33203125" style="231"/>
  </cols>
  <sheetData>
    <row r="1" spans="1:3" s="210" customFormat="1" ht="21" customHeight="1" thickBot="1">
      <c r="A1" s="209"/>
      <c r="B1" s="211"/>
      <c r="C1" s="427" t="s">
        <v>808</v>
      </c>
    </row>
    <row r="2" spans="1:3" s="428" customFormat="1" ht="25.5" customHeight="1">
      <c r="A2" s="379" t="s">
        <v>186</v>
      </c>
      <c r="B2" s="342" t="s">
        <v>515</v>
      </c>
      <c r="C2" s="357" t="s">
        <v>64</v>
      </c>
    </row>
    <row r="3" spans="1:3" s="428" customFormat="1" ht="24.75" thickBot="1">
      <c r="A3" s="420" t="s">
        <v>185</v>
      </c>
      <c r="B3" s="343" t="s">
        <v>525</v>
      </c>
      <c r="C3" s="358" t="s">
        <v>64</v>
      </c>
    </row>
    <row r="4" spans="1:3" s="429" customFormat="1" ht="15.95" customHeight="1" thickBot="1">
      <c r="A4" s="213"/>
      <c r="B4" s="213"/>
      <c r="C4" s="214" t="s">
        <v>797</v>
      </c>
    </row>
    <row r="5" spans="1:3" ht="13.5" thickBot="1">
      <c r="A5" s="380" t="s">
        <v>187</v>
      </c>
      <c r="B5" s="215" t="s">
        <v>56</v>
      </c>
      <c r="C5" s="216" t="s">
        <v>57</v>
      </c>
    </row>
    <row r="6" spans="1:3" s="430" customFormat="1" ht="12.95" customHeight="1" thickBot="1">
      <c r="A6" s="196">
        <v>1</v>
      </c>
      <c r="B6" s="197">
        <v>2</v>
      </c>
      <c r="C6" s="198">
        <v>3</v>
      </c>
    </row>
    <row r="7" spans="1:3" s="430" customFormat="1" ht="15.95" customHeight="1" thickBot="1">
      <c r="A7" s="217"/>
      <c r="B7" s="218" t="s">
        <v>58</v>
      </c>
      <c r="C7" s="219"/>
    </row>
    <row r="8" spans="1:3" s="359" customFormat="1" ht="12" customHeight="1" thickBot="1">
      <c r="A8" s="196" t="s">
        <v>19</v>
      </c>
      <c r="B8" s="220" t="s">
        <v>447</v>
      </c>
      <c r="C8" s="301">
        <f>SUM(C9:C18)</f>
        <v>13300000</v>
      </c>
    </row>
    <row r="9" spans="1:3" s="359" customFormat="1" ht="12" customHeight="1">
      <c r="A9" s="421" t="s">
        <v>103</v>
      </c>
      <c r="B9" s="9" t="s">
        <v>275</v>
      </c>
      <c r="C9" s="348"/>
    </row>
    <row r="10" spans="1:3" s="359" customFormat="1" ht="12" customHeight="1">
      <c r="A10" s="422" t="s">
        <v>104</v>
      </c>
      <c r="B10" s="7" t="s">
        <v>276</v>
      </c>
      <c r="C10" s="299">
        <v>10470000</v>
      </c>
    </row>
    <row r="11" spans="1:3" s="359" customFormat="1" ht="12" customHeight="1">
      <c r="A11" s="422" t="s">
        <v>105</v>
      </c>
      <c r="B11" s="7" t="s">
        <v>277</v>
      </c>
      <c r="C11" s="299"/>
    </row>
    <row r="12" spans="1:3" s="359" customFormat="1" ht="12" customHeight="1">
      <c r="A12" s="422" t="s">
        <v>106</v>
      </c>
      <c r="B12" s="7" t="s">
        <v>278</v>
      </c>
      <c r="C12" s="299">
        <v>0</v>
      </c>
    </row>
    <row r="13" spans="1:3" s="359" customFormat="1" ht="12" customHeight="1">
      <c r="A13" s="422" t="s">
        <v>131</v>
      </c>
      <c r="B13" s="7" t="s">
        <v>279</v>
      </c>
      <c r="C13" s="299"/>
    </row>
    <row r="14" spans="1:3" s="359" customFormat="1" ht="12" customHeight="1">
      <c r="A14" s="422" t="s">
        <v>107</v>
      </c>
      <c r="B14" s="7" t="s">
        <v>448</v>
      </c>
      <c r="C14" s="299">
        <v>2830000</v>
      </c>
    </row>
    <row r="15" spans="1:3" s="359" customFormat="1" ht="12" customHeight="1">
      <c r="A15" s="422" t="s">
        <v>108</v>
      </c>
      <c r="B15" s="6" t="s">
        <v>449</v>
      </c>
      <c r="C15" s="299"/>
    </row>
    <row r="16" spans="1:3" s="359" customFormat="1" ht="12" customHeight="1">
      <c r="A16" s="422" t="s">
        <v>118</v>
      </c>
      <c r="B16" s="7" t="s">
        <v>282</v>
      </c>
      <c r="C16" s="349"/>
    </row>
    <row r="17" spans="1:3" s="431" customFormat="1" ht="12" customHeight="1">
      <c r="A17" s="422" t="s">
        <v>119</v>
      </c>
      <c r="B17" s="7" t="s">
        <v>283</v>
      </c>
      <c r="C17" s="299"/>
    </row>
    <row r="18" spans="1:3" s="431" customFormat="1" ht="12" customHeight="1" thickBot="1">
      <c r="A18" s="422" t="s">
        <v>120</v>
      </c>
      <c r="B18" s="6" t="s">
        <v>284</v>
      </c>
      <c r="C18" s="300"/>
    </row>
    <row r="19" spans="1:3" s="359" customFormat="1" ht="12" customHeight="1" thickBot="1">
      <c r="A19" s="196" t="s">
        <v>20</v>
      </c>
      <c r="B19" s="220" t="s">
        <v>450</v>
      </c>
      <c r="C19" s="301">
        <f>SUM(C20:C22)</f>
        <v>0</v>
      </c>
    </row>
    <row r="20" spans="1:3" s="431" customFormat="1" ht="12" customHeight="1">
      <c r="A20" s="422" t="s">
        <v>109</v>
      </c>
      <c r="B20" s="8" t="s">
        <v>250</v>
      </c>
      <c r="C20" s="299"/>
    </row>
    <row r="21" spans="1:3" s="431" customFormat="1" ht="12" customHeight="1">
      <c r="A21" s="422" t="s">
        <v>110</v>
      </c>
      <c r="B21" s="7" t="s">
        <v>451</v>
      </c>
      <c r="C21" s="299"/>
    </row>
    <row r="22" spans="1:3" s="431" customFormat="1" ht="12" customHeight="1">
      <c r="A22" s="422" t="s">
        <v>111</v>
      </c>
      <c r="B22" s="7" t="s">
        <v>452</v>
      </c>
      <c r="C22" s="299"/>
    </row>
    <row r="23" spans="1:3" s="431" customFormat="1" ht="12" customHeight="1" thickBot="1">
      <c r="A23" s="422" t="s">
        <v>112</v>
      </c>
      <c r="B23" s="7" t="s">
        <v>2</v>
      </c>
      <c r="C23" s="299"/>
    </row>
    <row r="24" spans="1:3" s="431" customFormat="1" ht="12" customHeight="1" thickBot="1">
      <c r="A24" s="204" t="s">
        <v>21</v>
      </c>
      <c r="B24" s="119" t="s">
        <v>156</v>
      </c>
      <c r="C24" s="328"/>
    </row>
    <row r="25" spans="1:3" s="431" customFormat="1" ht="12" customHeight="1" thickBot="1">
      <c r="A25" s="204" t="s">
        <v>22</v>
      </c>
      <c r="B25" s="119" t="s">
        <v>453</v>
      </c>
      <c r="C25" s="301">
        <f>+C26+C27</f>
        <v>0</v>
      </c>
    </row>
    <row r="26" spans="1:3" s="431" customFormat="1" ht="12" customHeight="1">
      <c r="A26" s="423" t="s">
        <v>260</v>
      </c>
      <c r="B26" s="424" t="s">
        <v>451</v>
      </c>
      <c r="C26" s="72"/>
    </row>
    <row r="27" spans="1:3" s="431" customFormat="1" ht="12" customHeight="1">
      <c r="A27" s="423" t="s">
        <v>263</v>
      </c>
      <c r="B27" s="425" t="s">
        <v>454</v>
      </c>
      <c r="C27" s="302"/>
    </row>
    <row r="28" spans="1:3" s="431" customFormat="1" ht="12" customHeight="1" thickBot="1">
      <c r="A28" s="422" t="s">
        <v>264</v>
      </c>
      <c r="B28" s="426" t="s">
        <v>455</v>
      </c>
      <c r="C28" s="79"/>
    </row>
    <row r="29" spans="1:3" s="431" customFormat="1" ht="12" customHeight="1" thickBot="1">
      <c r="A29" s="204" t="s">
        <v>23</v>
      </c>
      <c r="B29" s="119" t="s">
        <v>456</v>
      </c>
      <c r="C29" s="301">
        <f>+C30+C31+C32</f>
        <v>0</v>
      </c>
    </row>
    <row r="30" spans="1:3" s="431" customFormat="1" ht="12" customHeight="1">
      <c r="A30" s="423" t="s">
        <v>96</v>
      </c>
      <c r="B30" s="424" t="s">
        <v>289</v>
      </c>
      <c r="C30" s="72"/>
    </row>
    <row r="31" spans="1:3" s="431" customFormat="1" ht="12" customHeight="1">
      <c r="A31" s="423" t="s">
        <v>97</v>
      </c>
      <c r="B31" s="425" t="s">
        <v>290</v>
      </c>
      <c r="C31" s="302"/>
    </row>
    <row r="32" spans="1:3" s="431" customFormat="1" ht="12" customHeight="1" thickBot="1">
      <c r="A32" s="422" t="s">
        <v>98</v>
      </c>
      <c r="B32" s="135" t="s">
        <v>291</v>
      </c>
      <c r="C32" s="79"/>
    </row>
    <row r="33" spans="1:3" s="359" customFormat="1" ht="12" customHeight="1" thickBot="1">
      <c r="A33" s="204" t="s">
        <v>24</v>
      </c>
      <c r="B33" s="119" t="s">
        <v>404</v>
      </c>
      <c r="C33" s="328"/>
    </row>
    <row r="34" spans="1:3" s="359" customFormat="1" ht="12" customHeight="1" thickBot="1">
      <c r="A34" s="204" t="s">
        <v>25</v>
      </c>
      <c r="B34" s="119" t="s">
        <v>457</v>
      </c>
      <c r="C34" s="350"/>
    </row>
    <row r="35" spans="1:3" s="359" customFormat="1" ht="12" customHeight="1" thickBot="1">
      <c r="A35" s="196" t="s">
        <v>26</v>
      </c>
      <c r="B35" s="119" t="s">
        <v>458</v>
      </c>
      <c r="C35" s="351">
        <f>+C8+C19+C24+C25+C29+C33+C34</f>
        <v>13300000</v>
      </c>
    </row>
    <row r="36" spans="1:3" s="359" customFormat="1" ht="12" customHeight="1" thickBot="1">
      <c r="A36" s="221" t="s">
        <v>27</v>
      </c>
      <c r="B36" s="119" t="s">
        <v>459</v>
      </c>
      <c r="C36" s="351">
        <f>+C37+C38+C39</f>
        <v>206103224</v>
      </c>
    </row>
    <row r="37" spans="1:3" s="359" customFormat="1" ht="12" customHeight="1">
      <c r="A37" s="423" t="s">
        <v>460</v>
      </c>
      <c r="B37" s="424" t="s">
        <v>225</v>
      </c>
      <c r="C37" s="72"/>
    </row>
    <row r="38" spans="1:3" s="359" customFormat="1" ht="12" customHeight="1">
      <c r="A38" s="423" t="s">
        <v>461</v>
      </c>
      <c r="B38" s="425" t="s">
        <v>3</v>
      </c>
      <c r="C38" s="302"/>
    </row>
    <row r="39" spans="1:3" s="431" customFormat="1" ht="12" customHeight="1" thickBot="1">
      <c r="A39" s="422" t="s">
        <v>462</v>
      </c>
      <c r="B39" s="135" t="s">
        <v>463</v>
      </c>
      <c r="C39" s="79">
        <v>206103224</v>
      </c>
    </row>
    <row r="40" spans="1:3" s="431" customFormat="1" ht="15" customHeight="1" thickBot="1">
      <c r="A40" s="221" t="s">
        <v>28</v>
      </c>
      <c r="B40" s="222" t="s">
        <v>464</v>
      </c>
      <c r="C40" s="354">
        <f>+C35+C36</f>
        <v>219403224</v>
      </c>
    </row>
    <row r="41" spans="1:3" s="431" customFormat="1" ht="15" customHeight="1">
      <c r="A41" s="223"/>
      <c r="B41" s="224"/>
      <c r="C41" s="352"/>
    </row>
    <row r="42" spans="1:3" ht="13.5" thickBot="1">
      <c r="A42" s="225"/>
      <c r="B42" s="226"/>
      <c r="C42" s="353"/>
    </row>
    <row r="43" spans="1:3" s="430" customFormat="1" ht="16.5" customHeight="1" thickBot="1">
      <c r="A43" s="227"/>
      <c r="B43" s="228" t="s">
        <v>60</v>
      </c>
      <c r="C43" s="354"/>
    </row>
    <row r="44" spans="1:3" s="432" customFormat="1" ht="12" customHeight="1" thickBot="1">
      <c r="A44" s="204" t="s">
        <v>19</v>
      </c>
      <c r="B44" s="119" t="s">
        <v>465</v>
      </c>
      <c r="C44" s="301">
        <f>SUM(C45:C49)</f>
        <v>213403224</v>
      </c>
    </row>
    <row r="45" spans="1:3" ht="12" customHeight="1">
      <c r="A45" s="422" t="s">
        <v>103</v>
      </c>
      <c r="B45" s="8" t="s">
        <v>49</v>
      </c>
      <c r="C45" s="72">
        <v>126884610</v>
      </c>
    </row>
    <row r="46" spans="1:3" ht="12" customHeight="1">
      <c r="A46" s="422" t="s">
        <v>104</v>
      </c>
      <c r="B46" s="7" t="s">
        <v>165</v>
      </c>
      <c r="C46" s="75">
        <v>27914614</v>
      </c>
    </row>
    <row r="47" spans="1:3" ht="12" customHeight="1">
      <c r="A47" s="422" t="s">
        <v>105</v>
      </c>
      <c r="B47" s="7" t="s">
        <v>129</v>
      </c>
      <c r="C47" s="75">
        <v>58604000</v>
      </c>
    </row>
    <row r="48" spans="1:3" ht="12" customHeight="1">
      <c r="A48" s="422" t="s">
        <v>106</v>
      </c>
      <c r="B48" s="7" t="s">
        <v>166</v>
      </c>
      <c r="C48" s="75"/>
    </row>
    <row r="49" spans="1:3" ht="12" customHeight="1" thickBot="1">
      <c r="A49" s="422" t="s">
        <v>131</v>
      </c>
      <c r="B49" s="7" t="s">
        <v>167</v>
      </c>
      <c r="C49" s="75"/>
    </row>
    <row r="50" spans="1:3" ht="12" customHeight="1" thickBot="1">
      <c r="A50" s="204" t="s">
        <v>20</v>
      </c>
      <c r="B50" s="119" t="s">
        <v>466</v>
      </c>
      <c r="C50" s="301">
        <f>SUM(C51:C53)</f>
        <v>6000000</v>
      </c>
    </row>
    <row r="51" spans="1:3" s="432" customFormat="1" ht="12" customHeight="1">
      <c r="A51" s="422" t="s">
        <v>109</v>
      </c>
      <c r="B51" s="8" t="s">
        <v>215</v>
      </c>
      <c r="C51" s="72">
        <v>6000000</v>
      </c>
    </row>
    <row r="52" spans="1:3" ht="12" customHeight="1">
      <c r="A52" s="422" t="s">
        <v>110</v>
      </c>
      <c r="B52" s="7" t="s">
        <v>169</v>
      </c>
      <c r="C52" s="75"/>
    </row>
    <row r="53" spans="1:3" ht="12" customHeight="1">
      <c r="A53" s="422" t="s">
        <v>111</v>
      </c>
      <c r="B53" s="7" t="s">
        <v>61</v>
      </c>
      <c r="C53" s="75"/>
    </row>
    <row r="54" spans="1:3" ht="12" customHeight="1" thickBot="1">
      <c r="A54" s="422" t="s">
        <v>112</v>
      </c>
      <c r="B54" s="7" t="s">
        <v>4</v>
      </c>
      <c r="C54" s="75"/>
    </row>
    <row r="55" spans="1:3" ht="15" customHeight="1" thickBot="1">
      <c r="A55" s="204" t="s">
        <v>21</v>
      </c>
      <c r="B55" s="229" t="s">
        <v>467</v>
      </c>
      <c r="C55" s="355">
        <f>+C44+C50</f>
        <v>219403224</v>
      </c>
    </row>
    <row r="56" spans="1:3" ht="13.5" thickBot="1">
      <c r="C56" s="356"/>
    </row>
    <row r="57" spans="1:3" ht="15" customHeight="1" thickBot="1">
      <c r="A57" s="232" t="s">
        <v>188</v>
      </c>
      <c r="B57" s="233"/>
      <c r="C57" s="116">
        <v>45</v>
      </c>
    </row>
    <row r="58" spans="1:3" ht="14.25" customHeight="1" thickBot="1">
      <c r="A58" s="232" t="s">
        <v>189</v>
      </c>
      <c r="B58" s="233"/>
      <c r="C58" s="11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58"/>
  <sheetViews>
    <sheetView workbookViewId="0">
      <selection activeCell="G27" sqref="G27"/>
    </sheetView>
  </sheetViews>
  <sheetFormatPr defaultRowHeight="12.75"/>
  <cols>
    <col min="1" max="1" width="13.83203125" style="230" customWidth="1"/>
    <col min="2" max="2" width="79.1640625" style="231" customWidth="1"/>
    <col min="3" max="3" width="25" style="231" customWidth="1"/>
    <col min="4" max="4" width="18.1640625" style="832" customWidth="1"/>
    <col min="5" max="5" width="20.5" style="871" customWidth="1"/>
    <col min="6" max="16384" width="9.33203125" style="231"/>
  </cols>
  <sheetData>
    <row r="1" spans="1:8" s="210" customFormat="1" ht="21" customHeight="1" thickBot="1">
      <c r="A1" s="209"/>
      <c r="B1" s="211"/>
      <c r="C1" s="427" t="s">
        <v>823</v>
      </c>
      <c r="D1" s="828"/>
      <c r="E1" s="866"/>
    </row>
    <row r="2" spans="1:8" s="428" customFormat="1" ht="25.5" customHeight="1">
      <c r="A2" s="379" t="s">
        <v>186</v>
      </c>
      <c r="B2" s="342" t="s">
        <v>694</v>
      </c>
      <c r="C2" s="357" t="s">
        <v>65</v>
      </c>
      <c r="D2" s="829"/>
      <c r="E2" s="867"/>
    </row>
    <row r="3" spans="1:8" s="428" customFormat="1" ht="24.75" thickBot="1">
      <c r="A3" s="420" t="s">
        <v>185</v>
      </c>
      <c r="B3" s="343" t="s">
        <v>487</v>
      </c>
      <c r="C3" s="358" t="s">
        <v>54</v>
      </c>
      <c r="D3" s="829"/>
      <c r="E3" s="867"/>
    </row>
    <row r="4" spans="1:8" s="429" customFormat="1" ht="15.95" customHeight="1" thickBot="1">
      <c r="A4" s="213"/>
      <c r="B4" s="213"/>
      <c r="D4" s="829"/>
      <c r="E4" s="214" t="s">
        <v>797</v>
      </c>
    </row>
    <row r="5" spans="1:8" ht="21.75" thickBot="1">
      <c r="A5" s="380" t="s">
        <v>187</v>
      </c>
      <c r="B5" s="215" t="s">
        <v>56</v>
      </c>
      <c r="C5" s="216" t="s">
        <v>57</v>
      </c>
      <c r="D5" s="830" t="s">
        <v>838</v>
      </c>
      <c r="E5" s="831" t="s">
        <v>834</v>
      </c>
      <c r="H5" s="876"/>
    </row>
    <row r="6" spans="1:8" s="430" customFormat="1" ht="12.95" customHeight="1" thickBot="1">
      <c r="A6" s="196">
        <v>1</v>
      </c>
      <c r="B6" s="197">
        <v>2</v>
      </c>
      <c r="C6" s="738">
        <v>3</v>
      </c>
      <c r="D6" s="833">
        <v>4</v>
      </c>
      <c r="E6" s="834">
        <v>5</v>
      </c>
    </row>
    <row r="7" spans="1:8" s="430" customFormat="1" ht="15.95" customHeight="1" thickBot="1">
      <c r="A7" s="836"/>
      <c r="B7" s="836" t="s">
        <v>58</v>
      </c>
      <c r="C7" s="837"/>
      <c r="D7" s="838"/>
      <c r="E7" s="868"/>
    </row>
    <row r="8" spans="1:8" s="359" customFormat="1" ht="12" customHeight="1" thickBot="1">
      <c r="A8" s="196" t="s">
        <v>19</v>
      </c>
      <c r="B8" s="220" t="s">
        <v>447</v>
      </c>
      <c r="C8" s="301">
        <f>SUM(C9:C18)</f>
        <v>0</v>
      </c>
      <c r="D8" s="825">
        <f>SUM(D9:D18)</f>
        <v>0</v>
      </c>
      <c r="E8" s="873">
        <f>SUM(E9:E18)</f>
        <v>0</v>
      </c>
    </row>
    <row r="9" spans="1:8" s="359" customFormat="1" ht="12" customHeight="1">
      <c r="A9" s="423" t="s">
        <v>103</v>
      </c>
      <c r="B9" s="8" t="s">
        <v>275</v>
      </c>
      <c r="C9" s="298"/>
      <c r="D9" s="880"/>
      <c r="E9" s="869">
        <f>SUM(C9:D9)</f>
        <v>0</v>
      </c>
    </row>
    <row r="10" spans="1:8" s="359" customFormat="1" ht="12" customHeight="1">
      <c r="A10" s="422" t="s">
        <v>104</v>
      </c>
      <c r="B10" s="7" t="s">
        <v>276</v>
      </c>
      <c r="C10" s="299"/>
      <c r="D10" s="881"/>
      <c r="E10" s="869">
        <f t="shared" ref="E10:E18" si="0">SUM(C10:D10)</f>
        <v>0</v>
      </c>
    </row>
    <row r="11" spans="1:8" s="359" customFormat="1" ht="12" customHeight="1">
      <c r="A11" s="422" t="s">
        <v>105</v>
      </c>
      <c r="B11" s="7" t="s">
        <v>277</v>
      </c>
      <c r="C11" s="299"/>
      <c r="D11" s="881"/>
      <c r="E11" s="869">
        <f t="shared" si="0"/>
        <v>0</v>
      </c>
    </row>
    <row r="12" spans="1:8" s="359" customFormat="1" ht="12" customHeight="1">
      <c r="A12" s="422" t="s">
        <v>106</v>
      </c>
      <c r="B12" s="7" t="s">
        <v>278</v>
      </c>
      <c r="C12" s="299"/>
      <c r="D12" s="881"/>
      <c r="E12" s="869">
        <f t="shared" si="0"/>
        <v>0</v>
      </c>
    </row>
    <row r="13" spans="1:8" s="359" customFormat="1" ht="12" customHeight="1">
      <c r="A13" s="422" t="s">
        <v>131</v>
      </c>
      <c r="B13" s="7" t="s">
        <v>279</v>
      </c>
      <c r="C13" s="299"/>
      <c r="D13" s="881"/>
      <c r="E13" s="869">
        <f t="shared" si="0"/>
        <v>0</v>
      </c>
    </row>
    <row r="14" spans="1:8" s="359" customFormat="1" ht="12" customHeight="1">
      <c r="A14" s="422" t="s">
        <v>107</v>
      </c>
      <c r="B14" s="7" t="s">
        <v>448</v>
      </c>
      <c r="C14" s="299"/>
      <c r="D14" s="881"/>
      <c r="E14" s="869">
        <f t="shared" si="0"/>
        <v>0</v>
      </c>
    </row>
    <row r="15" spans="1:8" s="359" customFormat="1" ht="12" customHeight="1">
      <c r="A15" s="422" t="s">
        <v>108</v>
      </c>
      <c r="B15" s="6" t="s">
        <v>449</v>
      </c>
      <c r="C15" s="299"/>
      <c r="D15" s="881"/>
      <c r="E15" s="869">
        <f t="shared" si="0"/>
        <v>0</v>
      </c>
    </row>
    <row r="16" spans="1:8" s="359" customFormat="1" ht="12" customHeight="1">
      <c r="A16" s="422" t="s">
        <v>118</v>
      </c>
      <c r="B16" s="7" t="s">
        <v>282</v>
      </c>
      <c r="C16" s="349"/>
      <c r="D16" s="881"/>
      <c r="E16" s="869">
        <f t="shared" si="0"/>
        <v>0</v>
      </c>
    </row>
    <row r="17" spans="1:5" s="431" customFormat="1" ht="12" customHeight="1">
      <c r="A17" s="422" t="s">
        <v>119</v>
      </c>
      <c r="B17" s="7" t="s">
        <v>283</v>
      </c>
      <c r="C17" s="299"/>
      <c r="D17" s="882"/>
      <c r="E17" s="869">
        <f t="shared" si="0"/>
        <v>0</v>
      </c>
    </row>
    <row r="18" spans="1:5" s="431" customFormat="1" ht="12" customHeight="1" thickBot="1">
      <c r="A18" s="422" t="s">
        <v>120</v>
      </c>
      <c r="B18" s="6" t="s">
        <v>284</v>
      </c>
      <c r="C18" s="300"/>
      <c r="D18" s="882"/>
      <c r="E18" s="869">
        <f t="shared" si="0"/>
        <v>0</v>
      </c>
    </row>
    <row r="19" spans="1:5" s="359" customFormat="1" ht="12" customHeight="1" thickBot="1">
      <c r="A19" s="196" t="s">
        <v>20</v>
      </c>
      <c r="B19" s="220" t="s">
        <v>450</v>
      </c>
      <c r="C19" s="301">
        <f>SUM(C20:C22)</f>
        <v>0</v>
      </c>
      <c r="D19" s="825">
        <f>SUM(D20:D22)</f>
        <v>0</v>
      </c>
      <c r="E19" s="873">
        <f>SUM(E20:E22)</f>
        <v>0</v>
      </c>
    </row>
    <row r="20" spans="1:5" s="431" customFormat="1" ht="12" customHeight="1">
      <c r="A20" s="422" t="s">
        <v>109</v>
      </c>
      <c r="B20" s="8" t="s">
        <v>250</v>
      </c>
      <c r="C20" s="299"/>
      <c r="D20" s="882"/>
      <c r="E20" s="870">
        <f>SUM(C20:D20)</f>
        <v>0</v>
      </c>
    </row>
    <row r="21" spans="1:5" s="431" customFormat="1" ht="12" customHeight="1">
      <c r="A21" s="422" t="s">
        <v>110</v>
      </c>
      <c r="B21" s="7" t="s">
        <v>451</v>
      </c>
      <c r="C21" s="299"/>
      <c r="D21" s="882"/>
      <c r="E21" s="870">
        <f>SUM(C21:D21)</f>
        <v>0</v>
      </c>
    </row>
    <row r="22" spans="1:5" s="431" customFormat="1" ht="12" customHeight="1">
      <c r="A22" s="422" t="s">
        <v>111</v>
      </c>
      <c r="B22" s="7" t="s">
        <v>452</v>
      </c>
      <c r="C22" s="299"/>
      <c r="D22" s="882"/>
      <c r="E22" s="870">
        <f>SUM(C22:D22)</f>
        <v>0</v>
      </c>
    </row>
    <row r="23" spans="1:5" s="431" customFormat="1" ht="12" customHeight="1" thickBot="1">
      <c r="A23" s="422" t="s">
        <v>112</v>
      </c>
      <c r="B23" s="7" t="s">
        <v>2</v>
      </c>
      <c r="C23" s="299"/>
      <c r="D23" s="882"/>
      <c r="E23" s="870">
        <f>SUM(C23:D23)</f>
        <v>0</v>
      </c>
    </row>
    <row r="24" spans="1:5" s="431" customFormat="1" ht="12" customHeight="1" thickBot="1">
      <c r="A24" s="204" t="s">
        <v>21</v>
      </c>
      <c r="B24" s="119" t="s">
        <v>156</v>
      </c>
      <c r="C24" s="328"/>
      <c r="D24" s="824"/>
      <c r="E24" s="874"/>
    </row>
    <row r="25" spans="1:5" s="431" customFormat="1" ht="12" customHeight="1" thickBot="1">
      <c r="A25" s="204" t="s">
        <v>22</v>
      </c>
      <c r="B25" s="119" t="s">
        <v>453</v>
      </c>
      <c r="C25" s="301">
        <f>+C26+C27</f>
        <v>0</v>
      </c>
      <c r="D25" s="825">
        <f>+D26+D27</f>
        <v>0</v>
      </c>
      <c r="E25" s="873">
        <f>+E26+E27</f>
        <v>0</v>
      </c>
    </row>
    <row r="26" spans="1:5" s="431" customFormat="1" ht="12" customHeight="1">
      <c r="A26" s="423" t="s">
        <v>260</v>
      </c>
      <c r="B26" s="424" t="s">
        <v>451</v>
      </c>
      <c r="C26" s="72"/>
      <c r="D26" s="882"/>
      <c r="E26" s="870">
        <f>SUM(C26:D26)</f>
        <v>0</v>
      </c>
    </row>
    <row r="27" spans="1:5" s="431" customFormat="1" ht="12" customHeight="1">
      <c r="A27" s="423" t="s">
        <v>263</v>
      </c>
      <c r="B27" s="425" t="s">
        <v>454</v>
      </c>
      <c r="C27" s="302"/>
      <c r="D27" s="882"/>
      <c r="E27" s="870">
        <f>SUM(C27:D27)</f>
        <v>0</v>
      </c>
    </row>
    <row r="28" spans="1:5" s="431" customFormat="1" ht="12" customHeight="1" thickBot="1">
      <c r="A28" s="422" t="s">
        <v>264</v>
      </c>
      <c r="B28" s="426" t="s">
        <v>455</v>
      </c>
      <c r="C28" s="79"/>
      <c r="D28" s="882"/>
      <c r="E28" s="870">
        <f>SUM(C28:D28)</f>
        <v>0</v>
      </c>
    </row>
    <row r="29" spans="1:5" s="431" customFormat="1" ht="12" customHeight="1" thickBot="1">
      <c r="A29" s="204" t="s">
        <v>23</v>
      </c>
      <c r="B29" s="119" t="s">
        <v>456</v>
      </c>
      <c r="C29" s="301">
        <f>+C30+C31+C32</f>
        <v>0</v>
      </c>
      <c r="D29" s="825">
        <f>+D30+D31+D32</f>
        <v>0</v>
      </c>
      <c r="E29" s="873">
        <f>+E30+E31+E32</f>
        <v>0</v>
      </c>
    </row>
    <row r="30" spans="1:5" s="431" customFormat="1" ht="12" customHeight="1">
      <c r="A30" s="423" t="s">
        <v>96</v>
      </c>
      <c r="B30" s="424" t="s">
        <v>289</v>
      </c>
      <c r="C30" s="72"/>
      <c r="D30" s="882"/>
      <c r="E30" s="870">
        <f t="shared" ref="E30:E35" si="1">SUM(C30:D30)</f>
        <v>0</v>
      </c>
    </row>
    <row r="31" spans="1:5" s="431" customFormat="1" ht="12" customHeight="1">
      <c r="A31" s="423" t="s">
        <v>97</v>
      </c>
      <c r="B31" s="425" t="s">
        <v>290</v>
      </c>
      <c r="C31" s="302"/>
      <c r="D31" s="882"/>
      <c r="E31" s="870">
        <f t="shared" si="1"/>
        <v>0</v>
      </c>
    </row>
    <row r="32" spans="1:5" s="431" customFormat="1" ht="12" customHeight="1" thickBot="1">
      <c r="A32" s="422" t="s">
        <v>98</v>
      </c>
      <c r="B32" s="135" t="s">
        <v>291</v>
      </c>
      <c r="C32" s="79"/>
      <c r="D32" s="882"/>
      <c r="E32" s="870">
        <f t="shared" si="1"/>
        <v>0</v>
      </c>
    </row>
    <row r="33" spans="1:5" s="359" customFormat="1" ht="12" customHeight="1" thickBot="1">
      <c r="A33" s="204" t="s">
        <v>24</v>
      </c>
      <c r="B33" s="862" t="s">
        <v>404</v>
      </c>
      <c r="C33" s="884"/>
      <c r="D33" s="824"/>
      <c r="E33" s="874">
        <f t="shared" si="1"/>
        <v>0</v>
      </c>
    </row>
    <row r="34" spans="1:5" s="359" customFormat="1" ht="12" customHeight="1" thickBot="1">
      <c r="A34" s="204" t="s">
        <v>25</v>
      </c>
      <c r="B34" s="862" t="s">
        <v>457</v>
      </c>
      <c r="C34" s="884"/>
      <c r="D34" s="883"/>
      <c r="E34" s="874">
        <f t="shared" si="1"/>
        <v>0</v>
      </c>
    </row>
    <row r="35" spans="1:5" s="359" customFormat="1" ht="12" customHeight="1" thickBot="1">
      <c r="A35" s="196" t="s">
        <v>26</v>
      </c>
      <c r="B35" s="862" t="s">
        <v>458</v>
      </c>
      <c r="C35" s="885">
        <f>+C8+C19+C24+C25+C29+C33+C34</f>
        <v>0</v>
      </c>
      <c r="D35" s="883"/>
      <c r="E35" s="874">
        <f t="shared" si="1"/>
        <v>0</v>
      </c>
    </row>
    <row r="36" spans="1:5" s="359" customFormat="1" ht="12" customHeight="1" thickBot="1">
      <c r="A36" s="221" t="s">
        <v>27</v>
      </c>
      <c r="B36" s="862" t="s">
        <v>459</v>
      </c>
      <c r="C36" s="885">
        <f>+C37+C38+C39</f>
        <v>108228444</v>
      </c>
      <c r="D36" s="825">
        <f>+D37+D38+D39</f>
        <v>75969</v>
      </c>
      <c r="E36" s="900">
        <f>+E37+E38+E39</f>
        <v>108304413</v>
      </c>
    </row>
    <row r="37" spans="1:5" s="359" customFormat="1" ht="12" customHeight="1">
      <c r="A37" s="423" t="s">
        <v>460</v>
      </c>
      <c r="B37" s="424" t="s">
        <v>225</v>
      </c>
      <c r="C37" s="72"/>
      <c r="D37" s="882">
        <v>75461</v>
      </c>
      <c r="E37" s="870">
        <f>SUM(C37:D37)</f>
        <v>75461</v>
      </c>
    </row>
    <row r="38" spans="1:5" s="359" customFormat="1" ht="12" customHeight="1">
      <c r="A38" s="423" t="s">
        <v>461</v>
      </c>
      <c r="B38" s="425" t="s">
        <v>3</v>
      </c>
      <c r="C38" s="302"/>
      <c r="D38" s="881"/>
      <c r="E38" s="870">
        <f>SUM(C38:D38)</f>
        <v>0</v>
      </c>
    </row>
    <row r="39" spans="1:5" s="431" customFormat="1" ht="12" customHeight="1" thickBot="1">
      <c r="A39" s="422" t="s">
        <v>462</v>
      </c>
      <c r="B39" s="135" t="s">
        <v>463</v>
      </c>
      <c r="C39" s="79">
        <v>108228444</v>
      </c>
      <c r="D39" s="882">
        <v>508</v>
      </c>
      <c r="E39" s="870">
        <f>SUM(C39:D39)</f>
        <v>108228952</v>
      </c>
    </row>
    <row r="40" spans="1:5" s="431" customFormat="1" ht="15" customHeight="1" thickBot="1">
      <c r="A40" s="221" t="s">
        <v>28</v>
      </c>
      <c r="B40" s="222" t="s">
        <v>464</v>
      </c>
      <c r="C40" s="354">
        <f>+C35+C36</f>
        <v>108228444</v>
      </c>
      <c r="D40" s="750">
        <f>+D35+D36</f>
        <v>75969</v>
      </c>
      <c r="E40" s="875">
        <f>+E35+E36</f>
        <v>108304413</v>
      </c>
    </row>
    <row r="41" spans="1:5" s="431" customFormat="1" ht="15" customHeight="1">
      <c r="A41" s="223"/>
      <c r="B41" s="224"/>
      <c r="C41" s="352"/>
      <c r="D41" s="832"/>
      <c r="E41" s="871"/>
    </row>
    <row r="42" spans="1:5" ht="13.5" thickBot="1">
      <c r="A42" s="225"/>
      <c r="B42" s="226"/>
      <c r="C42" s="353"/>
    </row>
    <row r="43" spans="1:5" s="430" customFormat="1" ht="16.5" customHeight="1" thickBot="1">
      <c r="A43" s="227"/>
      <c r="B43" s="228" t="s">
        <v>60</v>
      </c>
      <c r="C43" s="750"/>
      <c r="D43" s="865"/>
      <c r="E43" s="872"/>
    </row>
    <row r="44" spans="1:5" s="432" customFormat="1" ht="12" customHeight="1" thickBot="1">
      <c r="A44" s="204" t="s">
        <v>19</v>
      </c>
      <c r="B44" s="119" t="s">
        <v>465</v>
      </c>
      <c r="C44" s="301">
        <f>SUM(C45:C49)</f>
        <v>108228444</v>
      </c>
      <c r="D44" s="825">
        <f>SUM(D45:D49)</f>
        <v>-6581</v>
      </c>
      <c r="E44" s="301">
        <f>SUM(E45:E49)</f>
        <v>108221863</v>
      </c>
    </row>
    <row r="45" spans="1:5" ht="12" customHeight="1">
      <c r="A45" s="422" t="s">
        <v>103</v>
      </c>
      <c r="B45" s="8" t="s">
        <v>49</v>
      </c>
      <c r="C45" s="72">
        <v>79010200</v>
      </c>
      <c r="D45" s="882">
        <v>400</v>
      </c>
      <c r="E45" s="870">
        <f>SUM(C45:D45)</f>
        <v>79010600</v>
      </c>
    </row>
    <row r="46" spans="1:5" ht="12" customHeight="1">
      <c r="A46" s="422" t="s">
        <v>104</v>
      </c>
      <c r="B46" s="7" t="s">
        <v>165</v>
      </c>
      <c r="C46" s="75">
        <v>17382244</v>
      </c>
      <c r="D46" s="882">
        <v>108</v>
      </c>
      <c r="E46" s="870">
        <f>SUM(C46:D46)</f>
        <v>17382352</v>
      </c>
    </row>
    <row r="47" spans="1:5" ht="12" customHeight="1">
      <c r="A47" s="422" t="s">
        <v>105</v>
      </c>
      <c r="B47" s="7" t="s">
        <v>129</v>
      </c>
      <c r="C47" s="75">
        <v>11836000</v>
      </c>
      <c r="D47" s="882">
        <v>-7089</v>
      </c>
      <c r="E47" s="870">
        <f>SUM(C47:D47)</f>
        <v>11828911</v>
      </c>
    </row>
    <row r="48" spans="1:5" ht="12" customHeight="1">
      <c r="A48" s="422" t="s">
        <v>106</v>
      </c>
      <c r="B48" s="7" t="s">
        <v>166</v>
      </c>
      <c r="C48" s="75"/>
      <c r="D48" s="882"/>
      <c r="E48" s="870">
        <f>SUM(C48:D48)</f>
        <v>0</v>
      </c>
    </row>
    <row r="49" spans="1:5" ht="12" customHeight="1" thickBot="1">
      <c r="A49" s="422" t="s">
        <v>131</v>
      </c>
      <c r="B49" s="7" t="s">
        <v>167</v>
      </c>
      <c r="C49" s="75"/>
      <c r="D49" s="882"/>
      <c r="E49" s="870">
        <f>SUM(C49:D49)</f>
        <v>0</v>
      </c>
    </row>
    <row r="50" spans="1:5" ht="12" customHeight="1" thickBot="1">
      <c r="A50" s="204" t="s">
        <v>20</v>
      </c>
      <c r="B50" s="119" t="s">
        <v>466</v>
      </c>
      <c r="C50" s="301">
        <f>SUM(C51:C53)</f>
        <v>0</v>
      </c>
      <c r="D50" s="825">
        <f>SUM(D51:D53)</f>
        <v>82550</v>
      </c>
      <c r="E50" s="301">
        <f>SUM(E51:E53)</f>
        <v>82550</v>
      </c>
    </row>
    <row r="51" spans="1:5" s="432" customFormat="1" ht="12" customHeight="1">
      <c r="A51" s="422" t="s">
        <v>109</v>
      </c>
      <c r="B51" s="8" t="s">
        <v>215</v>
      </c>
      <c r="C51" s="72"/>
      <c r="D51" s="882">
        <v>82550</v>
      </c>
      <c r="E51" s="870">
        <f>SUM(C51:D51)</f>
        <v>82550</v>
      </c>
    </row>
    <row r="52" spans="1:5" ht="12" customHeight="1">
      <c r="A52" s="422" t="s">
        <v>110</v>
      </c>
      <c r="B52" s="7" t="s">
        <v>169</v>
      </c>
      <c r="C52" s="75"/>
      <c r="D52" s="882"/>
      <c r="E52" s="870">
        <f>SUM(C52:D52)</f>
        <v>0</v>
      </c>
    </row>
    <row r="53" spans="1:5" ht="12" customHeight="1">
      <c r="A53" s="422" t="s">
        <v>111</v>
      </c>
      <c r="B53" s="7" t="s">
        <v>61</v>
      </c>
      <c r="C53" s="75"/>
      <c r="D53" s="882"/>
      <c r="E53" s="870">
        <f>SUM(C53:D53)</f>
        <v>0</v>
      </c>
    </row>
    <row r="54" spans="1:5" ht="12" customHeight="1" thickBot="1">
      <c r="A54" s="422" t="s">
        <v>112</v>
      </c>
      <c r="B54" s="7" t="s">
        <v>4</v>
      </c>
      <c r="C54" s="75"/>
      <c r="D54" s="882"/>
      <c r="E54" s="870">
        <f>SUM(C54:D54)</f>
        <v>0</v>
      </c>
    </row>
    <row r="55" spans="1:5" ht="15" customHeight="1" thickBot="1">
      <c r="A55" s="204" t="s">
        <v>21</v>
      </c>
      <c r="B55" s="229" t="s">
        <v>467</v>
      </c>
      <c r="C55" s="355">
        <f>+C44+C50</f>
        <v>108228444</v>
      </c>
      <c r="D55" s="750">
        <f>+D44+D50</f>
        <v>75969</v>
      </c>
      <c r="E55" s="355">
        <f>+E44+E50</f>
        <v>108304413</v>
      </c>
    </row>
    <row r="56" spans="1:5" ht="13.5" thickBot="1">
      <c r="C56" s="356"/>
    </row>
    <row r="57" spans="1:5" ht="15" customHeight="1" thickBot="1">
      <c r="A57" s="232" t="s">
        <v>188</v>
      </c>
      <c r="B57" s="877"/>
      <c r="C57" s="878">
        <v>24</v>
      </c>
      <c r="D57" s="842">
        <v>0</v>
      </c>
      <c r="E57" s="977">
        <f>SUM(C57:D57)</f>
        <v>24</v>
      </c>
    </row>
    <row r="58" spans="1:5" ht="14.25" customHeight="1" thickBot="1">
      <c r="A58" s="232" t="s">
        <v>189</v>
      </c>
      <c r="B58" s="877"/>
      <c r="C58" s="878"/>
      <c r="D58" s="842"/>
      <c r="E58" s="879">
        <f>SUM(C58:D58)</f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9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58"/>
  <sheetViews>
    <sheetView workbookViewId="0">
      <selection activeCell="D50" sqref="D50"/>
    </sheetView>
  </sheetViews>
  <sheetFormatPr defaultRowHeight="12.75"/>
  <cols>
    <col min="1" max="1" width="13.83203125" style="230" customWidth="1"/>
    <col min="2" max="2" width="79.1640625" style="231" customWidth="1"/>
    <col min="3" max="3" width="25" style="231" customWidth="1"/>
    <col min="4" max="4" width="15" style="231" customWidth="1"/>
    <col min="5" max="5" width="19.1640625" style="908" customWidth="1"/>
    <col min="6" max="16384" width="9.33203125" style="231"/>
  </cols>
  <sheetData>
    <row r="1" spans="1:5" s="210" customFormat="1" ht="21" customHeight="1" thickBot="1">
      <c r="A1" s="209"/>
      <c r="B1" s="211"/>
      <c r="C1" s="427" t="s">
        <v>824</v>
      </c>
      <c r="E1" s="906"/>
    </row>
    <row r="2" spans="1:5" s="428" customFormat="1" ht="25.5" customHeight="1">
      <c r="A2" s="379" t="s">
        <v>186</v>
      </c>
      <c r="B2" s="342" t="s">
        <v>693</v>
      </c>
      <c r="C2" s="357" t="s">
        <v>483</v>
      </c>
      <c r="E2" s="907"/>
    </row>
    <row r="3" spans="1:5" s="428" customFormat="1" ht="24.75" thickBot="1">
      <c r="A3" s="420" t="s">
        <v>185</v>
      </c>
      <c r="B3" s="343" t="s">
        <v>488</v>
      </c>
      <c r="C3" s="358" t="s">
        <v>54</v>
      </c>
      <c r="E3" s="907"/>
    </row>
    <row r="4" spans="1:5" s="429" customFormat="1" ht="15.95" customHeight="1" thickBot="1">
      <c r="A4" s="213"/>
      <c r="B4" s="213"/>
      <c r="E4" s="909" t="s">
        <v>794</v>
      </c>
    </row>
    <row r="5" spans="1:5" ht="21.75" thickBot="1">
      <c r="A5" s="380" t="s">
        <v>187</v>
      </c>
      <c r="B5" s="215" t="s">
        <v>56</v>
      </c>
      <c r="C5" s="216" t="s">
        <v>57</v>
      </c>
      <c r="D5" s="830" t="s">
        <v>838</v>
      </c>
      <c r="E5" s="831" t="s">
        <v>834</v>
      </c>
    </row>
    <row r="6" spans="1:5" s="430" customFormat="1" ht="12.95" customHeight="1" thickBot="1">
      <c r="A6" s="196">
        <v>1</v>
      </c>
      <c r="B6" s="738">
        <v>2</v>
      </c>
      <c r="C6" s="901">
        <v>3</v>
      </c>
      <c r="D6" s="902">
        <v>4</v>
      </c>
      <c r="E6" s="903">
        <v>5</v>
      </c>
    </row>
    <row r="7" spans="1:5" s="430" customFormat="1" ht="15.95" customHeight="1" thickBot="1">
      <c r="A7" s="836"/>
      <c r="B7" s="836" t="s">
        <v>58</v>
      </c>
      <c r="C7" s="837"/>
      <c r="D7" s="905"/>
      <c r="E7" s="913"/>
    </row>
    <row r="8" spans="1:5" s="359" customFormat="1" ht="12" customHeight="1" thickBot="1">
      <c r="A8" s="196" t="s">
        <v>19</v>
      </c>
      <c r="B8" s="220" t="s">
        <v>447</v>
      </c>
      <c r="C8" s="301">
        <f>SUM(C9:C18)</f>
        <v>0</v>
      </c>
      <c r="D8" s="825">
        <f>SUM(D9:D18)</f>
        <v>0</v>
      </c>
      <c r="E8" s="918">
        <f>SUM(E9:E18)</f>
        <v>0</v>
      </c>
    </row>
    <row r="9" spans="1:5" s="359" customFormat="1" ht="12" customHeight="1">
      <c r="A9" s="421" t="s">
        <v>103</v>
      </c>
      <c r="B9" s="9" t="s">
        <v>275</v>
      </c>
      <c r="C9" s="348"/>
      <c r="D9" s="923"/>
      <c r="E9" s="919">
        <f>SUM(C9:D9)</f>
        <v>0</v>
      </c>
    </row>
    <row r="10" spans="1:5" s="359" customFormat="1" ht="12" customHeight="1">
      <c r="A10" s="422" t="s">
        <v>104</v>
      </c>
      <c r="B10" s="7" t="s">
        <v>276</v>
      </c>
      <c r="C10" s="299"/>
      <c r="D10" s="923"/>
      <c r="E10" s="919">
        <f t="shared" ref="E10:E18" si="0">SUM(C10:D10)</f>
        <v>0</v>
      </c>
    </row>
    <row r="11" spans="1:5" s="359" customFormat="1" ht="12" customHeight="1">
      <c r="A11" s="422" t="s">
        <v>105</v>
      </c>
      <c r="B11" s="7" t="s">
        <v>277</v>
      </c>
      <c r="C11" s="299"/>
      <c r="D11" s="923"/>
      <c r="E11" s="919">
        <f t="shared" si="0"/>
        <v>0</v>
      </c>
    </row>
    <row r="12" spans="1:5" s="359" customFormat="1" ht="12" customHeight="1">
      <c r="A12" s="422" t="s">
        <v>106</v>
      </c>
      <c r="B12" s="7" t="s">
        <v>278</v>
      </c>
      <c r="C12" s="299"/>
      <c r="D12" s="923"/>
      <c r="E12" s="919">
        <f t="shared" si="0"/>
        <v>0</v>
      </c>
    </row>
    <row r="13" spans="1:5" s="359" customFormat="1" ht="12" customHeight="1">
      <c r="A13" s="422" t="s">
        <v>131</v>
      </c>
      <c r="B13" s="7" t="s">
        <v>279</v>
      </c>
      <c r="C13" s="299"/>
      <c r="D13" s="923"/>
      <c r="E13" s="919">
        <f t="shared" si="0"/>
        <v>0</v>
      </c>
    </row>
    <row r="14" spans="1:5" s="359" customFormat="1" ht="12" customHeight="1">
      <c r="A14" s="422" t="s">
        <v>107</v>
      </c>
      <c r="B14" s="7" t="s">
        <v>448</v>
      </c>
      <c r="C14" s="299"/>
      <c r="D14" s="923"/>
      <c r="E14" s="919">
        <f t="shared" si="0"/>
        <v>0</v>
      </c>
    </row>
    <row r="15" spans="1:5" s="359" customFormat="1" ht="12" customHeight="1">
      <c r="A15" s="422" t="s">
        <v>108</v>
      </c>
      <c r="B15" s="6" t="s">
        <v>449</v>
      </c>
      <c r="C15" s="299"/>
      <c r="D15" s="923"/>
      <c r="E15" s="919">
        <f t="shared" si="0"/>
        <v>0</v>
      </c>
    </row>
    <row r="16" spans="1:5" s="359" customFormat="1" ht="12" customHeight="1">
      <c r="A16" s="422" t="s">
        <v>118</v>
      </c>
      <c r="B16" s="7" t="s">
        <v>282</v>
      </c>
      <c r="C16" s="349"/>
      <c r="D16" s="923"/>
      <c r="E16" s="919">
        <f t="shared" si="0"/>
        <v>0</v>
      </c>
    </row>
    <row r="17" spans="1:5" s="431" customFormat="1" ht="12" customHeight="1">
      <c r="A17" s="422" t="s">
        <v>119</v>
      </c>
      <c r="B17" s="7" t="s">
        <v>283</v>
      </c>
      <c r="C17" s="299"/>
      <c r="D17" s="924"/>
      <c r="E17" s="919">
        <f t="shared" si="0"/>
        <v>0</v>
      </c>
    </row>
    <row r="18" spans="1:5" s="431" customFormat="1" ht="12" customHeight="1" thickBot="1">
      <c r="A18" s="422" t="s">
        <v>120</v>
      </c>
      <c r="B18" s="6" t="s">
        <v>284</v>
      </c>
      <c r="C18" s="300"/>
      <c r="D18" s="924"/>
      <c r="E18" s="919">
        <f t="shared" si="0"/>
        <v>0</v>
      </c>
    </row>
    <row r="19" spans="1:5" s="359" customFormat="1" ht="12" customHeight="1" thickBot="1">
      <c r="A19" s="196" t="s">
        <v>20</v>
      </c>
      <c r="B19" s="220" t="s">
        <v>450</v>
      </c>
      <c r="C19" s="301">
        <f>SUM(C20:C22)</f>
        <v>0</v>
      </c>
      <c r="D19" s="825">
        <f>SUM(D20:D22)</f>
        <v>0</v>
      </c>
      <c r="E19" s="918">
        <f>SUM(E20:E22)</f>
        <v>0</v>
      </c>
    </row>
    <row r="20" spans="1:5" s="431" customFormat="1" ht="12" customHeight="1">
      <c r="A20" s="422" t="s">
        <v>109</v>
      </c>
      <c r="B20" s="8" t="s">
        <v>250</v>
      </c>
      <c r="C20" s="299"/>
      <c r="D20" s="924"/>
      <c r="E20" s="919">
        <f>SUM(C20:D20)</f>
        <v>0</v>
      </c>
    </row>
    <row r="21" spans="1:5" s="431" customFormat="1" ht="12" customHeight="1">
      <c r="A21" s="422" t="s">
        <v>110</v>
      </c>
      <c r="B21" s="7" t="s">
        <v>451</v>
      </c>
      <c r="C21" s="299"/>
      <c r="D21" s="924"/>
      <c r="E21" s="919">
        <f>SUM(C21:D21)</f>
        <v>0</v>
      </c>
    </row>
    <row r="22" spans="1:5" s="431" customFormat="1" ht="12" customHeight="1">
      <c r="A22" s="422" t="s">
        <v>111</v>
      </c>
      <c r="B22" s="7" t="s">
        <v>452</v>
      </c>
      <c r="C22" s="299"/>
      <c r="D22" s="924"/>
      <c r="E22" s="919">
        <f>SUM(C22:D22)</f>
        <v>0</v>
      </c>
    </row>
    <row r="23" spans="1:5" s="431" customFormat="1" ht="12" customHeight="1" thickBot="1">
      <c r="A23" s="422" t="s">
        <v>112</v>
      </c>
      <c r="B23" s="7" t="s">
        <v>2</v>
      </c>
      <c r="C23" s="300"/>
      <c r="D23" s="925"/>
      <c r="E23" s="920">
        <f>SUM(C23:D23)</f>
        <v>0</v>
      </c>
    </row>
    <row r="24" spans="1:5" s="431" customFormat="1" ht="12" customHeight="1" thickBot="1">
      <c r="A24" s="204" t="s">
        <v>21</v>
      </c>
      <c r="B24" s="862" t="s">
        <v>156</v>
      </c>
      <c r="C24" s="884"/>
      <c r="D24" s="926"/>
      <c r="E24" s="57">
        <f>SUM(C24:D24)</f>
        <v>0</v>
      </c>
    </row>
    <row r="25" spans="1:5" s="431" customFormat="1" ht="12" customHeight="1" thickBot="1">
      <c r="A25" s="204" t="s">
        <v>22</v>
      </c>
      <c r="B25" s="119" t="s">
        <v>453</v>
      </c>
      <c r="C25" s="301">
        <f>+C26+C27</f>
        <v>0</v>
      </c>
      <c r="D25" s="825">
        <f>+D26+D27</f>
        <v>0</v>
      </c>
      <c r="E25" s="918">
        <f>+E26+E27</f>
        <v>0</v>
      </c>
    </row>
    <row r="26" spans="1:5" s="431" customFormat="1" ht="12" customHeight="1">
      <c r="A26" s="423" t="s">
        <v>260</v>
      </c>
      <c r="B26" s="424" t="s">
        <v>451</v>
      </c>
      <c r="C26" s="72"/>
      <c r="D26" s="924"/>
      <c r="E26" s="919">
        <f>SUM(C26:D26)</f>
        <v>0</v>
      </c>
    </row>
    <row r="27" spans="1:5" s="431" customFormat="1" ht="12" customHeight="1">
      <c r="A27" s="423" t="s">
        <v>263</v>
      </c>
      <c r="B27" s="425" t="s">
        <v>454</v>
      </c>
      <c r="C27" s="302"/>
      <c r="D27" s="924"/>
      <c r="E27" s="919">
        <f>SUM(C27:D27)</f>
        <v>0</v>
      </c>
    </row>
    <row r="28" spans="1:5" s="431" customFormat="1" ht="12" customHeight="1" thickBot="1">
      <c r="A28" s="422" t="s">
        <v>264</v>
      </c>
      <c r="B28" s="426" t="s">
        <v>455</v>
      </c>
      <c r="C28" s="79"/>
      <c r="D28" s="924"/>
      <c r="E28" s="919">
        <f>SUM(C28:D28)</f>
        <v>0</v>
      </c>
    </row>
    <row r="29" spans="1:5" s="431" customFormat="1" ht="12" customHeight="1" thickBot="1">
      <c r="A29" s="204" t="s">
        <v>23</v>
      </c>
      <c r="B29" s="119" t="s">
        <v>456</v>
      </c>
      <c r="C29" s="301">
        <f>+C30+C31+C32</f>
        <v>0</v>
      </c>
      <c r="D29" s="825">
        <f>+D30+D31+D32</f>
        <v>0</v>
      </c>
      <c r="E29" s="918">
        <f>+E30+E31+E32</f>
        <v>0</v>
      </c>
    </row>
    <row r="30" spans="1:5" s="431" customFormat="1" ht="12" customHeight="1">
      <c r="A30" s="423" t="s">
        <v>96</v>
      </c>
      <c r="B30" s="424" t="s">
        <v>289</v>
      </c>
      <c r="C30" s="72"/>
      <c r="D30" s="924"/>
      <c r="E30" s="919">
        <f>SUM(C30:D30)</f>
        <v>0</v>
      </c>
    </row>
    <row r="31" spans="1:5" s="431" customFormat="1" ht="12" customHeight="1">
      <c r="A31" s="423" t="s">
        <v>97</v>
      </c>
      <c r="B31" s="425" t="s">
        <v>290</v>
      </c>
      <c r="C31" s="302"/>
      <c r="D31" s="924"/>
      <c r="E31" s="919">
        <f>SUM(C31:D31)</f>
        <v>0</v>
      </c>
    </row>
    <row r="32" spans="1:5" s="431" customFormat="1" ht="12" customHeight="1" thickBot="1">
      <c r="A32" s="422" t="s">
        <v>98</v>
      </c>
      <c r="B32" s="135" t="s">
        <v>291</v>
      </c>
      <c r="C32" s="79"/>
      <c r="D32" s="925"/>
      <c r="E32" s="920">
        <f>SUM(C32:D32)</f>
        <v>0</v>
      </c>
    </row>
    <row r="33" spans="1:5" s="359" customFormat="1" ht="12" customHeight="1" thickBot="1">
      <c r="A33" s="204" t="s">
        <v>24</v>
      </c>
      <c r="B33" s="119" t="s">
        <v>404</v>
      </c>
      <c r="C33" s="328"/>
      <c r="D33" s="927"/>
      <c r="E33" s="57">
        <f>SUM(C33:D33)</f>
        <v>0</v>
      </c>
    </row>
    <row r="34" spans="1:5" s="359" customFormat="1" ht="12" customHeight="1" thickBot="1">
      <c r="A34" s="204" t="s">
        <v>25</v>
      </c>
      <c r="B34" s="119" t="s">
        <v>457</v>
      </c>
      <c r="C34" s="350"/>
      <c r="D34" s="928"/>
      <c r="E34" s="921">
        <f>SUM(C34:D34)</f>
        <v>0</v>
      </c>
    </row>
    <row r="35" spans="1:5" s="359" customFormat="1" ht="12" customHeight="1" thickBot="1">
      <c r="A35" s="196" t="s">
        <v>26</v>
      </c>
      <c r="B35" s="119" t="s">
        <v>458</v>
      </c>
      <c r="C35" s="351">
        <f>+C8+C19+C24+C25+C29+C33+C34</f>
        <v>0</v>
      </c>
      <c r="D35" s="939">
        <f>+D8+D19+D24+D25+D29+D33+D34</f>
        <v>0</v>
      </c>
      <c r="E35" s="922">
        <f>+E8+E19+E24+E25+E29+E33+E34</f>
        <v>0</v>
      </c>
    </row>
    <row r="36" spans="1:5" s="359" customFormat="1" ht="12" customHeight="1" thickBot="1">
      <c r="A36" s="221" t="s">
        <v>27</v>
      </c>
      <c r="B36" s="119" t="s">
        <v>459</v>
      </c>
      <c r="C36" s="351">
        <f>+C37+C38+C39</f>
        <v>148869944</v>
      </c>
      <c r="D36" s="939">
        <f>+D37+D38+D39</f>
        <v>1378093</v>
      </c>
      <c r="E36" s="922">
        <f>+E37+E38+E39</f>
        <v>150248037</v>
      </c>
    </row>
    <row r="37" spans="1:5" s="359" customFormat="1" ht="12" customHeight="1">
      <c r="A37" s="423" t="s">
        <v>460</v>
      </c>
      <c r="B37" s="424" t="s">
        <v>225</v>
      </c>
      <c r="C37" s="72"/>
      <c r="D37" s="1021">
        <v>1360782</v>
      </c>
      <c r="E37" s="919">
        <f>SUM(C37:D37)</f>
        <v>1360782</v>
      </c>
    </row>
    <row r="38" spans="1:5" s="359" customFormat="1" ht="12" customHeight="1">
      <c r="A38" s="423" t="s">
        <v>461</v>
      </c>
      <c r="B38" s="425" t="s">
        <v>3</v>
      </c>
      <c r="C38" s="302"/>
      <c r="D38" s="923"/>
      <c r="E38" s="919">
        <f>SUM(C38:D38)</f>
        <v>0</v>
      </c>
    </row>
    <row r="39" spans="1:5" s="431" customFormat="1" ht="12" customHeight="1" thickBot="1">
      <c r="A39" s="422" t="s">
        <v>462</v>
      </c>
      <c r="B39" s="135" t="s">
        <v>463</v>
      </c>
      <c r="C39" s="930">
        <v>148869944</v>
      </c>
      <c r="D39" s="1022">
        <v>17311</v>
      </c>
      <c r="E39" s="920">
        <f>SUM(C39:D39)</f>
        <v>148887255</v>
      </c>
    </row>
    <row r="40" spans="1:5" s="431" customFormat="1" ht="15" customHeight="1" thickBot="1">
      <c r="A40" s="221" t="s">
        <v>28</v>
      </c>
      <c r="B40" s="915" t="s">
        <v>464</v>
      </c>
      <c r="C40" s="931">
        <f>+C35+C36</f>
        <v>148869944</v>
      </c>
      <c r="D40" s="929">
        <f>+D35+D36</f>
        <v>1378093</v>
      </c>
      <c r="E40" s="917">
        <f>+E35+E36</f>
        <v>150248037</v>
      </c>
    </row>
    <row r="41" spans="1:5" s="431" customFormat="1" ht="15" customHeight="1">
      <c r="A41" s="223"/>
      <c r="B41" s="224"/>
      <c r="C41" s="352"/>
      <c r="E41" s="226"/>
    </row>
    <row r="42" spans="1:5" ht="13.5" thickBot="1">
      <c r="A42" s="225"/>
      <c r="B42" s="226"/>
      <c r="C42" s="353"/>
    </row>
    <row r="43" spans="1:5" s="430" customFormat="1" ht="16.5" customHeight="1" thickBot="1">
      <c r="A43" s="227"/>
      <c r="B43" s="380" t="s">
        <v>60</v>
      </c>
      <c r="C43" s="750"/>
      <c r="D43" s="932"/>
      <c r="E43" s="933"/>
    </row>
    <row r="44" spans="1:5" s="432" customFormat="1" ht="12" customHeight="1" thickBot="1">
      <c r="A44" s="204" t="s">
        <v>19</v>
      </c>
      <c r="B44" s="681" t="s">
        <v>465</v>
      </c>
      <c r="C44" s="835">
        <f>SUM(C45:C49)</f>
        <v>148869944</v>
      </c>
      <c r="D44" s="939">
        <f>SUM(D45:D49)</f>
        <v>1378093</v>
      </c>
      <c r="E44" s="301">
        <f>SUM(E45:E49)</f>
        <v>150248037</v>
      </c>
    </row>
    <row r="45" spans="1:5" ht="12" customHeight="1">
      <c r="A45" s="422" t="s">
        <v>103</v>
      </c>
      <c r="B45" s="8" t="s">
        <v>49</v>
      </c>
      <c r="C45" s="821">
        <v>109435200</v>
      </c>
      <c r="D45" s="1018">
        <v>13800</v>
      </c>
      <c r="E45" s="941">
        <f>SUM(C45:D45)</f>
        <v>109449000</v>
      </c>
    </row>
    <row r="46" spans="1:5" ht="12" customHeight="1">
      <c r="A46" s="422" t="s">
        <v>104</v>
      </c>
      <c r="B46" s="7" t="s">
        <v>165</v>
      </c>
      <c r="C46" s="826">
        <v>25927744</v>
      </c>
      <c r="D46" s="1018">
        <v>3511</v>
      </c>
      <c r="E46" s="935">
        <f>SUM(C46:D46)</f>
        <v>25931255</v>
      </c>
    </row>
    <row r="47" spans="1:5" ht="12" customHeight="1">
      <c r="A47" s="422" t="s">
        <v>105</v>
      </c>
      <c r="B47" s="7" t="s">
        <v>129</v>
      </c>
      <c r="C47" s="826">
        <v>13507000</v>
      </c>
      <c r="D47" s="1018">
        <v>1360782</v>
      </c>
      <c r="E47" s="935">
        <f>SUM(C47:D47)</f>
        <v>14867782</v>
      </c>
    </row>
    <row r="48" spans="1:5" ht="12" customHeight="1">
      <c r="A48" s="422" t="s">
        <v>106</v>
      </c>
      <c r="B48" s="7" t="s">
        <v>166</v>
      </c>
      <c r="C48" s="826"/>
      <c r="D48" s="1018"/>
      <c r="E48" s="935">
        <f>SUM(C48:D48)</f>
        <v>0</v>
      </c>
    </row>
    <row r="49" spans="1:5" ht="12" customHeight="1" thickBot="1">
      <c r="A49" s="422" t="s">
        <v>131</v>
      </c>
      <c r="B49" s="7" t="s">
        <v>167</v>
      </c>
      <c r="C49" s="826"/>
      <c r="D49" s="1018"/>
      <c r="E49" s="937">
        <f>SUM(C49:D49)</f>
        <v>0</v>
      </c>
    </row>
    <row r="50" spans="1:5" ht="12" customHeight="1" thickBot="1">
      <c r="A50" s="204" t="s">
        <v>20</v>
      </c>
      <c r="B50" s="119" t="s">
        <v>466</v>
      </c>
      <c r="C50" s="818">
        <f>SUM(C51:C53)</f>
        <v>0</v>
      </c>
      <c r="D50" s="939">
        <f>SUM(D51:D53)</f>
        <v>0</v>
      </c>
      <c r="E50" s="301">
        <f>SUM(E51:E53)</f>
        <v>0</v>
      </c>
    </row>
    <row r="51" spans="1:5" s="432" customFormat="1" ht="12" customHeight="1">
      <c r="A51" s="422" t="s">
        <v>109</v>
      </c>
      <c r="B51" s="8" t="s">
        <v>215</v>
      </c>
      <c r="C51" s="821"/>
      <c r="D51" s="938"/>
      <c r="E51" s="921">
        <f>SUM(C51:D51)</f>
        <v>0</v>
      </c>
    </row>
    <row r="52" spans="1:5" ht="12" customHeight="1">
      <c r="A52" s="422" t="s">
        <v>110</v>
      </c>
      <c r="B52" s="7" t="s">
        <v>169</v>
      </c>
      <c r="C52" s="826"/>
      <c r="D52" s="934"/>
      <c r="E52" s="919">
        <f>SUM(C52:D52)</f>
        <v>0</v>
      </c>
    </row>
    <row r="53" spans="1:5" ht="12" customHeight="1">
      <c r="A53" s="422" t="s">
        <v>111</v>
      </c>
      <c r="B53" s="7" t="s">
        <v>61</v>
      </c>
      <c r="C53" s="826"/>
      <c r="D53" s="934"/>
      <c r="E53" s="919">
        <f>SUM(C53:D53)</f>
        <v>0</v>
      </c>
    </row>
    <row r="54" spans="1:5" ht="12" customHeight="1" thickBot="1">
      <c r="A54" s="422" t="s">
        <v>112</v>
      </c>
      <c r="B54" s="7" t="s">
        <v>4</v>
      </c>
      <c r="C54" s="826"/>
      <c r="D54" s="936"/>
      <c r="E54" s="920">
        <f>SUM(C54:D54)</f>
        <v>0</v>
      </c>
    </row>
    <row r="55" spans="1:5" ht="15" customHeight="1" thickBot="1">
      <c r="A55" s="204" t="s">
        <v>21</v>
      </c>
      <c r="B55" s="229" t="s">
        <v>467</v>
      </c>
      <c r="C55" s="827">
        <f>+C44+C50</f>
        <v>148869944</v>
      </c>
      <c r="D55" s="916">
        <f>+D44+D50</f>
        <v>1378093</v>
      </c>
      <c r="E55" s="355">
        <f>+E44+E50</f>
        <v>150248037</v>
      </c>
    </row>
    <row r="56" spans="1:5" ht="13.5" thickBot="1">
      <c r="C56" s="356"/>
    </row>
    <row r="57" spans="1:5" ht="15" customHeight="1" thickBot="1">
      <c r="A57" s="232" t="s">
        <v>188</v>
      </c>
      <c r="B57" s="233"/>
      <c r="C57" s="116">
        <v>35</v>
      </c>
      <c r="D57" s="943"/>
      <c r="E57" s="942">
        <f>SUM(C57:D57)</f>
        <v>35</v>
      </c>
    </row>
    <row r="58" spans="1:5" ht="14.25" customHeight="1" thickBot="1">
      <c r="A58" s="232" t="s">
        <v>189</v>
      </c>
      <c r="B58" s="233"/>
      <c r="C58" s="116"/>
      <c r="D58" s="943"/>
      <c r="E58" s="942">
        <f>SUM(C58:D58)</f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9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58"/>
  <sheetViews>
    <sheetView workbookViewId="0">
      <selection activeCell="H56" sqref="H56"/>
    </sheetView>
  </sheetViews>
  <sheetFormatPr defaultRowHeight="12.75"/>
  <cols>
    <col min="1" max="1" width="13.83203125" style="230" customWidth="1"/>
    <col min="2" max="2" width="79.1640625" style="231" customWidth="1"/>
    <col min="3" max="3" width="15.83203125" style="231" customWidth="1"/>
    <col min="4" max="4" width="15.33203125" style="947" customWidth="1"/>
    <col min="5" max="5" width="16.5" style="961" customWidth="1"/>
    <col min="6" max="16384" width="9.33203125" style="231"/>
  </cols>
  <sheetData>
    <row r="1" spans="1:5" s="210" customFormat="1" ht="21" customHeight="1" thickBot="1">
      <c r="A1" s="209"/>
      <c r="B1" s="211"/>
      <c r="C1" s="427" t="s">
        <v>825</v>
      </c>
      <c r="D1" s="946"/>
      <c r="E1" s="956"/>
    </row>
    <row r="2" spans="1:5" s="428" customFormat="1" ht="25.5" customHeight="1">
      <c r="A2" s="379" t="s">
        <v>186</v>
      </c>
      <c r="B2" s="342" t="s">
        <v>692</v>
      </c>
      <c r="C2" s="357" t="s">
        <v>489</v>
      </c>
      <c r="D2" s="907"/>
      <c r="E2" s="910"/>
    </row>
    <row r="3" spans="1:5" s="428" customFormat="1" ht="24.75" thickBot="1">
      <c r="A3" s="420" t="s">
        <v>185</v>
      </c>
      <c r="B3" s="343" t="s">
        <v>488</v>
      </c>
      <c r="C3" s="358" t="s">
        <v>54</v>
      </c>
      <c r="D3" s="907"/>
      <c r="E3" s="910"/>
    </row>
    <row r="4" spans="1:5" s="429" customFormat="1" ht="15.95" customHeight="1" thickBot="1">
      <c r="A4" s="213"/>
      <c r="B4" s="213"/>
      <c r="D4" s="907"/>
      <c r="E4" s="214" t="s">
        <v>794</v>
      </c>
    </row>
    <row r="5" spans="1:5" ht="21.75" thickBot="1">
      <c r="A5" s="380" t="s">
        <v>187</v>
      </c>
      <c r="B5" s="215" t="s">
        <v>56</v>
      </c>
      <c r="C5" s="216" t="s">
        <v>57</v>
      </c>
      <c r="D5" s="830" t="s">
        <v>838</v>
      </c>
      <c r="E5" s="831" t="s">
        <v>834</v>
      </c>
    </row>
    <row r="6" spans="1:5" s="430" customFormat="1" ht="12.95" customHeight="1" thickBot="1">
      <c r="A6" s="196">
        <v>1</v>
      </c>
      <c r="B6" s="197">
        <v>2</v>
      </c>
      <c r="C6" s="198">
        <v>3</v>
      </c>
      <c r="D6" s="902">
        <v>4</v>
      </c>
      <c r="E6" s="903">
        <v>5</v>
      </c>
    </row>
    <row r="7" spans="1:5" s="430" customFormat="1" ht="15.95" customHeight="1" thickBot="1">
      <c r="A7" s="836"/>
      <c r="B7" s="836" t="s">
        <v>58</v>
      </c>
      <c r="C7" s="837"/>
      <c r="D7" s="847"/>
      <c r="E7" s="911"/>
    </row>
    <row r="8" spans="1:5" s="359" customFormat="1" ht="12" customHeight="1" thickBot="1">
      <c r="A8" s="944" t="s">
        <v>19</v>
      </c>
      <c r="B8" s="945" t="s">
        <v>447</v>
      </c>
      <c r="C8" s="948">
        <f>SUM(C9:C18)</f>
        <v>0</v>
      </c>
      <c r="D8" s="951">
        <f>SUM(D9:D18)</f>
        <v>0</v>
      </c>
      <c r="E8" s="963">
        <f>SUM(E9:E18)</f>
        <v>0</v>
      </c>
    </row>
    <row r="9" spans="1:5" s="359" customFormat="1" ht="12" customHeight="1">
      <c r="A9" s="423" t="s">
        <v>103</v>
      </c>
      <c r="B9" s="8" t="s">
        <v>275</v>
      </c>
      <c r="C9" s="861"/>
      <c r="D9" s="950"/>
      <c r="E9" s="957">
        <f t="shared" ref="E9:E18" si="0">SUM(D9:D9)</f>
        <v>0</v>
      </c>
    </row>
    <row r="10" spans="1:5" s="359" customFormat="1" ht="12" customHeight="1">
      <c r="A10" s="422" t="s">
        <v>104</v>
      </c>
      <c r="B10" s="7" t="s">
        <v>276</v>
      </c>
      <c r="C10" s="294"/>
      <c r="D10" s="949"/>
      <c r="E10" s="958">
        <f t="shared" si="0"/>
        <v>0</v>
      </c>
    </row>
    <row r="11" spans="1:5" s="359" customFormat="1" ht="12" customHeight="1">
      <c r="A11" s="422" t="s">
        <v>105</v>
      </c>
      <c r="B11" s="7" t="s">
        <v>277</v>
      </c>
      <c r="C11" s="294"/>
      <c r="D11" s="949"/>
      <c r="E11" s="958">
        <f t="shared" si="0"/>
        <v>0</v>
      </c>
    </row>
    <row r="12" spans="1:5" s="359" customFormat="1" ht="12" customHeight="1">
      <c r="A12" s="422" t="s">
        <v>106</v>
      </c>
      <c r="B12" s="7" t="s">
        <v>278</v>
      </c>
      <c r="C12" s="294"/>
      <c r="D12" s="949"/>
      <c r="E12" s="958">
        <f t="shared" si="0"/>
        <v>0</v>
      </c>
    </row>
    <row r="13" spans="1:5" s="359" customFormat="1" ht="12" customHeight="1">
      <c r="A13" s="422" t="s">
        <v>131</v>
      </c>
      <c r="B13" s="7" t="s">
        <v>279</v>
      </c>
      <c r="C13" s="294"/>
      <c r="D13" s="949"/>
      <c r="E13" s="958">
        <f t="shared" si="0"/>
        <v>0</v>
      </c>
    </row>
    <row r="14" spans="1:5" s="359" customFormat="1" ht="12" customHeight="1">
      <c r="A14" s="422" t="s">
        <v>107</v>
      </c>
      <c r="B14" s="7" t="s">
        <v>448</v>
      </c>
      <c r="C14" s="294"/>
      <c r="D14" s="949"/>
      <c r="E14" s="958">
        <f t="shared" si="0"/>
        <v>0</v>
      </c>
    </row>
    <row r="15" spans="1:5" s="359" customFormat="1" ht="12" customHeight="1">
      <c r="A15" s="422" t="s">
        <v>108</v>
      </c>
      <c r="B15" s="6" t="s">
        <v>449</v>
      </c>
      <c r="C15" s="294"/>
      <c r="D15" s="949"/>
      <c r="E15" s="958">
        <f t="shared" si="0"/>
        <v>0</v>
      </c>
    </row>
    <row r="16" spans="1:5" s="359" customFormat="1" ht="12" customHeight="1">
      <c r="A16" s="422" t="s">
        <v>118</v>
      </c>
      <c r="B16" s="7" t="s">
        <v>282</v>
      </c>
      <c r="C16" s="377"/>
      <c r="D16" s="949"/>
      <c r="E16" s="958">
        <f t="shared" si="0"/>
        <v>0</v>
      </c>
    </row>
    <row r="17" spans="1:5" s="431" customFormat="1" ht="12" customHeight="1">
      <c r="A17" s="422" t="s">
        <v>119</v>
      </c>
      <c r="B17" s="7" t="s">
        <v>283</v>
      </c>
      <c r="C17" s="294"/>
      <c r="D17" s="949"/>
      <c r="E17" s="958">
        <f t="shared" si="0"/>
        <v>0</v>
      </c>
    </row>
    <row r="18" spans="1:5" s="431" customFormat="1" ht="12" customHeight="1" thickBot="1">
      <c r="A18" s="422" t="s">
        <v>120</v>
      </c>
      <c r="B18" s="6" t="s">
        <v>284</v>
      </c>
      <c r="C18" s="819"/>
      <c r="D18" s="952"/>
      <c r="E18" s="959">
        <f t="shared" si="0"/>
        <v>0</v>
      </c>
    </row>
    <row r="19" spans="1:5" s="359" customFormat="1" ht="12" customHeight="1" thickBot="1">
      <c r="A19" s="196" t="s">
        <v>20</v>
      </c>
      <c r="B19" s="220" t="s">
        <v>450</v>
      </c>
      <c r="C19" s="818">
        <f>SUM(C20:C22)</f>
        <v>0</v>
      </c>
      <c r="D19" s="939">
        <f>SUM(D20:D22)</f>
        <v>0</v>
      </c>
      <c r="E19" s="873">
        <f>SUM(E20:E22)</f>
        <v>0</v>
      </c>
    </row>
    <row r="20" spans="1:5" s="431" customFormat="1" ht="12" customHeight="1">
      <c r="A20" s="422" t="s">
        <v>109</v>
      </c>
      <c r="B20" s="8" t="s">
        <v>250</v>
      </c>
      <c r="C20" s="294"/>
      <c r="D20" s="950"/>
      <c r="E20" s="957">
        <f>SUM(D20:D20)</f>
        <v>0</v>
      </c>
    </row>
    <row r="21" spans="1:5" s="431" customFormat="1" ht="12" customHeight="1">
      <c r="A21" s="422" t="s">
        <v>110</v>
      </c>
      <c r="B21" s="7" t="s">
        <v>451</v>
      </c>
      <c r="C21" s="294"/>
      <c r="D21" s="949"/>
      <c r="E21" s="958">
        <f>SUM(D21:D21)</f>
        <v>0</v>
      </c>
    </row>
    <row r="22" spans="1:5" s="431" customFormat="1" ht="12" customHeight="1">
      <c r="A22" s="422" t="s">
        <v>111</v>
      </c>
      <c r="B22" s="7" t="s">
        <v>452</v>
      </c>
      <c r="C22" s="294"/>
      <c r="D22" s="949"/>
      <c r="E22" s="958">
        <f>SUM(D22:D22)</f>
        <v>0</v>
      </c>
    </row>
    <row r="23" spans="1:5" s="431" customFormat="1" ht="12" customHeight="1" thickBot="1">
      <c r="A23" s="422" t="s">
        <v>112</v>
      </c>
      <c r="B23" s="7" t="s">
        <v>2</v>
      </c>
      <c r="C23" s="294"/>
      <c r="D23" s="952"/>
      <c r="E23" s="959">
        <f>SUM(D23:D23)</f>
        <v>0</v>
      </c>
    </row>
    <row r="24" spans="1:5" s="431" customFormat="1" ht="12" customHeight="1" thickBot="1">
      <c r="A24" s="204" t="s">
        <v>21</v>
      </c>
      <c r="B24" s="119" t="s">
        <v>156</v>
      </c>
      <c r="C24" s="820"/>
      <c r="D24" s="953"/>
      <c r="E24" s="960">
        <f>SUM(D24:D24)</f>
        <v>0</v>
      </c>
    </row>
    <row r="25" spans="1:5" s="431" customFormat="1" ht="12" customHeight="1" thickBot="1">
      <c r="A25" s="204" t="s">
        <v>22</v>
      </c>
      <c r="B25" s="119" t="s">
        <v>453</v>
      </c>
      <c r="C25" s="818">
        <f>+C26+C27</f>
        <v>0</v>
      </c>
      <c r="D25" s="939">
        <f>+D26+D27</f>
        <v>0</v>
      </c>
      <c r="E25" s="873">
        <f>+E26+E27</f>
        <v>0</v>
      </c>
    </row>
    <row r="26" spans="1:5" s="431" customFormat="1" ht="12" customHeight="1">
      <c r="A26" s="423" t="s">
        <v>260</v>
      </c>
      <c r="B26" s="424" t="s">
        <v>451</v>
      </c>
      <c r="C26" s="821"/>
      <c r="D26" s="950"/>
      <c r="E26" s="957">
        <f>SUM(D26:D26)</f>
        <v>0</v>
      </c>
    </row>
    <row r="27" spans="1:5" s="431" customFormat="1" ht="12" customHeight="1">
      <c r="A27" s="423" t="s">
        <v>263</v>
      </c>
      <c r="B27" s="425" t="s">
        <v>454</v>
      </c>
      <c r="C27" s="822"/>
      <c r="D27" s="949"/>
      <c r="E27" s="958">
        <f>SUM(D27:D27)</f>
        <v>0</v>
      </c>
    </row>
    <row r="28" spans="1:5" s="431" customFormat="1" ht="12" customHeight="1" thickBot="1">
      <c r="A28" s="422" t="s">
        <v>264</v>
      </c>
      <c r="B28" s="426" t="s">
        <v>455</v>
      </c>
      <c r="C28" s="823"/>
      <c r="D28" s="952"/>
      <c r="E28" s="959">
        <f>SUM(D28:D28)</f>
        <v>0</v>
      </c>
    </row>
    <row r="29" spans="1:5" s="431" customFormat="1" ht="12" customHeight="1" thickBot="1">
      <c r="A29" s="204" t="s">
        <v>23</v>
      </c>
      <c r="B29" s="119" t="s">
        <v>456</v>
      </c>
      <c r="C29" s="818">
        <f>+C30+C31+C32</f>
        <v>0</v>
      </c>
      <c r="D29" s="939">
        <f>+D30+D31+D32</f>
        <v>0</v>
      </c>
      <c r="E29" s="873">
        <f>+E30+E31+E32</f>
        <v>0</v>
      </c>
    </row>
    <row r="30" spans="1:5" s="431" customFormat="1" ht="12" customHeight="1">
      <c r="A30" s="423" t="s">
        <v>96</v>
      </c>
      <c r="B30" s="424" t="s">
        <v>289</v>
      </c>
      <c r="C30" s="821"/>
      <c r="D30" s="950"/>
      <c r="E30" s="957">
        <f>SUM(D30:D30)</f>
        <v>0</v>
      </c>
    </row>
    <row r="31" spans="1:5" s="431" customFormat="1" ht="12" customHeight="1">
      <c r="A31" s="423" t="s">
        <v>97</v>
      </c>
      <c r="B31" s="425" t="s">
        <v>290</v>
      </c>
      <c r="C31" s="822"/>
      <c r="D31" s="949"/>
      <c r="E31" s="958">
        <f>SUM(D31:D31)</f>
        <v>0</v>
      </c>
    </row>
    <row r="32" spans="1:5" s="431" customFormat="1" ht="12" customHeight="1" thickBot="1">
      <c r="A32" s="422" t="s">
        <v>98</v>
      </c>
      <c r="B32" s="135" t="s">
        <v>291</v>
      </c>
      <c r="C32" s="823"/>
      <c r="D32" s="952"/>
      <c r="E32" s="959">
        <f>SUM(D32:D32)</f>
        <v>0</v>
      </c>
    </row>
    <row r="33" spans="1:5" s="359" customFormat="1" ht="12" customHeight="1" thickBot="1">
      <c r="A33" s="204" t="s">
        <v>24</v>
      </c>
      <c r="B33" s="119" t="s">
        <v>404</v>
      </c>
      <c r="C33" s="820"/>
      <c r="D33" s="953"/>
      <c r="E33" s="960">
        <f>SUM(D33:D33)</f>
        <v>0</v>
      </c>
    </row>
    <row r="34" spans="1:5" s="359" customFormat="1" ht="12" customHeight="1" thickBot="1">
      <c r="A34" s="204" t="s">
        <v>25</v>
      </c>
      <c r="B34" s="119" t="s">
        <v>457</v>
      </c>
      <c r="C34" s="824"/>
      <c r="D34" s="953"/>
      <c r="E34" s="960">
        <f>SUM(D34:D34)</f>
        <v>0</v>
      </c>
    </row>
    <row r="35" spans="1:5" s="359" customFormat="1" ht="12" customHeight="1" thickBot="1">
      <c r="A35" s="196" t="s">
        <v>26</v>
      </c>
      <c r="B35" s="119" t="s">
        <v>458</v>
      </c>
      <c r="C35" s="825">
        <f>+C8+C19+C24+C25+C29+C33+C34</f>
        <v>0</v>
      </c>
      <c r="D35" s="939">
        <f>+D8+D19+D24+D25+D29+D33+D34</f>
        <v>0</v>
      </c>
      <c r="E35" s="873">
        <f>+E8+E19+E24+E25+E29+E33+E34</f>
        <v>0</v>
      </c>
    </row>
    <row r="36" spans="1:5" s="359" customFormat="1" ht="12" customHeight="1" thickBot="1">
      <c r="A36" s="221" t="s">
        <v>27</v>
      </c>
      <c r="B36" s="119" t="s">
        <v>459</v>
      </c>
      <c r="C36" s="825">
        <f>+C37+C38+C39</f>
        <v>136720000</v>
      </c>
      <c r="D36" s="939">
        <f>+D37+D38+D39</f>
        <v>2264513</v>
      </c>
      <c r="E36" s="873">
        <f>SUM(E37:E39)</f>
        <v>138984513</v>
      </c>
    </row>
    <row r="37" spans="1:5" s="359" customFormat="1" ht="12" customHeight="1">
      <c r="A37" s="423" t="s">
        <v>460</v>
      </c>
      <c r="B37" s="424" t="s">
        <v>225</v>
      </c>
      <c r="C37" s="821"/>
      <c r="D37" s="1018">
        <v>213393</v>
      </c>
      <c r="E37" s="957">
        <f>SUM(C37+D37)</f>
        <v>213393</v>
      </c>
    </row>
    <row r="38" spans="1:5" s="359" customFormat="1" ht="12" customHeight="1">
      <c r="A38" s="423" t="s">
        <v>461</v>
      </c>
      <c r="B38" s="425" t="s">
        <v>3</v>
      </c>
      <c r="C38" s="822"/>
      <c r="D38" s="949"/>
      <c r="E38" s="957">
        <f t="shared" ref="E38:E39" si="1">SUM(C38+D38)</f>
        <v>0</v>
      </c>
    </row>
    <row r="39" spans="1:5" s="431" customFormat="1" ht="12" customHeight="1" thickBot="1">
      <c r="A39" s="422" t="s">
        <v>462</v>
      </c>
      <c r="B39" s="135" t="s">
        <v>463</v>
      </c>
      <c r="C39" s="823">
        <v>136720000</v>
      </c>
      <c r="D39" s="1019">
        <v>2051120</v>
      </c>
      <c r="E39" s="957">
        <f t="shared" si="1"/>
        <v>138771120</v>
      </c>
    </row>
    <row r="40" spans="1:5" s="431" customFormat="1" ht="15" customHeight="1" thickBot="1">
      <c r="A40" s="221" t="s">
        <v>28</v>
      </c>
      <c r="B40" s="222" t="s">
        <v>464</v>
      </c>
      <c r="C40" s="750">
        <f>+C35+C36</f>
        <v>136720000</v>
      </c>
      <c r="D40" s="916">
        <f>+D35+D36</f>
        <v>2264513</v>
      </c>
      <c r="E40" s="960">
        <f>+E35+E36</f>
        <v>138984513</v>
      </c>
    </row>
    <row r="41" spans="1:5" s="431" customFormat="1" ht="15" customHeight="1">
      <c r="A41" s="223"/>
      <c r="B41" s="224"/>
      <c r="C41" s="352"/>
      <c r="D41" s="914"/>
      <c r="E41" s="912"/>
    </row>
    <row r="42" spans="1:5" ht="13.5" thickBot="1">
      <c r="A42" s="225"/>
      <c r="B42" s="226"/>
      <c r="C42" s="353"/>
    </row>
    <row r="43" spans="1:5" s="430" customFormat="1" ht="16.5" customHeight="1" thickBot="1">
      <c r="A43" s="227"/>
      <c r="B43" s="228" t="s">
        <v>60</v>
      </c>
      <c r="C43" s="750"/>
      <c r="D43" s="904"/>
      <c r="E43" s="962"/>
    </row>
    <row r="44" spans="1:5" s="432" customFormat="1" ht="12" customHeight="1" thickBot="1">
      <c r="A44" s="864" t="s">
        <v>19</v>
      </c>
      <c r="B44" s="681" t="s">
        <v>465</v>
      </c>
      <c r="C44" s="835">
        <f>SUM(C45:C49)</f>
        <v>136720000</v>
      </c>
      <c r="D44" s="939">
        <f>SUM(D45:D49)</f>
        <v>2246713</v>
      </c>
      <c r="E44" s="873">
        <f>SUM(E45:E49)</f>
        <v>138966713</v>
      </c>
    </row>
    <row r="45" spans="1:5" ht="12" customHeight="1">
      <c r="A45" s="422" t="s">
        <v>103</v>
      </c>
      <c r="B45" s="8" t="s">
        <v>49</v>
      </c>
      <c r="C45" s="821">
        <v>100735000</v>
      </c>
      <c r="D45" s="1018">
        <v>1219500</v>
      </c>
      <c r="E45" s="968">
        <f>SUM(C45+D45)</f>
        <v>101954500</v>
      </c>
    </row>
    <row r="46" spans="1:5" ht="12" customHeight="1">
      <c r="A46" s="422" t="s">
        <v>104</v>
      </c>
      <c r="B46" s="7" t="s">
        <v>165</v>
      </c>
      <c r="C46" s="826">
        <v>23058000</v>
      </c>
      <c r="D46" s="1020">
        <v>327365</v>
      </c>
      <c r="E46" s="968">
        <f t="shared" ref="E46:E49" si="2">SUM(C46+D46)</f>
        <v>23385365</v>
      </c>
    </row>
    <row r="47" spans="1:5" ht="12" customHeight="1">
      <c r="A47" s="422" t="s">
        <v>105</v>
      </c>
      <c r="B47" s="7" t="s">
        <v>129</v>
      </c>
      <c r="C47" s="826">
        <v>12927000</v>
      </c>
      <c r="D47" s="1020">
        <v>699848</v>
      </c>
      <c r="E47" s="968">
        <f t="shared" si="2"/>
        <v>13626848</v>
      </c>
    </row>
    <row r="48" spans="1:5" ht="12" customHeight="1">
      <c r="A48" s="422" t="s">
        <v>106</v>
      </c>
      <c r="B48" s="7" t="s">
        <v>166</v>
      </c>
      <c r="C48" s="826"/>
      <c r="D48" s="1020"/>
      <c r="E48" s="968">
        <f t="shared" si="2"/>
        <v>0</v>
      </c>
    </row>
    <row r="49" spans="1:5" ht="12" customHeight="1" thickBot="1">
      <c r="A49" s="422" t="s">
        <v>131</v>
      </c>
      <c r="B49" s="7" t="s">
        <v>167</v>
      </c>
      <c r="C49" s="826"/>
      <c r="D49" s="1019"/>
      <c r="E49" s="968">
        <f t="shared" si="2"/>
        <v>0</v>
      </c>
    </row>
    <row r="50" spans="1:5" ht="12" customHeight="1" thickBot="1">
      <c r="A50" s="204" t="s">
        <v>20</v>
      </c>
      <c r="B50" s="119" t="s">
        <v>466</v>
      </c>
      <c r="C50" s="818">
        <f>SUM(C51:C53)</f>
        <v>0</v>
      </c>
      <c r="D50" s="939">
        <f>SUM(D51:D53)</f>
        <v>17800</v>
      </c>
      <c r="E50" s="873">
        <f>SUM(E51:E53)</f>
        <v>17800</v>
      </c>
    </row>
    <row r="51" spans="1:5" s="432" customFormat="1" ht="12" customHeight="1">
      <c r="A51" s="422" t="s">
        <v>109</v>
      </c>
      <c r="B51" s="8" t="s">
        <v>215</v>
      </c>
      <c r="C51" s="821"/>
      <c r="D51" s="1018">
        <v>17800</v>
      </c>
      <c r="E51" s="957">
        <f>SUM(C51+D51)</f>
        <v>17800</v>
      </c>
    </row>
    <row r="52" spans="1:5" ht="12" customHeight="1">
      <c r="A52" s="422" t="s">
        <v>110</v>
      </c>
      <c r="B52" s="7" t="s">
        <v>169</v>
      </c>
      <c r="C52" s="826"/>
      <c r="D52" s="1020"/>
      <c r="E52" s="958">
        <f>SUM(D52:D52)</f>
        <v>0</v>
      </c>
    </row>
    <row r="53" spans="1:5" ht="12" customHeight="1">
      <c r="A53" s="422" t="s">
        <v>111</v>
      </c>
      <c r="B53" s="7" t="s">
        <v>61</v>
      </c>
      <c r="C53" s="826"/>
      <c r="D53" s="954"/>
      <c r="E53" s="958">
        <f>SUM(D53:D53)</f>
        <v>0</v>
      </c>
    </row>
    <row r="54" spans="1:5" ht="12" customHeight="1" thickBot="1">
      <c r="A54" s="422" t="s">
        <v>112</v>
      </c>
      <c r="B54" s="7" t="s">
        <v>4</v>
      </c>
      <c r="C54" s="826"/>
      <c r="D54" s="955"/>
      <c r="E54" s="959">
        <f>SUM(D54:D54)</f>
        <v>0</v>
      </c>
    </row>
    <row r="55" spans="1:5" ht="15" customHeight="1" thickBot="1">
      <c r="A55" s="204" t="s">
        <v>21</v>
      </c>
      <c r="B55" s="229" t="s">
        <v>467</v>
      </c>
      <c r="C55" s="827">
        <f>+C44+C50</f>
        <v>136720000</v>
      </c>
      <c r="D55" s="916">
        <f>+D44+D50</f>
        <v>2264513</v>
      </c>
      <c r="E55" s="960">
        <f>+E44+E50</f>
        <v>138984513</v>
      </c>
    </row>
    <row r="56" spans="1:5" ht="13.5" thickBot="1">
      <c r="C56" s="356"/>
    </row>
    <row r="57" spans="1:5" ht="15" customHeight="1" thickBot="1">
      <c r="A57" s="232" t="s">
        <v>188</v>
      </c>
      <c r="B57" s="233"/>
      <c r="C57" s="751">
        <v>34</v>
      </c>
      <c r="D57" s="966">
        <v>2</v>
      </c>
      <c r="E57" s="967">
        <f>SUM(C57:D57)</f>
        <v>36</v>
      </c>
    </row>
    <row r="58" spans="1:5" ht="14.25" customHeight="1" thickBot="1">
      <c r="A58" s="232" t="s">
        <v>189</v>
      </c>
      <c r="B58" s="233"/>
      <c r="C58" s="751"/>
      <c r="D58" s="964"/>
      <c r="E58" s="965">
        <f>SUM(D58:D58)</f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9"/>
  <sheetViews>
    <sheetView workbookViewId="0">
      <selection activeCell="G11" sqref="G11"/>
    </sheetView>
  </sheetViews>
  <sheetFormatPr defaultRowHeight="12.75"/>
  <cols>
    <col min="1" max="1" width="13.83203125" style="230" customWidth="1"/>
    <col min="2" max="2" width="79.1640625" style="231" customWidth="1"/>
    <col min="3" max="3" width="15" style="231" customWidth="1"/>
    <col min="4" max="4" width="14.83203125" style="231" customWidth="1"/>
    <col min="5" max="5" width="13.1640625" style="231" customWidth="1"/>
    <col min="6" max="6" width="13.83203125" style="231" customWidth="1"/>
    <col min="7" max="7" width="15" style="231" customWidth="1"/>
    <col min="8" max="16384" width="9.33203125" style="231"/>
  </cols>
  <sheetData>
    <row r="1" spans="1:7" s="210" customFormat="1" ht="21" customHeight="1" thickBot="1">
      <c r="A1" s="209"/>
      <c r="B1" s="211"/>
      <c r="C1" s="427" t="s">
        <v>826</v>
      </c>
    </row>
    <row r="2" spans="1:7" s="428" customFormat="1" ht="25.5" customHeight="1">
      <c r="A2" s="379" t="s">
        <v>186</v>
      </c>
      <c r="B2" s="342" t="s">
        <v>698</v>
      </c>
      <c r="C2" s="357" t="s">
        <v>490</v>
      </c>
    </row>
    <row r="3" spans="1:7" s="428" customFormat="1" ht="24.75" thickBot="1">
      <c r="A3" s="420" t="s">
        <v>185</v>
      </c>
      <c r="B3" s="343" t="s">
        <v>491</v>
      </c>
      <c r="C3" s="358" t="s">
        <v>54</v>
      </c>
    </row>
    <row r="4" spans="1:7" s="429" customFormat="1" ht="15.95" customHeight="1" thickBot="1">
      <c r="A4" s="213"/>
      <c r="B4" s="213"/>
      <c r="E4" s="214"/>
      <c r="G4" s="214" t="s">
        <v>794</v>
      </c>
    </row>
    <row r="5" spans="1:7" ht="21.75" thickBot="1">
      <c r="A5" s="380" t="s">
        <v>187</v>
      </c>
      <c r="B5" s="215" t="s">
        <v>56</v>
      </c>
      <c r="C5" s="216" t="s">
        <v>57</v>
      </c>
      <c r="D5" s="830" t="s">
        <v>833</v>
      </c>
      <c r="E5" s="831" t="s">
        <v>834</v>
      </c>
      <c r="F5" s="830" t="s">
        <v>838</v>
      </c>
      <c r="G5" s="831" t="s">
        <v>834</v>
      </c>
    </row>
    <row r="6" spans="1:7" s="430" customFormat="1" ht="12.95" customHeight="1" thickBot="1">
      <c r="A6" s="196">
        <v>1</v>
      </c>
      <c r="B6" s="197">
        <v>2</v>
      </c>
      <c r="C6" s="198">
        <v>3</v>
      </c>
      <c r="D6" s="902">
        <v>4</v>
      </c>
      <c r="E6" s="903">
        <v>5</v>
      </c>
      <c r="F6" s="902">
        <v>4</v>
      </c>
      <c r="G6" s="903">
        <v>5</v>
      </c>
    </row>
    <row r="7" spans="1:7" s="430" customFormat="1" ht="15.95" customHeight="1" thickBot="1">
      <c r="A7" s="836"/>
      <c r="B7" s="836" t="s">
        <v>58</v>
      </c>
      <c r="C7" s="837"/>
      <c r="D7" s="905"/>
      <c r="E7" s="905"/>
      <c r="F7" s="905"/>
      <c r="G7" s="905"/>
    </row>
    <row r="8" spans="1:7" s="359" customFormat="1" ht="12" customHeight="1" thickBot="1">
      <c r="A8" s="196" t="s">
        <v>19</v>
      </c>
      <c r="B8" s="220" t="s">
        <v>447</v>
      </c>
      <c r="C8" s="301">
        <f>SUM(C9:C18)</f>
        <v>2200000</v>
      </c>
      <c r="D8" s="351">
        <f>SUM(D9:D18)</f>
        <v>0</v>
      </c>
      <c r="E8" s="47">
        <f>SUM(E9:E18)</f>
        <v>2200000</v>
      </c>
      <c r="F8" s="351">
        <f>SUM(F9:F18)</f>
        <v>0</v>
      </c>
      <c r="G8" s="47">
        <f>SUM(G9:G18)</f>
        <v>2200000</v>
      </c>
    </row>
    <row r="9" spans="1:7" s="359" customFormat="1" ht="12" customHeight="1">
      <c r="A9" s="423" t="s">
        <v>103</v>
      </c>
      <c r="B9" s="8" t="s">
        <v>275</v>
      </c>
      <c r="C9" s="298"/>
      <c r="D9" s="928"/>
      <c r="E9" s="869">
        <f>SUM(C9:D9)</f>
        <v>0</v>
      </c>
      <c r="F9" s="928"/>
      <c r="G9" s="869"/>
    </row>
    <row r="10" spans="1:7" s="359" customFormat="1" ht="12" customHeight="1">
      <c r="A10" s="422" t="s">
        <v>104</v>
      </c>
      <c r="B10" s="7" t="s">
        <v>276</v>
      </c>
      <c r="C10" s="299">
        <v>2200000</v>
      </c>
      <c r="D10" s="923"/>
      <c r="E10" s="870">
        <f t="shared" ref="E10:E18" si="0">SUM(C10:D10)</f>
        <v>2200000</v>
      </c>
      <c r="F10" s="923"/>
      <c r="G10" s="870">
        <f>SUM(E10+F10)</f>
        <v>2200000</v>
      </c>
    </row>
    <row r="11" spans="1:7" s="359" customFormat="1" ht="12" customHeight="1">
      <c r="A11" s="422" t="s">
        <v>105</v>
      </c>
      <c r="B11" s="7" t="s">
        <v>277</v>
      </c>
      <c r="C11" s="299"/>
      <c r="D11" s="923"/>
      <c r="E11" s="870">
        <f t="shared" si="0"/>
        <v>0</v>
      </c>
      <c r="F11" s="923"/>
      <c r="G11" s="870"/>
    </row>
    <row r="12" spans="1:7" s="359" customFormat="1" ht="12" customHeight="1">
      <c r="A12" s="422" t="s">
        <v>106</v>
      </c>
      <c r="B12" s="7" t="s">
        <v>278</v>
      </c>
      <c r="C12" s="299"/>
      <c r="D12" s="923"/>
      <c r="E12" s="870">
        <f t="shared" si="0"/>
        <v>0</v>
      </c>
      <c r="F12" s="923"/>
      <c r="G12" s="870"/>
    </row>
    <row r="13" spans="1:7" s="359" customFormat="1" ht="12" customHeight="1">
      <c r="A13" s="422" t="s">
        <v>131</v>
      </c>
      <c r="B13" s="7" t="s">
        <v>279</v>
      </c>
      <c r="C13" s="299"/>
      <c r="D13" s="923"/>
      <c r="E13" s="870">
        <f t="shared" si="0"/>
        <v>0</v>
      </c>
      <c r="F13" s="923"/>
      <c r="G13" s="870"/>
    </row>
    <row r="14" spans="1:7" s="359" customFormat="1" ht="12" customHeight="1">
      <c r="A14" s="422" t="s">
        <v>107</v>
      </c>
      <c r="B14" s="7" t="s">
        <v>448</v>
      </c>
      <c r="C14" s="299"/>
      <c r="D14" s="923"/>
      <c r="E14" s="870">
        <f t="shared" si="0"/>
        <v>0</v>
      </c>
      <c r="F14" s="923"/>
      <c r="G14" s="870"/>
    </row>
    <row r="15" spans="1:7" s="359" customFormat="1" ht="12" customHeight="1">
      <c r="A15" s="422" t="s">
        <v>108</v>
      </c>
      <c r="B15" s="6" t="s">
        <v>449</v>
      </c>
      <c r="C15" s="299"/>
      <c r="D15" s="923"/>
      <c r="E15" s="870">
        <f t="shared" si="0"/>
        <v>0</v>
      </c>
      <c r="F15" s="923"/>
      <c r="G15" s="870"/>
    </row>
    <row r="16" spans="1:7" s="359" customFormat="1" ht="12" customHeight="1">
      <c r="A16" s="422" t="s">
        <v>118</v>
      </c>
      <c r="B16" s="7" t="s">
        <v>282</v>
      </c>
      <c r="C16" s="349"/>
      <c r="D16" s="923"/>
      <c r="E16" s="870">
        <f t="shared" si="0"/>
        <v>0</v>
      </c>
      <c r="F16" s="923"/>
      <c r="G16" s="870"/>
    </row>
    <row r="17" spans="1:7" s="431" customFormat="1" ht="12" customHeight="1">
      <c r="A17" s="422" t="s">
        <v>119</v>
      </c>
      <c r="B17" s="7" t="s">
        <v>283</v>
      </c>
      <c r="C17" s="299"/>
      <c r="D17" s="924"/>
      <c r="E17" s="870">
        <f t="shared" si="0"/>
        <v>0</v>
      </c>
      <c r="F17" s="924"/>
      <c r="G17" s="870"/>
    </row>
    <row r="18" spans="1:7" s="431" customFormat="1" ht="12" customHeight="1" thickBot="1">
      <c r="A18" s="422" t="s">
        <v>120</v>
      </c>
      <c r="B18" s="6" t="s">
        <v>284</v>
      </c>
      <c r="C18" s="300"/>
      <c r="D18" s="925"/>
      <c r="E18" s="969">
        <f t="shared" si="0"/>
        <v>0</v>
      </c>
      <c r="F18" s="925"/>
      <c r="G18" s="969"/>
    </row>
    <row r="19" spans="1:7" s="359" customFormat="1" ht="12" customHeight="1" thickBot="1">
      <c r="A19" s="196" t="s">
        <v>20</v>
      </c>
      <c r="B19" s="220" t="s">
        <v>450</v>
      </c>
      <c r="C19" s="301">
        <f>SUM(C20:C22)</f>
        <v>0</v>
      </c>
      <c r="D19" s="982">
        <f>SUM(D20:D22)</f>
        <v>0</v>
      </c>
      <c r="E19" s="47">
        <f>SUM(E20:E22)</f>
        <v>0</v>
      </c>
      <c r="F19" s="982">
        <f>SUM(F20:F22)</f>
        <v>0</v>
      </c>
      <c r="G19" s="47">
        <f>SUM(G20:G22)</f>
        <v>0</v>
      </c>
    </row>
    <row r="20" spans="1:7" s="431" customFormat="1" ht="12" customHeight="1">
      <c r="A20" s="422" t="s">
        <v>109</v>
      </c>
      <c r="B20" s="8" t="s">
        <v>250</v>
      </c>
      <c r="C20" s="299"/>
      <c r="D20" s="983"/>
      <c r="E20" s="869">
        <f>SUM(C20:D20)</f>
        <v>0</v>
      </c>
      <c r="F20" s="983"/>
      <c r="G20" s="869">
        <f>SUM(E20:F20)</f>
        <v>0</v>
      </c>
    </row>
    <row r="21" spans="1:7" s="431" customFormat="1" ht="12" customHeight="1">
      <c r="A21" s="422" t="s">
        <v>110</v>
      </c>
      <c r="B21" s="7" t="s">
        <v>451</v>
      </c>
      <c r="C21" s="299"/>
      <c r="D21" s="924"/>
      <c r="E21" s="870">
        <f>SUM(C21:D21)</f>
        <v>0</v>
      </c>
      <c r="F21" s="924"/>
      <c r="G21" s="870">
        <f>SUM(E21:F21)</f>
        <v>0</v>
      </c>
    </row>
    <row r="22" spans="1:7" s="431" customFormat="1" ht="12" customHeight="1">
      <c r="A22" s="422" t="s">
        <v>111</v>
      </c>
      <c r="B22" s="7" t="s">
        <v>452</v>
      </c>
      <c r="C22" s="299"/>
      <c r="D22" s="924"/>
      <c r="E22" s="870">
        <f>SUM(C22:D22)</f>
        <v>0</v>
      </c>
      <c r="F22" s="924"/>
      <c r="G22" s="870">
        <f>SUM(E22:F22)</f>
        <v>0</v>
      </c>
    </row>
    <row r="23" spans="1:7" s="431" customFormat="1" ht="12" customHeight="1" thickBot="1">
      <c r="A23" s="422" t="s">
        <v>112</v>
      </c>
      <c r="B23" s="7" t="s">
        <v>2</v>
      </c>
      <c r="C23" s="299"/>
      <c r="D23" s="925"/>
      <c r="E23" s="969">
        <f>SUM(C23:D23)</f>
        <v>0</v>
      </c>
      <c r="F23" s="925"/>
      <c r="G23" s="969">
        <f>SUM(E23:F23)</f>
        <v>0</v>
      </c>
    </row>
    <row r="24" spans="1:7" s="431" customFormat="1" ht="12" customHeight="1" thickBot="1">
      <c r="A24" s="204" t="s">
        <v>21</v>
      </c>
      <c r="B24" s="119" t="s">
        <v>156</v>
      </c>
      <c r="C24" s="328"/>
      <c r="D24" s="926"/>
      <c r="E24" s="47">
        <f>SUM(E25:E27)</f>
        <v>0</v>
      </c>
      <c r="F24" s="926"/>
      <c r="G24" s="47">
        <f>SUM(G25:G27)</f>
        <v>0</v>
      </c>
    </row>
    <row r="25" spans="1:7" s="431" customFormat="1" ht="12" customHeight="1" thickBot="1">
      <c r="A25" s="204" t="s">
        <v>22</v>
      </c>
      <c r="B25" s="119" t="s">
        <v>453</v>
      </c>
      <c r="C25" s="301">
        <f>+C26+C27</f>
        <v>0</v>
      </c>
      <c r="D25" s="982">
        <f>+D26+D27</f>
        <v>0</v>
      </c>
      <c r="E25" s="47">
        <f>+E26+E27</f>
        <v>0</v>
      </c>
      <c r="F25" s="982">
        <f>+F26+F27</f>
        <v>0</v>
      </c>
      <c r="G25" s="47">
        <f>+G26+G27</f>
        <v>0</v>
      </c>
    </row>
    <row r="26" spans="1:7" s="431" customFormat="1" ht="12" customHeight="1">
      <c r="A26" s="423" t="s">
        <v>260</v>
      </c>
      <c r="B26" s="424" t="s">
        <v>451</v>
      </c>
      <c r="C26" s="72"/>
      <c r="D26" s="983"/>
      <c r="E26" s="869">
        <f>SUM(C26:D26)</f>
        <v>0</v>
      </c>
      <c r="F26" s="983"/>
      <c r="G26" s="869">
        <f>SUM(E26:F26)</f>
        <v>0</v>
      </c>
    </row>
    <row r="27" spans="1:7" s="431" customFormat="1" ht="12" customHeight="1">
      <c r="A27" s="423" t="s">
        <v>263</v>
      </c>
      <c r="B27" s="425" t="s">
        <v>454</v>
      </c>
      <c r="C27" s="302"/>
      <c r="D27" s="924"/>
      <c r="E27" s="870">
        <f>SUM(C27:D27)</f>
        <v>0</v>
      </c>
      <c r="F27" s="924"/>
      <c r="G27" s="870">
        <f>SUM(E27:F27)</f>
        <v>0</v>
      </c>
    </row>
    <row r="28" spans="1:7" s="431" customFormat="1" ht="12" customHeight="1" thickBot="1">
      <c r="A28" s="422" t="s">
        <v>264</v>
      </c>
      <c r="B28" s="426" t="s">
        <v>455</v>
      </c>
      <c r="C28" s="79"/>
      <c r="D28" s="925"/>
      <c r="E28" s="969">
        <f>SUM(C28:D28)</f>
        <v>0</v>
      </c>
      <c r="F28" s="925"/>
      <c r="G28" s="969">
        <f>SUM(E28:F28)</f>
        <v>0</v>
      </c>
    </row>
    <row r="29" spans="1:7" s="431" customFormat="1" ht="12" customHeight="1" thickBot="1">
      <c r="A29" s="204" t="s">
        <v>23</v>
      </c>
      <c r="B29" s="119" t="s">
        <v>456</v>
      </c>
      <c r="C29" s="301">
        <f>+C30+C31+C32</f>
        <v>0</v>
      </c>
      <c r="D29" s="982">
        <f>+D30+D31+D32</f>
        <v>0</v>
      </c>
      <c r="E29" s="47">
        <f>+E30+E31+E32</f>
        <v>0</v>
      </c>
      <c r="F29" s="982">
        <f>+F30+F31+F32</f>
        <v>0</v>
      </c>
      <c r="G29" s="47">
        <f>+G30+G31+G32</f>
        <v>0</v>
      </c>
    </row>
    <row r="30" spans="1:7" s="431" customFormat="1" ht="12" customHeight="1">
      <c r="A30" s="423" t="s">
        <v>96</v>
      </c>
      <c r="B30" s="424" t="s">
        <v>289</v>
      </c>
      <c r="C30" s="72"/>
      <c r="D30" s="983"/>
      <c r="E30" s="869">
        <f>SUM(C30:D30)</f>
        <v>0</v>
      </c>
      <c r="F30" s="983"/>
      <c r="G30" s="869">
        <f>SUM(E30:F30)</f>
        <v>0</v>
      </c>
    </row>
    <row r="31" spans="1:7" s="431" customFormat="1" ht="12" customHeight="1">
      <c r="A31" s="423" t="s">
        <v>97</v>
      </c>
      <c r="B31" s="425" t="s">
        <v>290</v>
      </c>
      <c r="C31" s="302"/>
      <c r="D31" s="924"/>
      <c r="E31" s="870">
        <f>SUM(C31:D31)</f>
        <v>0</v>
      </c>
      <c r="F31" s="924"/>
      <c r="G31" s="870">
        <f>SUM(E31:F31)</f>
        <v>0</v>
      </c>
    </row>
    <row r="32" spans="1:7" s="431" customFormat="1" ht="12" customHeight="1" thickBot="1">
      <c r="A32" s="422" t="s">
        <v>98</v>
      </c>
      <c r="B32" s="135" t="s">
        <v>291</v>
      </c>
      <c r="C32" s="79"/>
      <c r="D32" s="925"/>
      <c r="E32" s="969">
        <f>SUM(C32:D32)</f>
        <v>0</v>
      </c>
      <c r="F32" s="925"/>
      <c r="G32" s="969">
        <f>SUM(E32:F32)</f>
        <v>0</v>
      </c>
    </row>
    <row r="33" spans="1:7" s="359" customFormat="1" ht="12" customHeight="1" thickBot="1">
      <c r="A33" s="204" t="s">
        <v>24</v>
      </c>
      <c r="B33" s="119" t="s">
        <v>404</v>
      </c>
      <c r="C33" s="328"/>
      <c r="D33" s="927"/>
      <c r="E33" s="980">
        <f>SUM(C33:D33)</f>
        <v>0</v>
      </c>
      <c r="F33" s="927"/>
      <c r="G33" s="980">
        <f>SUM(E33:F33)</f>
        <v>0</v>
      </c>
    </row>
    <row r="34" spans="1:7" s="359" customFormat="1" ht="12" customHeight="1" thickBot="1">
      <c r="A34" s="204" t="s">
        <v>25</v>
      </c>
      <c r="B34" s="119" t="s">
        <v>457</v>
      </c>
      <c r="C34" s="350"/>
      <c r="D34" s="927"/>
      <c r="E34" s="981"/>
      <c r="F34" s="927"/>
      <c r="G34" s="981"/>
    </row>
    <row r="35" spans="1:7" s="359" customFormat="1" ht="12" customHeight="1" thickBot="1">
      <c r="A35" s="196" t="s">
        <v>26</v>
      </c>
      <c r="B35" s="119" t="s">
        <v>458</v>
      </c>
      <c r="C35" s="351">
        <f>+C8+C19+C24+C25+C29+C33+C34</f>
        <v>2200000</v>
      </c>
      <c r="D35" s="984"/>
      <c r="E35" s="47">
        <f>SUM(C35:D35)</f>
        <v>2200000</v>
      </c>
      <c r="F35" s="984"/>
      <c r="G35" s="47">
        <f>SUM(E35:F35)</f>
        <v>2200000</v>
      </c>
    </row>
    <row r="36" spans="1:7" s="359" customFormat="1" ht="12" customHeight="1" thickBot="1">
      <c r="A36" s="221" t="s">
        <v>27</v>
      </c>
      <c r="B36" s="119" t="s">
        <v>459</v>
      </c>
      <c r="C36" s="351">
        <f>+C37+C38+C39</f>
        <v>32856793</v>
      </c>
      <c r="D36" s="982">
        <f>+D37+D38+D39</f>
        <v>0</v>
      </c>
      <c r="E36" s="47">
        <f>+E37+E38+E39</f>
        <v>32856793</v>
      </c>
      <c r="F36" s="982">
        <f>+F37+F38+F39</f>
        <v>1010902</v>
      </c>
      <c r="G36" s="47">
        <f>+G37+G38+G39</f>
        <v>33867695</v>
      </c>
    </row>
    <row r="37" spans="1:7" s="359" customFormat="1" ht="12" customHeight="1">
      <c r="A37" s="423" t="s">
        <v>460</v>
      </c>
      <c r="B37" s="424" t="s">
        <v>225</v>
      </c>
      <c r="C37" s="72"/>
      <c r="D37" s="928"/>
      <c r="E37" s="869">
        <f>SUM(C37:D37)</f>
        <v>0</v>
      </c>
      <c r="F37" s="1024">
        <v>795177</v>
      </c>
      <c r="G37" s="869">
        <f>SUM(E37+F37)</f>
        <v>795177</v>
      </c>
    </row>
    <row r="38" spans="1:7" s="359" customFormat="1" ht="12" customHeight="1">
      <c r="A38" s="423" t="s">
        <v>461</v>
      </c>
      <c r="B38" s="425" t="s">
        <v>3</v>
      </c>
      <c r="C38" s="302"/>
      <c r="D38" s="923"/>
      <c r="E38" s="870">
        <f>SUM(C38:D38)</f>
        <v>0</v>
      </c>
      <c r="F38" s="1023"/>
      <c r="G38" s="869">
        <f t="shared" ref="G38:G39" si="1">SUM(E38+F38)</f>
        <v>0</v>
      </c>
    </row>
    <row r="39" spans="1:7" s="431" customFormat="1" ht="12" customHeight="1" thickBot="1">
      <c r="A39" s="422" t="s">
        <v>462</v>
      </c>
      <c r="B39" s="135" t="s">
        <v>463</v>
      </c>
      <c r="C39" s="79">
        <v>32856793</v>
      </c>
      <c r="D39" s="925"/>
      <c r="E39" s="969">
        <f>SUM(C39:D39)</f>
        <v>32856793</v>
      </c>
      <c r="F39" s="1024">
        <v>215725</v>
      </c>
      <c r="G39" s="869">
        <f t="shared" si="1"/>
        <v>33072518</v>
      </c>
    </row>
    <row r="40" spans="1:7" s="431" customFormat="1" ht="15" customHeight="1" thickBot="1">
      <c r="A40" s="221" t="s">
        <v>28</v>
      </c>
      <c r="B40" s="222" t="s">
        <v>464</v>
      </c>
      <c r="C40" s="354">
        <f>+C35+C36</f>
        <v>35056793</v>
      </c>
      <c r="D40" s="929">
        <f>+D35+D36</f>
        <v>0</v>
      </c>
      <c r="E40" s="47">
        <f>+E35+E36</f>
        <v>35056793</v>
      </c>
      <c r="F40" s="929">
        <f>+F35+F36</f>
        <v>1010902</v>
      </c>
      <c r="G40" s="47">
        <f>+G35+G36</f>
        <v>36067695</v>
      </c>
    </row>
    <row r="41" spans="1:7" s="431" customFormat="1" ht="15" customHeight="1">
      <c r="A41" s="223"/>
      <c r="B41" s="224"/>
      <c r="C41" s="352"/>
      <c r="E41" s="993"/>
      <c r="G41" s="993"/>
    </row>
    <row r="42" spans="1:7" ht="13.5" thickBot="1">
      <c r="A42" s="225"/>
      <c r="B42" s="226"/>
      <c r="C42" s="353"/>
      <c r="E42" s="994"/>
      <c r="G42" s="994"/>
    </row>
    <row r="43" spans="1:7" s="430" customFormat="1" ht="16.5" customHeight="1" thickBot="1">
      <c r="A43" s="227"/>
      <c r="B43" s="228" t="s">
        <v>60</v>
      </c>
      <c r="C43" s="750"/>
      <c r="D43" s="932"/>
      <c r="E43" s="995"/>
      <c r="F43" s="932"/>
      <c r="G43" s="995"/>
    </row>
    <row r="44" spans="1:7" s="432" customFormat="1" ht="12" customHeight="1" thickBot="1">
      <c r="A44" s="864" t="s">
        <v>19</v>
      </c>
      <c r="B44" s="681" t="s">
        <v>465</v>
      </c>
      <c r="C44" s="835">
        <f>SUM(C45:C47)</f>
        <v>35056793</v>
      </c>
      <c r="D44" s="939">
        <f>SUM(D45:D47)</f>
        <v>-330159</v>
      </c>
      <c r="E44" s="873">
        <f>SUM(E45:E47)</f>
        <v>34726634</v>
      </c>
      <c r="F44" s="939">
        <f>SUM(F45:F47)</f>
        <v>-577989</v>
      </c>
      <c r="G44" s="873">
        <f>SUM(G45:G47)</f>
        <v>34148645</v>
      </c>
    </row>
    <row r="45" spans="1:7" ht="12" customHeight="1">
      <c r="A45" s="422" t="s">
        <v>103</v>
      </c>
      <c r="B45" s="8" t="s">
        <v>49</v>
      </c>
      <c r="C45" s="821">
        <v>19262125</v>
      </c>
      <c r="D45" s="940"/>
      <c r="E45" s="996">
        <f t="shared" ref="E45:E50" si="2">SUM(C45:D45)</f>
        <v>19262125</v>
      </c>
      <c r="F45" s="940">
        <v>584799</v>
      </c>
      <c r="G45" s="996">
        <f>SUM(E45+F45)</f>
        <v>19846924</v>
      </c>
    </row>
    <row r="46" spans="1:7" ht="12" customHeight="1">
      <c r="A46" s="422" t="s">
        <v>104</v>
      </c>
      <c r="B46" s="7" t="s">
        <v>165</v>
      </c>
      <c r="C46" s="826">
        <v>4237668</v>
      </c>
      <c r="D46" s="934"/>
      <c r="E46" s="997">
        <f t="shared" si="2"/>
        <v>4237668</v>
      </c>
      <c r="F46" s="934">
        <v>130926</v>
      </c>
      <c r="G46" s="996">
        <f t="shared" ref="G46:G50" si="3">SUM(E46+F46)</f>
        <v>4368594</v>
      </c>
    </row>
    <row r="47" spans="1:7" ht="12" customHeight="1">
      <c r="A47" s="422" t="s">
        <v>105</v>
      </c>
      <c r="B47" s="7" t="s">
        <v>129</v>
      </c>
      <c r="C47" s="826">
        <v>11557000</v>
      </c>
      <c r="D47" s="934">
        <v>-330159</v>
      </c>
      <c r="E47" s="997">
        <f t="shared" si="2"/>
        <v>11226841</v>
      </c>
      <c r="F47" s="934">
        <v>-1293714</v>
      </c>
      <c r="G47" s="996">
        <f t="shared" si="3"/>
        <v>9933127</v>
      </c>
    </row>
    <row r="48" spans="1:7" ht="12" customHeight="1">
      <c r="A48" s="422"/>
      <c r="B48" s="7" t="s">
        <v>651</v>
      </c>
      <c r="C48" s="826">
        <v>500000</v>
      </c>
      <c r="D48" s="934"/>
      <c r="E48" s="997">
        <f t="shared" si="2"/>
        <v>500000</v>
      </c>
      <c r="F48" s="934"/>
      <c r="G48" s="996">
        <f t="shared" si="3"/>
        <v>500000</v>
      </c>
    </row>
    <row r="49" spans="1:7" ht="12" customHeight="1">
      <c r="A49" s="422" t="s">
        <v>106</v>
      </c>
      <c r="B49" s="7" t="s">
        <v>166</v>
      </c>
      <c r="C49" s="826"/>
      <c r="D49" s="934"/>
      <c r="E49" s="997">
        <f t="shared" si="2"/>
        <v>0</v>
      </c>
      <c r="F49" s="934"/>
      <c r="G49" s="996">
        <f t="shared" si="3"/>
        <v>0</v>
      </c>
    </row>
    <row r="50" spans="1:7" ht="12" customHeight="1" thickBot="1">
      <c r="A50" s="422" t="s">
        <v>131</v>
      </c>
      <c r="B50" s="7" t="s">
        <v>167</v>
      </c>
      <c r="C50" s="826"/>
      <c r="D50" s="936"/>
      <c r="E50" s="998">
        <f t="shared" si="2"/>
        <v>0</v>
      </c>
      <c r="F50" s="936"/>
      <c r="G50" s="996">
        <f t="shared" si="3"/>
        <v>0</v>
      </c>
    </row>
    <row r="51" spans="1:7" ht="12" customHeight="1" thickBot="1">
      <c r="A51" s="204" t="s">
        <v>20</v>
      </c>
      <c r="B51" s="119" t="s">
        <v>466</v>
      </c>
      <c r="C51" s="818">
        <f>SUM(C52:C54)</f>
        <v>0</v>
      </c>
      <c r="D51" s="939">
        <f>SUM(D52:D54)</f>
        <v>330159</v>
      </c>
      <c r="E51" s="873">
        <f>SUM(E52:E54)</f>
        <v>330159</v>
      </c>
      <c r="F51" s="939">
        <f>SUM(F52:F54)</f>
        <v>1588891</v>
      </c>
      <c r="G51" s="873">
        <f>SUM(G52:G54)</f>
        <v>1919050</v>
      </c>
    </row>
    <row r="52" spans="1:7" s="432" customFormat="1" ht="12" customHeight="1">
      <c r="A52" s="422" t="s">
        <v>109</v>
      </c>
      <c r="B52" s="8" t="s">
        <v>215</v>
      </c>
      <c r="C52" s="821"/>
      <c r="D52" s="1026">
        <v>330159</v>
      </c>
      <c r="E52" s="1025">
        <f>SUM(C52:D52)</f>
        <v>330159</v>
      </c>
      <c r="F52" s="1026">
        <v>1588891</v>
      </c>
      <c r="G52" s="1025">
        <f>SUM(E52+F52)</f>
        <v>1919050</v>
      </c>
    </row>
    <row r="53" spans="1:7" ht="12" customHeight="1">
      <c r="A53" s="422" t="s">
        <v>110</v>
      </c>
      <c r="B53" s="7" t="s">
        <v>169</v>
      </c>
      <c r="C53" s="826"/>
      <c r="D53" s="934"/>
      <c r="E53" s="999">
        <f>SUM(C53:D53)</f>
        <v>0</v>
      </c>
      <c r="F53" s="934"/>
      <c r="G53" s="999"/>
    </row>
    <row r="54" spans="1:7" ht="12" customHeight="1">
      <c r="A54" s="422" t="s">
        <v>111</v>
      </c>
      <c r="B54" s="7" t="s">
        <v>61</v>
      </c>
      <c r="C54" s="826"/>
      <c r="D54" s="934"/>
      <c r="E54" s="999">
        <f>SUM(C54:D54)</f>
        <v>0</v>
      </c>
      <c r="F54" s="934"/>
      <c r="G54" s="999"/>
    </row>
    <row r="55" spans="1:7" ht="12" customHeight="1" thickBot="1">
      <c r="A55" s="422" t="s">
        <v>112</v>
      </c>
      <c r="B55" s="7" t="s">
        <v>4</v>
      </c>
      <c r="C55" s="826"/>
      <c r="D55" s="936"/>
      <c r="E55" s="1000">
        <f>SUM(C55:D55)</f>
        <v>0</v>
      </c>
      <c r="F55" s="936"/>
      <c r="G55" s="1000"/>
    </row>
    <row r="56" spans="1:7" ht="15" customHeight="1" thickBot="1">
      <c r="A56" s="204" t="s">
        <v>21</v>
      </c>
      <c r="B56" s="229" t="s">
        <v>467</v>
      </c>
      <c r="C56" s="827">
        <f>+C44+C51</f>
        <v>35056793</v>
      </c>
      <c r="D56" s="916">
        <f>+D44+D51</f>
        <v>0</v>
      </c>
      <c r="E56" s="960">
        <f>+E44+E51</f>
        <v>35056793</v>
      </c>
      <c r="F56" s="916">
        <f>+F44+F51</f>
        <v>1010902</v>
      </c>
      <c r="G56" s="960">
        <f>+G44+G51</f>
        <v>36067695</v>
      </c>
    </row>
    <row r="57" spans="1:7" ht="13.5" thickBot="1">
      <c r="C57" s="356"/>
    </row>
    <row r="58" spans="1:7" ht="15" customHeight="1" thickBot="1">
      <c r="A58" s="232" t="s">
        <v>188</v>
      </c>
      <c r="B58" s="233"/>
      <c r="C58" s="751">
        <v>9</v>
      </c>
      <c r="D58" s="943"/>
      <c r="E58" s="1003">
        <f>SUM(C58:D58)</f>
        <v>9</v>
      </c>
      <c r="F58" s="943"/>
      <c r="G58" s="1003">
        <f>SUM(E58:F58)</f>
        <v>9</v>
      </c>
    </row>
    <row r="59" spans="1:7" ht="14.25" customHeight="1" thickBot="1">
      <c r="A59" s="232" t="s">
        <v>189</v>
      </c>
      <c r="B59" s="233"/>
      <c r="C59" s="751"/>
      <c r="D59" s="1001"/>
      <c r="E59" s="1002">
        <f>SUM(C59:D59)</f>
        <v>0</v>
      </c>
      <c r="F59" s="1001"/>
      <c r="G59" s="1002">
        <f>SUM(E59:F59)</f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87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58"/>
  <sheetViews>
    <sheetView workbookViewId="0">
      <selection activeCell="F53" sqref="F53"/>
    </sheetView>
  </sheetViews>
  <sheetFormatPr defaultRowHeight="12.75"/>
  <cols>
    <col min="1" max="1" width="13.83203125" style="230" customWidth="1"/>
    <col min="2" max="2" width="79.1640625" style="231" customWidth="1"/>
    <col min="3" max="3" width="18" style="231" customWidth="1"/>
    <col min="4" max="4" width="14.5" style="231" customWidth="1"/>
    <col min="5" max="5" width="15.1640625" style="231" customWidth="1"/>
    <col min="6" max="6" width="15.83203125" style="231" customWidth="1"/>
    <col min="7" max="7" width="15.1640625" style="231" customWidth="1"/>
    <col min="8" max="16384" width="9.33203125" style="231"/>
  </cols>
  <sheetData>
    <row r="1" spans="1:7" s="210" customFormat="1" ht="21" customHeight="1" thickBot="1">
      <c r="A1" s="209"/>
      <c r="B1" s="211"/>
      <c r="C1" s="427" t="s">
        <v>827</v>
      </c>
    </row>
    <row r="2" spans="1:7" s="428" customFormat="1" ht="25.5" customHeight="1">
      <c r="A2" s="379" t="s">
        <v>186</v>
      </c>
      <c r="B2" s="342" t="s">
        <v>632</v>
      </c>
      <c r="C2" s="357" t="s">
        <v>492</v>
      </c>
    </row>
    <row r="3" spans="1:7" s="428" customFormat="1" ht="24.75" thickBot="1">
      <c r="A3" s="420" t="s">
        <v>185</v>
      </c>
      <c r="B3" s="343" t="s">
        <v>493</v>
      </c>
      <c r="C3" s="358" t="s">
        <v>54</v>
      </c>
    </row>
    <row r="4" spans="1:7" s="429" customFormat="1" ht="15.95" customHeight="1" thickBot="1">
      <c r="A4" s="213"/>
      <c r="B4" s="213"/>
      <c r="E4" s="214"/>
      <c r="G4" s="214" t="s">
        <v>794</v>
      </c>
    </row>
    <row r="5" spans="1:7" ht="21.75" thickBot="1">
      <c r="A5" s="380" t="s">
        <v>187</v>
      </c>
      <c r="B5" s="215" t="s">
        <v>56</v>
      </c>
      <c r="C5" s="216" t="s">
        <v>57</v>
      </c>
      <c r="D5" s="830" t="s">
        <v>833</v>
      </c>
      <c r="E5" s="831" t="s">
        <v>834</v>
      </c>
      <c r="F5" s="830" t="s">
        <v>838</v>
      </c>
      <c r="G5" s="831" t="s">
        <v>834</v>
      </c>
    </row>
    <row r="6" spans="1:7" s="430" customFormat="1" ht="12.95" customHeight="1" thickBot="1">
      <c r="A6" s="196">
        <v>1</v>
      </c>
      <c r="B6" s="197">
        <v>2</v>
      </c>
      <c r="C6" s="198">
        <v>3</v>
      </c>
      <c r="D6" s="902">
        <v>4</v>
      </c>
      <c r="E6" s="903">
        <v>5</v>
      </c>
      <c r="F6" s="902">
        <v>4</v>
      </c>
      <c r="G6" s="903">
        <v>5</v>
      </c>
    </row>
    <row r="7" spans="1:7" s="430" customFormat="1" ht="15.95" customHeight="1" thickBot="1">
      <c r="A7" s="836"/>
      <c r="B7" s="836" t="s">
        <v>58</v>
      </c>
      <c r="C7" s="837"/>
      <c r="D7" s="905"/>
      <c r="E7" s="905"/>
      <c r="F7" s="905"/>
      <c r="G7" s="905"/>
    </row>
    <row r="8" spans="1:7" s="359" customFormat="1" ht="12" customHeight="1" thickBot="1">
      <c r="A8" s="196" t="s">
        <v>19</v>
      </c>
      <c r="B8" s="220" t="s">
        <v>447</v>
      </c>
      <c r="C8" s="301">
        <f>SUM(C9:C18)</f>
        <v>31000000</v>
      </c>
      <c r="D8" s="1004">
        <f>SUM(D9:D18)</f>
        <v>0</v>
      </c>
      <c r="E8" s="978">
        <f>SUM(E9:E18)</f>
        <v>31000000</v>
      </c>
      <c r="F8" s="1004">
        <f>SUM(F9:F18)</f>
        <v>0</v>
      </c>
      <c r="G8" s="978">
        <f>SUM(G9:G18)</f>
        <v>31000000</v>
      </c>
    </row>
    <row r="9" spans="1:7" s="359" customFormat="1" ht="12" customHeight="1">
      <c r="A9" s="421" t="s">
        <v>103</v>
      </c>
      <c r="B9" s="9" t="s">
        <v>275</v>
      </c>
      <c r="C9" s="348"/>
      <c r="D9" s="860"/>
      <c r="E9" s="841">
        <f>SUM(C9:D9)</f>
        <v>0</v>
      </c>
      <c r="F9" s="860"/>
      <c r="G9" s="841">
        <f>SUM(E9+F9)</f>
        <v>0</v>
      </c>
    </row>
    <row r="10" spans="1:7" s="359" customFormat="1" ht="12" customHeight="1">
      <c r="A10" s="422" t="s">
        <v>104</v>
      </c>
      <c r="B10" s="7" t="s">
        <v>276</v>
      </c>
      <c r="C10" s="299">
        <v>31000000</v>
      </c>
      <c r="D10" s="860"/>
      <c r="E10" s="841">
        <f t="shared" ref="E10:E18" si="0">SUM(C10:D10)</f>
        <v>31000000</v>
      </c>
      <c r="F10" s="860"/>
      <c r="G10" s="841">
        <f t="shared" ref="G10:G18" si="1">SUM(E10+F10)</f>
        <v>31000000</v>
      </c>
    </row>
    <row r="11" spans="1:7" s="359" customFormat="1" ht="12" customHeight="1">
      <c r="A11" s="422" t="s">
        <v>105</v>
      </c>
      <c r="B11" s="7" t="s">
        <v>277</v>
      </c>
      <c r="C11" s="299"/>
      <c r="D11" s="860"/>
      <c r="E11" s="841">
        <f t="shared" si="0"/>
        <v>0</v>
      </c>
      <c r="F11" s="860"/>
      <c r="G11" s="841">
        <f t="shared" si="1"/>
        <v>0</v>
      </c>
    </row>
    <row r="12" spans="1:7" s="359" customFormat="1" ht="12" customHeight="1">
      <c r="A12" s="422" t="s">
        <v>106</v>
      </c>
      <c r="B12" s="7" t="s">
        <v>278</v>
      </c>
      <c r="C12" s="299"/>
      <c r="D12" s="860"/>
      <c r="E12" s="841">
        <f t="shared" si="0"/>
        <v>0</v>
      </c>
      <c r="F12" s="860"/>
      <c r="G12" s="841">
        <f t="shared" si="1"/>
        <v>0</v>
      </c>
    </row>
    <row r="13" spans="1:7" s="359" customFormat="1" ht="12" customHeight="1">
      <c r="A13" s="422" t="s">
        <v>131</v>
      </c>
      <c r="B13" s="7" t="s">
        <v>279</v>
      </c>
      <c r="C13" s="299"/>
      <c r="D13" s="860"/>
      <c r="E13" s="841">
        <f t="shared" si="0"/>
        <v>0</v>
      </c>
      <c r="F13" s="860"/>
      <c r="G13" s="841">
        <f t="shared" si="1"/>
        <v>0</v>
      </c>
    </row>
    <row r="14" spans="1:7" s="359" customFormat="1" ht="12" customHeight="1">
      <c r="A14" s="422" t="s">
        <v>107</v>
      </c>
      <c r="B14" s="7" t="s">
        <v>448</v>
      </c>
      <c r="C14" s="299"/>
      <c r="D14" s="860"/>
      <c r="E14" s="841">
        <f t="shared" si="0"/>
        <v>0</v>
      </c>
      <c r="F14" s="860"/>
      <c r="G14" s="841">
        <f t="shared" si="1"/>
        <v>0</v>
      </c>
    </row>
    <row r="15" spans="1:7" s="359" customFormat="1" ht="12" customHeight="1">
      <c r="A15" s="422" t="s">
        <v>108</v>
      </c>
      <c r="B15" s="6" t="s">
        <v>449</v>
      </c>
      <c r="C15" s="299"/>
      <c r="D15" s="860"/>
      <c r="E15" s="841">
        <f t="shared" si="0"/>
        <v>0</v>
      </c>
      <c r="F15" s="860"/>
      <c r="G15" s="841">
        <f t="shared" si="1"/>
        <v>0</v>
      </c>
    </row>
    <row r="16" spans="1:7" s="359" customFormat="1" ht="12" customHeight="1">
      <c r="A16" s="422" t="s">
        <v>118</v>
      </c>
      <c r="B16" s="7" t="s">
        <v>282</v>
      </c>
      <c r="C16" s="349"/>
      <c r="D16" s="860"/>
      <c r="E16" s="841">
        <f t="shared" si="0"/>
        <v>0</v>
      </c>
      <c r="F16" s="860"/>
      <c r="G16" s="841">
        <f t="shared" si="1"/>
        <v>0</v>
      </c>
    </row>
    <row r="17" spans="1:7" s="431" customFormat="1" ht="12" customHeight="1">
      <c r="A17" s="422" t="s">
        <v>119</v>
      </c>
      <c r="B17" s="7" t="s">
        <v>283</v>
      </c>
      <c r="C17" s="299"/>
      <c r="D17" s="860"/>
      <c r="E17" s="841">
        <f t="shared" si="0"/>
        <v>0</v>
      </c>
      <c r="F17" s="860"/>
      <c r="G17" s="841">
        <f t="shared" si="1"/>
        <v>0</v>
      </c>
    </row>
    <row r="18" spans="1:7" s="431" customFormat="1" ht="12" customHeight="1" thickBot="1">
      <c r="A18" s="422" t="s">
        <v>120</v>
      </c>
      <c r="B18" s="6" t="s">
        <v>284</v>
      </c>
      <c r="C18" s="300"/>
      <c r="D18" s="860"/>
      <c r="E18" s="841">
        <f t="shared" si="0"/>
        <v>0</v>
      </c>
      <c r="F18" s="860"/>
      <c r="G18" s="841">
        <f t="shared" si="1"/>
        <v>0</v>
      </c>
    </row>
    <row r="19" spans="1:7" s="359" customFormat="1" ht="12" customHeight="1" thickBot="1">
      <c r="A19" s="196" t="s">
        <v>20</v>
      </c>
      <c r="B19" s="220" t="s">
        <v>450</v>
      </c>
      <c r="C19" s="301">
        <f>SUM(C20:C22)</f>
        <v>868522000</v>
      </c>
      <c r="D19" s="1004">
        <f>SUM(D20:D22)</f>
        <v>0</v>
      </c>
      <c r="E19" s="978">
        <f>SUM(E20:E22)</f>
        <v>868522000</v>
      </c>
      <c r="F19" s="1004">
        <f>SUM(F20:F22)</f>
        <v>0</v>
      </c>
      <c r="G19" s="978">
        <f>SUM(G20:G22)</f>
        <v>868522000</v>
      </c>
    </row>
    <row r="20" spans="1:7" s="431" customFormat="1" ht="12" customHeight="1">
      <c r="A20" s="422" t="s">
        <v>109</v>
      </c>
      <c r="B20" s="8" t="s">
        <v>250</v>
      </c>
      <c r="C20" s="299"/>
      <c r="D20" s="860"/>
      <c r="E20" s="841">
        <f>SUM(C20:D20)</f>
        <v>0</v>
      </c>
      <c r="F20" s="860"/>
      <c r="G20" s="841">
        <f>SUM(E20+F20)</f>
        <v>0</v>
      </c>
    </row>
    <row r="21" spans="1:7" s="431" customFormat="1" ht="12" customHeight="1">
      <c r="A21" s="422" t="s">
        <v>110</v>
      </c>
      <c r="B21" s="7" t="s">
        <v>451</v>
      </c>
      <c r="C21" s="299"/>
      <c r="D21" s="860"/>
      <c r="E21" s="841">
        <f>SUM(C21:D21)</f>
        <v>0</v>
      </c>
      <c r="F21" s="860"/>
      <c r="G21" s="841">
        <f t="shared" ref="G21:G23" si="2">SUM(E21+F21)</f>
        <v>0</v>
      </c>
    </row>
    <row r="22" spans="1:7" s="431" customFormat="1" ht="12" customHeight="1">
      <c r="A22" s="422" t="s">
        <v>111</v>
      </c>
      <c r="B22" s="7" t="s">
        <v>452</v>
      </c>
      <c r="C22" s="299">
        <v>868522000</v>
      </c>
      <c r="D22" s="860"/>
      <c r="E22" s="841">
        <f>SUM(C22:D22)</f>
        <v>868522000</v>
      </c>
      <c r="F22" s="860"/>
      <c r="G22" s="841">
        <f t="shared" si="2"/>
        <v>868522000</v>
      </c>
    </row>
    <row r="23" spans="1:7" s="431" customFormat="1" ht="12" customHeight="1" thickBot="1">
      <c r="A23" s="422" t="s">
        <v>112</v>
      </c>
      <c r="B23" s="7" t="s">
        <v>2</v>
      </c>
      <c r="C23" s="299"/>
      <c r="D23" s="1005"/>
      <c r="E23" s="898">
        <f>SUM(C23:D23)</f>
        <v>0</v>
      </c>
      <c r="F23" s="1005"/>
      <c r="G23" s="841">
        <f t="shared" si="2"/>
        <v>0</v>
      </c>
    </row>
    <row r="24" spans="1:7" s="431" customFormat="1" ht="12" customHeight="1" thickBot="1">
      <c r="A24" s="204" t="s">
        <v>21</v>
      </c>
      <c r="B24" s="119" t="s">
        <v>156</v>
      </c>
      <c r="C24" s="328"/>
      <c r="D24" s="842"/>
      <c r="E24" s="992">
        <f>SUM(C24:D24)</f>
        <v>0</v>
      </c>
      <c r="F24" s="842"/>
      <c r="G24" s="992">
        <f>SUM(E24:F24)</f>
        <v>0</v>
      </c>
    </row>
    <row r="25" spans="1:7" s="431" customFormat="1" ht="12" customHeight="1" thickBot="1">
      <c r="A25" s="204" t="s">
        <v>22</v>
      </c>
      <c r="B25" s="119" t="s">
        <v>453</v>
      </c>
      <c r="C25" s="301">
        <f>+C26+C27</f>
        <v>0</v>
      </c>
      <c r="D25" s="1004">
        <f>+D26+D27</f>
        <v>0</v>
      </c>
      <c r="E25" s="978">
        <f>+E26+E27</f>
        <v>0</v>
      </c>
      <c r="F25" s="1004">
        <f>+F26+F27</f>
        <v>0</v>
      </c>
      <c r="G25" s="978">
        <f>+G26+G27</f>
        <v>0</v>
      </c>
    </row>
    <row r="26" spans="1:7" s="431" customFormat="1" ht="12" customHeight="1">
      <c r="A26" s="423" t="s">
        <v>260</v>
      </c>
      <c r="B26" s="424" t="s">
        <v>451</v>
      </c>
      <c r="C26" s="72"/>
      <c r="D26" s="860"/>
      <c r="E26" s="841">
        <f>SUM(C26:D26)</f>
        <v>0</v>
      </c>
      <c r="F26" s="860"/>
      <c r="G26" s="841">
        <f>SUM(E26:F26)</f>
        <v>0</v>
      </c>
    </row>
    <row r="27" spans="1:7" s="431" customFormat="1" ht="12" customHeight="1">
      <c r="A27" s="423" t="s">
        <v>263</v>
      </c>
      <c r="B27" s="425" t="s">
        <v>454</v>
      </c>
      <c r="C27" s="302"/>
      <c r="D27" s="860"/>
      <c r="E27" s="841">
        <f>SUM(C27:D27)</f>
        <v>0</v>
      </c>
      <c r="F27" s="860"/>
      <c r="G27" s="841">
        <f>SUM(E27:F27)</f>
        <v>0</v>
      </c>
    </row>
    <row r="28" spans="1:7" s="431" customFormat="1" ht="12" customHeight="1" thickBot="1">
      <c r="A28" s="422" t="s">
        <v>264</v>
      </c>
      <c r="B28" s="426" t="s">
        <v>455</v>
      </c>
      <c r="C28" s="79"/>
      <c r="D28" s="860"/>
      <c r="E28" s="841">
        <f>SUM(C28:D28)</f>
        <v>0</v>
      </c>
      <c r="F28" s="860"/>
      <c r="G28" s="841">
        <f>SUM(E28:F28)</f>
        <v>0</v>
      </c>
    </row>
    <row r="29" spans="1:7" s="431" customFormat="1" ht="12" customHeight="1" thickBot="1">
      <c r="A29" s="204" t="s">
        <v>23</v>
      </c>
      <c r="B29" s="119" t="s">
        <v>456</v>
      </c>
      <c r="C29" s="301">
        <f>+C30+C31+C32</f>
        <v>0</v>
      </c>
      <c r="D29" s="1004">
        <f>+D30+D31+D32</f>
        <v>0</v>
      </c>
      <c r="E29" s="978">
        <f>+E30+E31+E32</f>
        <v>0</v>
      </c>
      <c r="F29" s="1004">
        <f>+F30+F31+F32</f>
        <v>0</v>
      </c>
      <c r="G29" s="978">
        <f>+G30+G31+G32</f>
        <v>0</v>
      </c>
    </row>
    <row r="30" spans="1:7" s="431" customFormat="1" ht="12" customHeight="1">
      <c r="A30" s="423" t="s">
        <v>96</v>
      </c>
      <c r="B30" s="424" t="s">
        <v>289</v>
      </c>
      <c r="C30" s="72"/>
      <c r="D30" s="860"/>
      <c r="E30" s="841">
        <f>SUM(C30:D30)</f>
        <v>0</v>
      </c>
      <c r="F30" s="860"/>
      <c r="G30" s="841">
        <f>SUM(E30:F30)</f>
        <v>0</v>
      </c>
    </row>
    <row r="31" spans="1:7" s="431" customFormat="1" ht="12" customHeight="1">
      <c r="A31" s="423" t="s">
        <v>97</v>
      </c>
      <c r="B31" s="425" t="s">
        <v>290</v>
      </c>
      <c r="C31" s="302"/>
      <c r="D31" s="860"/>
      <c r="E31" s="841">
        <f>SUM(C31:D31)</f>
        <v>0</v>
      </c>
      <c r="F31" s="860"/>
      <c r="G31" s="841">
        <f>SUM(E31:F31)</f>
        <v>0</v>
      </c>
    </row>
    <row r="32" spans="1:7" s="431" customFormat="1" ht="12" customHeight="1" thickBot="1">
      <c r="A32" s="422" t="s">
        <v>98</v>
      </c>
      <c r="B32" s="135" t="s">
        <v>291</v>
      </c>
      <c r="C32" s="79"/>
      <c r="D32" s="1005"/>
      <c r="E32" s="898">
        <f>SUM(C32:D32)</f>
        <v>0</v>
      </c>
      <c r="F32" s="1005"/>
      <c r="G32" s="898">
        <f>SUM(E32:F32)</f>
        <v>0</v>
      </c>
    </row>
    <row r="33" spans="1:7" s="359" customFormat="1" ht="12" customHeight="1" thickBot="1">
      <c r="A33" s="204" t="s">
        <v>24</v>
      </c>
      <c r="B33" s="119" t="s">
        <v>404</v>
      </c>
      <c r="C33" s="328"/>
      <c r="D33" s="842"/>
      <c r="E33" s="992">
        <f>SUM(C33:D33)</f>
        <v>0</v>
      </c>
      <c r="F33" s="842"/>
      <c r="G33" s="992">
        <f>SUM(E33:F33)</f>
        <v>0</v>
      </c>
    </row>
    <row r="34" spans="1:7" s="359" customFormat="1" ht="12" customHeight="1" thickBot="1">
      <c r="A34" s="204" t="s">
        <v>25</v>
      </c>
      <c r="B34" s="119" t="s">
        <v>457</v>
      </c>
      <c r="C34" s="350"/>
      <c r="D34" s="1006"/>
      <c r="E34" s="840">
        <f>SUM(C34:D34)</f>
        <v>0</v>
      </c>
      <c r="F34" s="1006"/>
      <c r="G34" s="840">
        <f>SUM(E34:F34)</f>
        <v>0</v>
      </c>
    </row>
    <row r="35" spans="1:7" s="359" customFormat="1" ht="12" customHeight="1" thickBot="1">
      <c r="A35" s="196" t="s">
        <v>26</v>
      </c>
      <c r="B35" s="119" t="s">
        <v>458</v>
      </c>
      <c r="C35" s="351">
        <f>+C8+C19+C24+C25+C29+C33+C34</f>
        <v>899522000</v>
      </c>
      <c r="D35" s="1007">
        <f>+D8+D19+D24+D25+D29+D33+D34</f>
        <v>0</v>
      </c>
      <c r="E35" s="979">
        <f>+E8+E19+E24+E25+E29+E33+E34</f>
        <v>899522000</v>
      </c>
      <c r="F35" s="1007">
        <f>+F8+F19+F24+F25+F29+F33+F34</f>
        <v>0</v>
      </c>
      <c r="G35" s="979">
        <f>+G8+G19+G24+G25+G29+G33+G34</f>
        <v>899522000</v>
      </c>
    </row>
    <row r="36" spans="1:7" s="359" customFormat="1" ht="12" customHeight="1" thickBot="1">
      <c r="A36" s="221" t="s">
        <v>27</v>
      </c>
      <c r="B36" s="119" t="s">
        <v>459</v>
      </c>
      <c r="C36" s="351">
        <f>+C37+C38+C39</f>
        <v>17000000</v>
      </c>
      <c r="D36" s="1007">
        <f>+D37+D38+D39</f>
        <v>636000</v>
      </c>
      <c r="E36" s="979">
        <f>+E37+E38+E39</f>
        <v>17636000</v>
      </c>
      <c r="F36" s="1007">
        <f>+F37+F38+F39</f>
        <v>15015450</v>
      </c>
      <c r="G36" s="979">
        <f>+G37+G38+G39</f>
        <v>32651450</v>
      </c>
    </row>
    <row r="37" spans="1:7" s="359" customFormat="1" ht="12" customHeight="1">
      <c r="A37" s="423" t="s">
        <v>460</v>
      </c>
      <c r="B37" s="424" t="s">
        <v>225</v>
      </c>
      <c r="C37" s="72"/>
      <c r="D37" s="860"/>
      <c r="E37" s="841">
        <f>SUM(C37:D37)</f>
        <v>0</v>
      </c>
      <c r="F37" s="860">
        <v>13457112</v>
      </c>
      <c r="G37" s="841">
        <f>SUM(E37+F37)</f>
        <v>13457112</v>
      </c>
    </row>
    <row r="38" spans="1:7" s="359" customFormat="1" ht="12" customHeight="1">
      <c r="A38" s="423" t="s">
        <v>461</v>
      </c>
      <c r="B38" s="425" t="s">
        <v>3</v>
      </c>
      <c r="C38" s="302"/>
      <c r="D38" s="860"/>
      <c r="E38" s="841">
        <f>SUM(C38:D38)</f>
        <v>0</v>
      </c>
      <c r="F38" s="860"/>
      <c r="G38" s="841">
        <f t="shared" ref="G38:G39" si="3">SUM(E38+F38)</f>
        <v>0</v>
      </c>
    </row>
    <row r="39" spans="1:7" s="431" customFormat="1" ht="12" customHeight="1" thickBot="1">
      <c r="A39" s="422" t="s">
        <v>462</v>
      </c>
      <c r="B39" s="135" t="s">
        <v>463</v>
      </c>
      <c r="C39" s="79">
        <v>17000000</v>
      </c>
      <c r="D39" s="860">
        <v>636000</v>
      </c>
      <c r="E39" s="841">
        <f>SUM(C39:D39)</f>
        <v>17636000</v>
      </c>
      <c r="F39" s="860">
        <v>1558338</v>
      </c>
      <c r="G39" s="841">
        <f t="shared" si="3"/>
        <v>19194338</v>
      </c>
    </row>
    <row r="40" spans="1:7" s="431" customFormat="1" ht="15" customHeight="1" thickBot="1">
      <c r="A40" s="221" t="s">
        <v>28</v>
      </c>
      <c r="B40" s="222" t="s">
        <v>464</v>
      </c>
      <c r="C40" s="354">
        <f>+C35+C36</f>
        <v>916522000</v>
      </c>
      <c r="D40" s="1007">
        <f>+D35+D36</f>
        <v>636000</v>
      </c>
      <c r="E40" s="979">
        <f>+E35+E36</f>
        <v>917158000</v>
      </c>
      <c r="F40" s="1007">
        <f>+F35+F36</f>
        <v>15015450</v>
      </c>
      <c r="G40" s="979">
        <f>+G35+G36</f>
        <v>932173450</v>
      </c>
    </row>
    <row r="41" spans="1:7" s="431" customFormat="1" ht="15" customHeight="1">
      <c r="A41" s="223"/>
      <c r="B41" s="224"/>
      <c r="C41" s="352"/>
    </row>
    <row r="42" spans="1:7" ht="13.5" thickBot="1">
      <c r="A42" s="225"/>
      <c r="B42" s="226"/>
      <c r="C42" s="353"/>
    </row>
    <row r="43" spans="1:7" s="430" customFormat="1" ht="16.5" customHeight="1" thickBot="1">
      <c r="A43" s="227"/>
      <c r="B43" s="228" t="s">
        <v>60</v>
      </c>
      <c r="C43" s="750"/>
      <c r="D43" s="932"/>
      <c r="E43" s="985"/>
      <c r="F43" s="932"/>
      <c r="G43" s="985"/>
    </row>
    <row r="44" spans="1:7" s="432" customFormat="1" ht="12" customHeight="1" thickBot="1">
      <c r="A44" s="864" t="s">
        <v>19</v>
      </c>
      <c r="B44" s="681" t="s">
        <v>465</v>
      </c>
      <c r="C44" s="835">
        <f>SUM(C45:C49)</f>
        <v>916522000</v>
      </c>
      <c r="D44" s="939">
        <f>SUM(D45:D49)</f>
        <v>636000</v>
      </c>
      <c r="E44" s="301">
        <f>SUM(E45:E49)</f>
        <v>917158000</v>
      </c>
      <c r="F44" s="939">
        <f>SUM(F45:F49)</f>
        <v>2015450</v>
      </c>
      <c r="G44" s="301">
        <f>SUM(G45:G49)</f>
        <v>919173450</v>
      </c>
    </row>
    <row r="45" spans="1:7" ht="12" customHeight="1">
      <c r="A45" s="422" t="s">
        <v>103</v>
      </c>
      <c r="B45" s="8" t="s">
        <v>49</v>
      </c>
      <c r="C45" s="821">
        <v>338252000</v>
      </c>
      <c r="D45" s="940"/>
      <c r="E45" s="988">
        <f>SUM(C45:D45)</f>
        <v>338252000</v>
      </c>
      <c r="F45" s="940">
        <v>1264900</v>
      </c>
      <c r="G45" s="988">
        <f>SUM(E45+F45)</f>
        <v>339516900</v>
      </c>
    </row>
    <row r="46" spans="1:7" ht="12" customHeight="1">
      <c r="A46" s="422" t="s">
        <v>104</v>
      </c>
      <c r="B46" s="7" t="s">
        <v>165</v>
      </c>
      <c r="C46" s="826">
        <v>74668000</v>
      </c>
      <c r="D46" s="934"/>
      <c r="E46" s="986">
        <f>SUM(C46:D46)</f>
        <v>74668000</v>
      </c>
      <c r="F46" s="934">
        <v>293438</v>
      </c>
      <c r="G46" s="988">
        <f t="shared" ref="G46:G49" si="4">SUM(E46+F46)</f>
        <v>74961438</v>
      </c>
    </row>
    <row r="47" spans="1:7" ht="12" customHeight="1">
      <c r="A47" s="422" t="s">
        <v>105</v>
      </c>
      <c r="B47" s="7" t="s">
        <v>129</v>
      </c>
      <c r="C47" s="826">
        <v>499602000</v>
      </c>
      <c r="D47" s="934">
        <v>636000</v>
      </c>
      <c r="E47" s="986">
        <f>SUM(C47:D47)</f>
        <v>500238000</v>
      </c>
      <c r="F47" s="934">
        <v>457112</v>
      </c>
      <c r="G47" s="988">
        <f t="shared" si="4"/>
        <v>500695112</v>
      </c>
    </row>
    <row r="48" spans="1:7" ht="12" customHeight="1">
      <c r="A48" s="422" t="s">
        <v>106</v>
      </c>
      <c r="B48" s="7" t="s">
        <v>166</v>
      </c>
      <c r="C48" s="826"/>
      <c r="D48" s="934"/>
      <c r="E48" s="986">
        <f>SUM(C48:D48)</f>
        <v>0</v>
      </c>
      <c r="F48" s="934"/>
      <c r="G48" s="988">
        <f t="shared" si="4"/>
        <v>0</v>
      </c>
    </row>
    <row r="49" spans="1:7" ht="12" customHeight="1" thickBot="1">
      <c r="A49" s="422" t="s">
        <v>131</v>
      </c>
      <c r="B49" s="7" t="s">
        <v>167</v>
      </c>
      <c r="C49" s="826">
        <v>4000000</v>
      </c>
      <c r="D49" s="936"/>
      <c r="E49" s="989">
        <f>SUM(C49:D49)</f>
        <v>4000000</v>
      </c>
      <c r="F49" s="936"/>
      <c r="G49" s="988">
        <f t="shared" si="4"/>
        <v>4000000</v>
      </c>
    </row>
    <row r="50" spans="1:7" ht="12" customHeight="1" thickBot="1">
      <c r="A50" s="204" t="s">
        <v>20</v>
      </c>
      <c r="B50" s="119" t="s">
        <v>466</v>
      </c>
      <c r="C50" s="818">
        <f>SUM(C51:C53)</f>
        <v>0</v>
      </c>
      <c r="D50" s="939">
        <f>SUM(D51:D53)</f>
        <v>0</v>
      </c>
      <c r="E50" s="301">
        <f>SUM(E51:E53)</f>
        <v>0</v>
      </c>
      <c r="F50" s="939">
        <f>SUM(F51:F53)</f>
        <v>13000000</v>
      </c>
      <c r="G50" s="301">
        <f>SUM(G51:G53)</f>
        <v>13000000</v>
      </c>
    </row>
    <row r="51" spans="1:7" s="432" customFormat="1" ht="12" customHeight="1">
      <c r="A51" s="422" t="s">
        <v>109</v>
      </c>
      <c r="B51" s="8" t="s">
        <v>215</v>
      </c>
      <c r="C51" s="821"/>
      <c r="D51" s="938"/>
      <c r="E51" s="990">
        <f>SUM(C51:D51)</f>
        <v>0</v>
      </c>
      <c r="F51" s="1026">
        <v>13000000</v>
      </c>
      <c r="G51" s="1027">
        <f>SUM(E51:F51)</f>
        <v>13000000</v>
      </c>
    </row>
    <row r="52" spans="1:7" ht="12" customHeight="1">
      <c r="A52" s="422" t="s">
        <v>110</v>
      </c>
      <c r="B52" s="7" t="s">
        <v>169</v>
      </c>
      <c r="C52" s="826"/>
      <c r="D52" s="934"/>
      <c r="E52" s="987">
        <f>SUM(C52:D52)</f>
        <v>0</v>
      </c>
      <c r="F52" s="934"/>
      <c r="G52" s="987">
        <f>SUM(E52:F52)</f>
        <v>0</v>
      </c>
    </row>
    <row r="53" spans="1:7" ht="12" customHeight="1">
      <c r="A53" s="422" t="s">
        <v>111</v>
      </c>
      <c r="B53" s="7" t="s">
        <v>61</v>
      </c>
      <c r="C53" s="826"/>
      <c r="D53" s="934"/>
      <c r="E53" s="987">
        <f>SUM(C53:D53)</f>
        <v>0</v>
      </c>
      <c r="F53" s="934"/>
      <c r="G53" s="987">
        <f>SUM(E53:F53)</f>
        <v>0</v>
      </c>
    </row>
    <row r="54" spans="1:7" ht="12" customHeight="1" thickBot="1">
      <c r="A54" s="422" t="s">
        <v>112</v>
      </c>
      <c r="B54" s="7" t="s">
        <v>4</v>
      </c>
      <c r="C54" s="826"/>
      <c r="D54" s="936"/>
      <c r="E54" s="991">
        <f>SUM(C54:D54)</f>
        <v>0</v>
      </c>
      <c r="F54" s="936"/>
      <c r="G54" s="991">
        <f>SUM(E54:F54)</f>
        <v>0</v>
      </c>
    </row>
    <row r="55" spans="1:7" ht="15" customHeight="1" thickBot="1">
      <c r="A55" s="204" t="s">
        <v>21</v>
      </c>
      <c r="B55" s="229" t="s">
        <v>467</v>
      </c>
      <c r="C55" s="827">
        <f>+C44+C50</f>
        <v>916522000</v>
      </c>
      <c r="D55" s="916">
        <f>+D44+D50</f>
        <v>636000</v>
      </c>
      <c r="E55" s="355">
        <f>+E44+E50</f>
        <v>917158000</v>
      </c>
      <c r="F55" s="916">
        <f>+F44+F50</f>
        <v>15015450</v>
      </c>
      <c r="G55" s="355">
        <f>+G44+G50</f>
        <v>932173450</v>
      </c>
    </row>
    <row r="56" spans="1:7" ht="13.5" thickBot="1">
      <c r="C56" s="356"/>
    </row>
    <row r="57" spans="1:7" ht="15" customHeight="1" thickBot="1">
      <c r="A57" s="232" t="s">
        <v>188</v>
      </c>
      <c r="B57" s="233"/>
      <c r="C57" s="751">
        <v>103</v>
      </c>
      <c r="D57" s="943"/>
      <c r="E57" s="1003">
        <f>SUM(C57:D57)</f>
        <v>103</v>
      </c>
      <c r="F57" s="943"/>
      <c r="G57" s="1003">
        <f>SUM(E57:F57)</f>
        <v>103</v>
      </c>
    </row>
    <row r="58" spans="1:7" ht="14.25" customHeight="1" thickBot="1">
      <c r="A58" s="232" t="s">
        <v>189</v>
      </c>
      <c r="B58" s="233"/>
      <c r="C58" s="751"/>
      <c r="D58" s="943"/>
      <c r="E58" s="1003">
        <f>SUM(C58:D58)</f>
        <v>0</v>
      </c>
      <c r="F58" s="943"/>
      <c r="G58" s="1003">
        <f>SUM(E58:F58)</f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84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58"/>
  <sheetViews>
    <sheetView workbookViewId="0">
      <selection activeCell="E7" sqref="E7"/>
    </sheetView>
  </sheetViews>
  <sheetFormatPr defaultRowHeight="12.75"/>
  <cols>
    <col min="1" max="1" width="13.83203125" style="230" customWidth="1"/>
    <col min="2" max="2" width="79.1640625" style="231" customWidth="1"/>
    <col min="3" max="3" width="25" style="231" customWidth="1"/>
    <col min="4" max="4" width="18.5" style="231" customWidth="1"/>
    <col min="5" max="5" width="19.33203125" style="231" customWidth="1"/>
    <col min="6" max="16384" width="9.33203125" style="231"/>
  </cols>
  <sheetData>
    <row r="1" spans="1:5" s="210" customFormat="1" ht="21" customHeight="1" thickBot="1">
      <c r="A1" s="209"/>
      <c r="B1" s="211"/>
      <c r="C1" s="427" t="s">
        <v>828</v>
      </c>
    </row>
    <row r="2" spans="1:5" s="428" customFormat="1" ht="25.5" customHeight="1">
      <c r="A2" s="379" t="s">
        <v>186</v>
      </c>
      <c r="B2" s="342" t="s">
        <v>494</v>
      </c>
      <c r="C2" s="357" t="s">
        <v>495</v>
      </c>
    </row>
    <row r="3" spans="1:5" s="428" customFormat="1" ht="24.75" thickBot="1">
      <c r="A3" s="420" t="s">
        <v>185</v>
      </c>
      <c r="B3" s="343" t="s">
        <v>446</v>
      </c>
      <c r="C3" s="358" t="s">
        <v>54</v>
      </c>
    </row>
    <row r="4" spans="1:5" s="429" customFormat="1" ht="15.95" customHeight="1" thickBot="1">
      <c r="A4" s="213"/>
      <c r="B4" s="213"/>
      <c r="E4" s="214" t="s">
        <v>856</v>
      </c>
    </row>
    <row r="5" spans="1:5" ht="21.75" thickBot="1">
      <c r="A5" s="380" t="s">
        <v>187</v>
      </c>
      <c r="B5" s="215" t="s">
        <v>56</v>
      </c>
      <c r="C5" s="216" t="s">
        <v>57</v>
      </c>
      <c r="D5" s="830" t="s">
        <v>838</v>
      </c>
      <c r="E5" s="831" t="s">
        <v>834</v>
      </c>
    </row>
    <row r="6" spans="1:5" s="430" customFormat="1" ht="12.95" customHeight="1" thickBot="1">
      <c r="A6" s="196">
        <v>1</v>
      </c>
      <c r="B6" s="197">
        <v>2</v>
      </c>
      <c r="C6" s="198">
        <v>3</v>
      </c>
      <c r="D6" s="902">
        <v>4</v>
      </c>
      <c r="E6" s="903">
        <v>5</v>
      </c>
    </row>
    <row r="7" spans="1:5" s="430" customFormat="1" ht="15.95" customHeight="1" thickBot="1">
      <c r="A7" s="836"/>
      <c r="B7" s="836" t="s">
        <v>58</v>
      </c>
      <c r="C7" s="837"/>
      <c r="D7" s="905"/>
      <c r="E7" s="905"/>
    </row>
    <row r="8" spans="1:5" s="359" customFormat="1" ht="12" customHeight="1" thickBot="1">
      <c r="A8" s="196" t="s">
        <v>19</v>
      </c>
      <c r="B8" s="220" t="s">
        <v>447</v>
      </c>
      <c r="C8" s="301">
        <f>SUM(C9:C18)</f>
        <v>88025000</v>
      </c>
      <c r="D8" s="1010">
        <f>SUM(D9:D18)</f>
        <v>1479000</v>
      </c>
      <c r="E8" s="47">
        <f>SUM(E9:E18)</f>
        <v>89504000</v>
      </c>
    </row>
    <row r="9" spans="1:5" s="359" customFormat="1" ht="12" customHeight="1">
      <c r="A9" s="421" t="s">
        <v>103</v>
      </c>
      <c r="B9" s="9" t="s">
        <v>275</v>
      </c>
      <c r="C9" s="348"/>
      <c r="D9" s="1009"/>
      <c r="E9" s="869">
        <f>SUM(C9:D9)</f>
        <v>0</v>
      </c>
    </row>
    <row r="10" spans="1:5" s="359" customFormat="1" ht="12" customHeight="1">
      <c r="A10" s="422" t="s">
        <v>104</v>
      </c>
      <c r="B10" s="7" t="s">
        <v>276</v>
      </c>
      <c r="C10" s="299"/>
      <c r="D10" s="1008"/>
      <c r="E10" s="870">
        <f t="shared" ref="E10:E18" si="0">SUM(C10:D10)</f>
        <v>0</v>
      </c>
    </row>
    <row r="11" spans="1:5" s="359" customFormat="1" ht="12" customHeight="1">
      <c r="A11" s="422" t="s">
        <v>105</v>
      </c>
      <c r="B11" s="7" t="s">
        <v>277</v>
      </c>
      <c r="C11" s="299"/>
      <c r="D11" s="1008"/>
      <c r="E11" s="870">
        <f t="shared" si="0"/>
        <v>0</v>
      </c>
    </row>
    <row r="12" spans="1:5" s="359" customFormat="1" ht="12" customHeight="1">
      <c r="A12" s="422" t="s">
        <v>106</v>
      </c>
      <c r="B12" s="7" t="s">
        <v>278</v>
      </c>
      <c r="C12" s="299"/>
      <c r="D12" s="1008"/>
      <c r="E12" s="870">
        <f t="shared" si="0"/>
        <v>0</v>
      </c>
    </row>
    <row r="13" spans="1:5" s="359" customFormat="1" ht="12" customHeight="1">
      <c r="A13" s="422" t="s">
        <v>131</v>
      </c>
      <c r="B13" s="7" t="s">
        <v>279</v>
      </c>
      <c r="C13" s="299">
        <v>69311000</v>
      </c>
      <c r="D13" s="1008"/>
      <c r="E13" s="870">
        <f t="shared" si="0"/>
        <v>69311000</v>
      </c>
    </row>
    <row r="14" spans="1:5" s="359" customFormat="1" ht="12" customHeight="1">
      <c r="A14" s="422" t="s">
        <v>107</v>
      </c>
      <c r="B14" s="7" t="s">
        <v>448</v>
      </c>
      <c r="C14" s="299">
        <v>18714000</v>
      </c>
      <c r="D14" s="1008"/>
      <c r="E14" s="870">
        <f t="shared" si="0"/>
        <v>18714000</v>
      </c>
    </row>
    <row r="15" spans="1:5" s="359" customFormat="1" ht="12" customHeight="1">
      <c r="A15" s="422" t="s">
        <v>108</v>
      </c>
      <c r="B15" s="6" t="s">
        <v>449</v>
      </c>
      <c r="C15" s="299"/>
      <c r="D15" s="1008">
        <v>1479000</v>
      </c>
      <c r="E15" s="870">
        <f t="shared" si="0"/>
        <v>1479000</v>
      </c>
    </row>
    <row r="16" spans="1:5" s="359" customFormat="1" ht="12" customHeight="1">
      <c r="A16" s="422" t="s">
        <v>118</v>
      </c>
      <c r="B16" s="7" t="s">
        <v>282</v>
      </c>
      <c r="C16" s="349"/>
      <c r="D16" s="1008"/>
      <c r="E16" s="870">
        <f t="shared" si="0"/>
        <v>0</v>
      </c>
    </row>
    <row r="17" spans="1:5" s="431" customFormat="1" ht="12" customHeight="1">
      <c r="A17" s="422" t="s">
        <v>119</v>
      </c>
      <c r="B17" s="7" t="s">
        <v>283</v>
      </c>
      <c r="C17" s="299"/>
      <c r="D17" s="1008"/>
      <c r="E17" s="870">
        <f t="shared" si="0"/>
        <v>0</v>
      </c>
    </row>
    <row r="18" spans="1:5" s="431" customFormat="1" ht="12" customHeight="1" thickBot="1">
      <c r="A18" s="422" t="s">
        <v>120</v>
      </c>
      <c r="B18" s="6" t="s">
        <v>284</v>
      </c>
      <c r="C18" s="300"/>
      <c r="D18" s="1011"/>
      <c r="E18" s="969">
        <f t="shared" si="0"/>
        <v>0</v>
      </c>
    </row>
    <row r="19" spans="1:5" s="359" customFormat="1" ht="12" customHeight="1" thickBot="1">
      <c r="A19" s="196" t="s">
        <v>20</v>
      </c>
      <c r="B19" s="220" t="s">
        <v>450</v>
      </c>
      <c r="C19" s="301">
        <f>SUM(C20:C22)</f>
        <v>0</v>
      </c>
      <c r="D19" s="1010">
        <f>SUM(D20:D22)</f>
        <v>0</v>
      </c>
      <c r="E19" s="47">
        <f>SUM(E20:E22)</f>
        <v>0</v>
      </c>
    </row>
    <row r="20" spans="1:5" s="431" customFormat="1" ht="12" customHeight="1">
      <c r="A20" s="422" t="s">
        <v>109</v>
      </c>
      <c r="B20" s="8" t="s">
        <v>250</v>
      </c>
      <c r="C20" s="299"/>
      <c r="D20" s="1009"/>
      <c r="E20" s="869">
        <f>SUM(C20:D20)</f>
        <v>0</v>
      </c>
    </row>
    <row r="21" spans="1:5" s="431" customFormat="1" ht="12" customHeight="1">
      <c r="A21" s="422" t="s">
        <v>110</v>
      </c>
      <c r="B21" s="7" t="s">
        <v>451</v>
      </c>
      <c r="C21" s="299"/>
      <c r="D21" s="1008"/>
      <c r="E21" s="870">
        <f>SUM(C21:D21)</f>
        <v>0</v>
      </c>
    </row>
    <row r="22" spans="1:5" s="431" customFormat="1" ht="12" customHeight="1">
      <c r="A22" s="422" t="s">
        <v>111</v>
      </c>
      <c r="B22" s="7" t="s">
        <v>452</v>
      </c>
      <c r="C22" s="299"/>
      <c r="D22" s="1008"/>
      <c r="E22" s="870">
        <f>SUM(C22:D22)</f>
        <v>0</v>
      </c>
    </row>
    <row r="23" spans="1:5" s="431" customFormat="1" ht="12" customHeight="1" thickBot="1">
      <c r="A23" s="422" t="s">
        <v>112</v>
      </c>
      <c r="B23" s="7" t="s">
        <v>2</v>
      </c>
      <c r="C23" s="299"/>
      <c r="D23" s="1011"/>
      <c r="E23" s="969">
        <f>SUM(C23:D23)</f>
        <v>0</v>
      </c>
    </row>
    <row r="24" spans="1:5" s="431" customFormat="1" ht="12" customHeight="1" thickBot="1">
      <c r="A24" s="204" t="s">
        <v>21</v>
      </c>
      <c r="B24" s="119" t="s">
        <v>156</v>
      </c>
      <c r="C24" s="328"/>
      <c r="D24" s="1012"/>
      <c r="E24" s="980">
        <f>SUM(C24:D24)</f>
        <v>0</v>
      </c>
    </row>
    <row r="25" spans="1:5" s="431" customFormat="1" ht="12" customHeight="1" thickBot="1">
      <c r="A25" s="204" t="s">
        <v>22</v>
      </c>
      <c r="B25" s="119" t="s">
        <v>453</v>
      </c>
      <c r="C25" s="301">
        <f>+C26+C27</f>
        <v>0</v>
      </c>
      <c r="D25" s="1010">
        <f>+D26+D27</f>
        <v>0</v>
      </c>
      <c r="E25" s="47">
        <f>+E26+E27</f>
        <v>0</v>
      </c>
    </row>
    <row r="26" spans="1:5" s="431" customFormat="1" ht="12" customHeight="1">
      <c r="A26" s="421" t="s">
        <v>260</v>
      </c>
      <c r="B26" s="1015" t="s">
        <v>451</v>
      </c>
      <c r="C26" s="1016"/>
      <c r="D26" s="1013"/>
      <c r="E26" s="1014">
        <f>SUM(C26:D26)</f>
        <v>0</v>
      </c>
    </row>
    <row r="27" spans="1:5" s="431" customFormat="1" ht="12" customHeight="1">
      <c r="A27" s="423" t="s">
        <v>263</v>
      </c>
      <c r="B27" s="425" t="s">
        <v>454</v>
      </c>
      <c r="C27" s="302"/>
      <c r="D27" s="1011"/>
      <c r="E27" s="969">
        <f>SUM(C27:D27)</f>
        <v>0</v>
      </c>
    </row>
    <row r="28" spans="1:5" s="431" customFormat="1" ht="12" customHeight="1" thickBot="1">
      <c r="A28" s="422" t="s">
        <v>264</v>
      </c>
      <c r="B28" s="426" t="s">
        <v>455</v>
      </c>
      <c r="C28" s="79"/>
      <c r="D28" s="1011"/>
      <c r="E28" s="969">
        <f>SUM(C28:D28)</f>
        <v>0</v>
      </c>
    </row>
    <row r="29" spans="1:5" s="431" customFormat="1" ht="12" customHeight="1" thickBot="1">
      <c r="A29" s="204" t="s">
        <v>23</v>
      </c>
      <c r="B29" s="119" t="s">
        <v>456</v>
      </c>
      <c r="C29" s="301">
        <f>+C30+C31+C32</f>
        <v>0</v>
      </c>
      <c r="D29" s="1010">
        <f>+D30+D31+D32</f>
        <v>0</v>
      </c>
      <c r="E29" s="47">
        <f>+E30+E31+E32</f>
        <v>0</v>
      </c>
    </row>
    <row r="30" spans="1:5" s="431" customFormat="1" ht="12" customHeight="1">
      <c r="A30" s="423" t="s">
        <v>96</v>
      </c>
      <c r="B30" s="424" t="s">
        <v>289</v>
      </c>
      <c r="C30" s="72"/>
      <c r="D30" s="1009"/>
      <c r="E30" s="869">
        <f>SUM(C30:D30)</f>
        <v>0</v>
      </c>
    </row>
    <row r="31" spans="1:5" s="431" customFormat="1" ht="12" customHeight="1">
      <c r="A31" s="423" t="s">
        <v>97</v>
      </c>
      <c r="B31" s="425" t="s">
        <v>290</v>
      </c>
      <c r="C31" s="302"/>
      <c r="D31" s="1008"/>
      <c r="E31" s="870">
        <f>SUM(C31:D31)</f>
        <v>0</v>
      </c>
    </row>
    <row r="32" spans="1:5" s="431" customFormat="1" ht="12" customHeight="1" thickBot="1">
      <c r="A32" s="422" t="s">
        <v>98</v>
      </c>
      <c r="B32" s="135" t="s">
        <v>291</v>
      </c>
      <c r="C32" s="79"/>
      <c r="D32" s="1011"/>
      <c r="E32" s="969">
        <f>SUM(C32:D32)</f>
        <v>0</v>
      </c>
    </row>
    <row r="33" spans="1:5" s="359" customFormat="1" ht="12" customHeight="1" thickBot="1">
      <c r="A33" s="204" t="s">
        <v>24</v>
      </c>
      <c r="B33" s="119" t="s">
        <v>404</v>
      </c>
      <c r="C33" s="328"/>
      <c r="D33" s="1012"/>
      <c r="E33" s="980">
        <f>SUM(C33:D33)</f>
        <v>0</v>
      </c>
    </row>
    <row r="34" spans="1:5" s="359" customFormat="1" ht="12" customHeight="1" thickBot="1">
      <c r="A34" s="204" t="s">
        <v>25</v>
      </c>
      <c r="B34" s="119" t="s">
        <v>457</v>
      </c>
      <c r="C34" s="350"/>
      <c r="D34" s="1012"/>
      <c r="E34" s="980">
        <f>SUM(C34:D34)</f>
        <v>0</v>
      </c>
    </row>
    <row r="35" spans="1:5" s="359" customFormat="1" ht="12" customHeight="1" thickBot="1">
      <c r="A35" s="196" t="s">
        <v>26</v>
      </c>
      <c r="B35" s="119" t="s">
        <v>458</v>
      </c>
      <c r="C35" s="351">
        <f>+C8+C19+C24+C25+C29+C33+C34</f>
        <v>88025000</v>
      </c>
      <c r="D35" s="1010">
        <f>+D8+D19+D24+D25+D29+D33+D34</f>
        <v>1479000</v>
      </c>
      <c r="E35" s="47">
        <f>+E8+E19+E24+E25+E29+E33+E34</f>
        <v>89504000</v>
      </c>
    </row>
    <row r="36" spans="1:5" s="359" customFormat="1" ht="12" customHeight="1" thickBot="1">
      <c r="A36" s="221" t="s">
        <v>27</v>
      </c>
      <c r="B36" s="119" t="s">
        <v>459</v>
      </c>
      <c r="C36" s="351">
        <f>SUM(C37:C39)</f>
        <v>235563724</v>
      </c>
      <c r="D36" s="1010">
        <f>SUM(D37:D39)</f>
        <v>3831567</v>
      </c>
      <c r="E36" s="47">
        <f>SUM(E37:E39)</f>
        <v>239395291</v>
      </c>
    </row>
    <row r="37" spans="1:5" s="359" customFormat="1" ht="12" customHeight="1">
      <c r="A37" s="423" t="s">
        <v>460</v>
      </c>
      <c r="B37" s="424" t="s">
        <v>225</v>
      </c>
      <c r="C37" s="72"/>
      <c r="D37" s="1009">
        <v>6516307</v>
      </c>
      <c r="E37" s="869">
        <f>SUM(C37:D37)</f>
        <v>6516307</v>
      </c>
    </row>
    <row r="38" spans="1:5" s="359" customFormat="1" ht="12" customHeight="1">
      <c r="A38" s="423" t="s">
        <v>461</v>
      </c>
      <c r="B38" s="425" t="s">
        <v>3</v>
      </c>
      <c r="C38" s="302"/>
      <c r="D38" s="1008"/>
      <c r="E38" s="870">
        <f>SUM(C38:D38)</f>
        <v>0</v>
      </c>
    </row>
    <row r="39" spans="1:5" s="431" customFormat="1" ht="12" customHeight="1" thickBot="1">
      <c r="A39" s="422" t="s">
        <v>462</v>
      </c>
      <c r="B39" s="135" t="s">
        <v>463</v>
      </c>
      <c r="C39" s="79">
        <v>235563724</v>
      </c>
      <c r="D39" s="1011">
        <v>-2684740</v>
      </c>
      <c r="E39" s="969">
        <f>SUM(C39:D39)</f>
        <v>232878984</v>
      </c>
    </row>
    <row r="40" spans="1:5" s="431" customFormat="1" ht="15" customHeight="1" thickBot="1">
      <c r="A40" s="221" t="s">
        <v>28</v>
      </c>
      <c r="B40" s="222" t="s">
        <v>464</v>
      </c>
      <c r="C40" s="354">
        <f>C36+C35</f>
        <v>323588724</v>
      </c>
      <c r="D40" s="1010">
        <f>D36+D35</f>
        <v>5310567</v>
      </c>
      <c r="E40" s="47">
        <f>E36+E35</f>
        <v>328899291</v>
      </c>
    </row>
    <row r="41" spans="1:5" s="431" customFormat="1" ht="15" customHeight="1">
      <c r="A41" s="223"/>
      <c r="B41" s="224"/>
      <c r="C41" s="352"/>
      <c r="E41" s="993"/>
    </row>
    <row r="42" spans="1:5" ht="13.5" thickBot="1">
      <c r="A42" s="225"/>
      <c r="B42" s="226"/>
      <c r="C42" s="353"/>
      <c r="E42" s="994"/>
    </row>
    <row r="43" spans="1:5" s="430" customFormat="1" ht="16.5" customHeight="1" thickBot="1">
      <c r="A43" s="227"/>
      <c r="B43" s="228" t="s">
        <v>60</v>
      </c>
      <c r="C43" s="750"/>
      <c r="D43" s="932"/>
      <c r="E43" s="995"/>
    </row>
    <row r="44" spans="1:5" s="432" customFormat="1" ht="12" customHeight="1" thickBot="1">
      <c r="A44" s="864" t="s">
        <v>19</v>
      </c>
      <c r="B44" s="681" t="s">
        <v>465</v>
      </c>
      <c r="C44" s="835">
        <f>SUM(C45:C49)</f>
        <v>323588724</v>
      </c>
      <c r="D44" s="939">
        <f>SUM(D45:D49)</f>
        <v>4822916</v>
      </c>
      <c r="E44" s="873">
        <f>SUM(E45:E49)</f>
        <v>328411640</v>
      </c>
    </row>
    <row r="45" spans="1:5" ht="12" customHeight="1">
      <c r="A45" s="422" t="s">
        <v>103</v>
      </c>
      <c r="B45" s="8" t="s">
        <v>49</v>
      </c>
      <c r="C45" s="821">
        <v>89761150</v>
      </c>
      <c r="D45" s="940">
        <v>254500</v>
      </c>
      <c r="E45" s="996">
        <f>SUM(C45:D45)</f>
        <v>90015650</v>
      </c>
    </row>
    <row r="46" spans="1:5" ht="12" customHeight="1">
      <c r="A46" s="422" t="s">
        <v>104</v>
      </c>
      <c r="B46" s="7" t="s">
        <v>165</v>
      </c>
      <c r="C46" s="826">
        <v>22108048</v>
      </c>
      <c r="D46" s="934">
        <v>60760</v>
      </c>
      <c r="E46" s="997">
        <f>SUM(C46:D46)</f>
        <v>22168808</v>
      </c>
    </row>
    <row r="47" spans="1:5" ht="12" customHeight="1">
      <c r="A47" s="422" t="s">
        <v>105</v>
      </c>
      <c r="B47" s="7" t="s">
        <v>129</v>
      </c>
      <c r="C47" s="826">
        <v>211719526</v>
      </c>
      <c r="D47" s="934">
        <v>4507656</v>
      </c>
      <c r="E47" s="997">
        <f>SUM(C47:D47)</f>
        <v>216227182</v>
      </c>
    </row>
    <row r="48" spans="1:5" ht="12" customHeight="1">
      <c r="A48" s="422" t="s">
        <v>106</v>
      </c>
      <c r="B48" s="7" t="s">
        <v>166</v>
      </c>
      <c r="C48" s="826"/>
      <c r="D48" s="934"/>
      <c r="E48" s="997">
        <f>SUM(C48:D48)</f>
        <v>0</v>
      </c>
    </row>
    <row r="49" spans="1:5" ht="12" customHeight="1" thickBot="1">
      <c r="A49" s="422" t="s">
        <v>131</v>
      </c>
      <c r="B49" s="7" t="s">
        <v>167</v>
      </c>
      <c r="C49" s="826"/>
      <c r="D49" s="936"/>
      <c r="E49" s="998">
        <f>SUM(C49:D49)</f>
        <v>0</v>
      </c>
    </row>
    <row r="50" spans="1:5" ht="12" customHeight="1" thickBot="1">
      <c r="A50" s="204" t="s">
        <v>20</v>
      </c>
      <c r="B50" s="119" t="s">
        <v>466</v>
      </c>
      <c r="C50" s="818">
        <f>SUM(C51:C53)</f>
        <v>0</v>
      </c>
      <c r="D50" s="939">
        <f>SUM(D51:D53)</f>
        <v>487651</v>
      </c>
      <c r="E50" s="873">
        <f>SUM(E51:E53)</f>
        <v>487651</v>
      </c>
    </row>
    <row r="51" spans="1:5" s="432" customFormat="1" ht="12" customHeight="1">
      <c r="A51" s="422" t="s">
        <v>109</v>
      </c>
      <c r="B51" s="8" t="s">
        <v>215</v>
      </c>
      <c r="C51" s="821"/>
      <c r="D51" s="1026">
        <v>487651</v>
      </c>
      <c r="E51" s="1025">
        <f>SUM(C51:D51)</f>
        <v>487651</v>
      </c>
    </row>
    <row r="52" spans="1:5" ht="12" customHeight="1">
      <c r="A52" s="422" t="s">
        <v>110</v>
      </c>
      <c r="B52" s="7" t="s">
        <v>169</v>
      </c>
      <c r="C52" s="826"/>
      <c r="D52" s="934"/>
      <c r="E52" s="999">
        <f>SUM(C52:D52)</f>
        <v>0</v>
      </c>
    </row>
    <row r="53" spans="1:5" ht="12" customHeight="1">
      <c r="A53" s="422" t="s">
        <v>111</v>
      </c>
      <c r="B53" s="7" t="s">
        <v>61</v>
      </c>
      <c r="C53" s="826"/>
      <c r="D53" s="934"/>
      <c r="E53" s="999">
        <f>SUM(C53:D53)</f>
        <v>0</v>
      </c>
    </row>
    <row r="54" spans="1:5" ht="12" customHeight="1" thickBot="1">
      <c r="A54" s="422" t="s">
        <v>112</v>
      </c>
      <c r="B54" s="7" t="s">
        <v>4</v>
      </c>
      <c r="C54" s="826"/>
      <c r="D54" s="936"/>
      <c r="E54" s="1000">
        <f>SUM(C54:D54)</f>
        <v>0</v>
      </c>
    </row>
    <row r="55" spans="1:5" ht="15" customHeight="1" thickBot="1">
      <c r="A55" s="204" t="s">
        <v>21</v>
      </c>
      <c r="B55" s="229" t="s">
        <v>467</v>
      </c>
      <c r="C55" s="827">
        <f>C44+C50</f>
        <v>323588724</v>
      </c>
      <c r="D55" s="916">
        <f>D44+D50</f>
        <v>5310567</v>
      </c>
      <c r="E55" s="960">
        <f>E44+E50</f>
        <v>328899291</v>
      </c>
    </row>
    <row r="56" spans="1:5" ht="13.5" thickBot="1">
      <c r="C56" s="356"/>
    </row>
    <row r="57" spans="1:5" ht="15" customHeight="1" thickBot="1">
      <c r="A57" s="232" t="s">
        <v>188</v>
      </c>
      <c r="B57" s="233"/>
      <c r="C57" s="751">
        <v>45</v>
      </c>
      <c r="D57" s="943"/>
      <c r="E57" s="1003">
        <f>SUM(C57:D57)</f>
        <v>45</v>
      </c>
    </row>
    <row r="58" spans="1:5" ht="14.25" customHeight="1" thickBot="1">
      <c r="A58" s="232" t="s">
        <v>189</v>
      </c>
      <c r="B58" s="233"/>
      <c r="C58" s="751"/>
      <c r="D58" s="1001"/>
      <c r="E58" s="1002">
        <f>SUM(C58:D58)</f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92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zoomScaleSheetLayoutView="100" workbookViewId="0">
      <selection activeCell="C10" sqref="C10"/>
    </sheetView>
  </sheetViews>
  <sheetFormatPr defaultRowHeight="12.75"/>
  <cols>
    <col min="1" max="1" width="13.83203125" style="230" customWidth="1"/>
    <col min="2" max="2" width="65.33203125" style="231" customWidth="1"/>
    <col min="3" max="3" width="25" style="231" customWidth="1"/>
    <col min="4" max="4" width="11.1640625" style="231" bestFit="1" customWidth="1"/>
    <col min="5" max="16384" width="9.33203125" style="231"/>
  </cols>
  <sheetData>
    <row r="1" spans="1:3" s="210" customFormat="1" ht="21" customHeight="1" thickBot="1">
      <c r="A1" s="209"/>
      <c r="B1" s="1144" t="s">
        <v>829</v>
      </c>
      <c r="C1" s="1144"/>
    </row>
    <row r="2" spans="1:3" s="428" customFormat="1" ht="25.5" customHeight="1">
      <c r="A2" s="379" t="s">
        <v>186</v>
      </c>
      <c r="B2" s="342" t="s">
        <v>494</v>
      </c>
      <c r="C2" s="357" t="s">
        <v>495</v>
      </c>
    </row>
    <row r="3" spans="1:3" s="428" customFormat="1" ht="24.75" thickBot="1">
      <c r="A3" s="420" t="s">
        <v>185</v>
      </c>
      <c r="B3" s="343" t="s">
        <v>497</v>
      </c>
      <c r="C3" s="358" t="s">
        <v>64</v>
      </c>
    </row>
    <row r="4" spans="1:3" s="429" customFormat="1" ht="15.95" customHeight="1" thickBot="1">
      <c r="A4" s="213"/>
      <c r="B4" s="213"/>
      <c r="C4" s="663" t="s">
        <v>794</v>
      </c>
    </row>
    <row r="5" spans="1:3" ht="13.5" thickBot="1">
      <c r="A5" s="380" t="s">
        <v>187</v>
      </c>
      <c r="B5" s="215" t="s">
        <v>56</v>
      </c>
      <c r="C5" s="216" t="s">
        <v>57</v>
      </c>
    </row>
    <row r="6" spans="1:3" s="430" customFormat="1" ht="12.95" customHeight="1" thickBot="1">
      <c r="A6" s="196">
        <v>1</v>
      </c>
      <c r="B6" s="197">
        <v>2</v>
      </c>
      <c r="C6" s="198">
        <v>3</v>
      </c>
    </row>
    <row r="7" spans="1:3" s="430" customFormat="1" ht="15.95" customHeight="1" thickBot="1">
      <c r="A7" s="217"/>
      <c r="B7" s="218" t="s">
        <v>58</v>
      </c>
      <c r="C7" s="219"/>
    </row>
    <row r="8" spans="1:3" s="359" customFormat="1" ht="12" customHeight="1" thickBot="1">
      <c r="A8" s="196" t="s">
        <v>19</v>
      </c>
      <c r="B8" s="220" t="s">
        <v>447</v>
      </c>
      <c r="C8" s="301">
        <f>SUM(C9:C18)</f>
        <v>88025000</v>
      </c>
    </row>
    <row r="9" spans="1:3" s="359" customFormat="1" ht="12" customHeight="1">
      <c r="A9" s="421" t="s">
        <v>103</v>
      </c>
      <c r="B9" s="9" t="s">
        <v>275</v>
      </c>
      <c r="C9" s="348"/>
    </row>
    <row r="10" spans="1:3" s="359" customFormat="1" ht="12" customHeight="1">
      <c r="A10" s="422" t="s">
        <v>104</v>
      </c>
      <c r="B10" s="7" t="s">
        <v>276</v>
      </c>
      <c r="C10" s="299"/>
    </row>
    <row r="11" spans="1:3" s="359" customFormat="1" ht="12" customHeight="1">
      <c r="A11" s="422" t="s">
        <v>105</v>
      </c>
      <c r="B11" s="7" t="s">
        <v>277</v>
      </c>
      <c r="C11" s="299"/>
    </row>
    <row r="12" spans="1:3" s="359" customFormat="1" ht="12" customHeight="1">
      <c r="A12" s="422" t="s">
        <v>106</v>
      </c>
      <c r="B12" s="7" t="s">
        <v>278</v>
      </c>
      <c r="C12" s="299"/>
    </row>
    <row r="13" spans="1:3" s="359" customFormat="1" ht="12" customHeight="1">
      <c r="A13" s="422" t="s">
        <v>131</v>
      </c>
      <c r="B13" s="7" t="s">
        <v>279</v>
      </c>
      <c r="C13" s="299">
        <v>69311000</v>
      </c>
    </row>
    <row r="14" spans="1:3" s="359" customFormat="1" ht="12" customHeight="1">
      <c r="A14" s="422" t="s">
        <v>107</v>
      </c>
      <c r="B14" s="7" t="s">
        <v>448</v>
      </c>
      <c r="C14" s="299">
        <v>18714000</v>
      </c>
    </row>
    <row r="15" spans="1:3" s="359" customFormat="1" ht="12" customHeight="1">
      <c r="A15" s="422" t="s">
        <v>108</v>
      </c>
      <c r="B15" s="6" t="s">
        <v>449</v>
      </c>
      <c r="C15" s="299"/>
    </row>
    <row r="16" spans="1:3" s="359" customFormat="1" ht="12" customHeight="1">
      <c r="A16" s="422" t="s">
        <v>118</v>
      </c>
      <c r="B16" s="7" t="s">
        <v>282</v>
      </c>
      <c r="C16" s="349"/>
    </row>
    <row r="17" spans="1:3" s="431" customFormat="1" ht="12" customHeight="1">
      <c r="A17" s="422" t="s">
        <v>119</v>
      </c>
      <c r="B17" s="7" t="s">
        <v>283</v>
      </c>
      <c r="C17" s="299"/>
    </row>
    <row r="18" spans="1:3" s="431" customFormat="1" ht="12" customHeight="1" thickBot="1">
      <c r="A18" s="422" t="s">
        <v>120</v>
      </c>
      <c r="B18" s="6" t="s">
        <v>284</v>
      </c>
      <c r="C18" s="300"/>
    </row>
    <row r="19" spans="1:3" s="359" customFormat="1" ht="12" customHeight="1" thickBot="1">
      <c r="A19" s="196" t="s">
        <v>20</v>
      </c>
      <c r="B19" s="220" t="s">
        <v>450</v>
      </c>
      <c r="C19" s="301">
        <f>SUM(C20:C22)</f>
        <v>0</v>
      </c>
    </row>
    <row r="20" spans="1:3" s="431" customFormat="1" ht="12" customHeight="1">
      <c r="A20" s="422" t="s">
        <v>109</v>
      </c>
      <c r="B20" s="8" t="s">
        <v>250</v>
      </c>
      <c r="C20" s="299"/>
    </row>
    <row r="21" spans="1:3" s="431" customFormat="1" ht="12" customHeight="1">
      <c r="A21" s="422" t="s">
        <v>110</v>
      </c>
      <c r="B21" s="7" t="s">
        <v>451</v>
      </c>
      <c r="C21" s="299"/>
    </row>
    <row r="22" spans="1:3" s="431" customFormat="1" ht="12" customHeight="1">
      <c r="A22" s="422" t="s">
        <v>111</v>
      </c>
      <c r="B22" s="7" t="s">
        <v>452</v>
      </c>
      <c r="C22" s="299"/>
    </row>
    <row r="23" spans="1:3" s="431" customFormat="1" ht="12" customHeight="1" thickBot="1">
      <c r="A23" s="422" t="s">
        <v>112</v>
      </c>
      <c r="B23" s="7" t="s">
        <v>2</v>
      </c>
      <c r="C23" s="299"/>
    </row>
    <row r="24" spans="1:3" s="431" customFormat="1" ht="12" customHeight="1" thickBot="1">
      <c r="A24" s="204" t="s">
        <v>21</v>
      </c>
      <c r="B24" s="119" t="s">
        <v>156</v>
      </c>
      <c r="C24" s="328"/>
    </row>
    <row r="25" spans="1:3" s="431" customFormat="1" ht="12" customHeight="1" thickBot="1">
      <c r="A25" s="204" t="s">
        <v>22</v>
      </c>
      <c r="B25" s="119" t="s">
        <v>453</v>
      </c>
      <c r="C25" s="301">
        <f>+C26+C27</f>
        <v>0</v>
      </c>
    </row>
    <row r="26" spans="1:3" s="431" customFormat="1" ht="12" customHeight="1">
      <c r="A26" s="423" t="s">
        <v>260</v>
      </c>
      <c r="B26" s="424" t="s">
        <v>451</v>
      </c>
      <c r="C26" s="72"/>
    </row>
    <row r="27" spans="1:3" s="431" customFormat="1" ht="12" customHeight="1">
      <c r="A27" s="423" t="s">
        <v>263</v>
      </c>
      <c r="B27" s="425" t="s">
        <v>454</v>
      </c>
      <c r="C27" s="302"/>
    </row>
    <row r="28" spans="1:3" s="431" customFormat="1" ht="12" customHeight="1" thickBot="1">
      <c r="A28" s="422" t="s">
        <v>264</v>
      </c>
      <c r="B28" s="426" t="s">
        <v>455</v>
      </c>
      <c r="C28" s="79"/>
    </row>
    <row r="29" spans="1:3" s="431" customFormat="1" ht="12" customHeight="1" thickBot="1">
      <c r="A29" s="204" t="s">
        <v>23</v>
      </c>
      <c r="B29" s="119" t="s">
        <v>456</v>
      </c>
      <c r="C29" s="301">
        <f>+C30+C31+C32</f>
        <v>0</v>
      </c>
    </row>
    <row r="30" spans="1:3" s="431" customFormat="1" ht="12" customHeight="1">
      <c r="A30" s="423" t="s">
        <v>96</v>
      </c>
      <c r="B30" s="424" t="s">
        <v>289</v>
      </c>
      <c r="C30" s="72"/>
    </row>
    <row r="31" spans="1:3" s="431" customFormat="1" ht="12" customHeight="1">
      <c r="A31" s="423" t="s">
        <v>97</v>
      </c>
      <c r="B31" s="425" t="s">
        <v>290</v>
      </c>
      <c r="C31" s="302"/>
    </row>
    <row r="32" spans="1:3" s="431" customFormat="1" ht="12" customHeight="1" thickBot="1">
      <c r="A32" s="422" t="s">
        <v>98</v>
      </c>
      <c r="B32" s="135" t="s">
        <v>291</v>
      </c>
      <c r="C32" s="79"/>
    </row>
    <row r="33" spans="1:3" s="359" customFormat="1" ht="12" customHeight="1" thickBot="1">
      <c r="A33" s="204" t="s">
        <v>24</v>
      </c>
      <c r="B33" s="119" t="s">
        <v>404</v>
      </c>
      <c r="C33" s="328"/>
    </row>
    <row r="34" spans="1:3" s="359" customFormat="1" ht="12" customHeight="1" thickBot="1">
      <c r="A34" s="204" t="s">
        <v>25</v>
      </c>
      <c r="B34" s="119" t="s">
        <v>457</v>
      </c>
      <c r="C34" s="350"/>
    </row>
    <row r="35" spans="1:3" s="359" customFormat="1" ht="12" customHeight="1" thickBot="1">
      <c r="A35" s="196" t="s">
        <v>26</v>
      </c>
      <c r="B35" s="119" t="s">
        <v>458</v>
      </c>
      <c r="C35" s="301">
        <f>+C8+C19+C24+C25+C29+C33+C34</f>
        <v>88025000</v>
      </c>
    </row>
    <row r="36" spans="1:3" s="359" customFormat="1" ht="12" customHeight="1" thickBot="1">
      <c r="A36" s="221" t="s">
        <v>27</v>
      </c>
      <c r="B36" s="119" t="s">
        <v>459</v>
      </c>
      <c r="C36" s="301">
        <f>SUM(C37:C39)</f>
        <v>140902894</v>
      </c>
    </row>
    <row r="37" spans="1:3" s="359" customFormat="1" ht="12" customHeight="1">
      <c r="A37" s="423" t="s">
        <v>460</v>
      </c>
      <c r="B37" s="424" t="s">
        <v>225</v>
      </c>
      <c r="C37" s="72"/>
    </row>
    <row r="38" spans="1:3" s="359" customFormat="1" ht="12" customHeight="1">
      <c r="A38" s="423" t="s">
        <v>461</v>
      </c>
      <c r="B38" s="425" t="s">
        <v>3</v>
      </c>
      <c r="C38" s="302"/>
    </row>
    <row r="39" spans="1:3" s="431" customFormat="1" ht="12" customHeight="1" thickBot="1">
      <c r="A39" s="422" t="s">
        <v>462</v>
      </c>
      <c r="B39" s="135" t="s">
        <v>463</v>
      </c>
      <c r="C39" s="79">
        <v>140902894</v>
      </c>
    </row>
    <row r="40" spans="1:3" s="431" customFormat="1" ht="15" customHeight="1" thickBot="1">
      <c r="A40" s="221" t="s">
        <v>28</v>
      </c>
      <c r="B40" s="222" t="s">
        <v>464</v>
      </c>
      <c r="C40" s="355">
        <f>C35+C36</f>
        <v>228927894</v>
      </c>
    </row>
    <row r="41" spans="1:3" s="431" customFormat="1" ht="15" customHeight="1">
      <c r="A41" s="223"/>
      <c r="B41" s="224"/>
      <c r="C41" s="664"/>
    </row>
    <row r="42" spans="1:3" ht="13.5" thickBot="1">
      <c r="A42" s="225"/>
      <c r="B42" s="226"/>
      <c r="C42" s="665"/>
    </row>
    <row r="43" spans="1:3" s="430" customFormat="1" ht="16.5" customHeight="1" thickBot="1">
      <c r="A43" s="227"/>
      <c r="B43" s="228" t="s">
        <v>60</v>
      </c>
      <c r="C43" s="354"/>
    </row>
    <row r="44" spans="1:3" s="432" customFormat="1" ht="12" customHeight="1" thickBot="1">
      <c r="A44" s="204" t="s">
        <v>19</v>
      </c>
      <c r="B44" s="119" t="s">
        <v>465</v>
      </c>
      <c r="C44" s="301">
        <f>SUM(C45:C49)</f>
        <v>228927894</v>
      </c>
    </row>
    <row r="45" spans="1:3" ht="12" customHeight="1">
      <c r="A45" s="422" t="s">
        <v>103</v>
      </c>
      <c r="B45" s="8" t="s">
        <v>49</v>
      </c>
      <c r="C45" s="72">
        <v>52789400</v>
      </c>
    </row>
    <row r="46" spans="1:3" ht="12" customHeight="1">
      <c r="A46" s="422" t="s">
        <v>104</v>
      </c>
      <c r="B46" s="7" t="s">
        <v>165</v>
      </c>
      <c r="C46" s="72">
        <v>11988968</v>
      </c>
    </row>
    <row r="47" spans="1:3" ht="12" customHeight="1">
      <c r="A47" s="422" t="s">
        <v>105</v>
      </c>
      <c r="B47" s="7" t="s">
        <v>129</v>
      </c>
      <c r="C47" s="72">
        <v>164149526</v>
      </c>
    </row>
    <row r="48" spans="1:3" ht="12" customHeight="1">
      <c r="A48" s="422" t="s">
        <v>106</v>
      </c>
      <c r="B48" s="7" t="s">
        <v>166</v>
      </c>
      <c r="C48" s="75"/>
    </row>
    <row r="49" spans="1:4" ht="12" customHeight="1" thickBot="1">
      <c r="A49" s="422" t="s">
        <v>131</v>
      </c>
      <c r="B49" s="7" t="s">
        <v>167</v>
      </c>
      <c r="C49" s="75"/>
    </row>
    <row r="50" spans="1:4" ht="12" customHeight="1" thickBot="1">
      <c r="A50" s="204" t="s">
        <v>20</v>
      </c>
      <c r="B50" s="119" t="s">
        <v>466</v>
      </c>
      <c r="C50" s="301">
        <f>SUM(C51:C53)</f>
        <v>0</v>
      </c>
    </row>
    <row r="51" spans="1:4" s="432" customFormat="1" ht="12" customHeight="1">
      <c r="A51" s="422" t="s">
        <v>109</v>
      </c>
      <c r="B51" s="8" t="s">
        <v>215</v>
      </c>
      <c r="C51" s="72"/>
    </row>
    <row r="52" spans="1:4" ht="12" customHeight="1">
      <c r="A52" s="422" t="s">
        <v>110</v>
      </c>
      <c r="B52" s="7" t="s">
        <v>169</v>
      </c>
      <c r="C52" s="75"/>
    </row>
    <row r="53" spans="1:4" ht="12" customHeight="1">
      <c r="A53" s="422" t="s">
        <v>111</v>
      </c>
      <c r="B53" s="7" t="s">
        <v>61</v>
      </c>
      <c r="C53" s="75"/>
    </row>
    <row r="54" spans="1:4" ht="12" customHeight="1" thickBot="1">
      <c r="A54" s="422" t="s">
        <v>112</v>
      </c>
      <c r="B54" s="7" t="s">
        <v>4</v>
      </c>
      <c r="C54" s="75"/>
    </row>
    <row r="55" spans="1:4" ht="15" customHeight="1" thickBot="1">
      <c r="A55" s="204" t="s">
        <v>21</v>
      </c>
      <c r="B55" s="229" t="s">
        <v>467</v>
      </c>
      <c r="C55" s="355">
        <f>+C44+C50</f>
        <v>228927894</v>
      </c>
      <c r="D55" s="50">
        <f>C55-C40</f>
        <v>0</v>
      </c>
    </row>
    <row r="56" spans="1:4" ht="13.5" thickBot="1">
      <c r="C56" s="666"/>
    </row>
    <row r="57" spans="1:4" ht="15" customHeight="1" thickBot="1">
      <c r="A57" s="232" t="s">
        <v>188</v>
      </c>
      <c r="B57" s="233"/>
      <c r="C57" s="116">
        <v>29</v>
      </c>
    </row>
    <row r="58" spans="1:4" ht="14.25" customHeight="1" thickBot="1">
      <c r="A58" s="232" t="s">
        <v>189</v>
      </c>
      <c r="B58" s="233"/>
      <c r="C58" s="116"/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32"/>
  <sheetViews>
    <sheetView zoomScale="120" zoomScaleNormal="120" zoomScaleSheetLayoutView="100" workbookViewId="0">
      <selection activeCell="C73" sqref="C73"/>
    </sheetView>
  </sheetViews>
  <sheetFormatPr defaultRowHeight="15.75"/>
  <cols>
    <col min="1" max="1" width="9.5" style="364" customWidth="1"/>
    <col min="2" max="2" width="91.6640625" style="364" customWidth="1"/>
    <col min="3" max="3" width="21.6640625" style="365" customWidth="1"/>
    <col min="4" max="4" width="12" style="386" customWidth="1"/>
    <col min="5" max="16384" width="9.33203125" style="386"/>
  </cols>
  <sheetData>
    <row r="1" spans="1:3" ht="15.95" customHeight="1">
      <c r="A1" s="1108" t="s">
        <v>16</v>
      </c>
      <c r="B1" s="1108"/>
      <c r="C1" s="1108"/>
    </row>
    <row r="2" spans="1:3" ht="15.95" customHeight="1" thickBot="1">
      <c r="A2" s="1109" t="s">
        <v>725</v>
      </c>
      <c r="B2" s="1109"/>
      <c r="C2" s="291" t="s">
        <v>795</v>
      </c>
    </row>
    <row r="3" spans="1:3" ht="38.1" customHeight="1" thickBot="1">
      <c r="A3" s="22" t="s">
        <v>73</v>
      </c>
      <c r="B3" s="23" t="s">
        <v>18</v>
      </c>
      <c r="C3" s="38" t="s">
        <v>738</v>
      </c>
    </row>
    <row r="4" spans="1:3" s="387" customFormat="1" ht="12" customHeight="1" thickBot="1">
      <c r="A4" s="381">
        <v>1</v>
      </c>
      <c r="B4" s="382">
        <v>2</v>
      </c>
      <c r="C4" s="383">
        <v>3</v>
      </c>
    </row>
    <row r="5" spans="1:3" s="388" customFormat="1" ht="12" customHeight="1" thickBot="1">
      <c r="A5" s="19" t="s">
        <v>19</v>
      </c>
      <c r="B5" s="20" t="s">
        <v>242</v>
      </c>
      <c r="C5" s="281">
        <f>+C6+C7+C8+C9+C10+C11</f>
        <v>0</v>
      </c>
    </row>
    <row r="6" spans="1:3" s="388" customFormat="1" ht="12" customHeight="1">
      <c r="A6" s="14" t="s">
        <v>103</v>
      </c>
      <c r="B6" s="389" t="s">
        <v>243</v>
      </c>
      <c r="C6" s="284"/>
    </row>
    <row r="7" spans="1:3" s="388" customFormat="1" ht="12" customHeight="1">
      <c r="A7" s="13" t="s">
        <v>104</v>
      </c>
      <c r="B7" s="390" t="s">
        <v>244</v>
      </c>
      <c r="C7" s="283"/>
    </row>
    <row r="8" spans="1:3" s="388" customFormat="1" ht="12" customHeight="1">
      <c r="A8" s="13" t="s">
        <v>105</v>
      </c>
      <c r="B8" s="390" t="s">
        <v>245</v>
      </c>
      <c r="C8" s="283"/>
    </row>
    <row r="9" spans="1:3" s="388" customFormat="1" ht="12" customHeight="1">
      <c r="A9" s="13" t="s">
        <v>106</v>
      </c>
      <c r="B9" s="390" t="s">
        <v>246</v>
      </c>
      <c r="C9" s="283"/>
    </row>
    <row r="10" spans="1:3" s="388" customFormat="1" ht="12" customHeight="1">
      <c r="A10" s="13" t="s">
        <v>131</v>
      </c>
      <c r="B10" s="390" t="s">
        <v>247</v>
      </c>
      <c r="C10" s="283"/>
    </row>
    <row r="11" spans="1:3" s="388" customFormat="1" ht="12" customHeight="1" thickBot="1">
      <c r="A11" s="15" t="s">
        <v>107</v>
      </c>
      <c r="B11" s="391" t="s">
        <v>248</v>
      </c>
      <c r="C11" s="283"/>
    </row>
    <row r="12" spans="1:3" s="388" customFormat="1" ht="12" customHeight="1" thickBot="1">
      <c r="A12" s="19" t="s">
        <v>20</v>
      </c>
      <c r="B12" s="276" t="s">
        <v>249</v>
      </c>
      <c r="C12" s="281">
        <f>+C13+C14+C15+C16+C17</f>
        <v>868522000</v>
      </c>
    </row>
    <row r="13" spans="1:3" s="388" customFormat="1" ht="12" customHeight="1">
      <c r="A13" s="14" t="s">
        <v>109</v>
      </c>
      <c r="B13" s="389" t="s">
        <v>250</v>
      </c>
      <c r="C13" s="284"/>
    </row>
    <row r="14" spans="1:3" s="388" customFormat="1" ht="12" customHeight="1">
      <c r="A14" s="13" t="s">
        <v>110</v>
      </c>
      <c r="B14" s="390" t="s">
        <v>251</v>
      </c>
      <c r="C14" s="283"/>
    </row>
    <row r="15" spans="1:3" s="388" customFormat="1" ht="12" customHeight="1">
      <c r="A15" s="13" t="s">
        <v>111</v>
      </c>
      <c r="B15" s="390" t="s">
        <v>473</v>
      </c>
      <c r="C15" s="283"/>
    </row>
    <row r="16" spans="1:3" s="388" customFormat="1" ht="12" customHeight="1">
      <c r="A16" s="13" t="s">
        <v>112</v>
      </c>
      <c r="B16" s="390" t="s">
        <v>474</v>
      </c>
      <c r="C16" s="283"/>
    </row>
    <row r="17" spans="1:3" s="388" customFormat="1" ht="12" customHeight="1">
      <c r="A17" s="13" t="s">
        <v>113</v>
      </c>
      <c r="B17" s="390" t="s">
        <v>252</v>
      </c>
      <c r="C17" s="283">
        <v>868522000</v>
      </c>
    </row>
    <row r="18" spans="1:3" s="388" customFormat="1" ht="12" customHeight="1">
      <c r="A18" s="15"/>
      <c r="B18" s="391" t="s">
        <v>786</v>
      </c>
      <c r="C18" s="285">
        <v>4300000</v>
      </c>
    </row>
    <row r="19" spans="1:3" s="388" customFormat="1" ht="12" customHeight="1" thickBot="1">
      <c r="A19" s="15" t="s">
        <v>122</v>
      </c>
      <c r="B19" s="391" t="s">
        <v>253</v>
      </c>
      <c r="C19" s="285"/>
    </row>
    <row r="20" spans="1:3" s="388" customFormat="1" ht="12" customHeight="1" thickBot="1">
      <c r="A20" s="19" t="s">
        <v>21</v>
      </c>
      <c r="B20" s="20" t="s">
        <v>254</v>
      </c>
      <c r="C20" s="281">
        <f>+C21+C22+C23+C24+C25</f>
        <v>0</v>
      </c>
    </row>
    <row r="21" spans="1:3" s="388" customFormat="1" ht="12" customHeight="1">
      <c r="A21" s="14" t="s">
        <v>92</v>
      </c>
      <c r="B21" s="389" t="s">
        <v>255</v>
      </c>
      <c r="C21" s="284"/>
    </row>
    <row r="22" spans="1:3" s="388" customFormat="1" ht="12" customHeight="1">
      <c r="A22" s="13" t="s">
        <v>93</v>
      </c>
      <c r="B22" s="390" t="s">
        <v>256</v>
      </c>
      <c r="C22" s="283"/>
    </row>
    <row r="23" spans="1:3" s="388" customFormat="1" ht="12" customHeight="1">
      <c r="A23" s="13" t="s">
        <v>94</v>
      </c>
      <c r="B23" s="390" t="s">
        <v>475</v>
      </c>
      <c r="C23" s="283"/>
    </row>
    <row r="24" spans="1:3" s="388" customFormat="1" ht="12" customHeight="1">
      <c r="A24" s="13" t="s">
        <v>95</v>
      </c>
      <c r="B24" s="390" t="s">
        <v>476</v>
      </c>
      <c r="C24" s="283"/>
    </row>
    <row r="25" spans="1:3" s="388" customFormat="1" ht="12" customHeight="1">
      <c r="A25" s="13" t="s">
        <v>153</v>
      </c>
      <c r="B25" s="390" t="s">
        <v>257</v>
      </c>
      <c r="C25" s="283"/>
    </row>
    <row r="26" spans="1:3" s="388" customFormat="1" ht="12" customHeight="1" thickBot="1">
      <c r="A26" s="15" t="s">
        <v>154</v>
      </c>
      <c r="B26" s="391" t="s">
        <v>258</v>
      </c>
      <c r="C26" s="285"/>
    </row>
    <row r="27" spans="1:3" s="388" customFormat="1" ht="12" customHeight="1" thickBot="1">
      <c r="A27" s="19" t="s">
        <v>155</v>
      </c>
      <c r="B27" s="20" t="s">
        <v>259</v>
      </c>
      <c r="C27" s="287">
        <f>+C28+C31+C32+C33</f>
        <v>125000000</v>
      </c>
    </row>
    <row r="28" spans="1:3" s="388" customFormat="1" ht="12" customHeight="1">
      <c r="A28" s="14" t="s">
        <v>260</v>
      </c>
      <c r="B28" s="389" t="s">
        <v>266</v>
      </c>
      <c r="C28" s="384">
        <f>+C29+C30</f>
        <v>125000000</v>
      </c>
    </row>
    <row r="29" spans="1:3" s="388" customFormat="1" ht="12" customHeight="1">
      <c r="A29" s="13" t="s">
        <v>261</v>
      </c>
      <c r="B29" s="390" t="s">
        <v>267</v>
      </c>
      <c r="C29" s="283">
        <v>125000000</v>
      </c>
    </row>
    <row r="30" spans="1:3" s="388" customFormat="1" ht="12" customHeight="1">
      <c r="A30" s="13" t="s">
        <v>262</v>
      </c>
      <c r="B30" s="390" t="s">
        <v>268</v>
      </c>
      <c r="C30" s="283"/>
    </row>
    <row r="31" spans="1:3" s="388" customFormat="1" ht="12" customHeight="1">
      <c r="A31" s="13" t="s">
        <v>263</v>
      </c>
      <c r="B31" s="390" t="s">
        <v>269</v>
      </c>
      <c r="C31" s="283"/>
    </row>
    <row r="32" spans="1:3" s="388" customFormat="1" ht="12" customHeight="1">
      <c r="A32" s="13" t="s">
        <v>264</v>
      </c>
      <c r="B32" s="390" t="s">
        <v>270</v>
      </c>
      <c r="C32" s="283"/>
    </row>
    <row r="33" spans="1:3" s="388" customFormat="1" ht="12" customHeight="1" thickBot="1">
      <c r="A33" s="15" t="s">
        <v>265</v>
      </c>
      <c r="B33" s="391" t="s">
        <v>271</v>
      </c>
      <c r="C33" s="285"/>
    </row>
    <row r="34" spans="1:3" s="388" customFormat="1" ht="12" customHeight="1" thickBot="1">
      <c r="A34" s="19" t="s">
        <v>23</v>
      </c>
      <c r="B34" s="20" t="s">
        <v>272</v>
      </c>
      <c r="C34" s="281">
        <f>SUM(C35:C44)</f>
        <v>74800000</v>
      </c>
    </row>
    <row r="35" spans="1:3" s="388" customFormat="1" ht="12" customHeight="1">
      <c r="A35" s="14" t="s">
        <v>96</v>
      </c>
      <c r="B35" s="389" t="s">
        <v>275</v>
      </c>
      <c r="C35" s="284"/>
    </row>
    <row r="36" spans="1:3" s="388" customFormat="1" ht="12" customHeight="1">
      <c r="A36" s="13" t="s">
        <v>97</v>
      </c>
      <c r="B36" s="390" t="s">
        <v>276</v>
      </c>
      <c r="C36" s="283">
        <v>57322835</v>
      </c>
    </row>
    <row r="37" spans="1:3" s="388" customFormat="1" ht="12" customHeight="1">
      <c r="A37" s="13" t="s">
        <v>98</v>
      </c>
      <c r="B37" s="390" t="s">
        <v>277</v>
      </c>
      <c r="C37" s="283"/>
    </row>
    <row r="38" spans="1:3" s="388" customFormat="1" ht="12" customHeight="1">
      <c r="A38" s="13" t="s">
        <v>157</v>
      </c>
      <c r="B38" s="390" t="s">
        <v>278</v>
      </c>
      <c r="C38" s="283"/>
    </row>
    <row r="39" spans="1:3" s="388" customFormat="1" ht="12" customHeight="1">
      <c r="A39" s="13" t="s">
        <v>158</v>
      </c>
      <c r="B39" s="390" t="s">
        <v>279</v>
      </c>
      <c r="C39" s="283"/>
    </row>
    <row r="40" spans="1:3" s="388" customFormat="1" ht="12" customHeight="1">
      <c r="A40" s="13" t="s">
        <v>159</v>
      </c>
      <c r="B40" s="390" t="s">
        <v>280</v>
      </c>
      <c r="C40" s="283">
        <v>16477165</v>
      </c>
    </row>
    <row r="41" spans="1:3" s="388" customFormat="1" ht="12" customHeight="1">
      <c r="A41" s="13" t="s">
        <v>160</v>
      </c>
      <c r="B41" s="390" t="s">
        <v>281</v>
      </c>
      <c r="C41" s="283"/>
    </row>
    <row r="42" spans="1:3" s="388" customFormat="1" ht="12" customHeight="1">
      <c r="A42" s="13" t="s">
        <v>161</v>
      </c>
      <c r="B42" s="390" t="s">
        <v>282</v>
      </c>
      <c r="C42" s="283">
        <v>1000000</v>
      </c>
    </row>
    <row r="43" spans="1:3" s="388" customFormat="1" ht="12" customHeight="1">
      <c r="A43" s="13" t="s">
        <v>273</v>
      </c>
      <c r="B43" s="390" t="s">
        <v>283</v>
      </c>
      <c r="C43" s="286"/>
    </row>
    <row r="44" spans="1:3" s="388" customFormat="1" ht="12" customHeight="1" thickBot="1">
      <c r="A44" s="15" t="s">
        <v>274</v>
      </c>
      <c r="B44" s="391" t="s">
        <v>284</v>
      </c>
      <c r="C44" s="378"/>
    </row>
    <row r="45" spans="1:3" s="388" customFormat="1" ht="12" customHeight="1" thickBot="1">
      <c r="A45" s="19" t="s">
        <v>24</v>
      </c>
      <c r="B45" s="20" t="s">
        <v>285</v>
      </c>
      <c r="C45" s="281">
        <f>SUM(C46:C50)</f>
        <v>40000000</v>
      </c>
    </row>
    <row r="46" spans="1:3" s="388" customFormat="1" ht="12" customHeight="1">
      <c r="A46" s="14" t="s">
        <v>99</v>
      </c>
      <c r="B46" s="389" t="s">
        <v>289</v>
      </c>
      <c r="C46" s="435"/>
    </row>
    <row r="47" spans="1:3" s="388" customFormat="1" ht="12" customHeight="1">
      <c r="A47" s="13" t="s">
        <v>100</v>
      </c>
      <c r="B47" s="390" t="s">
        <v>290</v>
      </c>
      <c r="C47" s="286">
        <v>40000000</v>
      </c>
    </row>
    <row r="48" spans="1:3" s="388" customFormat="1" ht="12" customHeight="1">
      <c r="A48" s="13" t="s">
        <v>286</v>
      </c>
      <c r="B48" s="390" t="s">
        <v>291</v>
      </c>
      <c r="C48" s="286"/>
    </row>
    <row r="49" spans="1:3" s="388" customFormat="1" ht="12" customHeight="1">
      <c r="A49" s="13" t="s">
        <v>287</v>
      </c>
      <c r="B49" s="390" t="s">
        <v>292</v>
      </c>
      <c r="C49" s="286"/>
    </row>
    <row r="50" spans="1:3" s="388" customFormat="1" ht="12" customHeight="1" thickBot="1">
      <c r="A50" s="15" t="s">
        <v>288</v>
      </c>
      <c r="B50" s="391" t="s">
        <v>293</v>
      </c>
      <c r="C50" s="378"/>
    </row>
    <row r="51" spans="1:3" s="388" customFormat="1" ht="12" customHeight="1" thickBot="1">
      <c r="A51" s="19" t="s">
        <v>162</v>
      </c>
      <c r="B51" s="20" t="s">
        <v>294</v>
      </c>
      <c r="C51" s="281">
        <f>SUM(C52:C54)</f>
        <v>0</v>
      </c>
    </row>
    <row r="52" spans="1:3" s="388" customFormat="1" ht="12" customHeight="1">
      <c r="A52" s="14" t="s">
        <v>101</v>
      </c>
      <c r="B52" s="389" t="s">
        <v>295</v>
      </c>
      <c r="C52" s="284"/>
    </row>
    <row r="53" spans="1:3" s="388" customFormat="1" ht="12" customHeight="1">
      <c r="A53" s="13" t="s">
        <v>102</v>
      </c>
      <c r="B53" s="390" t="s">
        <v>477</v>
      </c>
      <c r="C53" s="283"/>
    </row>
    <row r="54" spans="1:3" s="388" customFormat="1" ht="12" customHeight="1">
      <c r="A54" s="13" t="s">
        <v>299</v>
      </c>
      <c r="B54" s="390" t="s">
        <v>726</v>
      </c>
      <c r="C54" s="283"/>
    </row>
    <row r="55" spans="1:3" s="388" customFormat="1" ht="12" customHeight="1" thickBot="1">
      <c r="A55" s="15" t="s">
        <v>300</v>
      </c>
      <c r="B55" s="391" t="s">
        <v>298</v>
      </c>
      <c r="C55" s="285"/>
    </row>
    <row r="56" spans="1:3" s="388" customFormat="1" ht="12" customHeight="1" thickBot="1">
      <c r="A56" s="19" t="s">
        <v>26</v>
      </c>
      <c r="B56" s="276" t="s">
        <v>301</v>
      </c>
      <c r="C56" s="281">
        <f>SUM(C57:C59)</f>
        <v>0</v>
      </c>
    </row>
    <row r="57" spans="1:3" s="388" customFormat="1" ht="12" customHeight="1">
      <c r="A57" s="14" t="s">
        <v>163</v>
      </c>
      <c r="B57" s="389" t="s">
        <v>303</v>
      </c>
      <c r="C57" s="286"/>
    </row>
    <row r="58" spans="1:3" s="388" customFormat="1" ht="12" customHeight="1">
      <c r="A58" s="13" t="s">
        <v>164</v>
      </c>
      <c r="B58" s="390" t="s">
        <v>478</v>
      </c>
      <c r="C58" s="286"/>
    </row>
    <row r="59" spans="1:3" s="388" customFormat="1" ht="12" customHeight="1">
      <c r="A59" s="13" t="s">
        <v>217</v>
      </c>
      <c r="B59" s="390" t="s">
        <v>727</v>
      </c>
      <c r="C59" s="286"/>
    </row>
    <row r="60" spans="1:3" s="388" customFormat="1" ht="12" customHeight="1" thickBot="1">
      <c r="A60" s="15" t="s">
        <v>302</v>
      </c>
      <c r="B60" s="391" t="s">
        <v>305</v>
      </c>
      <c r="C60" s="286"/>
    </row>
    <row r="61" spans="1:3" s="388" customFormat="1" ht="12" customHeight="1" thickBot="1">
      <c r="A61" s="19" t="s">
        <v>27</v>
      </c>
      <c r="B61" s="20" t="s">
        <v>306</v>
      </c>
      <c r="C61" s="287">
        <f>+C5+C12+C20+C27+C34+C45+C51+C56</f>
        <v>1108322000</v>
      </c>
    </row>
    <row r="62" spans="1:3" s="388" customFormat="1" ht="12" customHeight="1" thickBot="1">
      <c r="A62" s="392" t="s">
        <v>307</v>
      </c>
      <c r="B62" s="276" t="s">
        <v>308</v>
      </c>
      <c r="C62" s="281">
        <f>SUM(C63:C65)</f>
        <v>0</v>
      </c>
    </row>
    <row r="63" spans="1:3" s="388" customFormat="1" ht="12" customHeight="1">
      <c r="A63" s="14" t="s">
        <v>341</v>
      </c>
      <c r="B63" s="389" t="s">
        <v>309</v>
      </c>
      <c r="C63" s="286"/>
    </row>
    <row r="64" spans="1:3" s="388" customFormat="1" ht="12" customHeight="1">
      <c r="A64" s="13" t="s">
        <v>350</v>
      </c>
      <c r="B64" s="390" t="s">
        <v>310</v>
      </c>
      <c r="C64" s="286"/>
    </row>
    <row r="65" spans="1:3" s="388" customFormat="1" ht="12" customHeight="1" thickBot="1">
      <c r="A65" s="15" t="s">
        <v>351</v>
      </c>
      <c r="B65" s="393" t="s">
        <v>311</v>
      </c>
      <c r="C65" s="286"/>
    </row>
    <row r="66" spans="1:3" s="388" customFormat="1" ht="12" customHeight="1" thickBot="1">
      <c r="A66" s="392" t="s">
        <v>312</v>
      </c>
      <c r="B66" s="276" t="s">
        <v>313</v>
      </c>
      <c r="C66" s="281">
        <f>SUM(C67:C70)</f>
        <v>0</v>
      </c>
    </row>
    <row r="67" spans="1:3" s="388" customFormat="1" ht="12" customHeight="1">
      <c r="A67" s="14" t="s">
        <v>132</v>
      </c>
      <c r="B67" s="389" t="s">
        <v>314</v>
      </c>
      <c r="C67" s="286"/>
    </row>
    <row r="68" spans="1:3" s="388" customFormat="1" ht="12" customHeight="1">
      <c r="A68" s="13" t="s">
        <v>133</v>
      </c>
      <c r="B68" s="390" t="s">
        <v>315</v>
      </c>
      <c r="C68" s="286"/>
    </row>
    <row r="69" spans="1:3" s="388" customFormat="1" ht="12" customHeight="1">
      <c r="A69" s="13" t="s">
        <v>342</v>
      </c>
      <c r="B69" s="390" t="s">
        <v>316</v>
      </c>
      <c r="C69" s="286"/>
    </row>
    <row r="70" spans="1:3" s="388" customFormat="1" ht="12" customHeight="1" thickBot="1">
      <c r="A70" s="15" t="s">
        <v>343</v>
      </c>
      <c r="B70" s="391" t="s">
        <v>317</v>
      </c>
      <c r="C70" s="286"/>
    </row>
    <row r="71" spans="1:3" s="388" customFormat="1" ht="12" customHeight="1" thickBot="1">
      <c r="A71" s="392" t="s">
        <v>318</v>
      </c>
      <c r="B71" s="276" t="s">
        <v>319</v>
      </c>
      <c r="C71" s="281">
        <f>SUM(C72:C73)</f>
        <v>157113352</v>
      </c>
    </row>
    <row r="72" spans="1:3" s="388" customFormat="1" ht="12" customHeight="1">
      <c r="A72" s="14" t="s">
        <v>344</v>
      </c>
      <c r="B72" s="389" t="s">
        <v>320</v>
      </c>
      <c r="C72" s="286">
        <f>197000000-34170024-5716624</f>
        <v>157113352</v>
      </c>
    </row>
    <row r="73" spans="1:3" s="388" customFormat="1" ht="12" customHeight="1" thickBot="1">
      <c r="A73" s="15" t="s">
        <v>345</v>
      </c>
      <c r="B73" s="391" t="s">
        <v>321</v>
      </c>
      <c r="C73" s="286"/>
    </row>
    <row r="74" spans="1:3" s="388" customFormat="1" ht="12" customHeight="1" thickBot="1">
      <c r="A74" s="392" t="s">
        <v>322</v>
      </c>
      <c r="B74" s="276" t="s">
        <v>323</v>
      </c>
      <c r="C74" s="281">
        <f>SUM(C75:C77)</f>
        <v>0</v>
      </c>
    </row>
    <row r="75" spans="1:3" s="388" customFormat="1" ht="12" customHeight="1">
      <c r="A75" s="14" t="s">
        <v>346</v>
      </c>
      <c r="B75" s="389" t="s">
        <v>324</v>
      </c>
      <c r="C75" s="286"/>
    </row>
    <row r="76" spans="1:3" s="388" customFormat="1" ht="12" customHeight="1">
      <c r="A76" s="13" t="s">
        <v>347</v>
      </c>
      <c r="B76" s="390" t="s">
        <v>325</v>
      </c>
      <c r="C76" s="286"/>
    </row>
    <row r="77" spans="1:3" s="388" customFormat="1" ht="12" customHeight="1" thickBot="1">
      <c r="A77" s="15" t="s">
        <v>348</v>
      </c>
      <c r="B77" s="391" t="s">
        <v>326</v>
      </c>
      <c r="C77" s="286"/>
    </row>
    <row r="78" spans="1:3" s="388" customFormat="1" ht="12" customHeight="1" thickBot="1">
      <c r="A78" s="392" t="s">
        <v>327</v>
      </c>
      <c r="B78" s="276" t="s">
        <v>349</v>
      </c>
      <c r="C78" s="281">
        <f>SUM(C79:C82)</f>
        <v>0</v>
      </c>
    </row>
    <row r="79" spans="1:3" s="388" customFormat="1" ht="12" customHeight="1">
      <c r="A79" s="394" t="s">
        <v>328</v>
      </c>
      <c r="B79" s="389" t="s">
        <v>329</v>
      </c>
      <c r="C79" s="286"/>
    </row>
    <row r="80" spans="1:3" s="388" customFormat="1" ht="12" customHeight="1">
      <c r="A80" s="395" t="s">
        <v>330</v>
      </c>
      <c r="B80" s="390" t="s">
        <v>331</v>
      </c>
      <c r="C80" s="286"/>
    </row>
    <row r="81" spans="1:3" s="388" customFormat="1" ht="12" customHeight="1">
      <c r="A81" s="395" t="s">
        <v>332</v>
      </c>
      <c r="B81" s="390" t="s">
        <v>333</v>
      </c>
      <c r="C81" s="286"/>
    </row>
    <row r="82" spans="1:3" s="388" customFormat="1" ht="12" customHeight="1" thickBot="1">
      <c r="A82" s="396" t="s">
        <v>334</v>
      </c>
      <c r="B82" s="391" t="s">
        <v>335</v>
      </c>
      <c r="C82" s="286"/>
    </row>
    <row r="83" spans="1:3" s="388" customFormat="1" ht="13.5" customHeight="1" thickBot="1">
      <c r="A83" s="392" t="s">
        <v>336</v>
      </c>
      <c r="B83" s="276" t="s">
        <v>337</v>
      </c>
      <c r="C83" s="436"/>
    </row>
    <row r="84" spans="1:3" s="388" customFormat="1" ht="15.75" customHeight="1" thickBot="1">
      <c r="A84" s="392" t="s">
        <v>338</v>
      </c>
      <c r="B84" s="397" t="s">
        <v>339</v>
      </c>
      <c r="C84" s="287">
        <f>+C62+C66+C71+C74+C78+C83</f>
        <v>157113352</v>
      </c>
    </row>
    <row r="85" spans="1:3" s="388" customFormat="1" ht="16.5" customHeight="1" thickBot="1">
      <c r="A85" s="398" t="s">
        <v>352</v>
      </c>
      <c r="B85" s="399" t="s">
        <v>340</v>
      </c>
      <c r="C85" s="287">
        <f>+C61+C84</f>
        <v>1265435352</v>
      </c>
    </row>
    <row r="86" spans="1:3" s="388" customFormat="1" ht="83.25" customHeight="1">
      <c r="A86" s="4"/>
      <c r="B86" s="5"/>
      <c r="C86" s="288"/>
    </row>
    <row r="87" spans="1:3" ht="16.5" customHeight="1">
      <c r="A87" s="1108" t="s">
        <v>47</v>
      </c>
      <c r="B87" s="1108"/>
      <c r="C87" s="1108"/>
    </row>
    <row r="88" spans="1:3" s="400" customFormat="1" ht="16.5" customHeight="1" thickBot="1">
      <c r="A88" s="1110" t="s">
        <v>787</v>
      </c>
      <c r="B88" s="1110"/>
      <c r="C88" s="134" t="s">
        <v>795</v>
      </c>
    </row>
    <row r="89" spans="1:3" ht="38.1" customHeight="1" thickBot="1">
      <c r="A89" s="22" t="s">
        <v>73</v>
      </c>
      <c r="B89" s="23" t="s">
        <v>48</v>
      </c>
      <c r="C89" s="38" t="s">
        <v>738</v>
      </c>
    </row>
    <row r="90" spans="1:3" s="387" customFormat="1" ht="12" customHeight="1" thickBot="1">
      <c r="A90" s="31">
        <v>1</v>
      </c>
      <c r="B90" s="32">
        <v>2</v>
      </c>
      <c r="C90" s="33">
        <v>3</v>
      </c>
    </row>
    <row r="91" spans="1:3" ht="12" customHeight="1" thickBot="1">
      <c r="A91" s="21" t="s">
        <v>19</v>
      </c>
      <c r="B91" s="30" t="s">
        <v>355</v>
      </c>
      <c r="C91" s="280">
        <f>SUM(C92:C96)</f>
        <v>1165342352</v>
      </c>
    </row>
    <row r="92" spans="1:3" ht="12" customHeight="1">
      <c r="A92" s="16" t="s">
        <v>103</v>
      </c>
      <c r="B92" s="9" t="s">
        <v>49</v>
      </c>
      <c r="C92" s="282">
        <v>389919850</v>
      </c>
    </row>
    <row r="93" spans="1:3" ht="12" customHeight="1">
      <c r="A93" s="13" t="s">
        <v>104</v>
      </c>
      <c r="B93" s="7" t="s">
        <v>165</v>
      </c>
      <c r="C93" s="283">
        <v>88175722</v>
      </c>
    </row>
    <row r="94" spans="1:3" ht="12" customHeight="1">
      <c r="A94" s="13" t="s">
        <v>105</v>
      </c>
      <c r="B94" s="7" t="s">
        <v>129</v>
      </c>
      <c r="C94" s="285">
        <v>618418000</v>
      </c>
    </row>
    <row r="95" spans="1:3" ht="12" customHeight="1">
      <c r="A95" s="13" t="s">
        <v>106</v>
      </c>
      <c r="B95" s="10" t="s">
        <v>166</v>
      </c>
      <c r="C95" s="285"/>
    </row>
    <row r="96" spans="1:3" ht="12" customHeight="1" thickBot="1">
      <c r="A96" s="13" t="s">
        <v>117</v>
      </c>
      <c r="B96" s="18" t="s">
        <v>167</v>
      </c>
      <c r="C96" s="285">
        <v>68828780</v>
      </c>
    </row>
    <row r="97" spans="1:3" ht="12" customHeight="1" thickBot="1">
      <c r="A97" s="19" t="s">
        <v>20</v>
      </c>
      <c r="B97" s="29" t="s">
        <v>366</v>
      </c>
      <c r="C97" s="281">
        <f>+C98+C100+C102</f>
        <v>43093000</v>
      </c>
    </row>
    <row r="98" spans="1:3" ht="12" customHeight="1">
      <c r="A98" s="14" t="s">
        <v>109</v>
      </c>
      <c r="B98" s="7" t="s">
        <v>215</v>
      </c>
      <c r="C98" s="284">
        <v>43093000</v>
      </c>
    </row>
    <row r="99" spans="1:3" ht="12" customHeight="1">
      <c r="A99" s="14" t="s">
        <v>110</v>
      </c>
      <c r="B99" s="11" t="s">
        <v>370</v>
      </c>
      <c r="C99" s="284"/>
    </row>
    <row r="100" spans="1:3" ht="12" customHeight="1">
      <c r="A100" s="14" t="s">
        <v>111</v>
      </c>
      <c r="B100" s="11" t="s">
        <v>169</v>
      </c>
      <c r="C100" s="283"/>
    </row>
    <row r="101" spans="1:3" ht="12" customHeight="1">
      <c r="A101" s="14" t="s">
        <v>112</v>
      </c>
      <c r="B101" s="11" t="s">
        <v>371</v>
      </c>
      <c r="C101" s="252"/>
    </row>
    <row r="102" spans="1:3" ht="12" customHeight="1" thickBot="1">
      <c r="A102" s="14" t="s">
        <v>113</v>
      </c>
      <c r="B102" s="278" t="s">
        <v>218</v>
      </c>
      <c r="C102" s="252"/>
    </row>
    <row r="103" spans="1:3" ht="12" customHeight="1" thickBot="1">
      <c r="A103" s="19" t="s">
        <v>21</v>
      </c>
      <c r="B103" s="119" t="s">
        <v>377</v>
      </c>
      <c r="C103" s="281">
        <f>+C104+C105</f>
        <v>57000000</v>
      </c>
    </row>
    <row r="104" spans="1:3" ht="12" customHeight="1">
      <c r="A104" s="14" t="s">
        <v>92</v>
      </c>
      <c r="B104" s="8" t="s">
        <v>62</v>
      </c>
      <c r="C104" s="284"/>
    </row>
    <row r="105" spans="1:3" ht="12" customHeight="1" thickBot="1">
      <c r="A105" s="15" t="s">
        <v>93</v>
      </c>
      <c r="B105" s="11" t="s">
        <v>63</v>
      </c>
      <c r="C105" s="285">
        <v>57000000</v>
      </c>
    </row>
    <row r="106" spans="1:3" ht="12" customHeight="1" thickBot="1">
      <c r="A106" s="19" t="s">
        <v>22</v>
      </c>
      <c r="B106" s="119" t="s">
        <v>378</v>
      </c>
      <c r="C106" s="281">
        <f>+C91+C97+C103</f>
        <v>1265435352</v>
      </c>
    </row>
    <row r="107" spans="1:3" ht="12" customHeight="1" thickBot="1">
      <c r="A107" s="19" t="s">
        <v>23</v>
      </c>
      <c r="B107" s="119" t="s">
        <v>379</v>
      </c>
      <c r="C107" s="281">
        <f>+C108+C109+C110</f>
        <v>0</v>
      </c>
    </row>
    <row r="108" spans="1:3" ht="12" customHeight="1">
      <c r="A108" s="14" t="s">
        <v>96</v>
      </c>
      <c r="B108" s="8" t="s">
        <v>380</v>
      </c>
      <c r="C108" s="252"/>
    </row>
    <row r="109" spans="1:3" ht="12" customHeight="1">
      <c r="A109" s="14" t="s">
        <v>97</v>
      </c>
      <c r="B109" s="8" t="s">
        <v>381</v>
      </c>
      <c r="C109" s="252"/>
    </row>
    <row r="110" spans="1:3" ht="12" customHeight="1" thickBot="1">
      <c r="A110" s="12" t="s">
        <v>98</v>
      </c>
      <c r="B110" s="6" t="s">
        <v>382</v>
      </c>
      <c r="C110" s="252"/>
    </row>
    <row r="111" spans="1:3" ht="12" customHeight="1" thickBot="1">
      <c r="A111" s="19" t="s">
        <v>24</v>
      </c>
      <c r="B111" s="119" t="s">
        <v>439</v>
      </c>
      <c r="C111" s="281">
        <f>+C112+C113+C114+C115</f>
        <v>0</v>
      </c>
    </row>
    <row r="112" spans="1:3" ht="12" customHeight="1">
      <c r="A112" s="14" t="s">
        <v>99</v>
      </c>
      <c r="B112" s="8" t="s">
        <v>383</v>
      </c>
      <c r="C112" s="252"/>
    </row>
    <row r="113" spans="1:9" ht="12" customHeight="1">
      <c r="A113" s="14" t="s">
        <v>100</v>
      </c>
      <c r="B113" s="8" t="s">
        <v>384</v>
      </c>
      <c r="C113" s="252"/>
    </row>
    <row r="114" spans="1:9" ht="12" customHeight="1">
      <c r="A114" s="14" t="s">
        <v>286</v>
      </c>
      <c r="B114" s="8" t="s">
        <v>385</v>
      </c>
      <c r="C114" s="252"/>
    </row>
    <row r="115" spans="1:9" ht="12" customHeight="1" thickBot="1">
      <c r="A115" s="12" t="s">
        <v>287</v>
      </c>
      <c r="B115" s="6" t="s">
        <v>386</v>
      </c>
      <c r="C115" s="252"/>
    </row>
    <row r="116" spans="1:9" ht="12" customHeight="1" thickBot="1">
      <c r="A116" s="19" t="s">
        <v>25</v>
      </c>
      <c r="B116" s="119" t="s">
        <v>387</v>
      </c>
      <c r="C116" s="287">
        <f>+C117+C118+C119+C120</f>
        <v>0</v>
      </c>
    </row>
    <row r="117" spans="1:9" ht="12" customHeight="1">
      <c r="A117" s="14" t="s">
        <v>101</v>
      </c>
      <c r="B117" s="8" t="s">
        <v>388</v>
      </c>
      <c r="C117" s="252"/>
    </row>
    <row r="118" spans="1:9" ht="12" customHeight="1">
      <c r="A118" s="14" t="s">
        <v>102</v>
      </c>
      <c r="B118" s="8" t="s">
        <v>398</v>
      </c>
      <c r="C118" s="252"/>
    </row>
    <row r="119" spans="1:9" ht="12" customHeight="1">
      <c r="A119" s="14" t="s">
        <v>299</v>
      </c>
      <c r="B119" s="8" t="s">
        <v>389</v>
      </c>
      <c r="C119" s="252"/>
    </row>
    <row r="120" spans="1:9" ht="12" customHeight="1" thickBot="1">
      <c r="A120" s="12" t="s">
        <v>300</v>
      </c>
      <c r="B120" s="6" t="s">
        <v>390</v>
      </c>
      <c r="C120" s="252"/>
    </row>
    <row r="121" spans="1:9" ht="12" customHeight="1" thickBot="1">
      <c r="A121" s="19" t="s">
        <v>26</v>
      </c>
      <c r="B121" s="119" t="s">
        <v>391</v>
      </c>
      <c r="C121" s="290">
        <f>+C122+C123+C124+C125</f>
        <v>0</v>
      </c>
    </row>
    <row r="122" spans="1:9" ht="12" customHeight="1">
      <c r="A122" s="14" t="s">
        <v>163</v>
      </c>
      <c r="B122" s="8" t="s">
        <v>392</v>
      </c>
      <c r="C122" s="252"/>
    </row>
    <row r="123" spans="1:9" ht="12" customHeight="1">
      <c r="A123" s="14" t="s">
        <v>164</v>
      </c>
      <c r="B123" s="8" t="s">
        <v>393</v>
      </c>
      <c r="C123" s="252"/>
    </row>
    <row r="124" spans="1:9" ht="12" customHeight="1">
      <c r="A124" s="14" t="s">
        <v>217</v>
      </c>
      <c r="B124" s="8" t="s">
        <v>394</v>
      </c>
      <c r="C124" s="252"/>
    </row>
    <row r="125" spans="1:9" ht="12" customHeight="1" thickBot="1">
      <c r="A125" s="14" t="s">
        <v>302</v>
      </c>
      <c r="B125" s="8" t="s">
        <v>395</v>
      </c>
      <c r="C125" s="252"/>
    </row>
    <row r="126" spans="1:9" ht="15" customHeight="1" thickBot="1">
      <c r="A126" s="19" t="s">
        <v>27</v>
      </c>
      <c r="B126" s="119" t="s">
        <v>396</v>
      </c>
      <c r="C126" s="401">
        <f>+C107+C111+C116+C121</f>
        <v>0</v>
      </c>
      <c r="F126" s="402"/>
      <c r="G126" s="403"/>
      <c r="H126" s="403"/>
      <c r="I126" s="403"/>
    </row>
    <row r="127" spans="1:9" s="388" customFormat="1" ht="12.95" customHeight="1" thickBot="1">
      <c r="A127" s="279" t="s">
        <v>28</v>
      </c>
      <c r="B127" s="363" t="s">
        <v>397</v>
      </c>
      <c r="C127" s="401">
        <f>+C106+C126</f>
        <v>1265435352</v>
      </c>
      <c r="D127" s="658">
        <f>C127-C85</f>
        <v>0</v>
      </c>
    </row>
    <row r="128" spans="1:9" ht="7.5" customHeight="1"/>
    <row r="129" spans="1:4">
      <c r="A129" s="1111" t="s">
        <v>399</v>
      </c>
      <c r="B129" s="1111"/>
      <c r="C129" s="1111"/>
    </row>
    <row r="130" spans="1:4" ht="15" customHeight="1" thickBot="1">
      <c r="A130" s="1109" t="s">
        <v>136</v>
      </c>
      <c r="B130" s="1109"/>
      <c r="C130" s="291" t="s">
        <v>216</v>
      </c>
    </row>
    <row r="131" spans="1:4" ht="13.5" customHeight="1" thickBot="1">
      <c r="A131" s="19">
        <v>1</v>
      </c>
      <c r="B131" s="29" t="s">
        <v>400</v>
      </c>
      <c r="C131" s="281">
        <f>+C61-C106</f>
        <v>-157113352</v>
      </c>
      <c r="D131" s="404"/>
    </row>
    <row r="132" spans="1:4" ht="27.75" customHeight="1" thickBot="1">
      <c r="A132" s="19" t="s">
        <v>20</v>
      </c>
      <c r="B132" s="29" t="s">
        <v>401</v>
      </c>
      <c r="C132" s="281">
        <f>+C84-C126</f>
        <v>157113352</v>
      </c>
    </row>
  </sheetData>
  <mergeCells count="6">
    <mergeCell ref="A130:B130"/>
    <mergeCell ref="A1:C1"/>
    <mergeCell ref="A2:B2"/>
    <mergeCell ref="A87:C87"/>
    <mergeCell ref="A88:B88"/>
    <mergeCell ref="A129:C12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7" fitToHeight="2" orientation="portrait" r:id="rId1"/>
  <headerFooter alignWithMargins="0">
    <oddHeader>&amp;C&amp;"Times New Roman CE,Félkövér"&amp;12
Dabas Önkormányzat
2017. ÉVI KÖLTSÉGVETÉS
ÖNKÉNT VÁLLALT FELADATAINAK MÉRLEGE
&amp;R&amp;"Times New Roman CE,Félkövér dőlt"&amp;11 1.3. melléklet a 2/2017. (II.14.) önk.rendelethez</oddHeader>
  </headerFooter>
  <rowBreaks count="1" manualBreakCount="1">
    <brk id="86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topLeftCell="A4" workbookViewId="0">
      <selection activeCell="C18" sqref="C18"/>
    </sheetView>
  </sheetViews>
  <sheetFormatPr defaultRowHeight="12.75"/>
  <cols>
    <col min="1" max="1" width="13.83203125" style="230" customWidth="1"/>
    <col min="2" max="2" width="79.1640625" style="231" customWidth="1"/>
    <col min="3" max="3" width="25" style="231" customWidth="1"/>
    <col min="4" max="4" width="10.1640625" style="231" bestFit="1" customWidth="1"/>
    <col min="5" max="16384" width="9.33203125" style="231"/>
  </cols>
  <sheetData>
    <row r="1" spans="1:3" s="210" customFormat="1" ht="21" customHeight="1" thickBot="1">
      <c r="A1" s="209"/>
      <c r="B1" s="211"/>
      <c r="C1" s="427" t="s">
        <v>830</v>
      </c>
    </row>
    <row r="2" spans="1:3" s="428" customFormat="1" ht="25.5" customHeight="1">
      <c r="A2" s="379" t="s">
        <v>186</v>
      </c>
      <c r="B2" s="342" t="s">
        <v>496</v>
      </c>
      <c r="C2" s="357" t="s">
        <v>495</v>
      </c>
    </row>
    <row r="3" spans="1:3" s="428" customFormat="1" ht="24.75" thickBot="1">
      <c r="A3" s="420" t="s">
        <v>185</v>
      </c>
      <c r="B3" s="343" t="s">
        <v>469</v>
      </c>
      <c r="C3" s="358" t="s">
        <v>65</v>
      </c>
    </row>
    <row r="4" spans="1:3" s="429" customFormat="1" ht="15.95" customHeight="1" thickBot="1">
      <c r="A4" s="213"/>
      <c r="B4" s="213"/>
      <c r="C4" s="214" t="s">
        <v>794</v>
      </c>
    </row>
    <row r="5" spans="1:3" ht="13.5" thickBot="1">
      <c r="A5" s="380" t="s">
        <v>187</v>
      </c>
      <c r="B5" s="215" t="s">
        <v>56</v>
      </c>
      <c r="C5" s="216" t="s">
        <v>57</v>
      </c>
    </row>
    <row r="6" spans="1:3" s="430" customFormat="1" ht="12.95" customHeight="1" thickBot="1">
      <c r="A6" s="196">
        <v>1</v>
      </c>
      <c r="B6" s="197">
        <v>2</v>
      </c>
      <c r="C6" s="198">
        <v>3</v>
      </c>
    </row>
    <row r="7" spans="1:3" s="430" customFormat="1" ht="15.95" customHeight="1" thickBot="1">
      <c r="A7" s="217"/>
      <c r="B7" s="218" t="s">
        <v>58</v>
      </c>
      <c r="C7" s="219"/>
    </row>
    <row r="8" spans="1:3" s="359" customFormat="1" ht="12" customHeight="1" thickBot="1">
      <c r="A8" s="196" t="s">
        <v>19</v>
      </c>
      <c r="B8" s="220" t="s">
        <v>447</v>
      </c>
      <c r="C8" s="301">
        <f>SUM(C9:C18)</f>
        <v>0</v>
      </c>
    </row>
    <row r="9" spans="1:3" s="359" customFormat="1" ht="12" customHeight="1">
      <c r="A9" s="421" t="s">
        <v>103</v>
      </c>
      <c r="B9" s="9" t="s">
        <v>275</v>
      </c>
      <c r="C9" s="348"/>
    </row>
    <row r="10" spans="1:3" s="359" customFormat="1" ht="12" customHeight="1">
      <c r="A10" s="422" t="s">
        <v>104</v>
      </c>
      <c r="B10" s="7" t="s">
        <v>276</v>
      </c>
      <c r="C10" s="299"/>
    </row>
    <row r="11" spans="1:3" s="359" customFormat="1" ht="12" customHeight="1">
      <c r="A11" s="422" t="s">
        <v>105</v>
      </c>
      <c r="B11" s="7" t="s">
        <v>277</v>
      </c>
      <c r="C11" s="299"/>
    </row>
    <row r="12" spans="1:3" s="359" customFormat="1" ht="12" customHeight="1">
      <c r="A12" s="422" t="s">
        <v>106</v>
      </c>
      <c r="B12" s="7" t="s">
        <v>278</v>
      </c>
      <c r="C12" s="299"/>
    </row>
    <row r="13" spans="1:3" s="359" customFormat="1" ht="12" customHeight="1">
      <c r="A13" s="422" t="s">
        <v>131</v>
      </c>
      <c r="B13" s="7" t="s">
        <v>279</v>
      </c>
      <c r="C13" s="299"/>
    </row>
    <row r="14" spans="1:3" s="359" customFormat="1" ht="12" customHeight="1">
      <c r="A14" s="422" t="s">
        <v>107</v>
      </c>
      <c r="B14" s="7" t="s">
        <v>448</v>
      </c>
      <c r="C14" s="299"/>
    </row>
    <row r="15" spans="1:3" s="359" customFormat="1" ht="12" customHeight="1">
      <c r="A15" s="422" t="s">
        <v>108</v>
      </c>
      <c r="B15" s="6" t="s">
        <v>449</v>
      </c>
      <c r="C15" s="299"/>
    </row>
    <row r="16" spans="1:3" s="359" customFormat="1" ht="12" customHeight="1">
      <c r="A16" s="422" t="s">
        <v>118</v>
      </c>
      <c r="B16" s="7" t="s">
        <v>282</v>
      </c>
      <c r="C16" s="349"/>
    </row>
    <row r="17" spans="1:3" s="431" customFormat="1" ht="12" customHeight="1">
      <c r="A17" s="422" t="s">
        <v>119</v>
      </c>
      <c r="B17" s="7" t="s">
        <v>283</v>
      </c>
      <c r="C17" s="299"/>
    </row>
    <row r="18" spans="1:3" s="431" customFormat="1" ht="12" customHeight="1" thickBot="1">
      <c r="A18" s="422" t="s">
        <v>120</v>
      </c>
      <c r="B18" s="6" t="s">
        <v>284</v>
      </c>
      <c r="C18" s="300"/>
    </row>
    <row r="19" spans="1:3" s="359" customFormat="1" ht="12" customHeight="1" thickBot="1">
      <c r="A19" s="196" t="s">
        <v>20</v>
      </c>
      <c r="B19" s="220" t="s">
        <v>450</v>
      </c>
      <c r="C19" s="301">
        <f>SUM(C20:C22)</f>
        <v>0</v>
      </c>
    </row>
    <row r="20" spans="1:3" s="431" customFormat="1" ht="12" customHeight="1">
      <c r="A20" s="422" t="s">
        <v>109</v>
      </c>
      <c r="B20" s="8" t="s">
        <v>250</v>
      </c>
      <c r="C20" s="299"/>
    </row>
    <row r="21" spans="1:3" s="431" customFormat="1" ht="12" customHeight="1">
      <c r="A21" s="422" t="s">
        <v>110</v>
      </c>
      <c r="B21" s="7" t="s">
        <v>451</v>
      </c>
      <c r="C21" s="299"/>
    </row>
    <row r="22" spans="1:3" s="431" customFormat="1" ht="12" customHeight="1">
      <c r="A22" s="422" t="s">
        <v>111</v>
      </c>
      <c r="B22" s="7" t="s">
        <v>452</v>
      </c>
      <c r="C22" s="299"/>
    </row>
    <row r="23" spans="1:3" s="431" customFormat="1" ht="12" customHeight="1" thickBot="1">
      <c r="A23" s="422" t="s">
        <v>112</v>
      </c>
      <c r="B23" s="7" t="s">
        <v>2</v>
      </c>
      <c r="C23" s="299"/>
    </row>
    <row r="24" spans="1:3" s="431" customFormat="1" ht="12" customHeight="1" thickBot="1">
      <c r="A24" s="204" t="s">
        <v>21</v>
      </c>
      <c r="B24" s="119" t="s">
        <v>156</v>
      </c>
      <c r="C24" s="328"/>
    </row>
    <row r="25" spans="1:3" s="431" customFormat="1" ht="12" customHeight="1" thickBot="1">
      <c r="A25" s="204" t="s">
        <v>22</v>
      </c>
      <c r="B25" s="119" t="s">
        <v>453</v>
      </c>
      <c r="C25" s="301">
        <f>+C26+C27</f>
        <v>0</v>
      </c>
    </row>
    <row r="26" spans="1:3" s="431" customFormat="1" ht="12" customHeight="1">
      <c r="A26" s="423" t="s">
        <v>260</v>
      </c>
      <c r="B26" s="424" t="s">
        <v>451</v>
      </c>
      <c r="C26" s="72"/>
    </row>
    <row r="27" spans="1:3" s="431" customFormat="1" ht="12" customHeight="1">
      <c r="A27" s="423" t="s">
        <v>263</v>
      </c>
      <c r="B27" s="425" t="s">
        <v>454</v>
      </c>
      <c r="C27" s="302"/>
    </row>
    <row r="28" spans="1:3" s="431" customFormat="1" ht="12" customHeight="1" thickBot="1">
      <c r="A28" s="422" t="s">
        <v>264</v>
      </c>
      <c r="B28" s="426" t="s">
        <v>455</v>
      </c>
      <c r="C28" s="79"/>
    </row>
    <row r="29" spans="1:3" s="431" customFormat="1" ht="12" customHeight="1" thickBot="1">
      <c r="A29" s="204" t="s">
        <v>23</v>
      </c>
      <c r="B29" s="119" t="s">
        <v>456</v>
      </c>
      <c r="C29" s="301">
        <f>+C30+C31+C32</f>
        <v>0</v>
      </c>
    </row>
    <row r="30" spans="1:3" s="431" customFormat="1" ht="12" customHeight="1">
      <c r="A30" s="423" t="s">
        <v>96</v>
      </c>
      <c r="B30" s="424" t="s">
        <v>289</v>
      </c>
      <c r="C30" s="72"/>
    </row>
    <row r="31" spans="1:3" s="431" customFormat="1" ht="12" customHeight="1">
      <c r="A31" s="423" t="s">
        <v>97</v>
      </c>
      <c r="B31" s="425" t="s">
        <v>290</v>
      </c>
      <c r="C31" s="302"/>
    </row>
    <row r="32" spans="1:3" s="431" customFormat="1" ht="12" customHeight="1" thickBot="1">
      <c r="A32" s="422" t="s">
        <v>98</v>
      </c>
      <c r="B32" s="135" t="s">
        <v>291</v>
      </c>
      <c r="C32" s="79"/>
    </row>
    <row r="33" spans="1:3" s="359" customFormat="1" ht="12" customHeight="1" thickBot="1">
      <c r="A33" s="204" t="s">
        <v>24</v>
      </c>
      <c r="B33" s="119" t="s">
        <v>404</v>
      </c>
      <c r="C33" s="328"/>
    </row>
    <row r="34" spans="1:3" s="359" customFormat="1" ht="12" customHeight="1" thickBot="1">
      <c r="A34" s="204" t="s">
        <v>25</v>
      </c>
      <c r="B34" s="119" t="s">
        <v>457</v>
      </c>
      <c r="C34" s="350"/>
    </row>
    <row r="35" spans="1:3" s="359" customFormat="1" ht="12" customHeight="1" thickBot="1">
      <c r="A35" s="196" t="s">
        <v>26</v>
      </c>
      <c r="B35" s="119" t="s">
        <v>458</v>
      </c>
      <c r="C35" s="351">
        <f>+C8+C19+C24+C25+C29+C33+C34</f>
        <v>0</v>
      </c>
    </row>
    <row r="36" spans="1:3" s="359" customFormat="1" ht="12" customHeight="1" thickBot="1">
      <c r="A36" s="221" t="s">
        <v>27</v>
      </c>
      <c r="B36" s="119" t="s">
        <v>459</v>
      </c>
      <c r="C36" s="351">
        <f>+C37+C38+C39</f>
        <v>94660830</v>
      </c>
    </row>
    <row r="37" spans="1:3" s="359" customFormat="1" ht="12" customHeight="1">
      <c r="A37" s="423" t="s">
        <v>460</v>
      </c>
      <c r="B37" s="424" t="s">
        <v>225</v>
      </c>
      <c r="C37" s="72"/>
    </row>
    <row r="38" spans="1:3" s="359" customFormat="1" ht="12" customHeight="1">
      <c r="A38" s="423" t="s">
        <v>461</v>
      </c>
      <c r="B38" s="425" t="s">
        <v>3</v>
      </c>
      <c r="C38" s="302"/>
    </row>
    <row r="39" spans="1:3" s="431" customFormat="1" ht="12" customHeight="1" thickBot="1">
      <c r="A39" s="422" t="s">
        <v>462</v>
      </c>
      <c r="B39" s="135" t="s">
        <v>463</v>
      </c>
      <c r="C39" s="79">
        <v>94660830</v>
      </c>
    </row>
    <row r="40" spans="1:3" s="431" customFormat="1" ht="15" customHeight="1" thickBot="1">
      <c r="A40" s="221" t="s">
        <v>28</v>
      </c>
      <c r="B40" s="222" t="s">
        <v>464</v>
      </c>
      <c r="C40" s="354">
        <f>+C35+C36</f>
        <v>94660830</v>
      </c>
    </row>
    <row r="41" spans="1:3" s="431" customFormat="1" ht="15" customHeight="1">
      <c r="A41" s="223"/>
      <c r="B41" s="224"/>
      <c r="C41" s="352"/>
    </row>
    <row r="42" spans="1:3" ht="13.5" thickBot="1">
      <c r="A42" s="225"/>
      <c r="B42" s="226"/>
      <c r="C42" s="353"/>
    </row>
    <row r="43" spans="1:3" s="430" customFormat="1" ht="16.5" customHeight="1" thickBot="1">
      <c r="A43" s="227"/>
      <c r="B43" s="228" t="s">
        <v>60</v>
      </c>
      <c r="C43" s="354"/>
    </row>
    <row r="44" spans="1:3" s="432" customFormat="1" ht="12" customHeight="1" thickBot="1">
      <c r="A44" s="204" t="s">
        <v>19</v>
      </c>
      <c r="B44" s="119" t="s">
        <v>465</v>
      </c>
      <c r="C44" s="301">
        <f>SUM(C45:C49)</f>
        <v>94660830</v>
      </c>
    </row>
    <row r="45" spans="1:3" ht="12" customHeight="1">
      <c r="A45" s="422" t="s">
        <v>103</v>
      </c>
      <c r="B45" s="8" t="s">
        <v>49</v>
      </c>
      <c r="C45" s="72">
        <v>36971750</v>
      </c>
    </row>
    <row r="46" spans="1:3" ht="12" customHeight="1">
      <c r="A46" s="422" t="s">
        <v>104</v>
      </c>
      <c r="B46" s="7" t="s">
        <v>165</v>
      </c>
      <c r="C46" s="75">
        <v>10119080</v>
      </c>
    </row>
    <row r="47" spans="1:3" ht="12" customHeight="1">
      <c r="A47" s="422" t="s">
        <v>105</v>
      </c>
      <c r="B47" s="7" t="s">
        <v>129</v>
      </c>
      <c r="C47" s="75">
        <v>47570000</v>
      </c>
    </row>
    <row r="48" spans="1:3" ht="12" customHeight="1">
      <c r="A48" s="422" t="s">
        <v>106</v>
      </c>
      <c r="B48" s="7" t="s">
        <v>166</v>
      </c>
      <c r="C48" s="75"/>
    </row>
    <row r="49" spans="1:4" ht="12" customHeight="1" thickBot="1">
      <c r="A49" s="422" t="s">
        <v>131</v>
      </c>
      <c r="B49" s="7" t="s">
        <v>167</v>
      </c>
      <c r="C49" s="75"/>
    </row>
    <row r="50" spans="1:4" ht="12" customHeight="1" thickBot="1">
      <c r="A50" s="204" t="s">
        <v>20</v>
      </c>
      <c r="B50" s="119" t="s">
        <v>466</v>
      </c>
      <c r="C50" s="301">
        <f>SUM(C51:C53)</f>
        <v>0</v>
      </c>
    </row>
    <row r="51" spans="1:4" s="432" customFormat="1" ht="12" customHeight="1">
      <c r="A51" s="422" t="s">
        <v>109</v>
      </c>
      <c r="B51" s="8" t="s">
        <v>215</v>
      </c>
      <c r="C51" s="72"/>
    </row>
    <row r="52" spans="1:4" ht="12" customHeight="1">
      <c r="A52" s="422" t="s">
        <v>110</v>
      </c>
      <c r="B52" s="7" t="s">
        <v>169</v>
      </c>
      <c r="C52" s="75"/>
    </row>
    <row r="53" spans="1:4" ht="12" customHeight="1">
      <c r="A53" s="422" t="s">
        <v>111</v>
      </c>
      <c r="B53" s="7" t="s">
        <v>61</v>
      </c>
      <c r="C53" s="75"/>
    </row>
    <row r="54" spans="1:4" ht="12" customHeight="1" thickBot="1">
      <c r="A54" s="422" t="s">
        <v>112</v>
      </c>
      <c r="B54" s="7" t="s">
        <v>4</v>
      </c>
      <c r="C54" s="75"/>
    </row>
    <row r="55" spans="1:4" ht="15" customHeight="1" thickBot="1">
      <c r="A55" s="204" t="s">
        <v>21</v>
      </c>
      <c r="B55" s="229" t="s">
        <v>467</v>
      </c>
      <c r="C55" s="355">
        <f>+C44+C50</f>
        <v>94660830</v>
      </c>
      <c r="D55" s="50">
        <f>C55-C40</f>
        <v>0</v>
      </c>
    </row>
    <row r="56" spans="1:4" ht="13.5" thickBot="1">
      <c r="C56" s="356"/>
    </row>
    <row r="57" spans="1:4" ht="15" customHeight="1" thickBot="1">
      <c r="A57" s="232" t="s">
        <v>188</v>
      </c>
      <c r="B57" s="233"/>
      <c r="C57" s="116">
        <v>16</v>
      </c>
    </row>
    <row r="58" spans="1:4" ht="14.25" customHeight="1" thickBot="1">
      <c r="A58" s="232" t="s">
        <v>189</v>
      </c>
      <c r="B58" s="233"/>
      <c r="C58" s="11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workbookViewId="0">
      <selection activeCell="F6" sqref="F6:F7"/>
    </sheetView>
  </sheetViews>
  <sheetFormatPr defaultRowHeight="12.75"/>
  <cols>
    <col min="1" max="1" width="5.5" style="44" customWidth="1"/>
    <col min="2" max="2" width="33.1640625" style="44" customWidth="1"/>
    <col min="3" max="3" width="12.33203125" style="44" customWidth="1"/>
    <col min="4" max="4" width="11.5" style="44" customWidth="1"/>
    <col min="5" max="5" width="11.33203125" style="44" customWidth="1"/>
    <col min="6" max="6" width="11" style="44" customWidth="1"/>
    <col min="7" max="7" width="14.33203125" style="44" customWidth="1"/>
    <col min="8" max="16384" width="9.33203125" style="44"/>
  </cols>
  <sheetData>
    <row r="1" spans="1:7" ht="43.5" customHeight="1">
      <c r="A1" s="1146" t="s">
        <v>5</v>
      </c>
      <c r="B1" s="1146"/>
      <c r="C1" s="1146"/>
      <c r="D1" s="1146"/>
      <c r="E1" s="1146"/>
      <c r="F1" s="1146"/>
      <c r="G1" s="1146"/>
    </row>
    <row r="3" spans="1:7" s="157" customFormat="1" ht="27" customHeight="1">
      <c r="A3" s="155" t="s">
        <v>193</v>
      </c>
      <c r="B3" s="156"/>
      <c r="C3" s="1145" t="s">
        <v>194</v>
      </c>
      <c r="D3" s="1145"/>
      <c r="E3" s="1145"/>
      <c r="F3" s="1145"/>
      <c r="G3" s="1145"/>
    </row>
    <row r="4" spans="1:7" s="157" customFormat="1" ht="15.75">
      <c r="A4" s="156"/>
      <c r="B4" s="156"/>
      <c r="C4" s="156"/>
      <c r="D4" s="156"/>
      <c r="E4" s="156"/>
      <c r="F4" s="156"/>
      <c r="G4" s="156"/>
    </row>
    <row r="5" spans="1:7" s="157" customFormat="1" ht="24.75" customHeight="1">
      <c r="A5" s="155" t="s">
        <v>195</v>
      </c>
      <c r="B5" s="156"/>
      <c r="C5" s="1145" t="s">
        <v>194</v>
      </c>
      <c r="D5" s="1145"/>
      <c r="E5" s="1145"/>
      <c r="F5" s="1145"/>
      <c r="G5" s="156"/>
    </row>
    <row r="6" spans="1:7" s="158" customFormat="1">
      <c r="A6" s="208"/>
      <c r="B6" s="208"/>
      <c r="C6" s="208"/>
      <c r="D6" s="208"/>
      <c r="E6" s="208"/>
      <c r="F6" s="208"/>
      <c r="G6" s="208"/>
    </row>
    <row r="7" spans="1:7" s="159" customFormat="1" ht="15" customHeight="1">
      <c r="A7" s="251" t="s">
        <v>196</v>
      </c>
      <c r="B7" s="250"/>
      <c r="C7" s="250"/>
      <c r="D7" s="236"/>
      <c r="E7" s="236"/>
      <c r="F7" s="236"/>
      <c r="G7" s="236"/>
    </row>
    <row r="8" spans="1:7" s="159" customFormat="1" ht="15" customHeight="1" thickBot="1">
      <c r="A8" s="251" t="s">
        <v>197</v>
      </c>
      <c r="B8" s="236"/>
      <c r="C8" s="236"/>
      <c r="D8" s="236"/>
      <c r="E8" s="236"/>
      <c r="F8" s="236"/>
      <c r="G8" s="236"/>
    </row>
    <row r="9" spans="1:7" s="71" customFormat="1" ht="42" customHeight="1" thickBot="1">
      <c r="A9" s="193" t="s">
        <v>17</v>
      </c>
      <c r="B9" s="194" t="s">
        <v>198</v>
      </c>
      <c r="C9" s="194" t="s">
        <v>199</v>
      </c>
      <c r="D9" s="194" t="s">
        <v>200</v>
      </c>
      <c r="E9" s="194" t="s">
        <v>201</v>
      </c>
      <c r="F9" s="194" t="s">
        <v>202</v>
      </c>
      <c r="G9" s="195" t="s">
        <v>53</v>
      </c>
    </row>
    <row r="10" spans="1:7" ht="24" customHeight="1">
      <c r="A10" s="237" t="s">
        <v>19</v>
      </c>
      <c r="B10" s="202" t="s">
        <v>203</v>
      </c>
      <c r="C10" s="160"/>
      <c r="D10" s="160"/>
      <c r="E10" s="160"/>
      <c r="F10" s="160"/>
      <c r="G10" s="238">
        <f>SUM(C10:F10)</f>
        <v>0</v>
      </c>
    </row>
    <row r="11" spans="1:7" ht="24" customHeight="1">
      <c r="A11" s="239" t="s">
        <v>20</v>
      </c>
      <c r="B11" s="203" t="s">
        <v>204</v>
      </c>
      <c r="C11" s="161"/>
      <c r="D11" s="161"/>
      <c r="E11" s="161"/>
      <c r="F11" s="161"/>
      <c r="G11" s="240">
        <f t="shared" ref="G11:G16" si="0">SUM(C11:F11)</f>
        <v>0</v>
      </c>
    </row>
    <row r="12" spans="1:7" ht="24" customHeight="1">
      <c r="A12" s="239" t="s">
        <v>21</v>
      </c>
      <c r="B12" s="203" t="s">
        <v>205</v>
      </c>
      <c r="C12" s="161"/>
      <c r="D12" s="161"/>
      <c r="E12" s="161"/>
      <c r="F12" s="161"/>
      <c r="G12" s="240">
        <f t="shared" si="0"/>
        <v>0</v>
      </c>
    </row>
    <row r="13" spans="1:7" ht="24" customHeight="1">
      <c r="A13" s="239" t="s">
        <v>22</v>
      </c>
      <c r="B13" s="203" t="s">
        <v>206</v>
      </c>
      <c r="C13" s="161"/>
      <c r="D13" s="161"/>
      <c r="E13" s="161"/>
      <c r="F13" s="161"/>
      <c r="G13" s="240">
        <f t="shared" si="0"/>
        <v>0</v>
      </c>
    </row>
    <row r="14" spans="1:7" ht="24" customHeight="1">
      <c r="A14" s="239" t="s">
        <v>23</v>
      </c>
      <c r="B14" s="203" t="s">
        <v>207</v>
      </c>
      <c r="C14" s="161"/>
      <c r="D14" s="161"/>
      <c r="E14" s="161"/>
      <c r="F14" s="161"/>
      <c r="G14" s="240">
        <f t="shared" si="0"/>
        <v>0</v>
      </c>
    </row>
    <row r="15" spans="1:7" ht="24" customHeight="1" thickBot="1">
      <c r="A15" s="241" t="s">
        <v>24</v>
      </c>
      <c r="B15" s="242" t="s">
        <v>208</v>
      </c>
      <c r="C15" s="162"/>
      <c r="D15" s="162"/>
      <c r="E15" s="162"/>
      <c r="F15" s="162"/>
      <c r="G15" s="243">
        <f t="shared" si="0"/>
        <v>0</v>
      </c>
    </row>
    <row r="16" spans="1:7" s="163" customFormat="1" ht="24" customHeight="1" thickBot="1">
      <c r="A16" s="244" t="s">
        <v>25</v>
      </c>
      <c r="B16" s="245" t="s">
        <v>53</v>
      </c>
      <c r="C16" s="246">
        <f>SUM(C10:C15)</f>
        <v>0</v>
      </c>
      <c r="D16" s="246">
        <f>SUM(D10:D15)</f>
        <v>0</v>
      </c>
      <c r="E16" s="246">
        <f>SUM(E10:E15)</f>
        <v>0</v>
      </c>
      <c r="F16" s="246">
        <f>SUM(F10:F15)</f>
        <v>0</v>
      </c>
      <c r="G16" s="247">
        <f t="shared" si="0"/>
        <v>0</v>
      </c>
    </row>
    <row r="17" spans="1:7" s="158" customFormat="1">
      <c r="A17" s="208"/>
      <c r="B17" s="208"/>
      <c r="C17" s="208"/>
      <c r="D17" s="208"/>
      <c r="E17" s="208"/>
      <c r="F17" s="208"/>
      <c r="G17" s="208"/>
    </row>
    <row r="18" spans="1:7" s="158" customFormat="1">
      <c r="A18" s="208"/>
      <c r="B18" s="208"/>
      <c r="C18" s="208"/>
      <c r="D18" s="208"/>
      <c r="E18" s="208"/>
      <c r="F18" s="208"/>
      <c r="G18" s="208"/>
    </row>
    <row r="19" spans="1:7" s="158" customFormat="1">
      <c r="A19" s="208"/>
      <c r="B19" s="208"/>
      <c r="C19" s="208"/>
      <c r="D19" s="208"/>
      <c r="E19" s="208"/>
      <c r="F19" s="208"/>
      <c r="G19" s="208"/>
    </row>
    <row r="20" spans="1:7" s="158" customFormat="1" ht="15.75">
      <c r="A20" s="157" t="s">
        <v>441</v>
      </c>
      <c r="B20" s="208"/>
      <c r="C20" s="208"/>
      <c r="D20" s="208"/>
      <c r="E20" s="208"/>
      <c r="F20" s="208"/>
      <c r="G20" s="208"/>
    </row>
    <row r="21" spans="1:7" s="158" customFormat="1">
      <c r="A21" s="208"/>
      <c r="B21" s="208"/>
      <c r="C21" s="208"/>
      <c r="D21" s="208"/>
      <c r="E21" s="208"/>
      <c r="F21" s="208"/>
      <c r="G21" s="208"/>
    </row>
    <row r="22" spans="1:7">
      <c r="A22" s="208"/>
      <c r="B22" s="208"/>
      <c r="C22" s="208"/>
      <c r="D22" s="208"/>
      <c r="E22" s="208"/>
      <c r="F22" s="208"/>
      <c r="G22" s="208"/>
    </row>
    <row r="23" spans="1:7">
      <c r="A23" s="208"/>
      <c r="B23" s="208"/>
      <c r="C23" s="158"/>
      <c r="D23" s="158"/>
      <c r="E23" s="158"/>
      <c r="F23" s="158"/>
      <c r="G23" s="208"/>
    </row>
    <row r="24" spans="1:7" ht="13.5">
      <c r="A24" s="208"/>
      <c r="B24" s="208"/>
      <c r="C24" s="248"/>
      <c r="D24" s="249" t="s">
        <v>209</v>
      </c>
      <c r="E24" s="249"/>
      <c r="F24" s="248"/>
      <c r="G24" s="208"/>
    </row>
    <row r="25" spans="1:7" ht="13.5">
      <c r="C25" s="164"/>
      <c r="D25" s="165"/>
      <c r="E25" s="165"/>
      <c r="F25" s="164"/>
    </row>
    <row r="26" spans="1:7" ht="13.5">
      <c r="C26" s="164"/>
      <c r="D26" s="165"/>
      <c r="E26" s="165"/>
      <c r="F26" s="164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&amp;R&amp;"Times New Roman CE,Félkövér dőlt"&amp;11 10. melléklet a 2./2017. (II.14.) önk.rendelethez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topLeftCell="C3" workbookViewId="0">
      <selection activeCell="I3" sqref="I3:I4"/>
    </sheetView>
  </sheetViews>
  <sheetFormatPr defaultRowHeight="12.75"/>
  <cols>
    <col min="1" max="1" width="6.83203125" style="190" customWidth="1"/>
    <col min="2" max="2" width="49.6640625" style="50" customWidth="1"/>
    <col min="3" max="8" width="12.83203125" style="50" customWidth="1"/>
    <col min="9" max="9" width="13.83203125" style="50" customWidth="1"/>
    <col min="10" max="16384" width="9.33203125" style="50"/>
  </cols>
  <sheetData>
    <row r="1" spans="1:9" ht="27.75" customHeight="1">
      <c r="A1" s="1147" t="s">
        <v>6</v>
      </c>
      <c r="B1" s="1147"/>
      <c r="C1" s="1147"/>
      <c r="D1" s="1147"/>
      <c r="E1" s="1147"/>
      <c r="F1" s="1147"/>
      <c r="G1" s="1147"/>
      <c r="H1" s="1147"/>
      <c r="I1" s="1147"/>
    </row>
    <row r="2" spans="1:9" ht="20.25" customHeight="1" thickBot="1">
      <c r="B2" s="50" t="s">
        <v>485</v>
      </c>
      <c r="I2" s="447" t="s">
        <v>794</v>
      </c>
    </row>
    <row r="3" spans="1:9" s="448" customFormat="1" ht="26.25" customHeight="1">
      <c r="A3" s="1155" t="s">
        <v>73</v>
      </c>
      <c r="B3" s="1150" t="s">
        <v>89</v>
      </c>
      <c r="C3" s="1155" t="s">
        <v>90</v>
      </c>
      <c r="D3" s="1155" t="s">
        <v>798</v>
      </c>
      <c r="E3" s="1152" t="s">
        <v>72</v>
      </c>
      <c r="F3" s="1153"/>
      <c r="G3" s="1153"/>
      <c r="H3" s="1154"/>
      <c r="I3" s="1150" t="s">
        <v>51</v>
      </c>
    </row>
    <row r="4" spans="1:9" s="449" customFormat="1" ht="32.25" customHeight="1" thickBot="1">
      <c r="A4" s="1156"/>
      <c r="B4" s="1151"/>
      <c r="C4" s="1151"/>
      <c r="D4" s="1156"/>
      <c r="E4" s="254" t="s">
        <v>438</v>
      </c>
      <c r="F4" s="254" t="s">
        <v>633</v>
      </c>
      <c r="G4" s="254" t="s">
        <v>791</v>
      </c>
      <c r="H4" s="255" t="s">
        <v>799</v>
      </c>
      <c r="I4" s="1151"/>
    </row>
    <row r="5" spans="1:9" s="450" customFormat="1" ht="12.95" customHeight="1" thickBot="1">
      <c r="A5" s="256">
        <v>1</v>
      </c>
      <c r="B5" s="257">
        <v>2</v>
      </c>
      <c r="C5" s="258">
        <v>3</v>
      </c>
      <c r="D5" s="257">
        <v>4</v>
      </c>
      <c r="E5" s="256">
        <v>5</v>
      </c>
      <c r="F5" s="258">
        <v>6</v>
      </c>
      <c r="G5" s="258">
        <v>7</v>
      </c>
      <c r="H5" s="259">
        <v>8</v>
      </c>
      <c r="I5" s="260" t="s">
        <v>91</v>
      </c>
    </row>
    <row r="6" spans="1:9" ht="24.75" customHeight="1" thickBot="1">
      <c r="A6" s="261" t="s">
        <v>19</v>
      </c>
      <c r="B6" s="262" t="s">
        <v>7</v>
      </c>
      <c r="C6" s="442"/>
      <c r="D6" s="54">
        <f>+D7+D8</f>
        <v>0</v>
      </c>
      <c r="E6" s="55">
        <f>+E7+E8</f>
        <v>0</v>
      </c>
      <c r="F6" s="56">
        <f>+F7+F8</f>
        <v>0</v>
      </c>
      <c r="G6" s="56">
        <f>+G7+G8</f>
        <v>0</v>
      </c>
      <c r="H6" s="57">
        <f>+H7+H8</f>
        <v>0</v>
      </c>
      <c r="I6" s="54">
        <f t="shared" ref="I6:I17" si="0">SUM(D6:H6)</f>
        <v>0</v>
      </c>
    </row>
    <row r="7" spans="1:9" ht="20.100000000000001" customHeight="1">
      <c r="A7" s="263" t="s">
        <v>20</v>
      </c>
      <c r="B7" s="58" t="s">
        <v>74</v>
      </c>
      <c r="C7" s="443"/>
      <c r="D7" s="59"/>
      <c r="E7" s="60"/>
      <c r="F7" s="27"/>
      <c r="G7" s="27"/>
      <c r="H7" s="24"/>
      <c r="I7" s="264">
        <f t="shared" si="0"/>
        <v>0</v>
      </c>
    </row>
    <row r="8" spans="1:9" ht="20.100000000000001" customHeight="1" thickBot="1">
      <c r="A8" s="263" t="s">
        <v>21</v>
      </c>
      <c r="B8" s="58" t="s">
        <v>74</v>
      </c>
      <c r="C8" s="443"/>
      <c r="D8" s="59"/>
      <c r="E8" s="60"/>
      <c r="F8" s="27"/>
      <c r="G8" s="27"/>
      <c r="H8" s="24"/>
      <c r="I8" s="264">
        <f t="shared" si="0"/>
        <v>0</v>
      </c>
    </row>
    <row r="9" spans="1:9" ht="26.1" customHeight="1" thickBot="1">
      <c r="A9" s="261" t="s">
        <v>22</v>
      </c>
      <c r="B9" s="262" t="s">
        <v>8</v>
      </c>
      <c r="C9" s="444"/>
      <c r="D9" s="54">
        <f>+D10+D11</f>
        <v>0</v>
      </c>
      <c r="E9" s="55">
        <f>+E10+E11</f>
        <v>0</v>
      </c>
      <c r="F9" s="56">
        <f>+F10+F11</f>
        <v>0</v>
      </c>
      <c r="G9" s="56">
        <f>+G10+G11</f>
        <v>0</v>
      </c>
      <c r="H9" s="57">
        <f>+H10+H11</f>
        <v>0</v>
      </c>
      <c r="I9" s="54">
        <f t="shared" si="0"/>
        <v>0</v>
      </c>
    </row>
    <row r="10" spans="1:9" ht="20.100000000000001" customHeight="1">
      <c r="A10" s="263" t="s">
        <v>23</v>
      </c>
      <c r="B10" s="58" t="s">
        <v>74</v>
      </c>
      <c r="C10" s="443"/>
      <c r="D10" s="59"/>
      <c r="E10" s="60"/>
      <c r="F10" s="27"/>
      <c r="G10" s="27"/>
      <c r="H10" s="24"/>
      <c r="I10" s="264">
        <f t="shared" si="0"/>
        <v>0</v>
      </c>
    </row>
    <row r="11" spans="1:9" ht="20.100000000000001" customHeight="1" thickBot="1">
      <c r="A11" s="263" t="s">
        <v>24</v>
      </c>
      <c r="B11" s="58" t="s">
        <v>74</v>
      </c>
      <c r="C11" s="443"/>
      <c r="D11" s="59"/>
      <c r="E11" s="60"/>
      <c r="F11" s="27"/>
      <c r="G11" s="27"/>
      <c r="H11" s="24"/>
      <c r="I11" s="264">
        <f t="shared" si="0"/>
        <v>0</v>
      </c>
    </row>
    <row r="12" spans="1:9" ht="20.100000000000001" customHeight="1" thickBot="1">
      <c r="A12" s="261" t="s">
        <v>25</v>
      </c>
      <c r="B12" s="262" t="s">
        <v>190</v>
      </c>
      <c r="C12" s="444"/>
      <c r="D12" s="54">
        <f>+D13</f>
        <v>0</v>
      </c>
      <c r="E12" s="55">
        <f>+E13</f>
        <v>0</v>
      </c>
      <c r="F12" s="56">
        <f>+F13</f>
        <v>0</v>
      </c>
      <c r="G12" s="56">
        <f>+G13</f>
        <v>0</v>
      </c>
      <c r="H12" s="57">
        <f>+H13</f>
        <v>0</v>
      </c>
      <c r="I12" s="54">
        <f t="shared" si="0"/>
        <v>0</v>
      </c>
    </row>
    <row r="13" spans="1:9" ht="20.100000000000001" customHeight="1" thickBot="1">
      <c r="A13" s="263" t="s">
        <v>26</v>
      </c>
      <c r="B13" s="58" t="s">
        <v>74</v>
      </c>
      <c r="C13" s="443"/>
      <c r="D13" s="59"/>
      <c r="E13" s="60"/>
      <c r="F13" s="27"/>
      <c r="G13" s="27"/>
      <c r="H13" s="24"/>
      <c r="I13" s="264">
        <f t="shared" si="0"/>
        <v>0</v>
      </c>
    </row>
    <row r="14" spans="1:9" ht="20.100000000000001" customHeight="1" thickBot="1">
      <c r="A14" s="261" t="s">
        <v>27</v>
      </c>
      <c r="B14" s="262" t="s">
        <v>191</v>
      </c>
      <c r="C14" s="444"/>
      <c r="D14" s="54">
        <f>+D15</f>
        <v>0</v>
      </c>
      <c r="E14" s="55">
        <f>+E15</f>
        <v>0</v>
      </c>
      <c r="F14" s="56">
        <f>+F15</f>
        <v>0</v>
      </c>
      <c r="G14" s="56">
        <f>+G15</f>
        <v>0</v>
      </c>
      <c r="H14" s="57">
        <f>+H15</f>
        <v>0</v>
      </c>
      <c r="I14" s="54">
        <f t="shared" si="0"/>
        <v>0</v>
      </c>
    </row>
    <row r="15" spans="1:9" ht="20.100000000000001" customHeight="1" thickBot="1">
      <c r="A15" s="265" t="s">
        <v>28</v>
      </c>
      <c r="B15" s="61" t="s">
        <v>74</v>
      </c>
      <c r="C15" s="445"/>
      <c r="D15" s="62"/>
      <c r="E15" s="63"/>
      <c r="F15" s="28"/>
      <c r="G15" s="28"/>
      <c r="H15" s="26"/>
      <c r="I15" s="266">
        <f t="shared" si="0"/>
        <v>0</v>
      </c>
    </row>
    <row r="16" spans="1:9" ht="20.100000000000001" customHeight="1" thickBot="1">
      <c r="A16" s="261" t="s">
        <v>29</v>
      </c>
      <c r="B16" s="267" t="s">
        <v>192</v>
      </c>
      <c r="C16" s="444"/>
      <c r="D16" s="54">
        <f>+D17</f>
        <v>0</v>
      </c>
      <c r="E16" s="55">
        <f>+E17</f>
        <v>0</v>
      </c>
      <c r="F16" s="56">
        <f>+F17</f>
        <v>0</v>
      </c>
      <c r="G16" s="56">
        <f>+G17</f>
        <v>0</v>
      </c>
      <c r="H16" s="57">
        <f>+H17</f>
        <v>0</v>
      </c>
      <c r="I16" s="54">
        <f t="shared" si="0"/>
        <v>0</v>
      </c>
    </row>
    <row r="17" spans="1:9" ht="20.100000000000001" customHeight="1" thickBot="1">
      <c r="A17" s="268" t="s">
        <v>30</v>
      </c>
      <c r="B17" s="64" t="s">
        <v>74</v>
      </c>
      <c r="C17" s="446"/>
      <c r="D17" s="65"/>
      <c r="E17" s="66"/>
      <c r="F17" s="67"/>
      <c r="G17" s="67"/>
      <c r="H17" s="25"/>
      <c r="I17" s="269">
        <f t="shared" si="0"/>
        <v>0</v>
      </c>
    </row>
    <row r="18" spans="1:9" ht="20.100000000000001" customHeight="1" thickBot="1">
      <c r="A18" s="1148" t="s">
        <v>130</v>
      </c>
      <c r="B18" s="1149"/>
      <c r="C18" s="115"/>
      <c r="D18" s="54">
        <f t="shared" ref="D18:I18" si="1">+D6+D9+D12+D14+D16</f>
        <v>0</v>
      </c>
      <c r="E18" s="55">
        <f t="shared" si="1"/>
        <v>0</v>
      </c>
      <c r="F18" s="56">
        <f t="shared" si="1"/>
        <v>0</v>
      </c>
      <c r="G18" s="56">
        <f t="shared" si="1"/>
        <v>0</v>
      </c>
      <c r="H18" s="57">
        <f t="shared" si="1"/>
        <v>0</v>
      </c>
      <c r="I18" s="54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topLeftCell="A2" workbookViewId="0">
      <selection activeCell="G20" sqref="G20"/>
    </sheetView>
  </sheetViews>
  <sheetFormatPr defaultRowHeight="12.75"/>
  <cols>
    <col min="1" max="1" width="5.83203125" style="81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>
      <c r="B1" s="1158" t="s">
        <v>9</v>
      </c>
      <c r="C1" s="1158"/>
      <c r="D1" s="1158"/>
    </row>
    <row r="2" spans="1:4" s="69" customFormat="1" ht="16.5" thickBot="1">
      <c r="A2" s="68"/>
      <c r="B2" s="360"/>
      <c r="D2" s="41" t="s">
        <v>794</v>
      </c>
    </row>
    <row r="3" spans="1:4" s="71" customFormat="1" ht="48" customHeight="1" thickBot="1">
      <c r="A3" s="70" t="s">
        <v>17</v>
      </c>
      <c r="B3" s="194" t="s">
        <v>18</v>
      </c>
      <c r="C3" s="194" t="s">
        <v>75</v>
      </c>
      <c r="D3" s="195" t="s">
        <v>76</v>
      </c>
    </row>
    <row r="4" spans="1:4" s="71" customFormat="1" ht="14.1" customHeight="1" thickBot="1">
      <c r="A4" s="35">
        <v>1</v>
      </c>
      <c r="B4" s="197">
        <v>2</v>
      </c>
      <c r="C4" s="197">
        <v>3</v>
      </c>
      <c r="D4" s="198">
        <v>4</v>
      </c>
    </row>
    <row r="5" spans="1:4" ht="18" customHeight="1">
      <c r="A5" s="128" t="s">
        <v>19</v>
      </c>
      <c r="B5" s="199" t="s">
        <v>149</v>
      </c>
      <c r="C5" s="126"/>
      <c r="D5" s="72"/>
    </row>
    <row r="6" spans="1:4" ht="18" customHeight="1">
      <c r="A6" s="73" t="s">
        <v>20</v>
      </c>
      <c r="B6" s="200" t="s">
        <v>150</v>
      </c>
      <c r="C6" s="127"/>
      <c r="D6" s="75"/>
    </row>
    <row r="7" spans="1:4" ht="18" customHeight="1">
      <c r="A7" s="73" t="s">
        <v>21</v>
      </c>
      <c r="B7" s="200" t="s">
        <v>125</v>
      </c>
      <c r="C7" s="127"/>
      <c r="D7" s="75"/>
    </row>
    <row r="8" spans="1:4" ht="18" customHeight="1">
      <c r="A8" s="73" t="s">
        <v>22</v>
      </c>
      <c r="B8" s="200" t="s">
        <v>126</v>
      </c>
      <c r="C8" s="127"/>
      <c r="D8" s="75"/>
    </row>
    <row r="9" spans="1:4" ht="18" customHeight="1">
      <c r="A9" s="73" t="s">
        <v>23</v>
      </c>
      <c r="B9" s="200" t="s">
        <v>142</v>
      </c>
      <c r="C9" s="127">
        <f>SUM(C10:C15)</f>
        <v>100000000</v>
      </c>
      <c r="D9" s="75">
        <f>SUM(D10:D15)</f>
        <v>25000000</v>
      </c>
    </row>
    <row r="10" spans="1:4" ht="18" customHeight="1">
      <c r="A10" s="73" t="s">
        <v>24</v>
      </c>
      <c r="B10" s="200" t="s">
        <v>143</v>
      </c>
      <c r="C10" s="127"/>
      <c r="D10" s="75"/>
    </row>
    <row r="11" spans="1:4" ht="18" customHeight="1">
      <c r="A11" s="73" t="s">
        <v>25</v>
      </c>
      <c r="B11" s="201" t="s">
        <v>144</v>
      </c>
      <c r="C11" s="127"/>
      <c r="D11" s="75"/>
    </row>
    <row r="12" spans="1:4" ht="18" customHeight="1">
      <c r="A12" s="73" t="s">
        <v>27</v>
      </c>
      <c r="B12" s="201" t="s">
        <v>145</v>
      </c>
      <c r="C12" s="127">
        <v>100000000</v>
      </c>
      <c r="D12" s="75">
        <v>25000000</v>
      </c>
    </row>
    <row r="13" spans="1:4" ht="18" customHeight="1">
      <c r="A13" s="73" t="s">
        <v>28</v>
      </c>
      <c r="B13" s="201" t="s">
        <v>146</v>
      </c>
      <c r="C13" s="127"/>
      <c r="D13" s="75"/>
    </row>
    <row r="14" spans="1:4" ht="18" customHeight="1">
      <c r="A14" s="73" t="s">
        <v>29</v>
      </c>
      <c r="B14" s="201" t="s">
        <v>147</v>
      </c>
      <c r="C14" s="127"/>
      <c r="D14" s="75"/>
    </row>
    <row r="15" spans="1:4" ht="22.5" customHeight="1">
      <c r="A15" s="73" t="s">
        <v>30</v>
      </c>
      <c r="B15" s="201" t="s">
        <v>148</v>
      </c>
      <c r="C15" s="127"/>
      <c r="D15" s="75"/>
    </row>
    <row r="16" spans="1:4" ht="18" customHeight="1">
      <c r="A16" s="73" t="s">
        <v>31</v>
      </c>
      <c r="B16" s="200" t="s">
        <v>127</v>
      </c>
      <c r="C16" s="127"/>
      <c r="D16" s="75"/>
    </row>
    <row r="17" spans="1:4" ht="18" customHeight="1">
      <c r="A17" s="73" t="s">
        <v>32</v>
      </c>
      <c r="B17" s="200" t="s">
        <v>11</v>
      </c>
      <c r="C17" s="127">
        <v>198150334</v>
      </c>
      <c r="D17" s="75">
        <v>198150334</v>
      </c>
    </row>
    <row r="18" spans="1:4" ht="18" customHeight="1">
      <c r="A18" s="73" t="s">
        <v>33</v>
      </c>
      <c r="B18" s="200" t="s">
        <v>10</v>
      </c>
      <c r="C18" s="127"/>
      <c r="D18" s="75"/>
    </row>
    <row r="19" spans="1:4" ht="18" customHeight="1">
      <c r="A19" s="73" t="s">
        <v>34</v>
      </c>
      <c r="B19" s="200" t="s">
        <v>500</v>
      </c>
      <c r="C19" s="127">
        <v>5498744</v>
      </c>
      <c r="D19" s="691">
        <v>5498744</v>
      </c>
    </row>
    <row r="20" spans="1:4" ht="18" customHeight="1">
      <c r="A20" s="73" t="s">
        <v>35</v>
      </c>
      <c r="B20" s="200" t="s">
        <v>128</v>
      </c>
      <c r="C20" s="127"/>
      <c r="D20" s="75"/>
    </row>
    <row r="21" spans="1:4" ht="18" customHeight="1">
      <c r="A21" s="73" t="s">
        <v>36</v>
      </c>
      <c r="B21" s="118"/>
      <c r="C21" s="74"/>
      <c r="D21" s="75">
        <v>0</v>
      </c>
    </row>
    <row r="22" spans="1:4" ht="18" customHeight="1">
      <c r="A22" s="73" t="s">
        <v>37</v>
      </c>
      <c r="B22" s="76"/>
      <c r="C22" s="74"/>
      <c r="D22" s="75"/>
    </row>
    <row r="23" spans="1:4" ht="18" customHeight="1">
      <c r="A23" s="73" t="s">
        <v>38</v>
      </c>
      <c r="B23" s="76"/>
      <c r="C23" s="74"/>
      <c r="D23" s="75"/>
    </row>
    <row r="24" spans="1:4" ht="18" customHeight="1">
      <c r="A24" s="73" t="s">
        <v>39</v>
      </c>
      <c r="B24" s="76"/>
      <c r="C24" s="74"/>
      <c r="D24" s="75"/>
    </row>
    <row r="25" spans="1:4" ht="18" customHeight="1">
      <c r="A25" s="73" t="s">
        <v>40</v>
      </c>
      <c r="B25" s="76"/>
      <c r="C25" s="74"/>
      <c r="D25" s="75"/>
    </row>
    <row r="26" spans="1:4" ht="18" customHeight="1">
      <c r="A26" s="73" t="s">
        <v>41</v>
      </c>
      <c r="B26" s="76"/>
      <c r="C26" s="74"/>
      <c r="D26" s="75"/>
    </row>
    <row r="27" spans="1:4" ht="18" customHeight="1">
      <c r="A27" s="73" t="s">
        <v>42</v>
      </c>
      <c r="B27" s="76"/>
      <c r="C27" s="74"/>
      <c r="D27" s="75"/>
    </row>
    <row r="28" spans="1:4" ht="18" customHeight="1">
      <c r="A28" s="73" t="s">
        <v>43</v>
      </c>
      <c r="B28" s="76"/>
      <c r="C28" s="74"/>
      <c r="D28" s="75"/>
    </row>
    <row r="29" spans="1:4" ht="18" customHeight="1" thickBot="1">
      <c r="A29" s="129" t="s">
        <v>44</v>
      </c>
      <c r="B29" s="77"/>
      <c r="C29" s="78"/>
      <c r="D29" s="79"/>
    </row>
    <row r="30" spans="1:4" ht="18" customHeight="1" thickBot="1">
      <c r="A30" s="36" t="s">
        <v>45</v>
      </c>
      <c r="B30" s="205" t="s">
        <v>53</v>
      </c>
      <c r="C30" s="206">
        <f>+C5+C6+C7+C8+C9+C16+C17+C18+C19+C20+C21+C22+C23+C24+C25+C26+C27+C28+C29</f>
        <v>303649078</v>
      </c>
      <c r="D30" s="207">
        <f>+D5+D6+D7+D8+D9+D16+D17+D18+D19+D21+D20+D22+D23+D24+D25+D26+D27+D28+D29</f>
        <v>228649078</v>
      </c>
    </row>
    <row r="31" spans="1:4" ht="8.25" customHeight="1">
      <c r="A31" s="80"/>
      <c r="B31" s="1157"/>
      <c r="C31" s="1157"/>
      <c r="D31" s="1157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25">
    <tabColor rgb="FF92D050"/>
    <pageSetUpPr fitToPage="1"/>
  </sheetPr>
  <dimension ref="A1:O81"/>
  <sheetViews>
    <sheetView zoomScalePageLayoutView="80" workbookViewId="0">
      <selection activeCell="C3" sqref="C3"/>
    </sheetView>
  </sheetViews>
  <sheetFormatPr defaultRowHeight="15.75"/>
  <cols>
    <col min="1" max="1" width="4.83203125" style="91" customWidth="1"/>
    <col min="2" max="2" width="31.1640625" style="109" customWidth="1"/>
    <col min="3" max="3" width="10.83203125" style="109" customWidth="1"/>
    <col min="4" max="4" width="11.5" style="109" customWidth="1"/>
    <col min="5" max="5" width="11.6640625" style="109" customWidth="1"/>
    <col min="6" max="6" width="11.33203125" style="109" customWidth="1"/>
    <col min="7" max="7" width="11.5" style="109" customWidth="1"/>
    <col min="8" max="8" width="12" style="109" customWidth="1"/>
    <col min="9" max="9" width="12.33203125" style="109" customWidth="1"/>
    <col min="10" max="10" width="12.5" style="109" customWidth="1"/>
    <col min="11" max="11" width="11.5" style="109" customWidth="1"/>
    <col min="12" max="12" width="11.6640625" style="109" customWidth="1"/>
    <col min="13" max="13" width="12" style="109" customWidth="1"/>
    <col min="14" max="14" width="11" style="109" customWidth="1"/>
    <col min="15" max="15" width="12.6640625" style="91" customWidth="1"/>
    <col min="16" max="16384" width="9.33203125" style="109"/>
  </cols>
  <sheetData>
    <row r="1" spans="1:15" ht="31.5" customHeight="1">
      <c r="A1" s="1162" t="s">
        <v>800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</row>
    <row r="2" spans="1:15" ht="16.5" thickBot="1">
      <c r="O2" s="3" t="s">
        <v>797</v>
      </c>
    </row>
    <row r="3" spans="1:15" s="91" customFormat="1" ht="26.1" customHeight="1" thickBot="1">
      <c r="A3" s="88" t="s">
        <v>17</v>
      </c>
      <c r="B3" s="89" t="s">
        <v>66</v>
      </c>
      <c r="C3" s="89" t="s">
        <v>77</v>
      </c>
      <c r="D3" s="89" t="s">
        <v>78</v>
      </c>
      <c r="E3" s="89" t="s">
        <v>79</v>
      </c>
      <c r="F3" s="89" t="s">
        <v>80</v>
      </c>
      <c r="G3" s="89" t="s">
        <v>81</v>
      </c>
      <c r="H3" s="89" t="s">
        <v>82</v>
      </c>
      <c r="I3" s="89" t="s">
        <v>83</v>
      </c>
      <c r="J3" s="89" t="s">
        <v>84</v>
      </c>
      <c r="K3" s="89" t="s">
        <v>85</v>
      </c>
      <c r="L3" s="89" t="s">
        <v>86</v>
      </c>
      <c r="M3" s="89" t="s">
        <v>87</v>
      </c>
      <c r="N3" s="89" t="s">
        <v>88</v>
      </c>
      <c r="O3" s="90" t="s">
        <v>53</v>
      </c>
    </row>
    <row r="4" spans="1:15" s="93" customFormat="1" ht="15" customHeight="1" thickBot="1">
      <c r="A4" s="92" t="s">
        <v>19</v>
      </c>
      <c r="B4" s="1159" t="s">
        <v>58</v>
      </c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1"/>
    </row>
    <row r="5" spans="1:15" s="93" customFormat="1" ht="22.5">
      <c r="A5" s="94" t="s">
        <v>20</v>
      </c>
      <c r="B5" s="451" t="s">
        <v>402</v>
      </c>
      <c r="C5" s="95">
        <v>68915049</v>
      </c>
      <c r="D5" s="95">
        <v>68915049</v>
      </c>
      <c r="E5" s="95">
        <v>68915049</v>
      </c>
      <c r="F5" s="95">
        <v>68915049</v>
      </c>
      <c r="G5" s="95">
        <v>68915049</v>
      </c>
      <c r="H5" s="95">
        <v>68915049</v>
      </c>
      <c r="I5" s="95">
        <v>68915049</v>
      </c>
      <c r="J5" s="95">
        <v>68915049</v>
      </c>
      <c r="K5" s="95">
        <v>68915049</v>
      </c>
      <c r="L5" s="95">
        <v>68915049</v>
      </c>
      <c r="M5" s="95">
        <v>68915049</v>
      </c>
      <c r="N5" s="95">
        <v>68915049</v>
      </c>
      <c r="O5" s="96">
        <f t="shared" ref="O5:O25" si="0">SUM(C5:N5)</f>
        <v>826980588</v>
      </c>
    </row>
    <row r="6" spans="1:15" s="100" customFormat="1" ht="22.5">
      <c r="A6" s="97" t="s">
        <v>21</v>
      </c>
      <c r="B6" s="272" t="s">
        <v>470</v>
      </c>
      <c r="C6" s="98">
        <f>72376833+1075000</f>
        <v>73451833</v>
      </c>
      <c r="D6" s="98">
        <v>72376833</v>
      </c>
      <c r="E6" s="98">
        <v>72376833</v>
      </c>
      <c r="F6" s="98">
        <f>72376833+1075000</f>
        <v>73451833</v>
      </c>
      <c r="G6" s="98">
        <v>72376833</v>
      </c>
      <c r="H6" s="98">
        <v>72376833</v>
      </c>
      <c r="I6" s="98">
        <f>72376833+1075000</f>
        <v>73451833</v>
      </c>
      <c r="J6" s="98">
        <v>72376833</v>
      </c>
      <c r="K6" s="98">
        <v>72376833</v>
      </c>
      <c r="L6" s="98">
        <f>72376833+1075000</f>
        <v>73451833</v>
      </c>
      <c r="M6" s="98">
        <v>72376833</v>
      </c>
      <c r="N6" s="98">
        <v>72376837</v>
      </c>
      <c r="O6" s="99">
        <f t="shared" si="0"/>
        <v>872822000</v>
      </c>
    </row>
    <row r="7" spans="1:15" s="100" customFormat="1" ht="22.5">
      <c r="A7" s="97" t="s">
        <v>22</v>
      </c>
      <c r="B7" s="271" t="s">
        <v>471</v>
      </c>
      <c r="C7" s="101"/>
      <c r="D7" s="101"/>
      <c r="E7" s="101"/>
      <c r="F7" s="101">
        <v>300000000</v>
      </c>
      <c r="G7" s="101"/>
      <c r="H7" s="101"/>
      <c r="I7" s="101"/>
      <c r="J7" s="101"/>
      <c r="K7" s="101"/>
      <c r="L7" s="101"/>
      <c r="M7" s="101"/>
      <c r="N7" s="101"/>
      <c r="O7" s="102">
        <f t="shared" si="0"/>
        <v>300000000</v>
      </c>
    </row>
    <row r="8" spans="1:15" s="100" customFormat="1" ht="14.1" customHeight="1">
      <c r="A8" s="97" t="s">
        <v>23</v>
      </c>
      <c r="B8" s="270" t="s">
        <v>156</v>
      </c>
      <c r="C8" s="98"/>
      <c r="D8" s="98"/>
      <c r="E8" s="98">
        <v>384400000</v>
      </c>
      <c r="F8" s="98"/>
      <c r="G8" s="98"/>
      <c r="H8" s="98"/>
      <c r="I8" s="98"/>
      <c r="J8" s="98"/>
      <c r="K8" s="98">
        <v>384400000</v>
      </c>
      <c r="L8" s="98"/>
      <c r="M8" s="98"/>
      <c r="N8" s="98">
        <v>90000000</v>
      </c>
      <c r="O8" s="99">
        <f t="shared" si="0"/>
        <v>858800000</v>
      </c>
    </row>
    <row r="9" spans="1:15" s="100" customFormat="1" ht="14.1" customHeight="1">
      <c r="A9" s="97" t="s">
        <v>24</v>
      </c>
      <c r="B9" s="270" t="s">
        <v>472</v>
      </c>
      <c r="C9" s="98">
        <v>19438750</v>
      </c>
      <c r="D9" s="98">
        <v>19438750</v>
      </c>
      <c r="E9" s="98">
        <v>19438750</v>
      </c>
      <c r="F9" s="98">
        <v>19438750</v>
      </c>
      <c r="G9" s="98">
        <v>19438750</v>
      </c>
      <c r="H9" s="98">
        <v>19438750</v>
      </c>
      <c r="I9" s="98">
        <v>19438750</v>
      </c>
      <c r="J9" s="98">
        <v>19438750</v>
      </c>
      <c r="K9" s="98">
        <v>19438750</v>
      </c>
      <c r="L9" s="98">
        <v>19438750</v>
      </c>
      <c r="M9" s="98">
        <v>19438750</v>
      </c>
      <c r="N9" s="98">
        <v>19438750</v>
      </c>
      <c r="O9" s="99">
        <f t="shared" si="0"/>
        <v>233265000</v>
      </c>
    </row>
    <row r="10" spans="1:15" s="100" customFormat="1" ht="14.1" customHeight="1">
      <c r="A10" s="97" t="s">
        <v>25</v>
      </c>
      <c r="B10" s="270" t="s">
        <v>12</v>
      </c>
      <c r="C10" s="98"/>
      <c r="D10" s="98"/>
      <c r="E10" s="98"/>
      <c r="F10" s="98"/>
      <c r="G10" s="98"/>
      <c r="H10" s="98"/>
      <c r="I10" s="98"/>
      <c r="J10" s="98"/>
      <c r="K10" s="98">
        <v>40000000</v>
      </c>
      <c r="L10" s="98"/>
      <c r="M10" s="98"/>
      <c r="N10" s="98"/>
      <c r="O10" s="99">
        <f t="shared" si="0"/>
        <v>40000000</v>
      </c>
    </row>
    <row r="11" spans="1:15" s="100" customFormat="1" ht="14.1" customHeight="1">
      <c r="A11" s="97" t="s">
        <v>26</v>
      </c>
      <c r="B11" s="270" t="s">
        <v>404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9">
        <f t="shared" si="0"/>
        <v>0</v>
      </c>
    </row>
    <row r="12" spans="1:15" s="100" customFormat="1" ht="33.75">
      <c r="A12" s="97" t="s">
        <v>27</v>
      </c>
      <c r="B12" s="272" t="s">
        <v>730</v>
      </c>
      <c r="C12" s="98">
        <v>666667</v>
      </c>
      <c r="D12" s="98">
        <v>666667</v>
      </c>
      <c r="E12" s="98">
        <v>666667</v>
      </c>
      <c r="F12" s="98">
        <v>666667</v>
      </c>
      <c r="G12" s="98">
        <v>666667</v>
      </c>
      <c r="H12" s="98">
        <v>666667</v>
      </c>
      <c r="I12" s="98">
        <v>666667</v>
      </c>
      <c r="J12" s="98">
        <v>666667</v>
      </c>
      <c r="K12" s="98">
        <v>666667</v>
      </c>
      <c r="L12" s="98">
        <v>666667</v>
      </c>
      <c r="M12" s="98">
        <v>666667</v>
      </c>
      <c r="N12" s="98">
        <v>666663</v>
      </c>
      <c r="O12" s="99">
        <f t="shared" si="0"/>
        <v>8000000</v>
      </c>
    </row>
    <row r="13" spans="1:15" s="100" customFormat="1" ht="14.1" customHeight="1" thickBot="1">
      <c r="A13" s="97" t="s">
        <v>28</v>
      </c>
      <c r="B13" s="270" t="s">
        <v>13</v>
      </c>
      <c r="C13" s="98">
        <v>200000000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>
        <f t="shared" si="0"/>
        <v>200000000</v>
      </c>
    </row>
    <row r="14" spans="1:15" s="93" customFormat="1" ht="15.95" customHeight="1" thickBot="1">
      <c r="A14" s="92" t="s">
        <v>29</v>
      </c>
      <c r="B14" s="37" t="s">
        <v>114</v>
      </c>
      <c r="C14" s="103">
        <f t="shared" ref="C14:N14" si="1">SUM(C5:C13)</f>
        <v>362472299</v>
      </c>
      <c r="D14" s="103">
        <f t="shared" si="1"/>
        <v>161397299</v>
      </c>
      <c r="E14" s="103">
        <f t="shared" si="1"/>
        <v>545797299</v>
      </c>
      <c r="F14" s="103">
        <f t="shared" si="1"/>
        <v>462472299</v>
      </c>
      <c r="G14" s="103">
        <f t="shared" si="1"/>
        <v>161397299</v>
      </c>
      <c r="H14" s="103">
        <f t="shared" si="1"/>
        <v>161397299</v>
      </c>
      <c r="I14" s="103">
        <f t="shared" si="1"/>
        <v>162472299</v>
      </c>
      <c r="J14" s="103">
        <f t="shared" si="1"/>
        <v>161397299</v>
      </c>
      <c r="K14" s="103">
        <f t="shared" si="1"/>
        <v>585797299</v>
      </c>
      <c r="L14" s="103">
        <f t="shared" si="1"/>
        <v>162472299</v>
      </c>
      <c r="M14" s="103">
        <f t="shared" si="1"/>
        <v>161397299</v>
      </c>
      <c r="N14" s="103">
        <f t="shared" si="1"/>
        <v>251397299</v>
      </c>
      <c r="O14" s="104">
        <f>SUM(C14:N14)</f>
        <v>3339867588</v>
      </c>
    </row>
    <row r="15" spans="1:15" s="93" customFormat="1" ht="15" customHeight="1" thickBot="1">
      <c r="A15" s="92" t="s">
        <v>30</v>
      </c>
      <c r="B15" s="1159" t="s">
        <v>60</v>
      </c>
      <c r="C15" s="1160"/>
      <c r="D15" s="1160"/>
      <c r="E15" s="1160"/>
      <c r="F15" s="1160"/>
      <c r="G15" s="1160"/>
      <c r="H15" s="1160"/>
      <c r="I15" s="1160"/>
      <c r="J15" s="1160"/>
      <c r="K15" s="1160"/>
      <c r="L15" s="1160"/>
      <c r="M15" s="1160"/>
      <c r="N15" s="1160"/>
      <c r="O15" s="1161"/>
    </row>
    <row r="16" spans="1:15" s="100" customFormat="1" ht="14.1" customHeight="1">
      <c r="A16" s="105" t="s">
        <v>31</v>
      </c>
      <c r="B16" s="273" t="s">
        <v>67</v>
      </c>
      <c r="C16" s="101">
        <v>78956032</v>
      </c>
      <c r="D16" s="101">
        <v>78956032</v>
      </c>
      <c r="E16" s="101">
        <v>78956032</v>
      </c>
      <c r="F16" s="101">
        <v>78956032</v>
      </c>
      <c r="G16" s="101">
        <v>78956032</v>
      </c>
      <c r="H16" s="101">
        <v>78956032</v>
      </c>
      <c r="I16" s="101">
        <v>78956032</v>
      </c>
      <c r="J16" s="101">
        <v>78956032</v>
      </c>
      <c r="K16" s="101">
        <v>78956032</v>
      </c>
      <c r="L16" s="101">
        <v>78956032</v>
      </c>
      <c r="M16" s="101">
        <v>78956032</v>
      </c>
      <c r="N16" s="101">
        <v>78956033</v>
      </c>
      <c r="O16" s="102">
        <f t="shared" si="0"/>
        <v>947472385</v>
      </c>
    </row>
    <row r="17" spans="1:15" s="100" customFormat="1" ht="27" customHeight="1">
      <c r="A17" s="97" t="s">
        <v>32</v>
      </c>
      <c r="B17" s="272" t="s">
        <v>165</v>
      </c>
      <c r="C17" s="98">
        <v>17848505</v>
      </c>
      <c r="D17" s="98">
        <v>17848505</v>
      </c>
      <c r="E17" s="98">
        <v>17848505</v>
      </c>
      <c r="F17" s="98">
        <v>17848505</v>
      </c>
      <c r="G17" s="98">
        <v>17848505</v>
      </c>
      <c r="H17" s="98">
        <v>17848505</v>
      </c>
      <c r="I17" s="98">
        <v>17848505</v>
      </c>
      <c r="J17" s="98">
        <v>17848505</v>
      </c>
      <c r="K17" s="98">
        <v>17848505</v>
      </c>
      <c r="L17" s="98">
        <v>17848505</v>
      </c>
      <c r="M17" s="98">
        <v>17848505</v>
      </c>
      <c r="N17" s="98">
        <v>17848505</v>
      </c>
      <c r="O17" s="99">
        <f t="shared" si="0"/>
        <v>214182060</v>
      </c>
    </row>
    <row r="18" spans="1:15" s="100" customFormat="1" ht="14.1" customHeight="1">
      <c r="A18" s="97" t="s">
        <v>33</v>
      </c>
      <c r="B18" s="270" t="s">
        <v>129</v>
      </c>
      <c r="C18" s="98">
        <v>90744960</v>
      </c>
      <c r="D18" s="98">
        <v>90744960</v>
      </c>
      <c r="E18" s="98">
        <v>90744960</v>
      </c>
      <c r="F18" s="98">
        <v>90744960</v>
      </c>
      <c r="G18" s="98">
        <v>90744960</v>
      </c>
      <c r="H18" s="98">
        <v>90744960</v>
      </c>
      <c r="I18" s="98">
        <v>90744960</v>
      </c>
      <c r="J18" s="98">
        <v>90744960</v>
      </c>
      <c r="K18" s="98">
        <v>90744960</v>
      </c>
      <c r="L18" s="98">
        <v>90744960</v>
      </c>
      <c r="M18" s="98">
        <v>90744960</v>
      </c>
      <c r="N18" s="98">
        <v>90744966</v>
      </c>
      <c r="O18" s="99">
        <f t="shared" si="0"/>
        <v>1088939526</v>
      </c>
    </row>
    <row r="19" spans="1:15" s="100" customFormat="1" ht="14.1" customHeight="1">
      <c r="A19" s="97" t="s">
        <v>34</v>
      </c>
      <c r="B19" s="270" t="s">
        <v>166</v>
      </c>
      <c r="C19" s="98">
        <v>5125000</v>
      </c>
      <c r="D19" s="98">
        <v>5125000</v>
      </c>
      <c r="E19" s="98">
        <v>5125000</v>
      </c>
      <c r="F19" s="98">
        <v>5125000</v>
      </c>
      <c r="G19" s="98">
        <v>5125000</v>
      </c>
      <c r="H19" s="98">
        <v>5125000</v>
      </c>
      <c r="I19" s="98">
        <v>5125000</v>
      </c>
      <c r="J19" s="98">
        <v>5125000</v>
      </c>
      <c r="K19" s="98">
        <v>5125000</v>
      </c>
      <c r="L19" s="98">
        <v>5125000</v>
      </c>
      <c r="M19" s="98">
        <v>5125000</v>
      </c>
      <c r="N19" s="98">
        <v>5125000</v>
      </c>
      <c r="O19" s="99">
        <f t="shared" si="0"/>
        <v>61500000</v>
      </c>
    </row>
    <row r="20" spans="1:15" s="100" customFormat="1" ht="14.1" customHeight="1">
      <c r="A20" s="97" t="s">
        <v>35</v>
      </c>
      <c r="B20" s="270" t="s">
        <v>14</v>
      </c>
      <c r="C20" s="98">
        <f>17181326+16000000</f>
        <v>33181326</v>
      </c>
      <c r="D20" s="98">
        <v>17181326</v>
      </c>
      <c r="E20" s="98">
        <v>17181326</v>
      </c>
      <c r="F20" s="98">
        <v>17181326</v>
      </c>
      <c r="G20" s="98">
        <v>17181326</v>
      </c>
      <c r="H20" s="98">
        <v>17181326</v>
      </c>
      <c r="I20" s="98">
        <v>17181326</v>
      </c>
      <c r="J20" s="98">
        <v>17181326</v>
      </c>
      <c r="K20" s="98">
        <v>17181326</v>
      </c>
      <c r="L20" s="98">
        <v>17181326</v>
      </c>
      <c r="M20" s="98">
        <v>17181326</v>
      </c>
      <c r="N20" s="98">
        <v>17181327</v>
      </c>
      <c r="O20" s="99">
        <f t="shared" si="0"/>
        <v>222175913</v>
      </c>
    </row>
    <row r="21" spans="1:15" s="100" customFormat="1" ht="14.1" customHeight="1">
      <c r="A21" s="97" t="s">
        <v>36</v>
      </c>
      <c r="B21" s="270" t="s">
        <v>215</v>
      </c>
      <c r="C21" s="98">
        <f>20893000-6000000</f>
        <v>14893000</v>
      </c>
      <c r="D21" s="98"/>
      <c r="E21" s="98">
        <v>35305800</v>
      </c>
      <c r="F21" s="98">
        <v>35305800</v>
      </c>
      <c r="G21" s="98">
        <v>35305800</v>
      </c>
      <c r="H21" s="98">
        <v>35305800</v>
      </c>
      <c r="I21" s="98">
        <v>35305800</v>
      </c>
      <c r="J21" s="98">
        <v>35305800</v>
      </c>
      <c r="K21" s="98">
        <v>35305800</v>
      </c>
      <c r="L21" s="98">
        <v>35305800</v>
      </c>
      <c r="M21" s="98">
        <v>35305800</v>
      </c>
      <c r="N21" s="98">
        <v>35305800</v>
      </c>
      <c r="O21" s="99">
        <f>SUM(C21:N21)</f>
        <v>367951000</v>
      </c>
    </row>
    <row r="22" spans="1:15" s="100" customFormat="1">
      <c r="A22" s="97" t="s">
        <v>37</v>
      </c>
      <c r="B22" s="272" t="s">
        <v>169</v>
      </c>
      <c r="C22" s="98"/>
      <c r="D22" s="98"/>
      <c r="E22" s="98"/>
      <c r="F22" s="98">
        <v>56080000</v>
      </c>
      <c r="G22" s="98">
        <v>56080000</v>
      </c>
      <c r="H22" s="98">
        <v>56080000</v>
      </c>
      <c r="I22" s="98">
        <v>56080000</v>
      </c>
      <c r="J22" s="98">
        <v>56080000</v>
      </c>
      <c r="K22" s="98">
        <v>56080000</v>
      </c>
      <c r="L22" s="98"/>
      <c r="M22" s="98"/>
      <c r="N22" s="98"/>
      <c r="O22" s="99">
        <f t="shared" si="0"/>
        <v>336480000</v>
      </c>
    </row>
    <row r="23" spans="1:15" s="100" customFormat="1" ht="14.1" customHeight="1">
      <c r="A23" s="97" t="s">
        <v>38</v>
      </c>
      <c r="B23" s="270" t="s">
        <v>218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>
        <f t="shared" si="0"/>
        <v>0</v>
      </c>
    </row>
    <row r="24" spans="1:15" s="100" customFormat="1" ht="14.1" customHeight="1" thickBot="1">
      <c r="A24" s="97" t="s">
        <v>39</v>
      </c>
      <c r="B24" s="270" t="s">
        <v>807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>
        <v>101166704</v>
      </c>
      <c r="O24" s="99">
        <f t="shared" si="0"/>
        <v>101166704</v>
      </c>
    </row>
    <row r="25" spans="1:15" s="93" customFormat="1" ht="15.95" customHeight="1" thickBot="1">
      <c r="A25" s="106" t="s">
        <v>40</v>
      </c>
      <c r="B25" s="37" t="s">
        <v>115</v>
      </c>
      <c r="C25" s="103">
        <f t="shared" ref="C25:N25" si="2">SUM(C16:C24)</f>
        <v>240748823</v>
      </c>
      <c r="D25" s="103">
        <f t="shared" si="2"/>
        <v>209855823</v>
      </c>
      <c r="E25" s="103">
        <f t="shared" si="2"/>
        <v>245161623</v>
      </c>
      <c r="F25" s="103">
        <f t="shared" si="2"/>
        <v>301241623</v>
      </c>
      <c r="G25" s="103">
        <f t="shared" si="2"/>
        <v>301241623</v>
      </c>
      <c r="H25" s="103">
        <f t="shared" si="2"/>
        <v>301241623</v>
      </c>
      <c r="I25" s="103">
        <f t="shared" si="2"/>
        <v>301241623</v>
      </c>
      <c r="J25" s="103">
        <f t="shared" si="2"/>
        <v>301241623</v>
      </c>
      <c r="K25" s="103">
        <f t="shared" si="2"/>
        <v>301241623</v>
      </c>
      <c r="L25" s="103">
        <f t="shared" si="2"/>
        <v>245161623</v>
      </c>
      <c r="M25" s="103">
        <f t="shared" si="2"/>
        <v>245161623</v>
      </c>
      <c r="N25" s="103">
        <f t="shared" si="2"/>
        <v>346328335</v>
      </c>
      <c r="O25" s="104">
        <f t="shared" si="0"/>
        <v>3339867588</v>
      </c>
    </row>
    <row r="26" spans="1:15" ht="16.5" thickBot="1">
      <c r="A26" s="106" t="s">
        <v>41</v>
      </c>
      <c r="B26" s="274" t="s">
        <v>116</v>
      </c>
      <c r="C26" s="107">
        <f t="shared" ref="C26:O26" si="3">C14-C25</f>
        <v>121723476</v>
      </c>
      <c r="D26" s="107">
        <f t="shared" si="3"/>
        <v>-48458524</v>
      </c>
      <c r="E26" s="107">
        <f t="shared" si="3"/>
        <v>300635676</v>
      </c>
      <c r="F26" s="107">
        <f t="shared" si="3"/>
        <v>161230676</v>
      </c>
      <c r="G26" s="107">
        <f t="shared" si="3"/>
        <v>-139844324</v>
      </c>
      <c r="H26" s="107">
        <f t="shared" si="3"/>
        <v>-139844324</v>
      </c>
      <c r="I26" s="107">
        <f t="shared" si="3"/>
        <v>-138769324</v>
      </c>
      <c r="J26" s="107">
        <f t="shared" si="3"/>
        <v>-139844324</v>
      </c>
      <c r="K26" s="107">
        <f t="shared" si="3"/>
        <v>284555676</v>
      </c>
      <c r="L26" s="107">
        <f t="shared" si="3"/>
        <v>-82689324</v>
      </c>
      <c r="M26" s="107">
        <f t="shared" si="3"/>
        <v>-83764324</v>
      </c>
      <c r="N26" s="107">
        <f t="shared" si="3"/>
        <v>-94931036</v>
      </c>
      <c r="O26" s="108">
        <f t="shared" si="3"/>
        <v>0</v>
      </c>
    </row>
    <row r="27" spans="1:15">
      <c r="A27" s="110"/>
    </row>
    <row r="28" spans="1:15">
      <c r="B28" s="111"/>
      <c r="C28" s="112"/>
      <c r="D28" s="112"/>
      <c r="O28" s="109"/>
    </row>
    <row r="29" spans="1:15">
      <c r="O29" s="109"/>
    </row>
    <row r="30" spans="1:15">
      <c r="O30" s="109"/>
    </row>
    <row r="31" spans="1:15">
      <c r="O31" s="109"/>
    </row>
    <row r="32" spans="1:15">
      <c r="O32" s="109"/>
    </row>
    <row r="33" spans="15:15">
      <c r="O33" s="109"/>
    </row>
    <row r="34" spans="15:15">
      <c r="O34" s="109"/>
    </row>
    <row r="35" spans="15:15">
      <c r="O35" s="109"/>
    </row>
    <row r="36" spans="15:15">
      <c r="O36" s="109"/>
    </row>
    <row r="37" spans="15:15">
      <c r="O37" s="109"/>
    </row>
    <row r="38" spans="15:15">
      <c r="O38" s="109"/>
    </row>
    <row r="39" spans="15:15">
      <c r="O39" s="109"/>
    </row>
    <row r="40" spans="15:15">
      <c r="O40" s="109"/>
    </row>
    <row r="41" spans="15:15">
      <c r="O41" s="109"/>
    </row>
    <row r="42" spans="15:15">
      <c r="O42" s="109"/>
    </row>
    <row r="43" spans="15:15">
      <c r="O43" s="109"/>
    </row>
    <row r="44" spans="15:15">
      <c r="O44" s="109"/>
    </row>
    <row r="45" spans="15:15">
      <c r="O45" s="109"/>
    </row>
    <row r="46" spans="15:15">
      <c r="O46" s="109"/>
    </row>
    <row r="47" spans="15:15">
      <c r="O47" s="109"/>
    </row>
    <row r="48" spans="15:15">
      <c r="O48" s="109"/>
    </row>
    <row r="49" spans="15:15">
      <c r="O49" s="109"/>
    </row>
    <row r="50" spans="15:15">
      <c r="O50" s="109"/>
    </row>
    <row r="51" spans="15:15">
      <c r="O51" s="109"/>
    </row>
    <row r="52" spans="15:15">
      <c r="O52" s="109"/>
    </row>
    <row r="53" spans="15:15">
      <c r="O53" s="109"/>
    </row>
    <row r="54" spans="15:15">
      <c r="O54" s="109"/>
    </row>
    <row r="55" spans="15:15">
      <c r="O55" s="109"/>
    </row>
    <row r="56" spans="15:15">
      <c r="O56" s="109"/>
    </row>
    <row r="57" spans="15:15">
      <c r="O57" s="109"/>
    </row>
    <row r="58" spans="15:15">
      <c r="O58" s="109"/>
    </row>
    <row r="59" spans="15:15">
      <c r="O59" s="109"/>
    </row>
    <row r="60" spans="15:15">
      <c r="O60" s="109"/>
    </row>
    <row r="61" spans="15:15">
      <c r="O61" s="109"/>
    </row>
    <row r="62" spans="15:15">
      <c r="O62" s="109"/>
    </row>
    <row r="63" spans="15:15">
      <c r="O63" s="109"/>
    </row>
    <row r="64" spans="15:15">
      <c r="O64" s="109"/>
    </row>
    <row r="65" spans="15:15">
      <c r="O65" s="109"/>
    </row>
    <row r="66" spans="15:15">
      <c r="O66" s="109"/>
    </row>
    <row r="67" spans="15:15">
      <c r="O67" s="109"/>
    </row>
    <row r="68" spans="15:15">
      <c r="O68" s="109"/>
    </row>
    <row r="69" spans="15:15">
      <c r="O69" s="109"/>
    </row>
    <row r="70" spans="15:15">
      <c r="O70" s="109"/>
    </row>
    <row r="71" spans="15:15">
      <c r="O71" s="109"/>
    </row>
    <row r="72" spans="15:15">
      <c r="O72" s="109"/>
    </row>
    <row r="73" spans="15:15">
      <c r="O73" s="109"/>
    </row>
    <row r="74" spans="15:15">
      <c r="O74" s="109"/>
    </row>
    <row r="75" spans="15:15">
      <c r="O75" s="109"/>
    </row>
    <row r="76" spans="15:15">
      <c r="O76" s="109"/>
    </row>
    <row r="77" spans="15:15">
      <c r="O77" s="109"/>
    </row>
    <row r="78" spans="15:15">
      <c r="O78" s="109"/>
    </row>
    <row r="79" spans="15:15">
      <c r="O79" s="109"/>
    </row>
    <row r="80" spans="15:15">
      <c r="O80" s="109"/>
    </row>
    <row r="81" spans="15:15">
      <c r="O81" s="10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76" orientation="landscape" r:id="rId1"/>
  <headerFooter alignWithMargins="0">
    <oddHeader>&amp;R&amp;"Times New Roman CE,Félkövér dőlt"&amp;11 4.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D26"/>
  <sheetViews>
    <sheetView workbookViewId="0">
      <selection activeCell="D14" sqref="D14"/>
    </sheetView>
  </sheetViews>
  <sheetFormatPr defaultRowHeight="12.75"/>
  <cols>
    <col min="1" max="1" width="6.33203125" customWidth="1"/>
    <col min="2" max="2" width="51.83203125" customWidth="1"/>
    <col min="3" max="3" width="22.1640625" customWidth="1"/>
    <col min="4" max="4" width="14.6640625" customWidth="1"/>
  </cols>
  <sheetData>
    <row r="1" spans="1:4">
      <c r="C1" t="s">
        <v>733</v>
      </c>
    </row>
    <row r="2" spans="1:4" ht="49.5" customHeight="1">
      <c r="A2" s="1164" t="s">
        <v>801</v>
      </c>
      <c r="B2" s="1164"/>
      <c r="C2" s="1164"/>
      <c r="D2" s="1164"/>
    </row>
    <row r="3" spans="1:4" ht="15.75">
      <c r="A3" s="546"/>
      <c r="B3" s="546"/>
      <c r="C3" s="546"/>
      <c r="D3" s="546"/>
    </row>
    <row r="4" spans="1:4" ht="13.5" thickBot="1">
      <c r="A4" s="547"/>
      <c r="B4" s="547"/>
      <c r="C4" s="1165" t="s">
        <v>55</v>
      </c>
      <c r="D4" s="1165"/>
    </row>
    <row r="5" spans="1:4" ht="26.25" thickBot="1">
      <c r="A5" s="548" t="s">
        <v>73</v>
      </c>
      <c r="B5" s="549" t="s">
        <v>634</v>
      </c>
      <c r="C5" s="549" t="s">
        <v>635</v>
      </c>
      <c r="D5" s="550" t="s">
        <v>731</v>
      </c>
    </row>
    <row r="6" spans="1:4">
      <c r="A6" s="551" t="s">
        <v>19</v>
      </c>
      <c r="B6" s="552" t="s">
        <v>636</v>
      </c>
      <c r="C6" s="553" t="s">
        <v>637</v>
      </c>
      <c r="D6" s="557">
        <v>330000</v>
      </c>
    </row>
    <row r="7" spans="1:4">
      <c r="A7" s="554" t="s">
        <v>20</v>
      </c>
      <c r="B7" s="552" t="s">
        <v>638</v>
      </c>
      <c r="C7" s="553" t="s">
        <v>637</v>
      </c>
      <c r="D7" s="557">
        <v>370000</v>
      </c>
    </row>
    <row r="8" spans="1:4">
      <c r="A8" s="554" t="s">
        <v>21</v>
      </c>
      <c r="B8" s="552" t="s">
        <v>639</v>
      </c>
      <c r="C8" s="553" t="s">
        <v>637</v>
      </c>
      <c r="D8" s="557">
        <v>6800000</v>
      </c>
    </row>
    <row r="9" spans="1:4">
      <c r="A9" s="554" t="s">
        <v>22</v>
      </c>
      <c r="B9" s="552" t="s">
        <v>640</v>
      </c>
      <c r="C9" s="553" t="s">
        <v>637</v>
      </c>
      <c r="D9" s="557">
        <v>22000000</v>
      </c>
    </row>
    <row r="10" spans="1:4">
      <c r="A10" s="554" t="s">
        <v>23</v>
      </c>
      <c r="B10" s="552" t="s">
        <v>641</v>
      </c>
      <c r="C10" s="553" t="s">
        <v>637</v>
      </c>
      <c r="D10" s="557">
        <v>35000000</v>
      </c>
    </row>
    <row r="11" spans="1:4">
      <c r="A11" s="554" t="s">
        <v>25</v>
      </c>
      <c r="B11" s="552" t="s">
        <v>835</v>
      </c>
      <c r="C11" s="553" t="s">
        <v>637</v>
      </c>
      <c r="D11" s="557">
        <v>1000000</v>
      </c>
    </row>
    <row r="12" spans="1:4">
      <c r="A12" s="554" t="s">
        <v>26</v>
      </c>
      <c r="B12" s="552" t="s">
        <v>836</v>
      </c>
      <c r="C12" s="553" t="s">
        <v>637</v>
      </c>
      <c r="D12" s="557">
        <v>1000000</v>
      </c>
    </row>
    <row r="13" spans="1:4">
      <c r="A13" s="554" t="s">
        <v>27</v>
      </c>
      <c r="B13" s="552" t="s">
        <v>837</v>
      </c>
      <c r="C13" s="553" t="s">
        <v>637</v>
      </c>
      <c r="D13" s="557">
        <v>1000000</v>
      </c>
    </row>
    <row r="14" spans="1:4">
      <c r="A14" s="554" t="s">
        <v>28</v>
      </c>
      <c r="B14" s="552" t="s">
        <v>717</v>
      </c>
      <c r="C14" s="553" t="s">
        <v>637</v>
      </c>
      <c r="D14" s="557">
        <v>336360</v>
      </c>
    </row>
    <row r="15" spans="1:4">
      <c r="A15" s="554" t="s">
        <v>29</v>
      </c>
      <c r="B15" s="552" t="s">
        <v>642</v>
      </c>
      <c r="C15" s="553" t="s">
        <v>637</v>
      </c>
      <c r="D15" s="557">
        <v>48227000</v>
      </c>
    </row>
    <row r="16" spans="1:4">
      <c r="A16" s="554" t="s">
        <v>30</v>
      </c>
      <c r="B16" s="555" t="s">
        <v>643</v>
      </c>
      <c r="C16" s="556" t="s">
        <v>644</v>
      </c>
      <c r="D16" s="557">
        <v>87647133</v>
      </c>
    </row>
    <row r="17" spans="1:4">
      <c r="A17" s="554" t="s">
        <v>31</v>
      </c>
      <c r="B17" s="555" t="s">
        <v>781</v>
      </c>
      <c r="C17" s="556"/>
      <c r="D17" s="557"/>
    </row>
    <row r="18" spans="1:4">
      <c r="A18" s="554" t="s">
        <v>32</v>
      </c>
      <c r="B18" s="555" t="s">
        <v>782</v>
      </c>
      <c r="C18" s="556"/>
      <c r="D18" s="557"/>
    </row>
    <row r="19" spans="1:4">
      <c r="A19" s="554" t="s">
        <v>33</v>
      </c>
      <c r="B19" s="555" t="s">
        <v>645</v>
      </c>
      <c r="C19" s="556" t="s">
        <v>644</v>
      </c>
      <c r="D19" s="557">
        <v>9570000</v>
      </c>
    </row>
    <row r="20" spans="1:4">
      <c r="A20" s="554" t="s">
        <v>34</v>
      </c>
      <c r="B20" s="555" t="s">
        <v>646</v>
      </c>
      <c r="C20" s="556" t="s">
        <v>647</v>
      </c>
      <c r="D20" s="557">
        <v>3195420</v>
      </c>
    </row>
    <row r="21" spans="1:4">
      <c r="A21" s="554" t="s">
        <v>35</v>
      </c>
      <c r="B21" s="555" t="s">
        <v>648</v>
      </c>
      <c r="C21" s="556" t="s">
        <v>637</v>
      </c>
      <c r="D21" s="557">
        <v>350000</v>
      </c>
    </row>
    <row r="22" spans="1:4">
      <c r="A22" s="554" t="s">
        <v>36</v>
      </c>
      <c r="B22" s="555" t="s">
        <v>649</v>
      </c>
      <c r="C22" s="556" t="s">
        <v>637</v>
      </c>
      <c r="D22" s="557">
        <v>350000</v>
      </c>
    </row>
    <row r="23" spans="1:4" ht="13.5" thickBot="1">
      <c r="A23" s="554" t="s">
        <v>37</v>
      </c>
      <c r="B23" s="552" t="s">
        <v>650</v>
      </c>
      <c r="C23" s="553" t="s">
        <v>637</v>
      </c>
      <c r="D23" s="557">
        <v>1000000</v>
      </c>
    </row>
    <row r="24" spans="1:4" ht="13.5" thickBot="1">
      <c r="A24" s="1166" t="s">
        <v>53</v>
      </c>
      <c r="B24" s="1167"/>
      <c r="C24" s="558"/>
      <c r="D24" s="559">
        <f>SUM(D6:D23)</f>
        <v>218175913</v>
      </c>
    </row>
    <row r="26" spans="1:4">
      <c r="B26" t="s">
        <v>776</v>
      </c>
    </row>
  </sheetData>
  <mergeCells count="3">
    <mergeCell ref="A2:D2"/>
    <mergeCell ref="C4:D4"/>
    <mergeCell ref="A24:B24"/>
  </mergeCells>
  <conditionalFormatting sqref="D2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D22"/>
  <sheetViews>
    <sheetView workbookViewId="0">
      <selection activeCell="E26" sqref="E26"/>
    </sheetView>
  </sheetViews>
  <sheetFormatPr defaultRowHeight="12.75"/>
  <cols>
    <col min="1" max="1" width="73.6640625" style="44" customWidth="1"/>
    <col min="2" max="2" width="14.6640625" style="44" customWidth="1"/>
    <col min="3" max="3" width="15.1640625" style="44" customWidth="1"/>
    <col min="4" max="4" width="13.6640625" style="44" customWidth="1"/>
    <col min="5" max="16384" width="9.33203125" style="44"/>
  </cols>
  <sheetData>
    <row r="1" spans="1:4" ht="47.25" customHeight="1">
      <c r="A1" s="1168" t="s">
        <v>802</v>
      </c>
      <c r="B1" s="1168"/>
      <c r="C1" s="1168"/>
    </row>
    <row r="2" spans="1:4" ht="22.5" customHeight="1" thickBot="1">
      <c r="A2" s="362"/>
      <c r="B2" s="1169" t="s">
        <v>15</v>
      </c>
      <c r="C2" s="1169"/>
      <c r="D2" s="1169"/>
    </row>
    <row r="3" spans="1:4" s="45" customFormat="1" ht="24" customHeight="1" thickBot="1">
      <c r="A3" s="275" t="s">
        <v>52</v>
      </c>
      <c r="B3" s="361" t="s">
        <v>521</v>
      </c>
      <c r="C3" s="361" t="s">
        <v>690</v>
      </c>
      <c r="D3" s="361" t="s">
        <v>803</v>
      </c>
    </row>
    <row r="4" spans="1:4" s="46" customFormat="1" ht="13.5" thickBot="1">
      <c r="A4" s="188">
        <v>1</v>
      </c>
      <c r="B4" s="594">
        <v>2</v>
      </c>
      <c r="C4" s="189">
        <v>3</v>
      </c>
      <c r="D4" s="189">
        <v>3</v>
      </c>
    </row>
    <row r="5" spans="1:4">
      <c r="A5" s="113" t="s">
        <v>501</v>
      </c>
      <c r="B5" s="530">
        <v>171200400</v>
      </c>
      <c r="C5" s="530">
        <f>171475200+1092000</f>
        <v>172567200</v>
      </c>
      <c r="D5" s="530">
        <v>171933200</v>
      </c>
    </row>
    <row r="6" spans="1:4" ht="12.75" customHeight="1">
      <c r="A6" s="114" t="s">
        <v>502</v>
      </c>
      <c r="B6" s="530">
        <v>31221643</v>
      </c>
      <c r="C6" s="530">
        <v>30659810</v>
      </c>
      <c r="D6" s="530">
        <v>13944426</v>
      </c>
    </row>
    <row r="7" spans="1:4">
      <c r="A7" s="114" t="s">
        <v>503</v>
      </c>
      <c r="B7" s="530">
        <v>228360000</v>
      </c>
      <c r="C7" s="530">
        <v>236796400</v>
      </c>
      <c r="D7" s="530">
        <v>250165404</v>
      </c>
    </row>
    <row r="8" spans="1:4">
      <c r="A8" s="114" t="s">
        <v>511</v>
      </c>
      <c r="B8" s="530">
        <f>1876000+2816000</f>
        <v>4692000</v>
      </c>
      <c r="C8" s="530">
        <f>5084500+1408000</f>
        <v>6492500</v>
      </c>
      <c r="D8" s="530">
        <v>2265260</v>
      </c>
    </row>
    <row r="9" spans="1:4">
      <c r="A9" s="114" t="s">
        <v>504</v>
      </c>
      <c r="B9" s="530">
        <v>68400000</v>
      </c>
      <c r="C9" s="530">
        <v>75924000</v>
      </c>
      <c r="D9" s="530">
        <v>79079600</v>
      </c>
    </row>
    <row r="10" spans="1:4">
      <c r="A10" s="114" t="s">
        <v>505</v>
      </c>
      <c r="B10" s="530">
        <v>43260000</v>
      </c>
      <c r="C10" s="530">
        <v>49440000</v>
      </c>
      <c r="D10" s="530">
        <v>51062500</v>
      </c>
    </row>
    <row r="11" spans="1:4">
      <c r="A11" s="114" t="s">
        <v>810</v>
      </c>
      <c r="B11" s="530"/>
      <c r="C11" s="530"/>
      <c r="D11" s="530">
        <v>5026800</v>
      </c>
    </row>
    <row r="12" spans="1:4">
      <c r="A12" s="114" t="s">
        <v>691</v>
      </c>
      <c r="B12" s="530">
        <v>0</v>
      </c>
      <c r="C12" s="530">
        <v>4149200</v>
      </c>
      <c r="D12" s="530">
        <v>0</v>
      </c>
    </row>
    <row r="13" spans="1:4">
      <c r="A13" s="114" t="s">
        <v>508</v>
      </c>
      <c r="B13" s="530">
        <v>14227380</v>
      </c>
      <c r="C13" s="530">
        <v>26249578</v>
      </c>
      <c r="D13" s="530">
        <v>25944000</v>
      </c>
    </row>
    <row r="14" spans="1:4">
      <c r="A14" s="114" t="s">
        <v>506</v>
      </c>
      <c r="B14" s="530">
        <v>56788354</v>
      </c>
      <c r="C14" s="530">
        <v>48688480</v>
      </c>
      <c r="D14" s="530">
        <v>52415000</v>
      </c>
    </row>
    <row r="15" spans="1:4">
      <c r="A15" s="114" t="s">
        <v>811</v>
      </c>
      <c r="B15" s="530"/>
      <c r="C15" s="530">
        <v>18900000</v>
      </c>
      <c r="D15" s="530">
        <v>18900000</v>
      </c>
    </row>
    <row r="16" spans="1:4">
      <c r="A16" s="114" t="s">
        <v>507</v>
      </c>
      <c r="B16" s="530">
        <v>10450000</v>
      </c>
      <c r="C16" s="530">
        <v>9570000</v>
      </c>
      <c r="D16" s="530">
        <v>9570000</v>
      </c>
    </row>
    <row r="17" spans="1:4">
      <c r="A17" s="114" t="s">
        <v>812</v>
      </c>
      <c r="B17" s="530"/>
      <c r="C17" s="530"/>
      <c r="D17" s="530">
        <v>9688000</v>
      </c>
    </row>
    <row r="18" spans="1:4">
      <c r="A18" s="114" t="s">
        <v>509</v>
      </c>
      <c r="B18" s="530">
        <v>46104000</v>
      </c>
      <c r="C18" s="530">
        <v>46838400</v>
      </c>
      <c r="D18" s="530">
        <v>48046080</v>
      </c>
    </row>
    <row r="19" spans="1:4">
      <c r="A19" s="114" t="s">
        <v>513</v>
      </c>
      <c r="B19" s="530">
        <v>45645899</v>
      </c>
      <c r="C19" s="530">
        <v>79684803</v>
      </c>
      <c r="D19" s="530">
        <v>67254782</v>
      </c>
    </row>
    <row r="20" spans="1:4">
      <c r="A20" s="114" t="s">
        <v>813</v>
      </c>
      <c r="B20" s="530"/>
      <c r="C20" s="530"/>
      <c r="D20" s="530">
        <v>2513016</v>
      </c>
    </row>
    <row r="21" spans="1:4" ht="23.25" thickBot="1">
      <c r="A21" s="114" t="s">
        <v>510</v>
      </c>
      <c r="B21" s="530">
        <v>18917160</v>
      </c>
      <c r="C21" s="530">
        <v>19087020</v>
      </c>
      <c r="D21" s="530">
        <v>19172520</v>
      </c>
    </row>
    <row r="22" spans="1:4" s="48" customFormat="1" ht="19.5" customHeight="1" thickBot="1">
      <c r="A22" s="34" t="s">
        <v>53</v>
      </c>
      <c r="B22" s="47">
        <f>SUM(B5:B21)</f>
        <v>739266836</v>
      </c>
      <c r="C22" s="47">
        <f>SUM(C5:C21)</f>
        <v>825047391</v>
      </c>
      <c r="D22" s="47">
        <f>SUM(D5:D21)</f>
        <v>826980588</v>
      </c>
    </row>
  </sheetData>
  <mergeCells count="2">
    <mergeCell ref="A1:C1"/>
    <mergeCell ref="B2:D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1" orientation="portrait" verticalDpi="300" r:id="rId1"/>
  <headerFooter alignWithMargins="0">
    <oddHeader>&amp;C
&amp;R&amp;"Times New Roman CE,Félkövér dőlt"&amp;11 5. számú tájékoztató tábla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31"/>
  <sheetViews>
    <sheetView zoomScale="120" zoomScaleNormal="120" zoomScaleSheetLayoutView="100" workbookViewId="0">
      <selection activeCell="H73" sqref="H73"/>
    </sheetView>
  </sheetViews>
  <sheetFormatPr defaultRowHeight="15.75"/>
  <cols>
    <col min="1" max="1" width="9.5" style="364" customWidth="1"/>
    <col min="2" max="2" width="91.6640625" style="364" customWidth="1"/>
    <col min="3" max="3" width="21.6640625" style="365" customWidth="1"/>
    <col min="4" max="4" width="9" style="386" customWidth="1"/>
    <col min="5" max="16384" width="9.33203125" style="386"/>
  </cols>
  <sheetData>
    <row r="1" spans="1:3" ht="15.95" customHeight="1">
      <c r="A1" s="1108" t="s">
        <v>16</v>
      </c>
      <c r="B1" s="1108"/>
      <c r="C1" s="1108"/>
    </row>
    <row r="2" spans="1:3" ht="15.95" customHeight="1" thickBot="1">
      <c r="A2" s="1109" t="s">
        <v>729</v>
      </c>
      <c r="B2" s="1109"/>
      <c r="C2" s="291" t="s">
        <v>795</v>
      </c>
    </row>
    <row r="3" spans="1:3" ht="38.1" customHeight="1" thickBot="1">
      <c r="A3" s="22" t="s">
        <v>73</v>
      </c>
      <c r="B3" s="23" t="s">
        <v>18</v>
      </c>
      <c r="C3" s="38" t="s">
        <v>738</v>
      </c>
    </row>
    <row r="4" spans="1:3" s="387" customFormat="1" ht="12" customHeight="1" thickBot="1">
      <c r="A4" s="381">
        <v>1</v>
      </c>
      <c r="B4" s="382">
        <v>2</v>
      </c>
      <c r="C4" s="383">
        <v>3</v>
      </c>
    </row>
    <row r="5" spans="1:3" s="388" customFormat="1" ht="12" customHeight="1" thickBot="1">
      <c r="A5" s="19" t="s">
        <v>19</v>
      </c>
      <c r="B5" s="20" t="s">
        <v>242</v>
      </c>
      <c r="C5" s="281">
        <f>+C6+C7+C8+C9+C10+C11</f>
        <v>171933200</v>
      </c>
    </row>
    <row r="6" spans="1:3" s="388" customFormat="1" ht="12" customHeight="1">
      <c r="A6" s="14" t="s">
        <v>103</v>
      </c>
      <c r="B6" s="389" t="s">
        <v>243</v>
      </c>
      <c r="C6" s="284">
        <v>171933200</v>
      </c>
    </row>
    <row r="7" spans="1:3" s="388" customFormat="1" ht="12" customHeight="1">
      <c r="A7" s="13" t="s">
        <v>104</v>
      </c>
      <c r="B7" s="390" t="s">
        <v>244</v>
      </c>
      <c r="C7" s="283"/>
    </row>
    <row r="8" spans="1:3" s="388" customFormat="1" ht="12" customHeight="1">
      <c r="A8" s="13" t="s">
        <v>105</v>
      </c>
      <c r="B8" s="390" t="s">
        <v>245</v>
      </c>
      <c r="C8" s="283"/>
    </row>
    <row r="9" spans="1:3" s="388" customFormat="1" ht="12" customHeight="1">
      <c r="A9" s="13" t="s">
        <v>106</v>
      </c>
      <c r="B9" s="390" t="s">
        <v>246</v>
      </c>
      <c r="C9" s="283"/>
    </row>
    <row r="10" spans="1:3" s="388" customFormat="1" ht="12" customHeight="1">
      <c r="A10" s="13" t="s">
        <v>131</v>
      </c>
      <c r="B10" s="390" t="s">
        <v>247</v>
      </c>
      <c r="C10" s="283"/>
    </row>
    <row r="11" spans="1:3" s="388" customFormat="1" ht="12" customHeight="1" thickBot="1">
      <c r="A11" s="15" t="s">
        <v>107</v>
      </c>
      <c r="B11" s="391" t="s">
        <v>248</v>
      </c>
      <c r="C11" s="283"/>
    </row>
    <row r="12" spans="1:3" s="388" customFormat="1" ht="12" customHeight="1" thickBot="1">
      <c r="A12" s="19" t="s">
        <v>20</v>
      </c>
      <c r="B12" s="276" t="s">
        <v>249</v>
      </c>
      <c r="C12" s="281">
        <f>+C13+C14+C15+C16+C17</f>
        <v>0</v>
      </c>
    </row>
    <row r="13" spans="1:3" s="388" customFormat="1" ht="12" customHeight="1">
      <c r="A13" s="14" t="s">
        <v>109</v>
      </c>
      <c r="B13" s="389" t="s">
        <v>250</v>
      </c>
      <c r="C13" s="284"/>
    </row>
    <row r="14" spans="1:3" s="388" customFormat="1" ht="12" customHeight="1">
      <c r="A14" s="13" t="s">
        <v>110</v>
      </c>
      <c r="B14" s="390" t="s">
        <v>251</v>
      </c>
      <c r="C14" s="283"/>
    </row>
    <row r="15" spans="1:3" s="388" customFormat="1" ht="12" customHeight="1">
      <c r="A15" s="13" t="s">
        <v>111</v>
      </c>
      <c r="B15" s="390" t="s">
        <v>473</v>
      </c>
      <c r="C15" s="283"/>
    </row>
    <row r="16" spans="1:3" s="388" customFormat="1" ht="12" customHeight="1">
      <c r="A16" s="13" t="s">
        <v>112</v>
      </c>
      <c r="B16" s="390" t="s">
        <v>474</v>
      </c>
      <c r="C16" s="283"/>
    </row>
    <row r="17" spans="1:3" s="388" customFormat="1" ht="12" customHeight="1">
      <c r="A17" s="13" t="s">
        <v>113</v>
      </c>
      <c r="B17" s="390" t="s">
        <v>252</v>
      </c>
      <c r="C17" s="283"/>
    </row>
    <row r="18" spans="1:3" s="388" customFormat="1" ht="12" customHeight="1" thickBot="1">
      <c r="A18" s="15" t="s">
        <v>122</v>
      </c>
      <c r="B18" s="391" t="s">
        <v>253</v>
      </c>
      <c r="C18" s="285"/>
    </row>
    <row r="19" spans="1:3" s="388" customFormat="1" ht="12" customHeight="1" thickBot="1">
      <c r="A19" s="19" t="s">
        <v>21</v>
      </c>
      <c r="B19" s="20" t="s">
        <v>254</v>
      </c>
      <c r="C19" s="281">
        <f>+C20+C21+C22+C23+C24</f>
        <v>0</v>
      </c>
    </row>
    <row r="20" spans="1:3" s="388" customFormat="1" ht="12" customHeight="1">
      <c r="A20" s="14" t="s">
        <v>92</v>
      </c>
      <c r="B20" s="389" t="s">
        <v>255</v>
      </c>
      <c r="C20" s="284"/>
    </row>
    <row r="21" spans="1:3" s="388" customFormat="1" ht="12" customHeight="1">
      <c r="A21" s="13" t="s">
        <v>93</v>
      </c>
      <c r="B21" s="390" t="s">
        <v>256</v>
      </c>
      <c r="C21" s="283"/>
    </row>
    <row r="22" spans="1:3" s="388" customFormat="1" ht="12" customHeight="1">
      <c r="A22" s="13" t="s">
        <v>94</v>
      </c>
      <c r="B22" s="390" t="s">
        <v>475</v>
      </c>
      <c r="C22" s="283"/>
    </row>
    <row r="23" spans="1:3" s="388" customFormat="1" ht="12" customHeight="1">
      <c r="A23" s="13" t="s">
        <v>95</v>
      </c>
      <c r="B23" s="390" t="s">
        <v>476</v>
      </c>
      <c r="C23" s="283"/>
    </row>
    <row r="24" spans="1:3" s="388" customFormat="1" ht="12" customHeight="1">
      <c r="A24" s="13" t="s">
        <v>153</v>
      </c>
      <c r="B24" s="390" t="s">
        <v>257</v>
      </c>
      <c r="C24" s="283"/>
    </row>
    <row r="25" spans="1:3" s="388" customFormat="1" ht="12" customHeight="1" thickBot="1">
      <c r="A25" s="15" t="s">
        <v>154</v>
      </c>
      <c r="B25" s="391" t="s">
        <v>258</v>
      </c>
      <c r="C25" s="285"/>
    </row>
    <row r="26" spans="1:3" s="388" customFormat="1" ht="12" customHeight="1" thickBot="1">
      <c r="A26" s="19" t="s">
        <v>155</v>
      </c>
      <c r="B26" s="20" t="s">
        <v>259</v>
      </c>
      <c r="C26" s="287">
        <f>+C27+C30+C31+C32</f>
        <v>0</v>
      </c>
    </row>
    <row r="27" spans="1:3" s="388" customFormat="1" ht="12" customHeight="1">
      <c r="A27" s="14" t="s">
        <v>260</v>
      </c>
      <c r="B27" s="389" t="s">
        <v>266</v>
      </c>
      <c r="C27" s="384">
        <f>+C28+C29</f>
        <v>0</v>
      </c>
    </row>
    <row r="28" spans="1:3" s="388" customFormat="1" ht="12" customHeight="1">
      <c r="A28" s="13" t="s">
        <v>261</v>
      </c>
      <c r="B28" s="390" t="s">
        <v>267</v>
      </c>
      <c r="C28" s="283"/>
    </row>
    <row r="29" spans="1:3" s="388" customFormat="1" ht="12" customHeight="1">
      <c r="A29" s="13" t="s">
        <v>262</v>
      </c>
      <c r="B29" s="390" t="s">
        <v>268</v>
      </c>
      <c r="C29" s="283"/>
    </row>
    <row r="30" spans="1:3" s="388" customFormat="1" ht="12" customHeight="1">
      <c r="A30" s="13" t="s">
        <v>263</v>
      </c>
      <c r="B30" s="390" t="s">
        <v>269</v>
      </c>
      <c r="C30" s="283"/>
    </row>
    <row r="31" spans="1:3" s="388" customFormat="1" ht="12" customHeight="1">
      <c r="A31" s="13" t="s">
        <v>264</v>
      </c>
      <c r="B31" s="390" t="s">
        <v>270</v>
      </c>
      <c r="C31" s="283"/>
    </row>
    <row r="32" spans="1:3" s="388" customFormat="1" ht="12" customHeight="1" thickBot="1">
      <c r="A32" s="15" t="s">
        <v>265</v>
      </c>
      <c r="B32" s="391" t="s">
        <v>271</v>
      </c>
      <c r="C32" s="285"/>
    </row>
    <row r="33" spans="1:3" s="388" customFormat="1" ht="12" customHeight="1" thickBot="1">
      <c r="A33" s="19" t="s">
        <v>23</v>
      </c>
      <c r="B33" s="20" t="s">
        <v>272</v>
      </c>
      <c r="C33" s="281">
        <f>SUM(C34:C43)</f>
        <v>13300000</v>
      </c>
    </row>
    <row r="34" spans="1:3" s="388" customFormat="1" ht="12" customHeight="1">
      <c r="A34" s="14" t="s">
        <v>96</v>
      </c>
      <c r="B34" s="389" t="s">
        <v>275</v>
      </c>
      <c r="C34" s="284"/>
    </row>
    <row r="35" spans="1:3" s="388" customFormat="1" ht="12" customHeight="1">
      <c r="A35" s="13" t="s">
        <v>97</v>
      </c>
      <c r="B35" s="390" t="s">
        <v>276</v>
      </c>
      <c r="C35" s="283">
        <v>10500000</v>
      </c>
    </row>
    <row r="36" spans="1:3" s="388" customFormat="1" ht="12" customHeight="1">
      <c r="A36" s="13" t="s">
        <v>98</v>
      </c>
      <c r="B36" s="390" t="s">
        <v>277</v>
      </c>
      <c r="C36" s="283"/>
    </row>
    <row r="37" spans="1:3" s="388" customFormat="1" ht="12" customHeight="1">
      <c r="A37" s="13" t="s">
        <v>157</v>
      </c>
      <c r="B37" s="390" t="s">
        <v>278</v>
      </c>
      <c r="C37" s="283"/>
    </row>
    <row r="38" spans="1:3" s="388" customFormat="1" ht="12" customHeight="1">
      <c r="A38" s="13" t="s">
        <v>158</v>
      </c>
      <c r="B38" s="390" t="s">
        <v>279</v>
      </c>
      <c r="C38" s="283"/>
    </row>
    <row r="39" spans="1:3" s="388" customFormat="1" ht="12" customHeight="1">
      <c r="A39" s="13" t="s">
        <v>159</v>
      </c>
      <c r="B39" s="390" t="s">
        <v>280</v>
      </c>
      <c r="C39" s="283">
        <v>2800000</v>
      </c>
    </row>
    <row r="40" spans="1:3" s="388" customFormat="1" ht="12" customHeight="1">
      <c r="A40" s="13" t="s">
        <v>160</v>
      </c>
      <c r="B40" s="390" t="s">
        <v>281</v>
      </c>
      <c r="C40" s="283"/>
    </row>
    <row r="41" spans="1:3" s="388" customFormat="1" ht="12" customHeight="1">
      <c r="A41" s="13" t="s">
        <v>161</v>
      </c>
      <c r="B41" s="390" t="s">
        <v>282</v>
      </c>
      <c r="C41" s="283"/>
    </row>
    <row r="42" spans="1:3" s="388" customFormat="1" ht="12" customHeight="1">
      <c r="A42" s="13" t="s">
        <v>273</v>
      </c>
      <c r="B42" s="390" t="s">
        <v>283</v>
      </c>
      <c r="C42" s="286"/>
    </row>
    <row r="43" spans="1:3" s="388" customFormat="1" ht="12" customHeight="1" thickBot="1">
      <c r="A43" s="15" t="s">
        <v>274</v>
      </c>
      <c r="B43" s="391" t="s">
        <v>284</v>
      </c>
      <c r="C43" s="378"/>
    </row>
    <row r="44" spans="1:3" s="388" customFormat="1" ht="12" customHeight="1" thickBot="1">
      <c r="A44" s="19" t="s">
        <v>24</v>
      </c>
      <c r="B44" s="20" t="s">
        <v>285</v>
      </c>
      <c r="C44" s="281">
        <f>SUM(C45:C49)</f>
        <v>0</v>
      </c>
    </row>
    <row r="45" spans="1:3" s="388" customFormat="1" ht="12" customHeight="1">
      <c r="A45" s="14" t="s">
        <v>99</v>
      </c>
      <c r="B45" s="389" t="s">
        <v>289</v>
      </c>
      <c r="C45" s="435"/>
    </row>
    <row r="46" spans="1:3" s="388" customFormat="1" ht="12" customHeight="1">
      <c r="A46" s="13" t="s">
        <v>100</v>
      </c>
      <c r="B46" s="390" t="s">
        <v>290</v>
      </c>
      <c r="C46" s="286"/>
    </row>
    <row r="47" spans="1:3" s="388" customFormat="1" ht="12" customHeight="1">
      <c r="A47" s="13" t="s">
        <v>286</v>
      </c>
      <c r="B47" s="390" t="s">
        <v>291</v>
      </c>
      <c r="C47" s="286"/>
    </row>
    <row r="48" spans="1:3" s="388" customFormat="1" ht="12" customHeight="1">
      <c r="A48" s="13" t="s">
        <v>287</v>
      </c>
      <c r="B48" s="390" t="s">
        <v>292</v>
      </c>
      <c r="C48" s="286"/>
    </row>
    <row r="49" spans="1:3" s="388" customFormat="1" ht="12" customHeight="1" thickBot="1">
      <c r="A49" s="15" t="s">
        <v>288</v>
      </c>
      <c r="B49" s="391" t="s">
        <v>293</v>
      </c>
      <c r="C49" s="378"/>
    </row>
    <row r="50" spans="1:3" s="388" customFormat="1" ht="12" customHeight="1" thickBot="1">
      <c r="A50" s="19" t="s">
        <v>162</v>
      </c>
      <c r="B50" s="20" t="s">
        <v>294</v>
      </c>
      <c r="C50" s="281">
        <f>SUM(C51:C53)</f>
        <v>0</v>
      </c>
    </row>
    <row r="51" spans="1:3" s="388" customFormat="1" ht="12" customHeight="1">
      <c r="A51" s="14" t="s">
        <v>101</v>
      </c>
      <c r="B51" s="389" t="s">
        <v>295</v>
      </c>
      <c r="C51" s="284"/>
    </row>
    <row r="52" spans="1:3" s="388" customFormat="1" ht="12" customHeight="1">
      <c r="A52" s="13" t="s">
        <v>102</v>
      </c>
      <c r="B52" s="390" t="s">
        <v>477</v>
      </c>
      <c r="C52" s="283"/>
    </row>
    <row r="53" spans="1:3" s="388" customFormat="1" ht="12" customHeight="1">
      <c r="A53" s="13" t="s">
        <v>299</v>
      </c>
      <c r="B53" s="390" t="s">
        <v>297</v>
      </c>
      <c r="C53" s="283"/>
    </row>
    <row r="54" spans="1:3" s="388" customFormat="1" ht="12" customHeight="1" thickBot="1">
      <c r="A54" s="15" t="s">
        <v>300</v>
      </c>
      <c r="B54" s="391" t="s">
        <v>298</v>
      </c>
      <c r="C54" s="285"/>
    </row>
    <row r="55" spans="1:3" s="388" customFormat="1" ht="12" customHeight="1" thickBot="1">
      <c r="A55" s="19" t="s">
        <v>26</v>
      </c>
      <c r="B55" s="276" t="s">
        <v>301</v>
      </c>
      <c r="C55" s="281">
        <f>SUM(C56:C58)</f>
        <v>0</v>
      </c>
    </row>
    <row r="56" spans="1:3" s="388" customFormat="1" ht="12" customHeight="1">
      <c r="A56" s="14" t="s">
        <v>163</v>
      </c>
      <c r="B56" s="389" t="s">
        <v>303</v>
      </c>
      <c r="C56" s="286"/>
    </row>
    <row r="57" spans="1:3" s="388" customFormat="1" ht="12" customHeight="1">
      <c r="A57" s="13" t="s">
        <v>164</v>
      </c>
      <c r="B57" s="390" t="s">
        <v>478</v>
      </c>
      <c r="C57" s="286"/>
    </row>
    <row r="58" spans="1:3" s="388" customFormat="1" ht="12" customHeight="1">
      <c r="A58" s="13" t="s">
        <v>217</v>
      </c>
      <c r="B58" s="390" t="s">
        <v>304</v>
      </c>
      <c r="C58" s="286"/>
    </row>
    <row r="59" spans="1:3" s="388" customFormat="1" ht="12" customHeight="1" thickBot="1">
      <c r="A59" s="15" t="s">
        <v>302</v>
      </c>
      <c r="B59" s="391" t="s">
        <v>305</v>
      </c>
      <c r="C59" s="286"/>
    </row>
    <row r="60" spans="1:3" s="388" customFormat="1" ht="12" customHeight="1" thickBot="1">
      <c r="A60" s="19" t="s">
        <v>27</v>
      </c>
      <c r="B60" s="20" t="s">
        <v>306</v>
      </c>
      <c r="C60" s="287">
        <f>+C5+C12+C19+C26+C33+C44+C50+C55</f>
        <v>185233200</v>
      </c>
    </row>
    <row r="61" spans="1:3" s="388" customFormat="1" ht="12" customHeight="1" thickBot="1">
      <c r="A61" s="392" t="s">
        <v>307</v>
      </c>
      <c r="B61" s="276" t="s">
        <v>308</v>
      </c>
      <c r="C61" s="281">
        <f>SUM(C62:C64)</f>
        <v>0</v>
      </c>
    </row>
    <row r="62" spans="1:3" s="388" customFormat="1" ht="12" customHeight="1">
      <c r="A62" s="14" t="s">
        <v>341</v>
      </c>
      <c r="B62" s="389" t="s">
        <v>309</v>
      </c>
      <c r="C62" s="286"/>
    </row>
    <row r="63" spans="1:3" s="388" customFormat="1" ht="12" customHeight="1">
      <c r="A63" s="13" t="s">
        <v>350</v>
      </c>
      <c r="B63" s="390" t="s">
        <v>310</v>
      </c>
      <c r="C63" s="286"/>
    </row>
    <row r="64" spans="1:3" s="388" customFormat="1" ht="12" customHeight="1" thickBot="1">
      <c r="A64" s="15" t="s">
        <v>351</v>
      </c>
      <c r="B64" s="393" t="s">
        <v>311</v>
      </c>
      <c r="C64" s="286"/>
    </row>
    <row r="65" spans="1:3" s="388" customFormat="1" ht="12" customHeight="1" thickBot="1">
      <c r="A65" s="392" t="s">
        <v>312</v>
      </c>
      <c r="B65" s="276" t="s">
        <v>313</v>
      </c>
      <c r="C65" s="281">
        <f>SUM(C66:C69)</f>
        <v>0</v>
      </c>
    </row>
    <row r="66" spans="1:3" s="388" customFormat="1" ht="12" customHeight="1">
      <c r="A66" s="14" t="s">
        <v>132</v>
      </c>
      <c r="B66" s="389" t="s">
        <v>314</v>
      </c>
      <c r="C66" s="286"/>
    </row>
    <row r="67" spans="1:3" s="388" customFormat="1" ht="12" customHeight="1">
      <c r="A67" s="13" t="s">
        <v>133</v>
      </c>
      <c r="B67" s="390" t="s">
        <v>315</v>
      </c>
      <c r="C67" s="286"/>
    </row>
    <row r="68" spans="1:3" s="388" customFormat="1" ht="12" customHeight="1">
      <c r="A68" s="13" t="s">
        <v>342</v>
      </c>
      <c r="B68" s="390" t="s">
        <v>316</v>
      </c>
      <c r="C68" s="286"/>
    </row>
    <row r="69" spans="1:3" s="388" customFormat="1" ht="12" customHeight="1" thickBot="1">
      <c r="A69" s="15" t="s">
        <v>343</v>
      </c>
      <c r="B69" s="391" t="s">
        <v>317</v>
      </c>
      <c r="C69" s="286"/>
    </row>
    <row r="70" spans="1:3" s="388" customFormat="1" ht="12" customHeight="1" thickBot="1">
      <c r="A70" s="392" t="s">
        <v>318</v>
      </c>
      <c r="B70" s="276" t="s">
        <v>319</v>
      </c>
      <c r="C70" s="281">
        <f>SUM(C71:C72)</f>
        <v>34170024</v>
      </c>
    </row>
    <row r="71" spans="1:3" s="388" customFormat="1" ht="12" customHeight="1">
      <c r="A71" s="14" t="s">
        <v>344</v>
      </c>
      <c r="B71" s="389" t="s">
        <v>320</v>
      </c>
      <c r="C71" s="286">
        <v>34170024</v>
      </c>
    </row>
    <row r="72" spans="1:3" s="388" customFormat="1" ht="12" customHeight="1" thickBot="1">
      <c r="A72" s="15" t="s">
        <v>345</v>
      </c>
      <c r="B72" s="391" t="s">
        <v>321</v>
      </c>
      <c r="C72" s="286"/>
    </row>
    <row r="73" spans="1:3" s="388" customFormat="1" ht="12" customHeight="1" thickBot="1">
      <c r="A73" s="392" t="s">
        <v>322</v>
      </c>
      <c r="B73" s="276" t="s">
        <v>323</v>
      </c>
      <c r="C73" s="281">
        <f>SUM(C74:C76)</f>
        <v>0</v>
      </c>
    </row>
    <row r="74" spans="1:3" s="388" customFormat="1" ht="12" customHeight="1">
      <c r="A74" s="14" t="s">
        <v>346</v>
      </c>
      <c r="B74" s="389" t="s">
        <v>324</v>
      </c>
      <c r="C74" s="286"/>
    </row>
    <row r="75" spans="1:3" s="388" customFormat="1" ht="12" customHeight="1">
      <c r="A75" s="13" t="s">
        <v>347</v>
      </c>
      <c r="B75" s="390" t="s">
        <v>325</v>
      </c>
      <c r="C75" s="286"/>
    </row>
    <row r="76" spans="1:3" s="388" customFormat="1" ht="12" customHeight="1" thickBot="1">
      <c r="A76" s="15" t="s">
        <v>348</v>
      </c>
      <c r="B76" s="391" t="s">
        <v>326</v>
      </c>
      <c r="C76" s="286"/>
    </row>
    <row r="77" spans="1:3" s="388" customFormat="1" ht="12" customHeight="1" thickBot="1">
      <c r="A77" s="392" t="s">
        <v>327</v>
      </c>
      <c r="B77" s="276" t="s">
        <v>349</v>
      </c>
      <c r="C77" s="281">
        <f>SUM(C78:C81)</f>
        <v>0</v>
      </c>
    </row>
    <row r="78" spans="1:3" s="388" customFormat="1" ht="12" customHeight="1">
      <c r="A78" s="394" t="s">
        <v>328</v>
      </c>
      <c r="B78" s="389" t="s">
        <v>329</v>
      </c>
      <c r="C78" s="286"/>
    </row>
    <row r="79" spans="1:3" s="388" customFormat="1" ht="12" customHeight="1">
      <c r="A79" s="395" t="s">
        <v>330</v>
      </c>
      <c r="B79" s="390" t="s">
        <v>331</v>
      </c>
      <c r="C79" s="286"/>
    </row>
    <row r="80" spans="1:3" s="388" customFormat="1" ht="12" customHeight="1">
      <c r="A80" s="395" t="s">
        <v>332</v>
      </c>
      <c r="B80" s="390" t="s">
        <v>333</v>
      </c>
      <c r="C80" s="286"/>
    </row>
    <row r="81" spans="1:3" s="388" customFormat="1" ht="12" customHeight="1" thickBot="1">
      <c r="A81" s="396" t="s">
        <v>334</v>
      </c>
      <c r="B81" s="391" t="s">
        <v>335</v>
      </c>
      <c r="C81" s="286"/>
    </row>
    <row r="82" spans="1:3" s="388" customFormat="1" ht="13.5" customHeight="1" thickBot="1">
      <c r="A82" s="392" t="s">
        <v>336</v>
      </c>
      <c r="B82" s="276" t="s">
        <v>337</v>
      </c>
      <c r="C82" s="436"/>
    </row>
    <row r="83" spans="1:3" s="388" customFormat="1" ht="15.75" customHeight="1" thickBot="1">
      <c r="A83" s="392" t="s">
        <v>338</v>
      </c>
      <c r="B83" s="397" t="s">
        <v>339</v>
      </c>
      <c r="C83" s="287">
        <f>+C61+C65+C70+C73+C77+C82</f>
        <v>34170024</v>
      </c>
    </row>
    <row r="84" spans="1:3" s="388" customFormat="1" ht="16.5" customHeight="1" thickBot="1">
      <c r="A84" s="398" t="s">
        <v>352</v>
      </c>
      <c r="B84" s="399" t="s">
        <v>340</v>
      </c>
      <c r="C84" s="287">
        <f>+C60+C83</f>
        <v>219403224</v>
      </c>
    </row>
    <row r="85" spans="1:3" s="388" customFormat="1" ht="83.25" customHeight="1">
      <c r="A85" s="4"/>
      <c r="B85" s="5"/>
      <c r="C85" s="288"/>
    </row>
    <row r="86" spans="1:3" ht="16.5" customHeight="1">
      <c r="A86" s="1108" t="s">
        <v>47</v>
      </c>
      <c r="B86" s="1108"/>
      <c r="C86" s="1108"/>
    </row>
    <row r="87" spans="1:3" s="400" customFormat="1" ht="16.5" customHeight="1" thickBot="1">
      <c r="A87" s="1110" t="s">
        <v>788</v>
      </c>
      <c r="B87" s="1110"/>
      <c r="C87" s="134" t="s">
        <v>795</v>
      </c>
    </row>
    <row r="88" spans="1:3" ht="38.1" customHeight="1" thickBot="1">
      <c r="A88" s="22" t="s">
        <v>73</v>
      </c>
      <c r="B88" s="23" t="s">
        <v>48</v>
      </c>
      <c r="C88" s="38" t="s">
        <v>738</v>
      </c>
    </row>
    <row r="89" spans="1:3" s="387" customFormat="1" ht="12" customHeight="1" thickBot="1">
      <c r="A89" s="31">
        <v>1</v>
      </c>
      <c r="B89" s="32">
        <v>2</v>
      </c>
      <c r="C89" s="33">
        <v>3</v>
      </c>
    </row>
    <row r="90" spans="1:3" ht="12" customHeight="1" thickBot="1">
      <c r="A90" s="21" t="s">
        <v>19</v>
      </c>
      <c r="B90" s="30" t="s">
        <v>355</v>
      </c>
      <c r="C90" s="280">
        <f>SUM(C91:C95)</f>
        <v>213403224</v>
      </c>
    </row>
    <row r="91" spans="1:3" ht="12" customHeight="1">
      <c r="A91" s="16" t="s">
        <v>103</v>
      </c>
      <c r="B91" s="9" t="s">
        <v>49</v>
      </c>
      <c r="C91" s="282">
        <v>126884610</v>
      </c>
    </row>
    <row r="92" spans="1:3" ht="12" customHeight="1">
      <c r="A92" s="13" t="s">
        <v>104</v>
      </c>
      <c r="B92" s="7" t="s">
        <v>165</v>
      </c>
      <c r="C92" s="283">
        <v>27914614</v>
      </c>
    </row>
    <row r="93" spans="1:3" ht="12" customHeight="1">
      <c r="A93" s="13" t="s">
        <v>105</v>
      </c>
      <c r="B93" s="7" t="s">
        <v>129</v>
      </c>
      <c r="C93" s="285">
        <v>58604000</v>
      </c>
    </row>
    <row r="94" spans="1:3" ht="12" customHeight="1">
      <c r="A94" s="13" t="s">
        <v>106</v>
      </c>
      <c r="B94" s="10" t="s">
        <v>166</v>
      </c>
      <c r="C94" s="285"/>
    </row>
    <row r="95" spans="1:3" ht="12" customHeight="1" thickBot="1">
      <c r="A95" s="13" t="s">
        <v>117</v>
      </c>
      <c r="B95" s="18" t="s">
        <v>167</v>
      </c>
      <c r="C95" s="285"/>
    </row>
    <row r="96" spans="1:3" ht="12" customHeight="1" thickBot="1">
      <c r="A96" s="19" t="s">
        <v>20</v>
      </c>
      <c r="B96" s="29" t="s">
        <v>366</v>
      </c>
      <c r="C96" s="281">
        <f>+C97+C99+C101</f>
        <v>6000000</v>
      </c>
    </row>
    <row r="97" spans="1:3" ht="12" customHeight="1">
      <c r="A97" s="14" t="s">
        <v>109</v>
      </c>
      <c r="B97" s="7" t="s">
        <v>215</v>
      </c>
      <c r="C97" s="284">
        <v>6000000</v>
      </c>
    </row>
    <row r="98" spans="1:3" ht="12" customHeight="1">
      <c r="A98" s="14" t="s">
        <v>110</v>
      </c>
      <c r="B98" s="11" t="s">
        <v>370</v>
      </c>
      <c r="C98" s="284"/>
    </row>
    <row r="99" spans="1:3" ht="12" customHeight="1">
      <c r="A99" s="14" t="s">
        <v>111</v>
      </c>
      <c r="B99" s="11" t="s">
        <v>169</v>
      </c>
      <c r="C99" s="283"/>
    </row>
    <row r="100" spans="1:3" ht="12" customHeight="1">
      <c r="A100" s="14" t="s">
        <v>112</v>
      </c>
      <c r="B100" s="11" t="s">
        <v>371</v>
      </c>
      <c r="C100" s="252"/>
    </row>
    <row r="101" spans="1:3" ht="12" customHeight="1" thickBot="1">
      <c r="A101" s="14" t="s">
        <v>113</v>
      </c>
      <c r="B101" s="278" t="s">
        <v>218</v>
      </c>
      <c r="C101" s="252"/>
    </row>
    <row r="102" spans="1:3" ht="12" customHeight="1" thickBot="1">
      <c r="A102" s="19" t="s">
        <v>21</v>
      </c>
      <c r="B102" s="119" t="s">
        <v>377</v>
      </c>
      <c r="C102" s="281">
        <f>+C103+C104</f>
        <v>0</v>
      </c>
    </row>
    <row r="103" spans="1:3" ht="12" customHeight="1">
      <c r="A103" s="14" t="s">
        <v>92</v>
      </c>
      <c r="B103" s="8" t="s">
        <v>62</v>
      </c>
      <c r="C103" s="284"/>
    </row>
    <row r="104" spans="1:3" ht="12" customHeight="1" thickBot="1">
      <c r="A104" s="15" t="s">
        <v>93</v>
      </c>
      <c r="B104" s="11" t="s">
        <v>63</v>
      </c>
      <c r="C104" s="285"/>
    </row>
    <row r="105" spans="1:3" ht="12" customHeight="1" thickBot="1">
      <c r="A105" s="19" t="s">
        <v>22</v>
      </c>
      <c r="B105" s="119" t="s">
        <v>378</v>
      </c>
      <c r="C105" s="281">
        <f>+C90+C96+C102</f>
        <v>219403224</v>
      </c>
    </row>
    <row r="106" spans="1:3" ht="12" customHeight="1" thickBot="1">
      <c r="A106" s="19" t="s">
        <v>23</v>
      </c>
      <c r="B106" s="119" t="s">
        <v>379</v>
      </c>
      <c r="C106" s="281">
        <f>+C107+C108+C109</f>
        <v>0</v>
      </c>
    </row>
    <row r="107" spans="1:3" ht="12" customHeight="1">
      <c r="A107" s="14" t="s">
        <v>96</v>
      </c>
      <c r="B107" s="8" t="s">
        <v>380</v>
      </c>
      <c r="C107" s="252"/>
    </row>
    <row r="108" spans="1:3" ht="12" customHeight="1">
      <c r="A108" s="14" t="s">
        <v>97</v>
      </c>
      <c r="B108" s="8" t="s">
        <v>381</v>
      </c>
      <c r="C108" s="252"/>
    </row>
    <row r="109" spans="1:3" ht="12" customHeight="1" thickBot="1">
      <c r="A109" s="12" t="s">
        <v>98</v>
      </c>
      <c r="B109" s="6" t="s">
        <v>382</v>
      </c>
      <c r="C109" s="252"/>
    </row>
    <row r="110" spans="1:3" ht="12" customHeight="1" thickBot="1">
      <c r="A110" s="19" t="s">
        <v>24</v>
      </c>
      <c r="B110" s="119" t="s">
        <v>439</v>
      </c>
      <c r="C110" s="281">
        <f>+C111+C112+C113+C114</f>
        <v>0</v>
      </c>
    </row>
    <row r="111" spans="1:3" ht="12" customHeight="1">
      <c r="A111" s="14" t="s">
        <v>99</v>
      </c>
      <c r="B111" s="8" t="s">
        <v>383</v>
      </c>
      <c r="C111" s="252"/>
    </row>
    <row r="112" spans="1:3" ht="12" customHeight="1">
      <c r="A112" s="14" t="s">
        <v>100</v>
      </c>
      <c r="B112" s="8" t="s">
        <v>384</v>
      </c>
      <c r="C112" s="252"/>
    </row>
    <row r="113" spans="1:9" ht="12" customHeight="1">
      <c r="A113" s="14" t="s">
        <v>286</v>
      </c>
      <c r="B113" s="8" t="s">
        <v>385</v>
      </c>
      <c r="C113" s="252"/>
    </row>
    <row r="114" spans="1:9" ht="12" customHeight="1" thickBot="1">
      <c r="A114" s="12" t="s">
        <v>287</v>
      </c>
      <c r="B114" s="6" t="s">
        <v>386</v>
      </c>
      <c r="C114" s="252"/>
    </row>
    <row r="115" spans="1:9" ht="12" customHeight="1" thickBot="1">
      <c r="A115" s="19" t="s">
        <v>25</v>
      </c>
      <c r="B115" s="119" t="s">
        <v>387</v>
      </c>
      <c r="C115" s="287">
        <f>+C116+C117+C118+C119</f>
        <v>0</v>
      </c>
    </row>
    <row r="116" spans="1:9" ht="12" customHeight="1">
      <c r="A116" s="14" t="s">
        <v>101</v>
      </c>
      <c r="B116" s="8" t="s">
        <v>388</v>
      </c>
      <c r="C116" s="252"/>
    </row>
    <row r="117" spans="1:9" ht="12" customHeight="1">
      <c r="A117" s="14" t="s">
        <v>102</v>
      </c>
      <c r="B117" s="8" t="s">
        <v>398</v>
      </c>
      <c r="C117" s="252"/>
    </row>
    <row r="118" spans="1:9" ht="12" customHeight="1">
      <c r="A118" s="14" t="s">
        <v>299</v>
      </c>
      <c r="B118" s="8" t="s">
        <v>389</v>
      </c>
      <c r="C118" s="252"/>
    </row>
    <row r="119" spans="1:9" ht="12" customHeight="1" thickBot="1">
      <c r="A119" s="12" t="s">
        <v>300</v>
      </c>
      <c r="B119" s="6" t="s">
        <v>390</v>
      </c>
      <c r="C119" s="252"/>
    </row>
    <row r="120" spans="1:9" ht="12" customHeight="1" thickBot="1">
      <c r="A120" s="19" t="s">
        <v>26</v>
      </c>
      <c r="B120" s="119" t="s">
        <v>391</v>
      </c>
      <c r="C120" s="290">
        <f>+C121+C122+C123+C124</f>
        <v>0</v>
      </c>
    </row>
    <row r="121" spans="1:9" ht="12" customHeight="1">
      <c r="A121" s="14" t="s">
        <v>163</v>
      </c>
      <c r="B121" s="8" t="s">
        <v>392</v>
      </c>
      <c r="C121" s="252"/>
    </row>
    <row r="122" spans="1:9" ht="12" customHeight="1">
      <c r="A122" s="14" t="s">
        <v>164</v>
      </c>
      <c r="B122" s="8" t="s">
        <v>393</v>
      </c>
      <c r="C122" s="252"/>
    </row>
    <row r="123" spans="1:9" ht="12" customHeight="1">
      <c r="A123" s="14" t="s">
        <v>217</v>
      </c>
      <c r="B123" s="8" t="s">
        <v>394</v>
      </c>
      <c r="C123" s="252"/>
    </row>
    <row r="124" spans="1:9" ht="12" customHeight="1" thickBot="1">
      <c r="A124" s="14" t="s">
        <v>302</v>
      </c>
      <c r="B124" s="8" t="s">
        <v>395</v>
      </c>
      <c r="C124" s="252"/>
    </row>
    <row r="125" spans="1:9" ht="15" customHeight="1" thickBot="1">
      <c r="A125" s="19" t="s">
        <v>27</v>
      </c>
      <c r="B125" s="119" t="s">
        <v>396</v>
      </c>
      <c r="C125" s="401">
        <f>+C106+C110+C115+C120</f>
        <v>0</v>
      </c>
      <c r="F125" s="402"/>
      <c r="G125" s="403"/>
      <c r="H125" s="403"/>
      <c r="I125" s="403"/>
    </row>
    <row r="126" spans="1:9" s="388" customFormat="1" ht="12.95" customHeight="1" thickBot="1">
      <c r="A126" s="279" t="s">
        <v>28</v>
      </c>
      <c r="B126" s="363" t="s">
        <v>397</v>
      </c>
      <c r="C126" s="401">
        <f>+C105+C125</f>
        <v>219403224</v>
      </c>
    </row>
    <row r="127" spans="1:9" ht="7.5" customHeight="1"/>
    <row r="128" spans="1:9">
      <c r="A128" s="1111" t="s">
        <v>399</v>
      </c>
      <c r="B128" s="1111"/>
      <c r="C128" s="1111"/>
    </row>
    <row r="129" spans="1:4" ht="15" customHeight="1" thickBot="1">
      <c r="A129" s="1109" t="s">
        <v>136</v>
      </c>
      <c r="B129" s="1109"/>
      <c r="C129" s="291" t="s">
        <v>216</v>
      </c>
    </row>
    <row r="130" spans="1:4" ht="13.5" customHeight="1" thickBot="1">
      <c r="A130" s="19">
        <v>1</v>
      </c>
      <c r="B130" s="29" t="s">
        <v>400</v>
      </c>
      <c r="C130" s="281">
        <f>+C60-C105</f>
        <v>-34170024</v>
      </c>
      <c r="D130" s="404"/>
    </row>
    <row r="131" spans="1:4" ht="27.75" customHeight="1" thickBot="1">
      <c r="A131" s="19" t="s">
        <v>20</v>
      </c>
      <c r="B131" s="29" t="s">
        <v>401</v>
      </c>
      <c r="C131" s="281">
        <f>+C83-C125</f>
        <v>34170024</v>
      </c>
    </row>
  </sheetData>
  <mergeCells count="6">
    <mergeCell ref="A129:B129"/>
    <mergeCell ref="A1:C1"/>
    <mergeCell ref="A2:B2"/>
    <mergeCell ref="A86:C86"/>
    <mergeCell ref="A87:B87"/>
    <mergeCell ref="A128:C12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7" fitToHeight="2" orientation="portrait" r:id="rId1"/>
  <headerFooter alignWithMargins="0">
    <oddHeader>&amp;C&amp;"Times New Roman CE,Félkövér"&amp;12
 Dabas Önkormányzat
2017. ÉVI KÖLTSÉGVETÉS
ÁLLAMI (ÁLLAMIGAZGATÁSI) FELADATOK MÉRLEGE
&amp;R&amp;"Times New Roman CE,Félkövér dőlt"&amp;11 1.4. melléklet a 2/2017. (II.14.) önk.rendelethez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1"/>
  <sheetViews>
    <sheetView zoomScale="115" zoomScaleNormal="115" zoomScaleSheetLayoutView="100" workbookViewId="0">
      <selection activeCell="G14" sqref="G14"/>
    </sheetView>
  </sheetViews>
  <sheetFormatPr defaultRowHeight="12.75"/>
  <cols>
    <col min="1" max="1" width="6.83203125" style="50" customWidth="1"/>
    <col min="2" max="2" width="55.1640625" style="190" customWidth="1"/>
    <col min="3" max="3" width="16.33203125" style="50" customWidth="1"/>
    <col min="4" max="4" width="55.1640625" style="50" customWidth="1"/>
    <col min="5" max="5" width="16.33203125" style="50" customWidth="1"/>
    <col min="6" max="6" width="4.83203125" style="50" customWidth="1"/>
    <col min="7" max="16384" width="9.33203125" style="50"/>
  </cols>
  <sheetData>
    <row r="1" spans="1:6" ht="39.75" customHeight="1">
      <c r="B1" s="303" t="s">
        <v>140</v>
      </c>
      <c r="C1" s="304"/>
      <c r="D1" s="304"/>
      <c r="E1" s="304"/>
      <c r="F1" s="1114" t="s">
        <v>816</v>
      </c>
    </row>
    <row r="2" spans="1:6" ht="14.25" thickBot="1">
      <c r="E2" s="305" t="s">
        <v>794</v>
      </c>
      <c r="F2" s="1114"/>
    </row>
    <row r="3" spans="1:6" ht="18" customHeight="1" thickBot="1">
      <c r="A3" s="1112" t="s">
        <v>73</v>
      </c>
      <c r="B3" s="306" t="s">
        <v>58</v>
      </c>
      <c r="C3" s="307"/>
      <c r="D3" s="306" t="s">
        <v>60</v>
      </c>
      <c r="E3" s="308"/>
      <c r="F3" s="1114"/>
    </row>
    <row r="4" spans="1:6" s="309" customFormat="1" ht="35.25" customHeight="1" thickBot="1">
      <c r="A4" s="1113"/>
      <c r="B4" s="191" t="s">
        <v>66</v>
      </c>
      <c r="C4" s="192" t="s">
        <v>738</v>
      </c>
      <c r="D4" s="191" t="s">
        <v>66</v>
      </c>
      <c r="E4" s="49" t="s">
        <v>738</v>
      </c>
      <c r="F4" s="1114"/>
    </row>
    <row r="5" spans="1:6" s="314" customFormat="1" ht="12" customHeight="1" thickBot="1">
      <c r="A5" s="310">
        <v>1</v>
      </c>
      <c r="B5" s="311">
        <v>2</v>
      </c>
      <c r="C5" s="312" t="s">
        <v>21</v>
      </c>
      <c r="D5" s="311" t="s">
        <v>22</v>
      </c>
      <c r="E5" s="313" t="s">
        <v>23</v>
      </c>
      <c r="F5" s="1114"/>
    </row>
    <row r="6" spans="1:6" ht="12.95" customHeight="1">
      <c r="A6" s="315" t="s">
        <v>19</v>
      </c>
      <c r="B6" s="316" t="s">
        <v>402</v>
      </c>
      <c r="C6" s="292">
        <v>826980588</v>
      </c>
      <c r="D6" s="316" t="s">
        <v>67</v>
      </c>
      <c r="E6" s="298">
        <v>947472385</v>
      </c>
      <c r="F6" s="1114"/>
    </row>
    <row r="7" spans="1:6" ht="12.95" customHeight="1">
      <c r="A7" s="317" t="s">
        <v>20</v>
      </c>
      <c r="B7" s="318" t="s">
        <v>403</v>
      </c>
      <c r="C7" s="293"/>
      <c r="D7" s="318" t="s">
        <v>165</v>
      </c>
      <c r="E7" s="299">
        <v>214182060</v>
      </c>
      <c r="F7" s="1114"/>
    </row>
    <row r="8" spans="1:6" ht="12.95" customHeight="1">
      <c r="A8" s="317" t="s">
        <v>21</v>
      </c>
      <c r="B8" s="318" t="s">
        <v>442</v>
      </c>
      <c r="C8" s="293"/>
      <c r="D8" s="318" t="s">
        <v>221</v>
      </c>
      <c r="E8" s="299">
        <v>1088939526</v>
      </c>
      <c r="F8" s="1114"/>
    </row>
    <row r="9" spans="1:6" ht="12.95" customHeight="1">
      <c r="A9" s="317" t="s">
        <v>22</v>
      </c>
      <c r="B9" s="318" t="s">
        <v>156</v>
      </c>
      <c r="C9" s="293">
        <f>858800000</f>
        <v>858800000</v>
      </c>
      <c r="D9" s="318" t="s">
        <v>166</v>
      </c>
      <c r="E9" s="299">
        <v>61500000</v>
      </c>
      <c r="F9" s="1114"/>
    </row>
    <row r="10" spans="1:6" ht="12.95" customHeight="1">
      <c r="A10" s="317" t="s">
        <v>23</v>
      </c>
      <c r="B10" s="319" t="s">
        <v>404</v>
      </c>
      <c r="C10" s="293">
        <v>872822000</v>
      </c>
      <c r="D10" s="318" t="s">
        <v>167</v>
      </c>
      <c r="E10" s="299">
        <f>206175913+16000000</f>
        <v>222175913</v>
      </c>
      <c r="F10" s="1114"/>
    </row>
    <row r="11" spans="1:6" ht="12.95" customHeight="1">
      <c r="A11" s="317" t="s">
        <v>24</v>
      </c>
      <c r="B11" s="318" t="s">
        <v>405</v>
      </c>
      <c r="C11" s="294"/>
      <c r="D11" s="318" t="s">
        <v>50</v>
      </c>
      <c r="E11" s="299">
        <v>44166704</v>
      </c>
      <c r="F11" s="1114"/>
    </row>
    <row r="12" spans="1:6" ht="12.95" customHeight="1">
      <c r="A12" s="317" t="s">
        <v>25</v>
      </c>
      <c r="B12" s="318" t="s">
        <v>284</v>
      </c>
      <c r="C12" s="293">
        <v>233265000</v>
      </c>
      <c r="D12" s="43" t="s">
        <v>63</v>
      </c>
      <c r="E12" s="299">
        <v>37000000</v>
      </c>
      <c r="F12" s="1114"/>
    </row>
    <row r="13" spans="1:6" ht="12.95" customHeight="1">
      <c r="A13" s="317" t="s">
        <v>26</v>
      </c>
      <c r="B13" s="43"/>
      <c r="C13" s="293"/>
      <c r="D13" s="43"/>
      <c r="E13" s="299"/>
      <c r="F13" s="1114"/>
    </row>
    <row r="14" spans="1:6" ht="12.95" customHeight="1">
      <c r="A14" s="317" t="s">
        <v>27</v>
      </c>
      <c r="B14" s="405"/>
      <c r="C14" s="294"/>
      <c r="D14" s="43"/>
      <c r="E14" s="299"/>
      <c r="F14" s="1114"/>
    </row>
    <row r="15" spans="1:6" ht="12.95" customHeight="1">
      <c r="A15" s="317" t="s">
        <v>28</v>
      </c>
      <c r="B15" s="43"/>
      <c r="C15" s="293"/>
      <c r="D15" s="43"/>
      <c r="E15" s="299"/>
      <c r="F15" s="1114"/>
    </row>
    <row r="16" spans="1:6" ht="12.95" customHeight="1">
      <c r="A16" s="317" t="s">
        <v>29</v>
      </c>
      <c r="B16" s="43"/>
      <c r="C16" s="293"/>
      <c r="D16" s="43"/>
      <c r="E16" s="299"/>
      <c r="F16" s="1114"/>
    </row>
    <row r="17" spans="1:6" ht="12.95" customHeight="1" thickBot="1">
      <c r="A17" s="317" t="s">
        <v>30</v>
      </c>
      <c r="B17" s="51"/>
      <c r="C17" s="295"/>
      <c r="D17" s="43"/>
      <c r="E17" s="300"/>
      <c r="F17" s="1114"/>
    </row>
    <row r="18" spans="1:6" ht="15.95" customHeight="1" thickBot="1">
      <c r="A18" s="320" t="s">
        <v>31</v>
      </c>
      <c r="B18" s="120" t="s">
        <v>443</v>
      </c>
      <c r="C18" s="296">
        <f>+C6+C7+C9+C10+C12+C13+C14+C15+C16+C17</f>
        <v>2791867588</v>
      </c>
      <c r="D18" s="120" t="s">
        <v>413</v>
      </c>
      <c r="E18" s="301">
        <f>SUM(E6:E17)</f>
        <v>2615436588</v>
      </c>
      <c r="F18" s="1114"/>
    </row>
    <row r="19" spans="1:6" ht="12.95" customHeight="1">
      <c r="A19" s="321" t="s">
        <v>32</v>
      </c>
      <c r="B19" s="322" t="s">
        <v>408</v>
      </c>
      <c r="C19" s="452">
        <f>+C20+C21+C22+C23</f>
        <v>0</v>
      </c>
      <c r="D19" s="323" t="s">
        <v>173</v>
      </c>
      <c r="E19" s="302"/>
      <c r="F19" s="1114"/>
    </row>
    <row r="20" spans="1:6" ht="12.95" customHeight="1">
      <c r="A20" s="324" t="s">
        <v>33</v>
      </c>
      <c r="B20" s="323" t="s">
        <v>213</v>
      </c>
      <c r="C20" s="74"/>
      <c r="D20" s="323" t="s">
        <v>412</v>
      </c>
      <c r="E20" s="75"/>
      <c r="F20" s="1114"/>
    </row>
    <row r="21" spans="1:6" ht="12.95" customHeight="1">
      <c r="A21" s="324" t="s">
        <v>34</v>
      </c>
      <c r="B21" s="323" t="s">
        <v>214</v>
      </c>
      <c r="C21" s="74"/>
      <c r="D21" s="323" t="s">
        <v>138</v>
      </c>
      <c r="E21" s="75"/>
      <c r="F21" s="1114"/>
    </row>
    <row r="22" spans="1:6" ht="12.95" customHeight="1">
      <c r="A22" s="324" t="s">
        <v>35</v>
      </c>
      <c r="B22" s="323" t="s">
        <v>219</v>
      </c>
      <c r="C22" s="74"/>
      <c r="D22" s="323" t="s">
        <v>139</v>
      </c>
      <c r="E22" s="75"/>
      <c r="F22" s="1114"/>
    </row>
    <row r="23" spans="1:6" ht="12.95" customHeight="1">
      <c r="A23" s="324" t="s">
        <v>36</v>
      </c>
      <c r="B23" s="323" t="s">
        <v>220</v>
      </c>
      <c r="C23" s="74"/>
      <c r="D23" s="322" t="s">
        <v>222</v>
      </c>
      <c r="E23" s="75"/>
      <c r="F23" s="1114"/>
    </row>
    <row r="24" spans="1:6" ht="12.95" customHeight="1">
      <c r="A24" s="324" t="s">
        <v>37</v>
      </c>
      <c r="B24" s="323" t="s">
        <v>409</v>
      </c>
      <c r="C24" s="325">
        <f>+C25+C26</f>
        <v>0</v>
      </c>
      <c r="D24" s="323" t="s">
        <v>174</v>
      </c>
      <c r="E24" s="75"/>
      <c r="F24" s="1114"/>
    </row>
    <row r="25" spans="1:6" ht="12.95" customHeight="1">
      <c r="A25" s="321" t="s">
        <v>38</v>
      </c>
      <c r="B25" s="322" t="s">
        <v>406</v>
      </c>
      <c r="C25" s="297"/>
      <c r="D25" s="316" t="s">
        <v>175</v>
      </c>
      <c r="E25" s="302"/>
      <c r="F25" s="1114"/>
    </row>
    <row r="26" spans="1:6" ht="12.95" customHeight="1" thickBot="1">
      <c r="A26" s="324" t="s">
        <v>39</v>
      </c>
      <c r="B26" s="323" t="s">
        <v>407</v>
      </c>
      <c r="C26" s="74"/>
      <c r="D26" s="43"/>
      <c r="E26" s="75"/>
      <c r="F26" s="1114"/>
    </row>
    <row r="27" spans="1:6" ht="15.95" customHeight="1" thickBot="1">
      <c r="A27" s="320" t="s">
        <v>40</v>
      </c>
      <c r="B27" s="120" t="s">
        <v>410</v>
      </c>
      <c r="C27" s="296">
        <f>+C19+C24</f>
        <v>0</v>
      </c>
      <c r="D27" s="120" t="s">
        <v>414</v>
      </c>
      <c r="E27" s="301">
        <f>SUM(E19:E26)</f>
        <v>0</v>
      </c>
      <c r="F27" s="1114"/>
    </row>
    <row r="28" spans="1:6" ht="13.5" thickBot="1">
      <c r="A28" s="320" t="s">
        <v>41</v>
      </c>
      <c r="B28" s="326" t="s">
        <v>411</v>
      </c>
      <c r="C28" s="327">
        <f>+C18+C27</f>
        <v>2791867588</v>
      </c>
      <c r="D28" s="326" t="s">
        <v>415</v>
      </c>
      <c r="E28" s="327">
        <f>+E18+E27</f>
        <v>2615436588</v>
      </c>
      <c r="F28" s="1114"/>
    </row>
    <row r="29" spans="1:6" ht="13.5" thickBot="1">
      <c r="A29" s="320" t="s">
        <v>42</v>
      </c>
      <c r="B29" s="326" t="s">
        <v>151</v>
      </c>
      <c r="C29" s="327" t="str">
        <f>IF(C18-E18&lt;0,E18-C18,"-")</f>
        <v>-</v>
      </c>
      <c r="D29" s="326" t="s">
        <v>152</v>
      </c>
      <c r="E29" s="327">
        <f>IF(C18-E18&gt;0,C18-E18,"-")</f>
        <v>176431000</v>
      </c>
      <c r="F29" s="1114"/>
    </row>
    <row r="30" spans="1:6" ht="13.5" thickBot="1">
      <c r="A30" s="320" t="s">
        <v>43</v>
      </c>
      <c r="B30" s="326" t="s">
        <v>223</v>
      </c>
      <c r="C30" s="327" t="str">
        <f>IF(C18+C19-E28&lt;0,E28-(C18+C19),"-")</f>
        <v>-</v>
      </c>
      <c r="D30" s="326" t="s">
        <v>224</v>
      </c>
      <c r="E30" s="327">
        <f>IF(C18+C19-E28&gt;0,C18+C19-E28,"-")</f>
        <v>176431000</v>
      </c>
      <c r="F30" s="1114"/>
    </row>
    <row r="31" spans="1:6" ht="18.75">
      <c r="B31" s="1115"/>
      <c r="C31" s="1115"/>
      <c r="D31" s="1115"/>
    </row>
  </sheetData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SheetLayoutView="115" workbookViewId="0">
      <selection activeCell="D19" sqref="D19"/>
    </sheetView>
  </sheetViews>
  <sheetFormatPr defaultRowHeight="12.75"/>
  <cols>
    <col min="1" max="1" width="6.83203125" style="50" customWidth="1"/>
    <col min="2" max="2" width="55.1640625" style="190" customWidth="1"/>
    <col min="3" max="3" width="16.33203125" style="50" customWidth="1"/>
    <col min="4" max="4" width="55.1640625" style="50" customWidth="1"/>
    <col min="5" max="5" width="16.33203125" style="50" customWidth="1"/>
    <col min="6" max="6" width="4.83203125" style="50" customWidth="1"/>
    <col min="7" max="16384" width="9.33203125" style="50"/>
  </cols>
  <sheetData>
    <row r="1" spans="1:6" ht="31.5">
      <c r="B1" s="303" t="s">
        <v>141</v>
      </c>
      <c r="C1" s="304"/>
      <c r="D1" s="304"/>
      <c r="E1" s="304"/>
      <c r="F1" s="1114" t="s">
        <v>817</v>
      </c>
    </row>
    <row r="2" spans="1:6" ht="14.25" thickBot="1">
      <c r="E2" s="305" t="s">
        <v>794</v>
      </c>
      <c r="F2" s="1114"/>
    </row>
    <row r="3" spans="1:6" ht="13.5" thickBot="1">
      <c r="A3" s="1116" t="s">
        <v>73</v>
      </c>
      <c r="B3" s="306" t="s">
        <v>58</v>
      </c>
      <c r="C3" s="307"/>
      <c r="D3" s="306" t="s">
        <v>60</v>
      </c>
      <c r="E3" s="308"/>
      <c r="F3" s="1114"/>
    </row>
    <row r="4" spans="1:6" s="309" customFormat="1" ht="24.75" thickBot="1">
      <c r="A4" s="1117"/>
      <c r="B4" s="191" t="s">
        <v>66</v>
      </c>
      <c r="C4" s="192" t="s">
        <v>738</v>
      </c>
      <c r="D4" s="191" t="s">
        <v>66</v>
      </c>
      <c r="E4" s="192" t="s">
        <v>738</v>
      </c>
      <c r="F4" s="1114"/>
    </row>
    <row r="5" spans="1:6" s="309" customFormat="1" ht="13.5" thickBot="1">
      <c r="A5" s="310">
        <v>1</v>
      </c>
      <c r="B5" s="311">
        <v>2</v>
      </c>
      <c r="C5" s="312">
        <v>3</v>
      </c>
      <c r="D5" s="311">
        <v>4</v>
      </c>
      <c r="E5" s="313">
        <v>5</v>
      </c>
      <c r="F5" s="1114"/>
    </row>
    <row r="6" spans="1:6" ht="12.95" customHeight="1">
      <c r="A6" s="315" t="s">
        <v>19</v>
      </c>
      <c r="B6" s="316" t="s">
        <v>416</v>
      </c>
      <c r="C6" s="292"/>
      <c r="D6" s="316" t="s">
        <v>215</v>
      </c>
      <c r="E6" s="298">
        <v>367951000</v>
      </c>
      <c r="F6" s="1114"/>
    </row>
    <row r="7" spans="1:6">
      <c r="A7" s="317" t="s">
        <v>20</v>
      </c>
      <c r="B7" s="318" t="s">
        <v>417</v>
      </c>
      <c r="C7" s="293"/>
      <c r="D7" s="318" t="s">
        <v>421</v>
      </c>
      <c r="E7" s="299"/>
      <c r="F7" s="1114"/>
    </row>
    <row r="8" spans="1:6" ht="12.95" customHeight="1">
      <c r="A8" s="317" t="s">
        <v>21</v>
      </c>
      <c r="B8" s="318" t="s">
        <v>12</v>
      </c>
      <c r="C8" s="293">
        <v>48000000</v>
      </c>
      <c r="D8" s="318" t="s">
        <v>169</v>
      </c>
      <c r="E8" s="299">
        <v>336480000</v>
      </c>
      <c r="F8" s="1114"/>
    </row>
    <row r="9" spans="1:6" ht="12.95" customHeight="1">
      <c r="A9" s="317" t="s">
        <v>22</v>
      </c>
      <c r="B9" s="318" t="s">
        <v>418</v>
      </c>
      <c r="C9" s="293">
        <v>300000000</v>
      </c>
      <c r="D9" s="318" t="s">
        <v>422</v>
      </c>
      <c r="E9" s="299"/>
      <c r="F9" s="1114"/>
    </row>
    <row r="10" spans="1:6" ht="12.75" customHeight="1">
      <c r="A10" s="317" t="s">
        <v>23</v>
      </c>
      <c r="B10" s="318" t="s">
        <v>419</v>
      </c>
      <c r="C10" s="293"/>
      <c r="D10" s="318" t="s">
        <v>218</v>
      </c>
      <c r="E10" s="299"/>
      <c r="F10" s="1114"/>
    </row>
    <row r="11" spans="1:6" ht="12.95" customHeight="1">
      <c r="A11" s="317" t="s">
        <v>24</v>
      </c>
      <c r="B11" s="318" t="s">
        <v>719</v>
      </c>
      <c r="C11" s="294"/>
      <c r="D11" s="43"/>
      <c r="E11" s="299"/>
      <c r="F11" s="1114"/>
    </row>
    <row r="12" spans="1:6" ht="12.95" customHeight="1">
      <c r="A12" s="317" t="s">
        <v>25</v>
      </c>
      <c r="B12" s="43"/>
      <c r="C12" s="293"/>
      <c r="D12" s="43"/>
      <c r="E12" s="299"/>
      <c r="F12" s="1114"/>
    </row>
    <row r="13" spans="1:6" ht="12.95" customHeight="1">
      <c r="A13" s="317" t="s">
        <v>26</v>
      </c>
      <c r="B13" s="43"/>
      <c r="C13" s="293"/>
      <c r="D13" s="43"/>
      <c r="E13" s="299"/>
      <c r="F13" s="1114"/>
    </row>
    <row r="14" spans="1:6" ht="12.95" customHeight="1">
      <c r="A14" s="317" t="s">
        <v>27</v>
      </c>
      <c r="B14" s="43"/>
      <c r="C14" s="294"/>
      <c r="D14" s="43"/>
      <c r="E14" s="299"/>
      <c r="F14" s="1114"/>
    </row>
    <row r="15" spans="1:6">
      <c r="A15" s="317" t="s">
        <v>28</v>
      </c>
      <c r="B15" s="43"/>
      <c r="C15" s="294"/>
      <c r="D15" s="43"/>
      <c r="E15" s="299"/>
      <c r="F15" s="1114"/>
    </row>
    <row r="16" spans="1:6" ht="12.95" customHeight="1" thickBot="1">
      <c r="A16" s="375" t="s">
        <v>29</v>
      </c>
      <c r="B16" s="406"/>
      <c r="C16" s="377"/>
      <c r="D16" s="376" t="s">
        <v>50</v>
      </c>
      <c r="E16" s="349">
        <v>20000000</v>
      </c>
      <c r="F16" s="1114"/>
    </row>
    <row r="17" spans="1:6" ht="15.95" customHeight="1" thickBot="1">
      <c r="A17" s="320" t="s">
        <v>30</v>
      </c>
      <c r="B17" s="120" t="s">
        <v>444</v>
      </c>
      <c r="C17" s="296">
        <f>+C6+C8+C9+C11+C12+C13+C14+C15+C16</f>
        <v>348000000</v>
      </c>
      <c r="D17" s="120" t="s">
        <v>445</v>
      </c>
      <c r="E17" s="301">
        <f>+E6+E8+E10+E11+E12+E13+E14+E15+E16</f>
        <v>724431000</v>
      </c>
      <c r="F17" s="1114"/>
    </row>
    <row r="18" spans="1:6" ht="12.95" customHeight="1">
      <c r="A18" s="315" t="s">
        <v>31</v>
      </c>
      <c r="B18" s="330" t="s">
        <v>235</v>
      </c>
      <c r="C18" s="337">
        <f>+C19+C20+C21+C22+C23</f>
        <v>200000000</v>
      </c>
      <c r="D18" s="323" t="s">
        <v>173</v>
      </c>
      <c r="E18" s="72"/>
      <c r="F18" s="1114"/>
    </row>
    <row r="19" spans="1:6" ht="12.95" customHeight="1">
      <c r="A19" s="317" t="s">
        <v>32</v>
      </c>
      <c r="B19" s="331" t="s">
        <v>225</v>
      </c>
      <c r="C19" s="74">
        <v>200000000</v>
      </c>
      <c r="D19" s="323" t="s">
        <v>176</v>
      </c>
      <c r="E19" s="75"/>
      <c r="F19" s="1114"/>
    </row>
    <row r="20" spans="1:6" ht="12.95" customHeight="1">
      <c r="A20" s="315" t="s">
        <v>33</v>
      </c>
      <c r="B20" s="331" t="s">
        <v>226</v>
      </c>
      <c r="C20" s="74"/>
      <c r="D20" s="323" t="s">
        <v>138</v>
      </c>
      <c r="E20" s="75"/>
      <c r="F20" s="1114"/>
    </row>
    <row r="21" spans="1:6" ht="12.95" customHeight="1">
      <c r="A21" s="317" t="s">
        <v>34</v>
      </c>
      <c r="B21" s="331" t="s">
        <v>227</v>
      </c>
      <c r="C21" s="74"/>
      <c r="D21" s="323" t="s">
        <v>139</v>
      </c>
      <c r="E21" s="75"/>
      <c r="F21" s="1114"/>
    </row>
    <row r="22" spans="1:6" ht="12.95" customHeight="1">
      <c r="A22" s="315" t="s">
        <v>35</v>
      </c>
      <c r="B22" s="331" t="s">
        <v>228</v>
      </c>
      <c r="C22" s="74"/>
      <c r="D22" s="322" t="s">
        <v>222</v>
      </c>
      <c r="E22" s="75"/>
      <c r="F22" s="1114"/>
    </row>
    <row r="23" spans="1:6" ht="12.95" customHeight="1">
      <c r="A23" s="317" t="s">
        <v>36</v>
      </c>
      <c r="B23" s="332" t="s">
        <v>229</v>
      </c>
      <c r="C23" s="74"/>
      <c r="D23" s="323" t="s">
        <v>177</v>
      </c>
      <c r="E23" s="75"/>
      <c r="F23" s="1114"/>
    </row>
    <row r="24" spans="1:6" ht="12.95" customHeight="1">
      <c r="A24" s="315" t="s">
        <v>37</v>
      </c>
      <c r="B24" s="333" t="s">
        <v>230</v>
      </c>
      <c r="C24" s="325">
        <f>+C25+C26+C27+C28+C29</f>
        <v>0</v>
      </c>
      <c r="D24" s="334" t="s">
        <v>175</v>
      </c>
      <c r="E24" s="75"/>
      <c r="F24" s="1114"/>
    </row>
    <row r="25" spans="1:6" ht="12.95" customHeight="1">
      <c r="A25" s="317" t="s">
        <v>38</v>
      </c>
      <c r="B25" s="332" t="s">
        <v>231</v>
      </c>
      <c r="C25" s="74"/>
      <c r="D25" s="334" t="s">
        <v>423</v>
      </c>
      <c r="E25" s="75"/>
      <c r="F25" s="1114"/>
    </row>
    <row r="26" spans="1:6" ht="12.95" customHeight="1">
      <c r="A26" s="315" t="s">
        <v>39</v>
      </c>
      <c r="B26" s="332" t="s">
        <v>232</v>
      </c>
      <c r="C26" s="74"/>
      <c r="D26" s="329"/>
      <c r="E26" s="75"/>
      <c r="F26" s="1114"/>
    </row>
    <row r="27" spans="1:6" ht="12.95" customHeight="1">
      <c r="A27" s="317" t="s">
        <v>40</v>
      </c>
      <c r="B27" s="331" t="s">
        <v>233</v>
      </c>
      <c r="C27" s="74"/>
      <c r="D27" s="117"/>
      <c r="E27" s="75"/>
      <c r="F27" s="1114"/>
    </row>
    <row r="28" spans="1:6" ht="12.95" customHeight="1">
      <c r="A28" s="315" t="s">
        <v>41</v>
      </c>
      <c r="B28" s="335" t="s">
        <v>234</v>
      </c>
      <c r="C28" s="74"/>
      <c r="D28" s="43"/>
      <c r="E28" s="75"/>
      <c r="F28" s="1114"/>
    </row>
    <row r="29" spans="1:6" ht="12.95" customHeight="1" thickBot="1">
      <c r="A29" s="317" t="s">
        <v>42</v>
      </c>
      <c r="B29" s="336" t="s">
        <v>718</v>
      </c>
      <c r="C29" s="74"/>
      <c r="D29" s="117"/>
      <c r="E29" s="75"/>
      <c r="F29" s="1114"/>
    </row>
    <row r="30" spans="1:6" ht="21.75" customHeight="1" thickBot="1">
      <c r="A30" s="320" t="s">
        <v>43</v>
      </c>
      <c r="B30" s="120" t="s">
        <v>420</v>
      </c>
      <c r="C30" s="296">
        <f>+C18+C24</f>
        <v>200000000</v>
      </c>
      <c r="D30" s="120" t="s">
        <v>424</v>
      </c>
      <c r="E30" s="301">
        <f>SUM(E18:E29)</f>
        <v>0</v>
      </c>
      <c r="F30" s="1114"/>
    </row>
    <row r="31" spans="1:6" ht="13.5" thickBot="1">
      <c r="A31" s="320" t="s">
        <v>44</v>
      </c>
      <c r="B31" s="326" t="s">
        <v>425</v>
      </c>
      <c r="C31" s="327">
        <f>+C17+C30</f>
        <v>548000000</v>
      </c>
      <c r="D31" s="326" t="s">
        <v>426</v>
      </c>
      <c r="E31" s="327">
        <f>+E17+E30</f>
        <v>724431000</v>
      </c>
      <c r="F31" s="1114"/>
    </row>
    <row r="32" spans="1:6" ht="13.5" thickBot="1">
      <c r="A32" s="320" t="s">
        <v>45</v>
      </c>
      <c r="B32" s="326" t="s">
        <v>151</v>
      </c>
      <c r="C32" s="327">
        <f>IF(C17-E17&lt;0,E17-C17,"-")</f>
        <v>376431000</v>
      </c>
      <c r="D32" s="326" t="s">
        <v>152</v>
      </c>
      <c r="E32" s="327" t="str">
        <f>IF(C17-E17&gt;0,C17-E17,"-")</f>
        <v>-</v>
      </c>
      <c r="F32" s="1114"/>
    </row>
    <row r="33" spans="1:6" ht="13.5" thickBot="1">
      <c r="A33" s="320" t="s">
        <v>46</v>
      </c>
      <c r="B33" s="326" t="s">
        <v>223</v>
      </c>
      <c r="C33" s="327">
        <f>IF(C17+C18-E31&lt;0,E31-(C17+C18),"-")</f>
        <v>176431000</v>
      </c>
      <c r="D33" s="326" t="s">
        <v>224</v>
      </c>
      <c r="E33" s="327" t="str">
        <f>IF(C17+C18-E31&gt;0,C17+C18-E31,"-")</f>
        <v>-</v>
      </c>
      <c r="F33" s="1114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22" sqref="C22"/>
    </sheetView>
  </sheetViews>
  <sheetFormatPr defaultRowHeight="12.75"/>
  <cols>
    <col min="1" max="1" width="49.16406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21" t="s">
        <v>134</v>
      </c>
      <c r="E1" s="124" t="s">
        <v>137</v>
      </c>
    </row>
    <row r="3" spans="1:5">
      <c r="A3" s="130"/>
      <c r="B3" s="131"/>
      <c r="C3" s="130"/>
      <c r="D3" s="133"/>
      <c r="E3" s="131"/>
    </row>
    <row r="4" spans="1:5" ht="15.75">
      <c r="A4" s="82" t="s">
        <v>789</v>
      </c>
      <c r="B4" s="132"/>
      <c r="C4" s="140"/>
      <c r="D4" s="133"/>
      <c r="E4" s="131"/>
    </row>
    <row r="5" spans="1:5">
      <c r="A5" s="130"/>
      <c r="B5" s="131"/>
      <c r="C5" s="130"/>
      <c r="D5" s="133"/>
      <c r="E5" s="131"/>
    </row>
    <row r="6" spans="1:5">
      <c r="A6" s="130" t="s">
        <v>427</v>
      </c>
      <c r="B6" s="131">
        <f>+'1.1.sz.mell.'!C66</f>
        <v>3139867588</v>
      </c>
      <c r="C6" s="130" t="s">
        <v>428</v>
      </c>
      <c r="D6" s="133">
        <f>+'2.1.sz.mell  '!C18+'2.2.sz.mell  '!C17</f>
        <v>3139867588</v>
      </c>
      <c r="E6" s="131">
        <f t="shared" ref="E6:E15" si="0">+B6-D6</f>
        <v>0</v>
      </c>
    </row>
    <row r="7" spans="1:5">
      <c r="A7" s="130" t="s">
        <v>429</v>
      </c>
      <c r="B7" s="131">
        <f>+'1.1.sz.mell.'!C89</f>
        <v>200000000</v>
      </c>
      <c r="C7" s="130" t="s">
        <v>430</v>
      </c>
      <c r="D7" s="133">
        <f>+'2.1.sz.mell  '!C27+'2.2.sz.mell  '!C30</f>
        <v>200000000</v>
      </c>
      <c r="E7" s="131">
        <f t="shared" si="0"/>
        <v>0</v>
      </c>
    </row>
    <row r="8" spans="1:5">
      <c r="A8" s="130" t="s">
        <v>431</v>
      </c>
      <c r="B8" s="131">
        <f>+'1.1.sz.mell.'!C90</f>
        <v>3339867588</v>
      </c>
      <c r="C8" s="130" t="s">
        <v>432</v>
      </c>
      <c r="D8" s="133">
        <f>+'2.1.sz.mell  '!C28+'2.2.sz.mell  '!C31</f>
        <v>3339867588</v>
      </c>
      <c r="E8" s="131">
        <f t="shared" si="0"/>
        <v>0</v>
      </c>
    </row>
    <row r="9" spans="1:5">
      <c r="A9" s="130"/>
      <c r="B9" s="131"/>
      <c r="C9" s="130"/>
      <c r="D9" s="133"/>
      <c r="E9" s="131"/>
    </row>
    <row r="10" spans="1:5">
      <c r="A10" s="130"/>
      <c r="B10" s="131"/>
      <c r="C10" s="130"/>
      <c r="D10" s="133"/>
      <c r="E10" s="131"/>
    </row>
    <row r="11" spans="1:5" ht="15.75">
      <c r="A11" s="82" t="s">
        <v>790</v>
      </c>
      <c r="B11" s="132"/>
      <c r="C11" s="140"/>
      <c r="D11" s="133"/>
      <c r="E11" s="131"/>
    </row>
    <row r="12" spans="1:5">
      <c r="A12" s="130"/>
      <c r="B12" s="131"/>
      <c r="C12" s="130"/>
      <c r="D12" s="133"/>
      <c r="E12" s="131"/>
    </row>
    <row r="13" spans="1:5">
      <c r="A13" s="130" t="s">
        <v>436</v>
      </c>
      <c r="B13" s="131">
        <f>+'1.1.sz.mell.'!C118</f>
        <v>3339867588</v>
      </c>
      <c r="C13" s="130" t="s">
        <v>435</v>
      </c>
      <c r="D13" s="133">
        <f>+'2.1.sz.mell  '!E18+'2.2.sz.mell  '!E17</f>
        <v>3339867588</v>
      </c>
      <c r="E13" s="131">
        <f t="shared" si="0"/>
        <v>0</v>
      </c>
    </row>
    <row r="14" spans="1:5">
      <c r="A14" s="130" t="s">
        <v>240</v>
      </c>
      <c r="B14" s="131">
        <f>+'1.1.sz.mell.'!C138</f>
        <v>0</v>
      </c>
      <c r="C14" s="130" t="s">
        <v>434</v>
      </c>
      <c r="D14" s="133">
        <f>+'2.1.sz.mell  '!E27+'2.2.sz.mell  '!E30</f>
        <v>0</v>
      </c>
      <c r="E14" s="131">
        <f t="shared" si="0"/>
        <v>0</v>
      </c>
    </row>
    <row r="15" spans="1:5">
      <c r="A15" s="130" t="s">
        <v>437</v>
      </c>
      <c r="B15" s="131">
        <f>+'1.1.sz.mell.'!C139</f>
        <v>3339867588</v>
      </c>
      <c r="C15" s="130" t="s">
        <v>433</v>
      </c>
      <c r="D15" s="133">
        <f>+'2.1.sz.mell  '!E28+'2.2.sz.mell  '!E31</f>
        <v>3339867588</v>
      </c>
      <c r="E15" s="131">
        <f t="shared" si="0"/>
        <v>0</v>
      </c>
    </row>
    <row r="16" spans="1:5">
      <c r="A16" s="122"/>
      <c r="B16" s="122"/>
      <c r="C16" s="130"/>
      <c r="D16" s="133"/>
      <c r="E16" s="123"/>
    </row>
    <row r="17" spans="1:5">
      <c r="A17" s="122"/>
      <c r="B17" s="122"/>
      <c r="C17" s="122"/>
      <c r="D17" s="122"/>
      <c r="E17" s="122"/>
    </row>
    <row r="18" spans="1:5">
      <c r="A18" s="122"/>
      <c r="B18" s="122"/>
      <c r="C18" s="122"/>
      <c r="D18" s="122"/>
      <c r="E18" s="122"/>
    </row>
    <row r="19" spans="1:5">
      <c r="A19" s="122"/>
      <c r="B19" s="122"/>
      <c r="C19" s="122"/>
      <c r="D19" s="122"/>
      <c r="E19" s="122"/>
    </row>
  </sheetData>
  <phoneticPr fontId="30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C3" sqref="C3:E3"/>
    </sheetView>
  </sheetViews>
  <sheetFormatPr defaultRowHeight="15"/>
  <cols>
    <col min="1" max="1" width="5.6640625" style="141" customWidth="1"/>
    <col min="2" max="2" width="35.6640625" style="141" customWidth="1"/>
    <col min="3" max="6" width="14" style="141" customWidth="1"/>
    <col min="7" max="16384" width="9.33203125" style="141"/>
  </cols>
  <sheetData>
    <row r="1" spans="1:7" ht="33" customHeight="1">
      <c r="A1" s="1118" t="s">
        <v>498</v>
      </c>
      <c r="B1" s="1118"/>
      <c r="C1" s="1118"/>
      <c r="D1" s="1118"/>
      <c r="E1" s="1118"/>
      <c r="F1" s="1118"/>
    </row>
    <row r="2" spans="1:7" ht="15.95" customHeight="1" thickBot="1">
      <c r="A2" s="142"/>
      <c r="B2" s="142" t="s">
        <v>485</v>
      </c>
      <c r="C2" s="1119"/>
      <c r="D2" s="1119"/>
      <c r="E2" s="1126" t="s">
        <v>794</v>
      </c>
      <c r="F2" s="1126"/>
      <c r="G2" s="149"/>
    </row>
    <row r="3" spans="1:7" ht="63" customHeight="1">
      <c r="A3" s="1122" t="s">
        <v>17</v>
      </c>
      <c r="B3" s="1124" t="s">
        <v>180</v>
      </c>
      <c r="C3" s="1124" t="s">
        <v>241</v>
      </c>
      <c r="D3" s="1124"/>
      <c r="E3" s="1124"/>
      <c r="F3" s="1120" t="s">
        <v>236</v>
      </c>
    </row>
    <row r="4" spans="1:7" ht="15.75" thickBot="1">
      <c r="A4" s="1123"/>
      <c r="B4" s="1125"/>
      <c r="C4" s="144" t="s">
        <v>438</v>
      </c>
      <c r="D4" s="144" t="s">
        <v>633</v>
      </c>
      <c r="E4" s="144" t="s">
        <v>791</v>
      </c>
      <c r="F4" s="1121"/>
    </row>
    <row r="5" spans="1:7" ht="15.75" thickBot="1">
      <c r="A5" s="146">
        <v>1</v>
      </c>
      <c r="B5" s="147">
        <v>2</v>
      </c>
      <c r="C5" s="147">
        <v>3</v>
      </c>
      <c r="D5" s="147">
        <v>4</v>
      </c>
      <c r="E5" s="147">
        <v>5</v>
      </c>
      <c r="F5" s="148">
        <v>6</v>
      </c>
    </row>
    <row r="6" spans="1:7">
      <c r="A6" s="145" t="s">
        <v>19</v>
      </c>
      <c r="B6" s="166"/>
      <c r="C6" s="167"/>
      <c r="D6" s="167"/>
      <c r="E6" s="167"/>
      <c r="F6" s="152">
        <f>SUM(C6:E6)</f>
        <v>0</v>
      </c>
    </row>
    <row r="7" spans="1:7">
      <c r="A7" s="143" t="s">
        <v>20</v>
      </c>
      <c r="B7" s="168"/>
      <c r="C7" s="169"/>
      <c r="D7" s="169"/>
      <c r="E7" s="169"/>
      <c r="F7" s="153">
        <f>SUM(C7:E7)</f>
        <v>0</v>
      </c>
    </row>
    <row r="8" spans="1:7">
      <c r="A8" s="143" t="s">
        <v>21</v>
      </c>
      <c r="B8" s="168"/>
      <c r="C8" s="169"/>
      <c r="D8" s="169"/>
      <c r="E8" s="169"/>
      <c r="F8" s="153">
        <f>SUM(C8:E8)</f>
        <v>0</v>
      </c>
    </row>
    <row r="9" spans="1:7">
      <c r="A9" s="143" t="s">
        <v>22</v>
      </c>
      <c r="B9" s="168"/>
      <c r="C9" s="169"/>
      <c r="D9" s="169"/>
      <c r="E9" s="169"/>
      <c r="F9" s="153">
        <f>SUM(C9:E9)</f>
        <v>0</v>
      </c>
    </row>
    <row r="10" spans="1:7" ht="15.75" thickBot="1">
      <c r="A10" s="150" t="s">
        <v>23</v>
      </c>
      <c r="B10" s="170"/>
      <c r="C10" s="171"/>
      <c r="D10" s="171"/>
      <c r="E10" s="171"/>
      <c r="F10" s="153">
        <f>SUM(C10:E10)</f>
        <v>0</v>
      </c>
    </row>
    <row r="11" spans="1:7" s="440" customFormat="1" thickBot="1">
      <c r="A11" s="437" t="s">
        <v>24</v>
      </c>
      <c r="B11" s="151" t="s">
        <v>181</v>
      </c>
      <c r="C11" s="438">
        <f>SUM(C6:C10)</f>
        <v>0</v>
      </c>
      <c r="D11" s="438">
        <f>SUM(D6:D10)</f>
        <v>0</v>
      </c>
      <c r="E11" s="438">
        <f>SUM(E6:E10)</f>
        <v>0</v>
      </c>
      <c r="F11" s="439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2/2017. (II.14.) önk.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12"/>
  <sheetViews>
    <sheetView zoomScale="120" zoomScaleNormal="120" workbookViewId="0">
      <selection sqref="A1:F1"/>
    </sheetView>
  </sheetViews>
  <sheetFormatPr defaultRowHeight="15"/>
  <cols>
    <col min="1" max="1" width="5.6640625" style="141" customWidth="1"/>
    <col min="2" max="2" width="36.83203125" style="141" customWidth="1"/>
    <col min="3" max="3" width="14.1640625" style="141" customWidth="1"/>
    <col min="4" max="6" width="13.33203125" style="141" customWidth="1"/>
    <col min="7" max="16384" width="9.33203125" style="141"/>
  </cols>
  <sheetData>
    <row r="1" spans="1:6" ht="54" customHeight="1">
      <c r="A1" s="1118" t="s">
        <v>486</v>
      </c>
      <c r="B1" s="1118"/>
      <c r="C1" s="1118"/>
      <c r="D1" s="1118"/>
      <c r="E1" s="1118"/>
      <c r="F1" s="1118"/>
    </row>
    <row r="2" spans="1:6" ht="15.95" customHeight="1" thickBot="1">
      <c r="A2" s="142"/>
      <c r="B2" s="142"/>
      <c r="D2" s="149"/>
      <c r="E2" s="149"/>
      <c r="F2" s="154" t="s">
        <v>794</v>
      </c>
    </row>
    <row r="3" spans="1:6" ht="26.25" customHeight="1" thickBot="1">
      <c r="A3" s="172" t="s">
        <v>17</v>
      </c>
      <c r="B3" s="173" t="s">
        <v>178</v>
      </c>
      <c r="C3" s="174" t="s">
        <v>738</v>
      </c>
      <c r="D3" s="531" t="s">
        <v>792</v>
      </c>
      <c r="E3" s="532" t="s">
        <v>689</v>
      </c>
      <c r="F3" s="533" t="s">
        <v>793</v>
      </c>
    </row>
    <row r="4" spans="1:6" ht="15.75" thickBot="1">
      <c r="A4" s="175">
        <v>1</v>
      </c>
      <c r="B4" s="176">
        <v>2</v>
      </c>
      <c r="C4" s="177">
        <v>3</v>
      </c>
      <c r="D4" s="534">
        <v>4</v>
      </c>
      <c r="E4" s="535">
        <v>5</v>
      </c>
      <c r="F4" s="536">
        <v>6</v>
      </c>
    </row>
    <row r="5" spans="1:6">
      <c r="A5" s="178" t="s">
        <v>19</v>
      </c>
      <c r="B5" s="341" t="s">
        <v>59</v>
      </c>
      <c r="C5" s="338">
        <v>858800000</v>
      </c>
      <c r="D5" s="537">
        <v>850000000</v>
      </c>
      <c r="E5" s="538">
        <v>800000000</v>
      </c>
      <c r="F5" s="539">
        <v>800000000</v>
      </c>
    </row>
    <row r="6" spans="1:6" ht="57" customHeight="1">
      <c r="A6" s="179" t="s">
        <v>20</v>
      </c>
      <c r="B6" s="366" t="s">
        <v>237</v>
      </c>
      <c r="C6" s="339"/>
      <c r="D6" s="540"/>
      <c r="E6" s="541"/>
      <c r="F6" s="542"/>
    </row>
    <row r="7" spans="1:6" ht="24.75">
      <c r="A7" s="179" t="s">
        <v>21</v>
      </c>
      <c r="B7" s="367" t="s">
        <v>484</v>
      </c>
      <c r="C7" s="339"/>
      <c r="D7" s="540"/>
      <c r="E7" s="541"/>
      <c r="F7" s="542"/>
    </row>
    <row r="8" spans="1:6" ht="48.75">
      <c r="A8" s="179" t="s">
        <v>22</v>
      </c>
      <c r="B8" s="367" t="s">
        <v>239</v>
      </c>
      <c r="C8" s="339">
        <v>38000000</v>
      </c>
      <c r="D8" s="540">
        <v>30000</v>
      </c>
      <c r="E8" s="541">
        <v>30000</v>
      </c>
      <c r="F8" s="542">
        <v>30000</v>
      </c>
    </row>
    <row r="9" spans="1:6">
      <c r="A9" s="180" t="s">
        <v>23</v>
      </c>
      <c r="B9" s="367" t="s">
        <v>238</v>
      </c>
      <c r="C9" s="340"/>
      <c r="D9" s="540"/>
      <c r="E9" s="541"/>
      <c r="F9" s="542"/>
    </row>
    <row r="10" spans="1:6" ht="15.75" thickBot="1">
      <c r="A10" s="179" t="s">
        <v>24</v>
      </c>
      <c r="B10" s="368" t="s">
        <v>179</v>
      </c>
      <c r="C10" s="339"/>
      <c r="D10" s="543"/>
      <c r="E10" s="544"/>
      <c r="F10" s="545"/>
    </row>
    <row r="11" spans="1:6" ht="15.75" thickBot="1">
      <c r="A11" s="1127" t="s">
        <v>182</v>
      </c>
      <c r="B11" s="1128"/>
      <c r="C11" s="181">
        <f>SUM(C5:C10)</f>
        <v>896800000</v>
      </c>
      <c r="D11" s="181">
        <f>SUM(D5:D10)</f>
        <v>850030000</v>
      </c>
      <c r="E11" s="181">
        <f>SUM(E5:E10)</f>
        <v>800030000</v>
      </c>
      <c r="F11" s="181">
        <f>SUM(F5:F10)</f>
        <v>800030000</v>
      </c>
    </row>
    <row r="12" spans="1:6" ht="23.25" customHeight="1">
      <c r="A12" s="1129" t="s">
        <v>212</v>
      </c>
      <c r="B12" s="1129"/>
      <c r="C12" s="1129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4. melléklet a 2/2017. (II.14.) önk.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18</vt:i4>
      </vt:variant>
    </vt:vector>
  </HeadingPairs>
  <TitlesOfParts>
    <vt:vector size="55" baseType="lpstr"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6-a.melléklet</vt:lpstr>
      <vt:lpstr>7.sz.mell.</vt:lpstr>
      <vt:lpstr>9.mell</vt:lpstr>
      <vt:lpstr>9.1. sz. mell</vt:lpstr>
      <vt:lpstr>9.1-a.mell.</vt:lpstr>
      <vt:lpstr>9.1.1. sz. mell </vt:lpstr>
      <vt:lpstr>9.1.2. sz. mell  </vt:lpstr>
      <vt:lpstr>9.1.3. sz. mell   </vt:lpstr>
      <vt:lpstr>9.2. sz. mell</vt:lpstr>
      <vt:lpstr>9.2-a.sz.mell.</vt:lpstr>
      <vt:lpstr>9.2.1. sz. mell</vt:lpstr>
      <vt:lpstr>9.3. sz. mell</vt:lpstr>
      <vt:lpstr>9.4. sz. mell </vt:lpstr>
      <vt:lpstr>9.5. sz. mell </vt:lpstr>
      <vt:lpstr>9.6. sz. mell </vt:lpstr>
      <vt:lpstr>9.7. sz. mell </vt:lpstr>
      <vt:lpstr>9.8. sz. mell </vt:lpstr>
      <vt:lpstr>9.8.1. sz. mell </vt:lpstr>
      <vt:lpstr>9.8.2. sz. mell </vt:lpstr>
      <vt:lpstr>10.sz.mell</vt:lpstr>
      <vt:lpstr>1. sz tájékoztató t</vt:lpstr>
      <vt:lpstr>2. sz tájékoztató t.</vt:lpstr>
      <vt:lpstr>3.sz tájékoztató t.</vt:lpstr>
      <vt:lpstr>4.sz.tájékoztató</vt:lpstr>
      <vt:lpstr>5.sz tájékoztató t.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'9.3. sz. mell'!Nyomtatási_cím</vt:lpstr>
      <vt:lpstr>'9.4. sz. mell '!Nyomtatási_cím</vt:lpstr>
      <vt:lpstr>'9.5. sz. mell '!Nyomtatási_cím</vt:lpstr>
      <vt:lpstr>'9.6. sz. mell '!Nyomtatási_cím</vt:lpstr>
      <vt:lpstr>'9.7. sz. mell '!Nyomtatási_cím</vt:lpstr>
      <vt:lpstr>'9.8. sz. mell '!Nyomtatási_cím</vt:lpstr>
      <vt:lpstr>'9.8.1. sz. mell '!Nyomtatási_cím</vt:lpstr>
      <vt:lpstr>'9.8.2. sz. mell 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Marika</cp:lastModifiedBy>
  <cp:lastPrinted>2017-06-20T08:44:40Z</cp:lastPrinted>
  <dcterms:created xsi:type="dcterms:W3CDTF">1999-10-30T10:30:45Z</dcterms:created>
  <dcterms:modified xsi:type="dcterms:W3CDTF">2017-06-20T08:44:51Z</dcterms:modified>
</cp:coreProperties>
</file>